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tabRatio="804"/>
  </bookViews>
  <sheets>
    <sheet name="FLUJO FLUJO NOSOTRAS" sheetId="2" r:id="rId1"/>
    <sheet name="FLUJO ANTERIOR 2 " sheetId="8" r:id="rId2"/>
    <sheet name="FLUJO INCREMENTAL FINAL" sheetId="4" r:id="rId3"/>
    <sheet name="PAYBACK" sheetId="15" r:id="rId4"/>
    <sheet name="GASTOS" sheetId="16" r:id="rId5"/>
    <sheet name="DEPRECIACION" sheetId="17" r:id="rId6"/>
    <sheet name="AMORTIZACION 69000" sheetId="18" r:id="rId7"/>
    <sheet name="analisis de ESCENARIOS 2" sheetId="38" r:id="rId8"/>
    <sheet name="analisis de escenario" sheetId="20" r:id="rId9"/>
    <sheet name="ING 0,05" sheetId="21" r:id="rId10"/>
    <sheet name="ING 0,10" sheetId="22" r:id="rId11"/>
    <sheet name="ING 0,20" sheetId="28" r:id="rId12"/>
    <sheet name="ING 0,30" sheetId="27" r:id="rId13"/>
    <sheet name="ING -0,05" sheetId="23" r:id="rId14"/>
    <sheet name="ING -0,10" sheetId="24" r:id="rId15"/>
    <sheet name="ING -0,20" sheetId="25" r:id="rId16"/>
    <sheet name="ING -0,30" sheetId="26" r:id="rId17"/>
    <sheet name="COSTOS 0,25" sheetId="30" r:id="rId18"/>
    <sheet name="COSTOS 0,35" sheetId="31" r:id="rId19"/>
    <sheet name="COSTOS 0,45" sheetId="32" r:id="rId20"/>
    <sheet name="COSTOS 0,55" sheetId="36" r:id="rId21"/>
    <sheet name="COSTOS 0,65" sheetId="33" r:id="rId22"/>
    <sheet name="COSTOS 0,95" sheetId="34" r:id="rId23"/>
    <sheet name="COSTOS -0,05" sheetId="35" r:id="rId24"/>
    <sheet name="COSTOS -0,10" sheetId="40" r:id="rId25"/>
    <sheet name=" COSTOS 0,10" sheetId="37" r:id="rId26"/>
    <sheet name="COST 0,10 ING -0,10" sheetId="39" r:id="rId27"/>
    <sheet name="COSTOS -0,10 ING 0,10" sheetId="41" r:id="rId28"/>
    <sheet name="Hoja1" sheetId="42" r:id="rId29"/>
    <sheet name="Hoja2" sheetId="43" r:id="rId30"/>
  </sheets>
  <calcPr calcId="125725"/>
</workbook>
</file>

<file path=xl/calcChain.xml><?xml version="1.0" encoding="utf-8"?>
<calcChain xmlns="http://schemas.openxmlformats.org/spreadsheetml/2006/main">
  <c r="G30" i="41"/>
  <c r="B29"/>
  <c r="G30" i="40"/>
  <c r="B29"/>
  <c r="G30" i="39"/>
  <c r="B29"/>
  <c r="G30" i="37"/>
  <c r="B29"/>
  <c r="G30" i="35"/>
  <c r="B29"/>
  <c r="G30" i="36"/>
  <c r="B29"/>
  <c r="G30" i="34"/>
  <c r="B29"/>
  <c r="G30" i="33"/>
  <c r="B29"/>
  <c r="G30" i="32"/>
  <c r="B29"/>
  <c r="G30" i="31"/>
  <c r="B29"/>
  <c r="G30" i="30"/>
  <c r="B29"/>
  <c r="G30" i="27"/>
  <c r="B29"/>
  <c r="G30" i="28"/>
  <c r="B29"/>
  <c r="G30" i="26"/>
  <c r="B29"/>
  <c r="G30" i="25"/>
  <c r="B29"/>
  <c r="G30" i="24"/>
  <c r="B29"/>
  <c r="G30" i="23"/>
  <c r="B29"/>
  <c r="G30" i="22"/>
  <c r="B29"/>
  <c r="G30" i="21"/>
  <c r="B29"/>
  <c r="C3" i="18" l="1"/>
  <c r="D8" s="1"/>
  <c r="E9" i="17"/>
  <c r="G9" s="1"/>
  <c r="H9" s="1"/>
  <c r="G8"/>
  <c r="H8" s="1"/>
  <c r="E8"/>
  <c r="E7"/>
  <c r="G7" s="1"/>
  <c r="H7" s="1"/>
  <c r="E6"/>
  <c r="G6" s="1"/>
  <c r="H6" s="1"/>
  <c r="G5"/>
  <c r="H5" s="1"/>
  <c r="E5"/>
  <c r="I5" s="1"/>
  <c r="E4"/>
  <c r="E10" s="1"/>
  <c r="D23" i="16"/>
  <c r="D18"/>
  <c r="D17"/>
  <c r="D16"/>
  <c r="D19" s="1"/>
  <c r="D12"/>
  <c r="K11"/>
  <c r="I11"/>
  <c r="J11" s="1"/>
  <c r="H11"/>
  <c r="G11"/>
  <c r="E11"/>
  <c r="L11" s="1"/>
  <c r="K10"/>
  <c r="I10"/>
  <c r="J10" s="1"/>
  <c r="H10"/>
  <c r="G10"/>
  <c r="E10"/>
  <c r="L10" s="1"/>
  <c r="K9"/>
  <c r="I9"/>
  <c r="J9" s="1"/>
  <c r="H9"/>
  <c r="G9"/>
  <c r="E9"/>
  <c r="L9" s="1"/>
  <c r="K8"/>
  <c r="I8"/>
  <c r="J8" s="1"/>
  <c r="H8"/>
  <c r="G8"/>
  <c r="E8"/>
  <c r="L8" s="1"/>
  <c r="K7"/>
  <c r="I7"/>
  <c r="J7" s="1"/>
  <c r="H7"/>
  <c r="G7"/>
  <c r="E7"/>
  <c r="L7" s="1"/>
  <c r="K6"/>
  <c r="I6"/>
  <c r="J6" s="1"/>
  <c r="H6"/>
  <c r="G6"/>
  <c r="E6"/>
  <c r="L6" s="1"/>
  <c r="K5"/>
  <c r="I5"/>
  <c r="J5" s="1"/>
  <c r="H5"/>
  <c r="G5"/>
  <c r="E5"/>
  <c r="L5" s="1"/>
  <c r="K4"/>
  <c r="I4"/>
  <c r="I12" s="1"/>
  <c r="H4"/>
  <c r="G4"/>
  <c r="G12" s="1"/>
  <c r="E4"/>
  <c r="E4" i="2"/>
  <c r="E28"/>
  <c r="E15"/>
  <c r="E25" s="1"/>
  <c r="E18"/>
  <c r="E14"/>
  <c r="E7"/>
  <c r="E13"/>
  <c r="E12"/>
  <c r="E9"/>
  <c r="E6"/>
  <c r="E10" s="1"/>
  <c r="E16" s="1"/>
  <c r="E19" s="1"/>
  <c r="F14" i="8"/>
  <c r="G14" s="1"/>
  <c r="H14" s="1"/>
  <c r="I14" s="1"/>
  <c r="I14" i="2" s="1"/>
  <c r="G14" i="4" l="1"/>
  <c r="G14" i="41"/>
  <c r="G14" i="40"/>
  <c r="G14" i="39"/>
  <c r="G14" i="35"/>
  <c r="G14" i="37"/>
  <c r="G14" i="36"/>
  <c r="G14" i="34"/>
  <c r="G14" i="33"/>
  <c r="G14" i="32"/>
  <c r="G14" i="31"/>
  <c r="G14" i="30"/>
  <c r="G14" i="27"/>
  <c r="G14" i="28"/>
  <c r="G14" i="25"/>
  <c r="G14" i="23"/>
  <c r="G14" i="26"/>
  <c r="G14" i="24"/>
  <c r="G14" i="22"/>
  <c r="G14" i="21"/>
  <c r="C6" i="4"/>
  <c r="C6" i="41"/>
  <c r="C6" i="40"/>
  <c r="C6" i="36"/>
  <c r="C6" i="39"/>
  <c r="C6" i="37"/>
  <c r="C6" i="35"/>
  <c r="C6" i="30"/>
  <c r="C6" i="34"/>
  <c r="C6" i="33"/>
  <c r="C6" i="32"/>
  <c r="C6" i="31"/>
  <c r="C6" i="27"/>
  <c r="C6" i="26"/>
  <c r="C6" i="24"/>
  <c r="C6" i="28"/>
  <c r="C6" i="25"/>
  <c r="C6" i="23"/>
  <c r="C6" i="22"/>
  <c r="C6" i="21"/>
  <c r="C12" i="4"/>
  <c r="C12" i="41"/>
  <c r="C12" i="40"/>
  <c r="C12" i="39"/>
  <c r="C12" i="35"/>
  <c r="C12" i="37"/>
  <c r="C12" i="34"/>
  <c r="C12" i="33"/>
  <c r="C12" i="32"/>
  <c r="C12" i="31"/>
  <c r="C12" i="36"/>
  <c r="C12" i="30"/>
  <c r="C12" i="28"/>
  <c r="C12" i="25"/>
  <c r="C12" i="23"/>
  <c r="C12" i="27"/>
  <c r="C12" i="26"/>
  <c r="C12" i="24"/>
  <c r="C12" i="22"/>
  <c r="C12" i="21"/>
  <c r="C7" i="4"/>
  <c r="C7" i="41"/>
  <c r="C7" i="40"/>
  <c r="C7" i="39"/>
  <c r="C7" i="35"/>
  <c r="C7" i="37"/>
  <c r="C7" i="34"/>
  <c r="C7" i="33"/>
  <c r="C7" i="32"/>
  <c r="C7" i="31"/>
  <c r="C7" i="36"/>
  <c r="C7" i="30"/>
  <c r="C7" i="28"/>
  <c r="C7" i="25"/>
  <c r="C7" i="27"/>
  <c r="C7" i="26"/>
  <c r="C7" i="24"/>
  <c r="C7" i="23"/>
  <c r="C7" i="22"/>
  <c r="C7" i="21"/>
  <c r="G14" i="2"/>
  <c r="F15"/>
  <c r="C28" i="4"/>
  <c r="C28" i="41"/>
  <c r="C28" i="40"/>
  <c r="C28" i="39"/>
  <c r="C28" i="35"/>
  <c r="C28" i="37"/>
  <c r="C28" i="36"/>
  <c r="C28" i="34"/>
  <c r="C28" i="33"/>
  <c r="C28" i="32"/>
  <c r="C28" i="31"/>
  <c r="C28" i="30"/>
  <c r="C28" i="27"/>
  <c r="C28" i="28"/>
  <c r="C28" i="25"/>
  <c r="C28" i="23"/>
  <c r="C28" i="26"/>
  <c r="C28" i="24"/>
  <c r="C28" i="22"/>
  <c r="C28" i="21"/>
  <c r="E12" i="16"/>
  <c r="H12"/>
  <c r="K12"/>
  <c r="C9" i="4"/>
  <c r="C9" i="41"/>
  <c r="C9" i="40"/>
  <c r="C9" i="39"/>
  <c r="C9" i="37"/>
  <c r="C9" i="35"/>
  <c r="C9" i="36"/>
  <c r="C9" i="30"/>
  <c r="C9" i="34"/>
  <c r="C9" i="33"/>
  <c r="C9" i="32"/>
  <c r="C9" i="31"/>
  <c r="C9" i="27"/>
  <c r="C9" i="26"/>
  <c r="C9" i="24"/>
  <c r="C9" i="28"/>
  <c r="C9" i="25"/>
  <c r="C9" i="23"/>
  <c r="C9" i="22"/>
  <c r="C9" i="21"/>
  <c r="C13" i="4"/>
  <c r="C13" i="41"/>
  <c r="C13" i="40"/>
  <c r="C13" i="39"/>
  <c r="C13" i="37"/>
  <c r="C13" i="36"/>
  <c r="C13" i="35"/>
  <c r="C13" i="30"/>
  <c r="C13" i="34"/>
  <c r="C13" i="33"/>
  <c r="C13" i="32"/>
  <c r="C13" i="31"/>
  <c r="C13" i="27"/>
  <c r="C13" i="26"/>
  <c r="C13" i="24"/>
  <c r="C13" i="28"/>
  <c r="C13" i="25"/>
  <c r="C13" i="23"/>
  <c r="C13" i="22"/>
  <c r="C13" i="21"/>
  <c r="C14" i="4"/>
  <c r="C14" i="41"/>
  <c r="C14" i="40"/>
  <c r="C14" i="39"/>
  <c r="C14" i="35"/>
  <c r="C14" i="37"/>
  <c r="C14" i="36"/>
  <c r="C14" i="34"/>
  <c r="C14" i="33"/>
  <c r="C14" i="32"/>
  <c r="C14" i="31"/>
  <c r="C14" i="30"/>
  <c r="C14" i="28"/>
  <c r="C14" i="25"/>
  <c r="C14" i="23"/>
  <c r="C14" i="27"/>
  <c r="C14" i="26"/>
  <c r="C14" i="24"/>
  <c r="C14" i="22"/>
  <c r="C14" i="21"/>
  <c r="H14" i="2"/>
  <c r="F14"/>
  <c r="C18" i="4"/>
  <c r="C18" i="41"/>
  <c r="C18" i="40"/>
  <c r="C18" i="39"/>
  <c r="C18" i="35"/>
  <c r="C18" i="37"/>
  <c r="C18" i="36"/>
  <c r="C18" i="34"/>
  <c r="C18" i="33"/>
  <c r="C18" i="32"/>
  <c r="C18" i="31"/>
  <c r="C18" i="30"/>
  <c r="C18" i="27"/>
  <c r="C18" i="28"/>
  <c r="C18" i="25"/>
  <c r="C18" i="23"/>
  <c r="C18" i="26"/>
  <c r="C18" i="24"/>
  <c r="C18" i="22"/>
  <c r="C18" i="21"/>
  <c r="C15" i="4"/>
  <c r="C15" i="41"/>
  <c r="C15" i="40"/>
  <c r="C15" i="39"/>
  <c r="C15" i="37"/>
  <c r="C15" i="36"/>
  <c r="C15" i="35"/>
  <c r="C15" i="30"/>
  <c r="C15" i="34"/>
  <c r="C15" i="33"/>
  <c r="C15" i="32"/>
  <c r="C15" i="31"/>
  <c r="C15" i="26"/>
  <c r="C15" i="24"/>
  <c r="C15" i="27"/>
  <c r="C15" i="28"/>
  <c r="C15" i="25"/>
  <c r="C15" i="23"/>
  <c r="C15" i="22"/>
  <c r="C15" i="21"/>
  <c r="C4" i="39"/>
  <c r="C10" s="1"/>
  <c r="C4" i="41"/>
  <c r="C10" s="1"/>
  <c r="C16" s="1"/>
  <c r="C19" s="1"/>
  <c r="C20" s="1"/>
  <c r="C21" s="1"/>
  <c r="C22" s="1"/>
  <c r="C23" s="1"/>
  <c r="C4" i="40"/>
  <c r="C10" s="1"/>
  <c r="C16" s="1"/>
  <c r="C19" s="1"/>
  <c r="C20" s="1"/>
  <c r="C21" s="1"/>
  <c r="C22" s="1"/>
  <c r="C23" s="1"/>
  <c r="C4" i="37"/>
  <c r="C10" s="1"/>
  <c r="C16" s="1"/>
  <c r="C19" s="1"/>
  <c r="C4" i="35"/>
  <c r="C10" s="1"/>
  <c r="C16" s="1"/>
  <c r="C19" s="1"/>
  <c r="C20" s="1"/>
  <c r="C21" s="1"/>
  <c r="C22" s="1"/>
  <c r="C23" s="1"/>
  <c r="C4" i="36"/>
  <c r="C10" s="1"/>
  <c r="C16" s="1"/>
  <c r="C19" s="1"/>
  <c r="C20" s="1"/>
  <c r="C21" s="1"/>
  <c r="C22" s="1"/>
  <c r="C23" s="1"/>
  <c r="C4" i="31"/>
  <c r="C10" s="1"/>
  <c r="C16" s="1"/>
  <c r="C19" s="1"/>
  <c r="C20" s="1"/>
  <c r="C21" s="1"/>
  <c r="C22" s="1"/>
  <c r="C23" s="1"/>
  <c r="C4" i="30"/>
  <c r="C10" s="1"/>
  <c r="C16" s="1"/>
  <c r="C19" s="1"/>
  <c r="C4" i="34"/>
  <c r="C10" s="1"/>
  <c r="C16" s="1"/>
  <c r="C19" s="1"/>
  <c r="C20" s="1"/>
  <c r="C21" s="1"/>
  <c r="C22" s="1"/>
  <c r="C23" s="1"/>
  <c r="C4" i="33"/>
  <c r="C10" s="1"/>
  <c r="C16" s="1"/>
  <c r="C19" s="1"/>
  <c r="C20" s="1"/>
  <c r="C21" s="1"/>
  <c r="C22" s="1"/>
  <c r="C23" s="1"/>
  <c r="C4" i="32"/>
  <c r="C10" s="1"/>
  <c r="C16" s="1"/>
  <c r="C19" s="1"/>
  <c r="C20" s="1"/>
  <c r="C21" s="1"/>
  <c r="C22" s="1"/>
  <c r="C23" s="1"/>
  <c r="C4" i="27"/>
  <c r="C10" s="1"/>
  <c r="C16" s="1"/>
  <c r="C19" s="1"/>
  <c r="C20" s="1"/>
  <c r="C21" s="1"/>
  <c r="C22" s="1"/>
  <c r="C23" s="1"/>
  <c r="C4" i="28"/>
  <c r="C10" s="1"/>
  <c r="C16" s="1"/>
  <c r="C19" s="1"/>
  <c r="C20" s="1"/>
  <c r="C21" s="1"/>
  <c r="C22" s="1"/>
  <c r="C23" s="1"/>
  <c r="C4" i="25"/>
  <c r="C10" s="1"/>
  <c r="C16" s="1"/>
  <c r="C19" s="1"/>
  <c r="C4" i="23"/>
  <c r="C10" s="1"/>
  <c r="C16" s="1"/>
  <c r="C19" s="1"/>
  <c r="C20" s="1"/>
  <c r="C21" s="1"/>
  <c r="C22" s="1"/>
  <c r="C23" s="1"/>
  <c r="C4" i="26"/>
  <c r="C10" s="1"/>
  <c r="C16" s="1"/>
  <c r="C19" s="1"/>
  <c r="C20" s="1"/>
  <c r="C21" s="1"/>
  <c r="C22" s="1"/>
  <c r="C23" s="1"/>
  <c r="C4" i="24"/>
  <c r="C10" s="1"/>
  <c r="C16" s="1"/>
  <c r="C19" s="1"/>
  <c r="C4" i="22"/>
  <c r="C10" s="1"/>
  <c r="C16" s="1"/>
  <c r="C19" s="1"/>
  <c r="C20" s="1"/>
  <c r="C21" s="1"/>
  <c r="C22" s="1"/>
  <c r="C23" s="1"/>
  <c r="C4" i="21"/>
  <c r="C10" s="1"/>
  <c r="C16" s="1"/>
  <c r="C19" s="1"/>
  <c r="C20" s="1"/>
  <c r="C21" s="1"/>
  <c r="C22" s="1"/>
  <c r="C23" s="1"/>
  <c r="H10" i="17"/>
  <c r="D25" i="18"/>
  <c r="D14"/>
  <c r="I4" i="17"/>
  <c r="G4"/>
  <c r="F4" i="16"/>
  <c r="J4"/>
  <c r="J12" s="1"/>
  <c r="L4"/>
  <c r="L12" s="1"/>
  <c r="F5"/>
  <c r="F6"/>
  <c r="F7"/>
  <c r="F8"/>
  <c r="F9"/>
  <c r="F10"/>
  <c r="F11"/>
  <c r="D15" i="4"/>
  <c r="C20" i="24" l="1"/>
  <c r="C21" s="1"/>
  <c r="C16" i="39"/>
  <c r="C19" s="1"/>
  <c r="C20" s="1"/>
  <c r="C21" s="1"/>
  <c r="C22" s="1"/>
  <c r="C23" s="1"/>
  <c r="F14" i="4"/>
  <c r="F14" i="41"/>
  <c r="F14" i="40"/>
  <c r="F14" i="39"/>
  <c r="F14" i="37"/>
  <c r="F14" i="36"/>
  <c r="F14" i="35"/>
  <c r="F14" i="30"/>
  <c r="F14" i="34"/>
  <c r="F14" i="33"/>
  <c r="F14" i="32"/>
  <c r="F14" i="31"/>
  <c r="F14" i="27"/>
  <c r="F14" i="26"/>
  <c r="F14" i="24"/>
  <c r="F14" i="28"/>
  <c r="F14" i="25"/>
  <c r="F14" i="23"/>
  <c r="F14" i="22"/>
  <c r="F14" i="21"/>
  <c r="F25" i="2"/>
  <c r="D15" i="41"/>
  <c r="D15" i="40"/>
  <c r="D15" i="39"/>
  <c r="D15" i="35"/>
  <c r="D15" i="37"/>
  <c r="D15" i="36"/>
  <c r="D15" i="34"/>
  <c r="D15" i="33"/>
  <c r="D15" i="32"/>
  <c r="D15" i="31"/>
  <c r="D15" i="30"/>
  <c r="D15" i="27"/>
  <c r="D15" i="28"/>
  <c r="D15" i="25"/>
  <c r="D15" i="23"/>
  <c r="D15" i="26"/>
  <c r="D15" i="24"/>
  <c r="D15" i="22"/>
  <c r="D15" i="21"/>
  <c r="C20" i="25"/>
  <c r="C21" s="1"/>
  <c r="C20" i="30"/>
  <c r="C21" s="1"/>
  <c r="C22" s="1"/>
  <c r="C23" s="1"/>
  <c r="C20" i="37"/>
  <c r="C21" s="1"/>
  <c r="D14" i="4"/>
  <c r="D14" i="41"/>
  <c r="D14" i="40"/>
  <c r="D14" i="39"/>
  <c r="D14" i="37"/>
  <c r="D14" i="36"/>
  <c r="D14" i="35"/>
  <c r="D14" i="30"/>
  <c r="D14" i="34"/>
  <c r="D14" i="33"/>
  <c r="D14" i="32"/>
  <c r="D14" i="31"/>
  <c r="D14" i="27"/>
  <c r="D14" i="26"/>
  <c r="D14" i="24"/>
  <c r="D14" i="28"/>
  <c r="D14" i="25"/>
  <c r="D14" i="23"/>
  <c r="D14" i="22"/>
  <c r="D14" i="21"/>
  <c r="E14" i="4"/>
  <c r="E14" i="41"/>
  <c r="E14" i="40"/>
  <c r="E14" i="39"/>
  <c r="E14" i="35"/>
  <c r="E14" i="37"/>
  <c r="E14" i="36"/>
  <c r="E14" i="34"/>
  <c r="E14" i="33"/>
  <c r="E14" i="32"/>
  <c r="E14" i="31"/>
  <c r="E14" i="30"/>
  <c r="E14" i="28"/>
  <c r="E14" i="25"/>
  <c r="E14" i="23"/>
  <c r="E14" i="27"/>
  <c r="E14" i="26"/>
  <c r="E14" i="24"/>
  <c r="E14" i="22"/>
  <c r="E14" i="21"/>
  <c r="F15" i="18"/>
  <c r="C11"/>
  <c r="F26"/>
  <c r="C22"/>
  <c r="F12" i="16"/>
  <c r="M12" s="1"/>
  <c r="C22" i="37" l="1"/>
  <c r="C23" s="1"/>
  <c r="C22" i="25"/>
  <c r="C23" s="1"/>
  <c r="C22" i="24"/>
  <c r="C23" s="1"/>
  <c r="G19" i="18"/>
  <c r="G18"/>
  <c r="G17"/>
  <c r="G16"/>
  <c r="G15"/>
  <c r="E15" s="1"/>
  <c r="D15" s="1"/>
  <c r="G2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F16" l="1"/>
  <c r="E26"/>
  <c r="D26" s="1"/>
  <c r="H26"/>
  <c r="E16"/>
  <c r="D16" s="1"/>
  <c r="F17" l="1"/>
  <c r="E17" s="1"/>
  <c r="D17" s="1"/>
  <c r="F27"/>
  <c r="E27" s="1"/>
  <c r="D27" s="1"/>
  <c r="F28" l="1"/>
  <c r="E28" s="1"/>
  <c r="D28" s="1"/>
  <c r="F18"/>
  <c r="E18" s="1"/>
  <c r="D18" s="1"/>
  <c r="F19" l="1"/>
  <c r="E19" s="1"/>
  <c r="D19" s="1"/>
  <c r="F29"/>
  <c r="E29" s="1"/>
  <c r="D29" s="1"/>
  <c r="F30" l="1"/>
  <c r="E30" s="1"/>
  <c r="D30" s="1"/>
  <c r="F31" l="1"/>
  <c r="E31" s="1"/>
  <c r="D31" s="1"/>
  <c r="F32" l="1"/>
  <c r="E32" s="1"/>
  <c r="D32" s="1"/>
  <c r="F33" l="1"/>
  <c r="E33" s="1"/>
  <c r="D33" s="1"/>
  <c r="F34" l="1"/>
  <c r="E34" s="1"/>
  <c r="D34" s="1"/>
  <c r="F35" l="1"/>
  <c r="E35" s="1"/>
  <c r="D35" s="1"/>
  <c r="F36" l="1"/>
  <c r="E36" s="1"/>
  <c r="D36" s="1"/>
  <c r="F37" l="1"/>
  <c r="E37" s="1"/>
  <c r="D37"/>
  <c r="F38" l="1"/>
  <c r="E38" s="1"/>
  <c r="D38" s="1"/>
  <c r="F39" l="1"/>
  <c r="E39" s="1"/>
  <c r="D39" s="1"/>
  <c r="F40" l="1"/>
  <c r="E40" s="1"/>
  <c r="D40" s="1"/>
  <c r="F41" l="1"/>
  <c r="E41" s="1"/>
  <c r="D41" s="1"/>
  <c r="F42" l="1"/>
  <c r="E42" s="1"/>
  <c r="D42" s="1"/>
  <c r="F43" l="1"/>
  <c r="E43" s="1"/>
  <c r="D43" s="1"/>
  <c r="F44" l="1"/>
  <c r="E44" s="1"/>
  <c r="D44" s="1"/>
  <c r="F45" l="1"/>
  <c r="E45" s="1"/>
  <c r="D45" s="1"/>
  <c r="F46" l="1"/>
  <c r="E46" s="1"/>
  <c r="D46" s="1"/>
  <c r="F47" l="1"/>
  <c r="E47" s="1"/>
  <c r="D47" s="1"/>
  <c r="F48" l="1"/>
  <c r="E48" s="1"/>
  <c r="D48" s="1"/>
  <c r="F49" l="1"/>
  <c r="E49" s="1"/>
  <c r="D49" s="1"/>
  <c r="F50" l="1"/>
  <c r="E50" s="1"/>
  <c r="D50" s="1"/>
  <c r="F51" l="1"/>
  <c r="E51" s="1"/>
  <c r="D51" s="1"/>
  <c r="F52" l="1"/>
  <c r="E52" s="1"/>
  <c r="D52" s="1"/>
  <c r="F53" l="1"/>
  <c r="E53" s="1"/>
  <c r="D53" s="1"/>
  <c r="F54" l="1"/>
  <c r="E54" s="1"/>
  <c r="D54" s="1"/>
  <c r="F55" l="1"/>
  <c r="E55" s="1"/>
  <c r="D55" s="1"/>
  <c r="F56" l="1"/>
  <c r="E56" s="1"/>
  <c r="D56" s="1"/>
  <c r="F57" l="1"/>
  <c r="E57" s="1"/>
  <c r="D57" s="1"/>
  <c r="F58" l="1"/>
  <c r="E58" s="1"/>
  <c r="D58" s="1"/>
  <c r="F59" l="1"/>
  <c r="E59" s="1"/>
  <c r="D59" s="1"/>
  <c r="F60" l="1"/>
  <c r="E60" s="1"/>
  <c r="D60" s="1"/>
  <c r="F61" l="1"/>
  <c r="E61" s="1"/>
  <c r="D61" s="1"/>
  <c r="F62" l="1"/>
  <c r="E62" s="1"/>
  <c r="D62" s="1"/>
  <c r="F63" l="1"/>
  <c r="E63" s="1"/>
  <c r="D63" s="1"/>
  <c r="F64" l="1"/>
  <c r="E64" s="1"/>
  <c r="D64" s="1"/>
  <c r="F65" l="1"/>
  <c r="E65" s="1"/>
  <c r="D65" s="1"/>
  <c r="F66" l="1"/>
  <c r="E66" s="1"/>
  <c r="D66" s="1"/>
  <c r="F67" l="1"/>
  <c r="E67" s="1"/>
  <c r="D67" s="1"/>
  <c r="F68" l="1"/>
  <c r="E68" s="1"/>
  <c r="D68" s="1"/>
  <c r="F69" l="1"/>
  <c r="E69" s="1"/>
  <c r="D69" s="1"/>
  <c r="F70" l="1"/>
  <c r="E70" s="1"/>
  <c r="D70" s="1"/>
  <c r="F71" l="1"/>
  <c r="E71" s="1"/>
  <c r="D71" s="1"/>
  <c r="F72" l="1"/>
  <c r="E72" s="1"/>
  <c r="D72" s="1"/>
  <c r="F73" l="1"/>
  <c r="E73" s="1"/>
  <c r="D73" s="1"/>
  <c r="F74" l="1"/>
  <c r="E74" s="1"/>
  <c r="D74" s="1"/>
  <c r="F75" l="1"/>
  <c r="E75" s="1"/>
  <c r="D75" s="1"/>
  <c r="F76" l="1"/>
  <c r="E76" s="1"/>
  <c r="D76" s="1"/>
  <c r="F77" l="1"/>
  <c r="E77" s="1"/>
  <c r="D77" s="1"/>
  <c r="F78" l="1"/>
  <c r="E78" s="1"/>
  <c r="D78" s="1"/>
  <c r="F79" l="1"/>
  <c r="E79" s="1"/>
  <c r="D79" s="1"/>
  <c r="F80" l="1"/>
  <c r="E80" s="1"/>
  <c r="D80" s="1"/>
  <c r="F81" l="1"/>
  <c r="E81" s="1"/>
  <c r="D81" s="1"/>
  <c r="F82" l="1"/>
  <c r="E82" s="1"/>
  <c r="D82" s="1"/>
  <c r="F83" l="1"/>
  <c r="E83" s="1"/>
  <c r="D83" s="1"/>
  <c r="F84" l="1"/>
  <c r="E84" s="1"/>
  <c r="D84" s="1"/>
  <c r="F85" l="1"/>
  <c r="E85" s="1"/>
  <c r="D85" s="1"/>
  <c r="F13" i="8" l="1"/>
  <c r="E10"/>
  <c r="E16" s="1"/>
  <c r="E19" s="1"/>
  <c r="F7"/>
  <c r="F9"/>
  <c r="F6"/>
  <c r="G6" l="1"/>
  <c r="F6" i="2"/>
  <c r="G7" i="8"/>
  <c r="F7" i="2"/>
  <c r="G9" i="8"/>
  <c r="F9" i="2"/>
  <c r="G13" i="8"/>
  <c r="F13" i="2"/>
  <c r="F12" i="8"/>
  <c r="F4"/>
  <c r="F4" i="2" s="1"/>
  <c r="G30" i="4"/>
  <c r="B29"/>
  <c r="I31" i="2"/>
  <c r="F28"/>
  <c r="D27"/>
  <c r="D26"/>
  <c r="I18"/>
  <c r="H18"/>
  <c r="G18"/>
  <c r="F18"/>
  <c r="E18" i="4" l="1"/>
  <c r="E18" i="41"/>
  <c r="E18" i="40"/>
  <c r="E18" i="39"/>
  <c r="E18" i="35"/>
  <c r="E18" i="37"/>
  <c r="E18" i="36"/>
  <c r="E18" i="34"/>
  <c r="E18" i="33"/>
  <c r="E18" i="32"/>
  <c r="E18" i="31"/>
  <c r="E18" i="30"/>
  <c r="E18" i="27"/>
  <c r="E18" i="28"/>
  <c r="E18" i="25"/>
  <c r="E18" i="23"/>
  <c r="E18" i="26"/>
  <c r="E18" i="24"/>
  <c r="E18" i="22"/>
  <c r="E18" i="21"/>
  <c r="D18" i="4"/>
  <c r="D18" i="41"/>
  <c r="D18" i="40"/>
  <c r="D18" i="39"/>
  <c r="D18" i="37"/>
  <c r="D18" i="36"/>
  <c r="D18" i="35"/>
  <c r="D18" i="30"/>
  <c r="D18" i="27"/>
  <c r="D18" i="34"/>
  <c r="D18" i="33"/>
  <c r="D18" i="32"/>
  <c r="D18" i="31"/>
  <c r="D18" i="26"/>
  <c r="D18" i="24"/>
  <c r="D18" i="28"/>
  <c r="D18" i="25"/>
  <c r="D18" i="23"/>
  <c r="D18" i="22"/>
  <c r="D18" i="21"/>
  <c r="F18" i="4"/>
  <c r="F18" i="41"/>
  <c r="F18" i="40"/>
  <c r="F18" i="39"/>
  <c r="F18" i="37"/>
  <c r="F18" i="36"/>
  <c r="F18" i="35"/>
  <c r="F18" i="30"/>
  <c r="F18" i="27"/>
  <c r="F18" i="34"/>
  <c r="F18" i="33"/>
  <c r="F18" i="32"/>
  <c r="F18" i="31"/>
  <c r="F18" i="26"/>
  <c r="F18" i="24"/>
  <c r="F18" i="28"/>
  <c r="F18" i="25"/>
  <c r="F18" i="23"/>
  <c r="F18" i="22"/>
  <c r="F18" i="21"/>
  <c r="B26" i="4"/>
  <c r="B26" i="41"/>
  <c r="B26" i="40"/>
  <c r="B26" i="39"/>
  <c r="B26" i="35"/>
  <c r="B26" i="37"/>
  <c r="B26" i="36"/>
  <c r="B26" i="34"/>
  <c r="B26" i="33"/>
  <c r="B26" i="32"/>
  <c r="B26" i="31"/>
  <c r="B26" i="30"/>
  <c r="B26" i="27"/>
  <c r="B26" i="28"/>
  <c r="B26" i="25"/>
  <c r="B26" i="23"/>
  <c r="B26" i="26"/>
  <c r="B26" i="24"/>
  <c r="B26" i="22"/>
  <c r="B26" i="21"/>
  <c r="D28" i="41"/>
  <c r="D28" i="40"/>
  <c r="D28" i="39"/>
  <c r="D28" i="37"/>
  <c r="D28" i="36"/>
  <c r="D28" i="35"/>
  <c r="D28" i="30"/>
  <c r="D28" i="27"/>
  <c r="D28" i="34"/>
  <c r="D28" i="33"/>
  <c r="D28" i="32"/>
  <c r="D28" i="31"/>
  <c r="D28" i="26"/>
  <c r="D28" i="24"/>
  <c r="D28" i="28"/>
  <c r="D28" i="25"/>
  <c r="D28" i="23"/>
  <c r="D28" i="22"/>
  <c r="D28" i="21"/>
  <c r="D4" i="41"/>
  <c r="D4" i="40"/>
  <c r="D4" i="39"/>
  <c r="D4" i="35"/>
  <c r="D4" i="37"/>
  <c r="D4" i="34"/>
  <c r="D4" i="33"/>
  <c r="D4" i="32"/>
  <c r="D4" i="31"/>
  <c r="D4" i="27"/>
  <c r="D4" i="36"/>
  <c r="D4" i="30"/>
  <c r="D4" i="26"/>
  <c r="D4" i="24"/>
  <c r="D4" i="28"/>
  <c r="D4" i="25"/>
  <c r="D4" i="23"/>
  <c r="D4" i="21"/>
  <c r="D4" i="22"/>
  <c r="D13" i="4"/>
  <c r="D13" i="41"/>
  <c r="D13" i="40"/>
  <c r="D13" i="39"/>
  <c r="D13" i="35"/>
  <c r="D13" i="37"/>
  <c r="D13" i="36"/>
  <c r="D13" i="34"/>
  <c r="D13" i="33"/>
  <c r="D13" i="32"/>
  <c r="D13" i="31"/>
  <c r="D13" i="30"/>
  <c r="D13" i="28"/>
  <c r="D13" i="25"/>
  <c r="D13" i="23"/>
  <c r="D13" i="27"/>
  <c r="D13" i="26"/>
  <c r="D13" i="24"/>
  <c r="D13" i="22"/>
  <c r="D13" i="21"/>
  <c r="D9" i="4"/>
  <c r="D9" i="41"/>
  <c r="D9" i="40"/>
  <c r="D9" i="39"/>
  <c r="D9" i="35"/>
  <c r="D9" i="37"/>
  <c r="D9" i="34"/>
  <c r="D9" i="33"/>
  <c r="D9" i="32"/>
  <c r="D9" i="31"/>
  <c r="D9" i="36"/>
  <c r="D9" i="30"/>
  <c r="D9" i="28"/>
  <c r="D9" i="25"/>
  <c r="D9" i="23"/>
  <c r="D9" i="27"/>
  <c r="D9" i="26"/>
  <c r="D9" i="24"/>
  <c r="D9" i="22"/>
  <c r="D9" i="21"/>
  <c r="D7" i="4"/>
  <c r="D7" i="41"/>
  <c r="D7" i="40"/>
  <c r="D7" i="37"/>
  <c r="D7" i="39"/>
  <c r="D7" i="35"/>
  <c r="D7" i="36"/>
  <c r="D7" i="30"/>
  <c r="D7" i="34"/>
  <c r="D7" i="33"/>
  <c r="D7" i="32"/>
  <c r="D7" i="31"/>
  <c r="D7" i="27"/>
  <c r="D7" i="26"/>
  <c r="D7" i="24"/>
  <c r="D7" i="28"/>
  <c r="D7" i="25"/>
  <c r="D7" i="23"/>
  <c r="D7" i="22"/>
  <c r="D7" i="21"/>
  <c r="D6" i="4"/>
  <c r="D6" i="41"/>
  <c r="D6" i="40"/>
  <c r="D6" i="39"/>
  <c r="D6" i="37"/>
  <c r="D6" i="35"/>
  <c r="D6" i="36"/>
  <c r="D6" i="31"/>
  <c r="D6" i="30"/>
  <c r="D6" i="34"/>
  <c r="D6" i="33"/>
  <c r="D6" i="32"/>
  <c r="D6" i="28"/>
  <c r="D6" i="25"/>
  <c r="D6" i="27"/>
  <c r="D6" i="26"/>
  <c r="D6" i="24"/>
  <c r="D6" i="22"/>
  <c r="D6" i="21"/>
  <c r="D6" i="23"/>
  <c r="G18" i="4"/>
  <c r="G18" i="41"/>
  <c r="G18" i="40"/>
  <c r="G18" i="39"/>
  <c r="G18" i="35"/>
  <c r="G18" i="37"/>
  <c r="G18" i="36"/>
  <c r="G18" i="34"/>
  <c r="G18" i="33"/>
  <c r="G18" i="32"/>
  <c r="G18" i="31"/>
  <c r="G18" i="30"/>
  <c r="G18" i="27"/>
  <c r="G18" i="28"/>
  <c r="G18" i="25"/>
  <c r="G18" i="23"/>
  <c r="G18" i="26"/>
  <c r="G18" i="24"/>
  <c r="G18" i="22"/>
  <c r="G18" i="21"/>
  <c r="B27" i="4"/>
  <c r="B27" i="41"/>
  <c r="B27" i="40"/>
  <c r="B27" i="39"/>
  <c r="B27" i="37"/>
  <c r="B27" i="36"/>
  <c r="B27" i="35"/>
  <c r="B27" i="30"/>
  <c r="B27" i="27"/>
  <c r="B27" i="34"/>
  <c r="B27" i="33"/>
  <c r="B27" i="32"/>
  <c r="B27" i="31"/>
  <c r="B27" i="26"/>
  <c r="B27" i="24"/>
  <c r="B27" i="28"/>
  <c r="B27" i="25"/>
  <c r="B27" i="23"/>
  <c r="B27" i="22"/>
  <c r="B27" i="21"/>
  <c r="G31" i="4"/>
  <c r="G31" i="41"/>
  <c r="G31" i="40"/>
  <c r="G31" i="39"/>
  <c r="G31" i="37"/>
  <c r="G31" i="36"/>
  <c r="G31" i="35"/>
  <c r="G31" i="30"/>
  <c r="G31" i="27"/>
  <c r="G31" i="34"/>
  <c r="G31" i="33"/>
  <c r="G31" i="32"/>
  <c r="G31" i="31"/>
  <c r="G31" i="26"/>
  <c r="G31" i="24"/>
  <c r="G31" i="28"/>
  <c r="G31" i="25"/>
  <c r="G31" i="23"/>
  <c r="G31" i="22"/>
  <c r="G31" i="21"/>
  <c r="G12" i="8"/>
  <c r="F12" i="2"/>
  <c r="H13" i="8"/>
  <c r="G13" i="2"/>
  <c r="H9" i="8"/>
  <c r="G9" i="2"/>
  <c r="H7" i="8"/>
  <c r="G7" i="2"/>
  <c r="H6" i="8"/>
  <c r="G6" i="2"/>
  <c r="G28"/>
  <c r="D28" i="4"/>
  <c r="D4"/>
  <c r="D10" s="1"/>
  <c r="F10" i="2"/>
  <c r="G4" i="8"/>
  <c r="G4" i="2" s="1"/>
  <c r="F10" i="8"/>
  <c r="F16" s="1"/>
  <c r="F19" s="1"/>
  <c r="H4"/>
  <c r="H4" i="2" s="1"/>
  <c r="C4" i="4"/>
  <c r="C10" s="1"/>
  <c r="C16" s="1"/>
  <c r="C19" s="1"/>
  <c r="I6" i="8" l="1"/>
  <c r="I6" i="2" s="1"/>
  <c r="H6"/>
  <c r="I7" i="8"/>
  <c r="I7" i="2" s="1"/>
  <c r="H7"/>
  <c r="I13" i="8"/>
  <c r="I13" i="2" s="1"/>
  <c r="H13"/>
  <c r="E6" i="4"/>
  <c r="E6" i="41"/>
  <c r="E6" i="40"/>
  <c r="E6" i="36"/>
  <c r="E6" i="39"/>
  <c r="E6" i="37"/>
  <c r="E6" i="35"/>
  <c r="E6" i="30"/>
  <c r="E6" i="34"/>
  <c r="E6" i="33"/>
  <c r="E6" i="32"/>
  <c r="E6" i="31"/>
  <c r="E6" i="27"/>
  <c r="E6" i="26"/>
  <c r="E6" i="24"/>
  <c r="E6" i="28"/>
  <c r="E6" i="25"/>
  <c r="E6" i="23"/>
  <c r="E6" i="22"/>
  <c r="E6" i="21"/>
  <c r="E7" i="4"/>
  <c r="E7" i="41"/>
  <c r="E7" i="40"/>
  <c r="E7" i="39"/>
  <c r="E7" i="35"/>
  <c r="E7" i="37"/>
  <c r="E7" i="34"/>
  <c r="E7" i="33"/>
  <c r="E7" i="32"/>
  <c r="E7" i="31"/>
  <c r="E7" i="36"/>
  <c r="E7" i="30"/>
  <c r="E7" i="28"/>
  <c r="E7" i="25"/>
  <c r="E7" i="23"/>
  <c r="E7" i="27"/>
  <c r="E7" i="26"/>
  <c r="E7" i="24"/>
  <c r="E7" i="22"/>
  <c r="E7" i="21"/>
  <c r="E9" i="4"/>
  <c r="E9" i="41"/>
  <c r="E9" i="40"/>
  <c r="E9" i="39"/>
  <c r="E9" i="37"/>
  <c r="E9" i="35"/>
  <c r="E9" i="36"/>
  <c r="E9" i="30"/>
  <c r="E9" i="34"/>
  <c r="E9" i="33"/>
  <c r="E9" i="32"/>
  <c r="E9" i="31"/>
  <c r="E9" i="27"/>
  <c r="E9" i="26"/>
  <c r="E9" i="24"/>
  <c r="E9" i="28"/>
  <c r="E9" i="25"/>
  <c r="E9" i="23"/>
  <c r="E9" i="22"/>
  <c r="E9" i="21"/>
  <c r="E13" i="4"/>
  <c r="E13" i="41"/>
  <c r="E13" i="40"/>
  <c r="E13" i="39"/>
  <c r="E13" i="37"/>
  <c r="E13" i="36"/>
  <c r="E13" i="35"/>
  <c r="E13" i="30"/>
  <c r="E13" i="34"/>
  <c r="E13" i="33"/>
  <c r="E13" i="32"/>
  <c r="E13" i="31"/>
  <c r="E13" i="27"/>
  <c r="E13" i="26"/>
  <c r="E13" i="24"/>
  <c r="E13" i="28"/>
  <c r="E13" i="25"/>
  <c r="E13" i="23"/>
  <c r="E13" i="22"/>
  <c r="E13" i="21"/>
  <c r="D12" i="4"/>
  <c r="D16" s="1"/>
  <c r="D19" s="1"/>
  <c r="D20" s="1"/>
  <c r="D21" s="1"/>
  <c r="D12" i="41"/>
  <c r="D12" i="40"/>
  <c r="D12" i="39"/>
  <c r="D12" i="37"/>
  <c r="D12" i="35"/>
  <c r="D12" i="36"/>
  <c r="D12" i="30"/>
  <c r="D12" i="34"/>
  <c r="D12" i="33"/>
  <c r="D12" i="32"/>
  <c r="D12" i="31"/>
  <c r="D12" i="27"/>
  <c r="D12" i="26"/>
  <c r="D12" i="24"/>
  <c r="D12" i="28"/>
  <c r="D12" i="25"/>
  <c r="D12" i="23"/>
  <c r="D12" i="22"/>
  <c r="D12" i="21"/>
  <c r="D10" i="22"/>
  <c r="D16" s="1"/>
  <c r="D19" s="1"/>
  <c r="D10" i="23"/>
  <c r="D16" s="1"/>
  <c r="D19" s="1"/>
  <c r="D10" i="28"/>
  <c r="D16" s="1"/>
  <c r="D19" s="1"/>
  <c r="D10" i="26"/>
  <c r="D16" s="1"/>
  <c r="D19" s="1"/>
  <c r="D20" s="1"/>
  <c r="D21" s="1"/>
  <c r="D10" i="36"/>
  <c r="D16" s="1"/>
  <c r="D19" s="1"/>
  <c r="D10" i="31"/>
  <c r="D16" s="1"/>
  <c r="D19" s="1"/>
  <c r="D20" s="1"/>
  <c r="D21" s="1"/>
  <c r="D22" s="1"/>
  <c r="D23" s="1"/>
  <c r="D10" i="33"/>
  <c r="D16" s="1"/>
  <c r="D19" s="1"/>
  <c r="D20" s="1"/>
  <c r="D21" s="1"/>
  <c r="D22" s="1"/>
  <c r="D23" s="1"/>
  <c r="D10" i="37"/>
  <c r="D10" i="39"/>
  <c r="D16" s="1"/>
  <c r="D19" s="1"/>
  <c r="D10" i="41"/>
  <c r="D16" s="1"/>
  <c r="D19" s="1"/>
  <c r="D20" s="1"/>
  <c r="D21" s="1"/>
  <c r="B32" i="21"/>
  <c r="B32" i="24"/>
  <c r="B32" i="23"/>
  <c r="B32" i="28"/>
  <c r="B32" i="30"/>
  <c r="B32" i="32"/>
  <c r="B32" i="34"/>
  <c r="B32" i="37"/>
  <c r="B32" i="39"/>
  <c r="B32" i="41"/>
  <c r="F4"/>
  <c r="F4" i="40"/>
  <c r="F4" i="39"/>
  <c r="F4" i="35"/>
  <c r="F4" i="37"/>
  <c r="F4" i="34"/>
  <c r="F4" i="33"/>
  <c r="F4" i="32"/>
  <c r="F4" i="31"/>
  <c r="F4" i="27"/>
  <c r="F4" i="36"/>
  <c r="F4" i="30"/>
  <c r="F4" i="26"/>
  <c r="F4" i="24"/>
  <c r="F4" i="28"/>
  <c r="F4" i="25"/>
  <c r="F4" i="23"/>
  <c r="F4" i="21"/>
  <c r="F4" i="22"/>
  <c r="E4" i="39"/>
  <c r="E10" s="1"/>
  <c r="E4" i="41"/>
  <c r="E10" s="1"/>
  <c r="E4" i="40"/>
  <c r="E10" s="1"/>
  <c r="E4" i="37"/>
  <c r="E10" s="1"/>
  <c r="E4" i="35"/>
  <c r="E10" s="1"/>
  <c r="E4" i="36"/>
  <c r="E10" s="1"/>
  <c r="E4" i="30"/>
  <c r="E10" s="1"/>
  <c r="E4" i="34"/>
  <c r="E10" s="1"/>
  <c r="E4" i="33"/>
  <c r="E10" s="1"/>
  <c r="E4" i="32"/>
  <c r="E10" s="1"/>
  <c r="E4" i="31"/>
  <c r="E10" s="1"/>
  <c r="E4" i="27"/>
  <c r="E10" s="1"/>
  <c r="E4" i="28"/>
  <c r="E10" s="1"/>
  <c r="E4" i="25"/>
  <c r="E10" s="1"/>
  <c r="E4" i="23"/>
  <c r="E10" s="1"/>
  <c r="E4" i="26"/>
  <c r="E10" s="1"/>
  <c r="E4" i="24"/>
  <c r="E10" s="1"/>
  <c r="E4" i="22"/>
  <c r="E10" s="1"/>
  <c r="E4" i="21"/>
  <c r="E10" s="1"/>
  <c r="E28" i="41"/>
  <c r="E28" i="40"/>
  <c r="E28" i="39"/>
  <c r="E28" i="35"/>
  <c r="E28" i="37"/>
  <c r="E28" i="36"/>
  <c r="E28" i="34"/>
  <c r="E28" i="33"/>
  <c r="E28" i="32"/>
  <c r="E28" i="31"/>
  <c r="E28" i="30"/>
  <c r="E28" i="27"/>
  <c r="E28" i="28"/>
  <c r="E28" i="25"/>
  <c r="E28" i="23"/>
  <c r="E28" i="26"/>
  <c r="E28" i="24"/>
  <c r="E28" i="22"/>
  <c r="E28" i="21"/>
  <c r="I9" i="8"/>
  <c r="I9" i="2" s="1"/>
  <c r="H9"/>
  <c r="H12" i="8"/>
  <c r="G12" i="2"/>
  <c r="D10" i="21"/>
  <c r="D16" s="1"/>
  <c r="D19" s="1"/>
  <c r="D20" s="1"/>
  <c r="D21" s="1"/>
  <c r="D22" s="1"/>
  <c r="D23" s="1"/>
  <c r="D10" i="25"/>
  <c r="D16" s="1"/>
  <c r="D19" s="1"/>
  <c r="D20" s="1"/>
  <c r="D21" s="1"/>
  <c r="D22" s="1"/>
  <c r="D23" s="1"/>
  <c r="D10" i="24"/>
  <c r="D16" s="1"/>
  <c r="D19" s="1"/>
  <c r="D20" s="1"/>
  <c r="D21" s="1"/>
  <c r="D22" s="1"/>
  <c r="D23" s="1"/>
  <c r="D10" i="30"/>
  <c r="D16" s="1"/>
  <c r="D19" s="1"/>
  <c r="D20" s="1"/>
  <c r="D21" s="1"/>
  <c r="D22" s="1"/>
  <c r="D23" s="1"/>
  <c r="D10" i="27"/>
  <c r="D16" s="1"/>
  <c r="D19" s="1"/>
  <c r="D20" s="1"/>
  <c r="D21" s="1"/>
  <c r="D22" s="1"/>
  <c r="D23" s="1"/>
  <c r="D10" i="32"/>
  <c r="D16" s="1"/>
  <c r="D19" s="1"/>
  <c r="D20" s="1"/>
  <c r="D21" s="1"/>
  <c r="D22" s="1"/>
  <c r="D23" s="1"/>
  <c r="D10" i="34"/>
  <c r="D16" s="1"/>
  <c r="D19" s="1"/>
  <c r="D20" s="1"/>
  <c r="D21" s="1"/>
  <c r="D22" s="1"/>
  <c r="D23" s="1"/>
  <c r="D10" i="35"/>
  <c r="D16" s="1"/>
  <c r="D19" s="1"/>
  <c r="D10" i="40"/>
  <c r="D16" s="1"/>
  <c r="D19" s="1"/>
  <c r="B32" i="22"/>
  <c r="B32" i="26"/>
  <c r="B32" i="25"/>
  <c r="B32" i="27"/>
  <c r="B32" i="31"/>
  <c r="B32" i="33"/>
  <c r="B32" i="36"/>
  <c r="B32" i="35"/>
  <c r="B32" i="40"/>
  <c r="H10" i="8"/>
  <c r="H16" s="1"/>
  <c r="H19" s="1"/>
  <c r="G10"/>
  <c r="G16" s="1"/>
  <c r="G19" s="1"/>
  <c r="G10" i="2"/>
  <c r="H28"/>
  <c r="E28" i="4"/>
  <c r="C20"/>
  <c r="C21" s="1"/>
  <c r="I4" i="8"/>
  <c r="I4" i="2" s="1"/>
  <c r="H10"/>
  <c r="G15"/>
  <c r="D16" i="37" l="1"/>
  <c r="D19" s="1"/>
  <c r="D20" s="1"/>
  <c r="D21" s="1"/>
  <c r="D22" s="1"/>
  <c r="D23" s="1"/>
  <c r="E15" i="41"/>
  <c r="E15" i="40"/>
  <c r="E15" i="39"/>
  <c r="E15" i="37"/>
  <c r="E15" i="36"/>
  <c r="E15" i="35"/>
  <c r="E15" i="30"/>
  <c r="E15" i="34"/>
  <c r="E15" i="33"/>
  <c r="E15" i="32"/>
  <c r="E15" i="31"/>
  <c r="E15" i="27"/>
  <c r="E15" i="26"/>
  <c r="E15" i="24"/>
  <c r="E15" i="28"/>
  <c r="E15" i="25"/>
  <c r="E15" i="23"/>
  <c r="E15" i="22"/>
  <c r="E15" i="21"/>
  <c r="G4" i="41"/>
  <c r="G4" i="40"/>
  <c r="G4" i="39"/>
  <c r="G4" i="37"/>
  <c r="G4" i="35"/>
  <c r="G4" i="36"/>
  <c r="G4" i="30"/>
  <c r="G4" i="34"/>
  <c r="G4" i="33"/>
  <c r="G4" i="32"/>
  <c r="G4" i="31"/>
  <c r="G4" i="27"/>
  <c r="G4" i="28"/>
  <c r="G4" i="25"/>
  <c r="G4" i="23"/>
  <c r="G4" i="26"/>
  <c r="G4" i="24"/>
  <c r="G4" i="22"/>
  <c r="G4" i="21"/>
  <c r="F28" i="41"/>
  <c r="F28" i="40"/>
  <c r="F28" i="39"/>
  <c r="F28" i="37"/>
  <c r="F28" i="36"/>
  <c r="F28" i="35"/>
  <c r="F28" i="30"/>
  <c r="F28" i="27"/>
  <c r="F28" i="34"/>
  <c r="F28" i="33"/>
  <c r="F28" i="32"/>
  <c r="F28" i="31"/>
  <c r="F28" i="26"/>
  <c r="F28" i="24"/>
  <c r="F28" i="28"/>
  <c r="F28" i="25"/>
  <c r="F28" i="23"/>
  <c r="F28" i="22"/>
  <c r="F28" i="21"/>
  <c r="D20" i="35"/>
  <c r="D21" s="1"/>
  <c r="D22" s="1"/>
  <c r="D23" s="1"/>
  <c r="E12" i="4"/>
  <c r="E12" i="41"/>
  <c r="E12" i="40"/>
  <c r="E12" i="39"/>
  <c r="E12" i="35"/>
  <c r="E12" i="37"/>
  <c r="E12" i="34"/>
  <c r="E16" s="1"/>
  <c r="E19" s="1"/>
  <c r="E20" s="1"/>
  <c r="E21" s="1"/>
  <c r="E22" s="1"/>
  <c r="E23" s="1"/>
  <c r="E12" i="33"/>
  <c r="E12" i="32"/>
  <c r="E16" s="1"/>
  <c r="E19" s="1"/>
  <c r="E20" s="1"/>
  <c r="E21" s="1"/>
  <c r="E22" s="1"/>
  <c r="E23" s="1"/>
  <c r="E12" i="31"/>
  <c r="E12" i="36"/>
  <c r="E12" i="30"/>
  <c r="E12" i="28"/>
  <c r="E12" i="25"/>
  <c r="E12" i="23"/>
  <c r="E12" i="27"/>
  <c r="E12" i="26"/>
  <c r="E16" s="1"/>
  <c r="E19" s="1"/>
  <c r="E12" i="24"/>
  <c r="E12" i="22"/>
  <c r="E12" i="21"/>
  <c r="F9" i="4"/>
  <c r="F9" i="41"/>
  <c r="F9" i="40"/>
  <c r="F9" i="39"/>
  <c r="F9" i="35"/>
  <c r="F9" i="37"/>
  <c r="F9" i="34"/>
  <c r="F9" i="33"/>
  <c r="F9" i="32"/>
  <c r="F9" i="31"/>
  <c r="F9" i="36"/>
  <c r="F9" i="30"/>
  <c r="F9" i="28"/>
  <c r="F9" i="25"/>
  <c r="F9" i="23"/>
  <c r="F9" i="27"/>
  <c r="F9" i="26"/>
  <c r="F9" i="24"/>
  <c r="F9" i="22"/>
  <c r="F9" i="21"/>
  <c r="E16" i="22"/>
  <c r="E19" s="1"/>
  <c r="E20" s="1"/>
  <c r="E21" s="1"/>
  <c r="E22" s="1"/>
  <c r="E23" s="1"/>
  <c r="E16" i="25"/>
  <c r="E19" s="1"/>
  <c r="E20" s="1"/>
  <c r="E21" s="1"/>
  <c r="E22" s="1"/>
  <c r="E23" s="1"/>
  <c r="E16" i="27"/>
  <c r="E19" s="1"/>
  <c r="E20" s="1"/>
  <c r="E21" s="1"/>
  <c r="E22" s="1"/>
  <c r="E23" s="1"/>
  <c r="E16" i="36"/>
  <c r="E19" s="1"/>
  <c r="E20" s="1"/>
  <c r="E21" s="1"/>
  <c r="E22" s="1"/>
  <c r="E23" s="1"/>
  <c r="E16" i="37"/>
  <c r="E19" s="1"/>
  <c r="E16" i="41"/>
  <c r="E19" s="1"/>
  <c r="E20" s="1"/>
  <c r="E21" s="1"/>
  <c r="E22" s="1"/>
  <c r="E23" s="1"/>
  <c r="D20" i="39"/>
  <c r="D21" s="1"/>
  <c r="D22" s="1"/>
  <c r="D23" s="1"/>
  <c r="D20" i="36"/>
  <c r="D21" s="1"/>
  <c r="D22" s="1"/>
  <c r="D23" s="1"/>
  <c r="D20" i="28"/>
  <c r="D21" s="1"/>
  <c r="D22" s="1"/>
  <c r="D23" s="1"/>
  <c r="D20" i="22"/>
  <c r="D21" s="1"/>
  <c r="D22" s="1"/>
  <c r="D23" s="1"/>
  <c r="G13" i="4"/>
  <c r="G13" i="41"/>
  <c r="G13" i="40"/>
  <c r="G13" i="39"/>
  <c r="G13" i="37"/>
  <c r="G13" i="36"/>
  <c r="G13" i="35"/>
  <c r="G13" i="30"/>
  <c r="G13" i="34"/>
  <c r="G13" i="33"/>
  <c r="G13" i="32"/>
  <c r="G13" i="31"/>
  <c r="G13" i="27"/>
  <c r="G13" i="26"/>
  <c r="G13" i="24"/>
  <c r="G13" i="28"/>
  <c r="G13" i="25"/>
  <c r="G13" i="23"/>
  <c r="G13" i="22"/>
  <c r="G13" i="21"/>
  <c r="G7" i="4"/>
  <c r="G7" i="41"/>
  <c r="G7" i="40"/>
  <c r="G7" i="39"/>
  <c r="G7" i="35"/>
  <c r="G7" i="37"/>
  <c r="G7" i="34"/>
  <c r="G7" i="33"/>
  <c r="G7" i="32"/>
  <c r="G7" i="31"/>
  <c r="G7" i="36"/>
  <c r="G7" i="30"/>
  <c r="G7" i="28"/>
  <c r="G7" i="25"/>
  <c r="G7" i="23"/>
  <c r="G7" i="27"/>
  <c r="G7" i="26"/>
  <c r="G7" i="24"/>
  <c r="G7" i="22"/>
  <c r="G7" i="21"/>
  <c r="G6" i="4"/>
  <c r="G6" i="41"/>
  <c r="G6" i="40"/>
  <c r="G6" i="36"/>
  <c r="G6" i="39"/>
  <c r="G6" i="37"/>
  <c r="G6" i="35"/>
  <c r="G6" i="30"/>
  <c r="G6" i="34"/>
  <c r="G6" i="33"/>
  <c r="G6" i="32"/>
  <c r="G6" i="31"/>
  <c r="G6" i="27"/>
  <c r="G6" i="26"/>
  <c r="G6" i="24"/>
  <c r="G6" i="28"/>
  <c r="G6" i="25"/>
  <c r="G6" i="23"/>
  <c r="G6" i="22"/>
  <c r="G6" i="21"/>
  <c r="D20" i="40"/>
  <c r="D21" s="1"/>
  <c r="D22" s="1"/>
  <c r="D23" s="1"/>
  <c r="I12" i="8"/>
  <c r="I12" i="2" s="1"/>
  <c r="H12"/>
  <c r="G9" i="4"/>
  <c r="G9" i="41"/>
  <c r="G9" i="40"/>
  <c r="G9" i="39"/>
  <c r="G9" i="37"/>
  <c r="G9" i="35"/>
  <c r="G9" i="36"/>
  <c r="G9" i="30"/>
  <c r="G9" i="34"/>
  <c r="G9" i="33"/>
  <c r="G9" i="32"/>
  <c r="G9" i="31"/>
  <c r="G9" i="27"/>
  <c r="G9" i="26"/>
  <c r="G9" i="24"/>
  <c r="G9" i="28"/>
  <c r="G9" i="25"/>
  <c r="G9" i="23"/>
  <c r="G9" i="22"/>
  <c r="G9" i="21"/>
  <c r="E16"/>
  <c r="E19" s="1"/>
  <c r="E20" s="1"/>
  <c r="E21" s="1"/>
  <c r="E22" s="1"/>
  <c r="E23" s="1"/>
  <c r="E16" i="24"/>
  <c r="E19" s="1"/>
  <c r="E16" i="23"/>
  <c r="E19" s="1"/>
  <c r="E20" s="1"/>
  <c r="E21" s="1"/>
  <c r="E22" s="1"/>
  <c r="E23" s="1"/>
  <c r="E16" i="28"/>
  <c r="E19" s="1"/>
  <c r="E20" s="1"/>
  <c r="E21" s="1"/>
  <c r="E22" s="1"/>
  <c r="E23" s="1"/>
  <c r="E16" i="31"/>
  <c r="E19" s="1"/>
  <c r="E20" s="1"/>
  <c r="E21" s="1"/>
  <c r="E22" s="1"/>
  <c r="E23" s="1"/>
  <c r="E16" i="33"/>
  <c r="E19" s="1"/>
  <c r="E20" s="1"/>
  <c r="E21" s="1"/>
  <c r="E22" s="1"/>
  <c r="E23" s="1"/>
  <c r="E16" i="30"/>
  <c r="E19" s="1"/>
  <c r="E16" i="35"/>
  <c r="E19" s="1"/>
  <c r="E20" s="1"/>
  <c r="E21" s="1"/>
  <c r="E22" s="1"/>
  <c r="E23" s="1"/>
  <c r="E16" i="40"/>
  <c r="E19" s="1"/>
  <c r="E20" s="1"/>
  <c r="E21" s="1"/>
  <c r="E22" s="1"/>
  <c r="E23" s="1"/>
  <c r="E16" i="39"/>
  <c r="E19" s="1"/>
  <c r="E20" s="1"/>
  <c r="E21" s="1"/>
  <c r="D22" i="41"/>
  <c r="D23" s="1"/>
  <c r="D22" i="26"/>
  <c r="D23" s="1"/>
  <c r="D20" i="23"/>
  <c r="D21" s="1"/>
  <c r="D22" s="1"/>
  <c r="D23" s="1"/>
  <c r="F13" i="4"/>
  <c r="F13" i="41"/>
  <c r="F13" i="40"/>
  <c r="F13" i="39"/>
  <c r="F13" i="35"/>
  <c r="F13" i="37"/>
  <c r="F13" i="36"/>
  <c r="F13" i="34"/>
  <c r="F13" i="33"/>
  <c r="F13" i="32"/>
  <c r="F13" i="31"/>
  <c r="F13" i="30"/>
  <c r="F13" i="28"/>
  <c r="F13" i="25"/>
  <c r="F13" i="23"/>
  <c r="F13" i="27"/>
  <c r="F13" i="26"/>
  <c r="F13" i="24"/>
  <c r="F13" i="22"/>
  <c r="F13" i="21"/>
  <c r="F7" i="4"/>
  <c r="F7" i="41"/>
  <c r="F7" i="40"/>
  <c r="F7" i="39"/>
  <c r="F7" i="37"/>
  <c r="F7" i="35"/>
  <c r="F7" i="36"/>
  <c r="F7" i="30"/>
  <c r="F7" i="34"/>
  <c r="F7" i="33"/>
  <c r="F7" i="32"/>
  <c r="F7" i="31"/>
  <c r="F7" i="27"/>
  <c r="F7" i="26"/>
  <c r="F7" i="24"/>
  <c r="F7" i="28"/>
  <c r="F7" i="25"/>
  <c r="F7" i="23"/>
  <c r="F7" i="22"/>
  <c r="F7" i="21"/>
  <c r="F6" i="4"/>
  <c r="F6" i="41"/>
  <c r="F10" s="1"/>
  <c r="F6" i="40"/>
  <c r="F10" s="1"/>
  <c r="F6" i="39"/>
  <c r="F10" s="1"/>
  <c r="F6" i="37"/>
  <c r="F10" s="1"/>
  <c r="F6" i="35"/>
  <c r="F10" s="1"/>
  <c r="F6" i="36"/>
  <c r="F10" s="1"/>
  <c r="F6" i="31"/>
  <c r="F10" s="1"/>
  <c r="F6" i="30"/>
  <c r="F10" s="1"/>
  <c r="F6" i="34"/>
  <c r="F6" i="33"/>
  <c r="F10" s="1"/>
  <c r="F6" i="32"/>
  <c r="F6" i="28"/>
  <c r="F10" s="1"/>
  <c r="F6" i="25"/>
  <c r="F6" i="27"/>
  <c r="F10" s="1"/>
  <c r="F6" i="26"/>
  <c r="F10" s="1"/>
  <c r="F6" i="24"/>
  <c r="F10" s="1"/>
  <c r="F6" i="22"/>
  <c r="F6" i="23"/>
  <c r="F10" s="1"/>
  <c r="F6" i="21"/>
  <c r="F10" s="1"/>
  <c r="G25" i="2"/>
  <c r="E15" i="4"/>
  <c r="I28" i="2"/>
  <c r="F28" i="4"/>
  <c r="C22"/>
  <c r="C23" s="1"/>
  <c r="I10" i="2"/>
  <c r="I10" i="8"/>
  <c r="I16" s="1"/>
  <c r="I19" s="1"/>
  <c r="H15" i="2"/>
  <c r="F10" i="25" l="1"/>
  <c r="F10" i="32"/>
  <c r="F10" i="22"/>
  <c r="F10" i="34"/>
  <c r="E20" i="26"/>
  <c r="E21" s="1"/>
  <c r="E22" s="1"/>
  <c r="E23" s="1"/>
  <c r="G28" i="4"/>
  <c r="G28" i="41"/>
  <c r="G28" i="40"/>
  <c r="G28" i="39"/>
  <c r="G28" i="35"/>
  <c r="G28" i="37"/>
  <c r="G28" i="36"/>
  <c r="G28" i="34"/>
  <c r="G28" i="33"/>
  <c r="G28" i="32"/>
  <c r="G28" i="31"/>
  <c r="G28" i="30"/>
  <c r="G28" i="27"/>
  <c r="G28" i="28"/>
  <c r="G28" i="25"/>
  <c r="G28" i="23"/>
  <c r="G28" i="26"/>
  <c r="G28" i="24"/>
  <c r="G28" i="22"/>
  <c r="G28" i="21"/>
  <c r="E22" i="39"/>
  <c r="E23" s="1"/>
  <c r="E20" i="24"/>
  <c r="E21" s="1"/>
  <c r="F12" i="4"/>
  <c r="F12" i="41"/>
  <c r="F12" i="40"/>
  <c r="F12" i="39"/>
  <c r="F12" i="37"/>
  <c r="F12" i="35"/>
  <c r="F12" i="36"/>
  <c r="F12" i="30"/>
  <c r="F12" i="34"/>
  <c r="F12" i="33"/>
  <c r="F12" i="32"/>
  <c r="F12" i="31"/>
  <c r="F12" i="27"/>
  <c r="F12" i="26"/>
  <c r="F12" i="24"/>
  <c r="F12" i="28"/>
  <c r="F12" i="25"/>
  <c r="F12" i="23"/>
  <c r="F12" i="22"/>
  <c r="F12" i="21"/>
  <c r="G10" i="22"/>
  <c r="G10" i="26"/>
  <c r="G10" i="25"/>
  <c r="G10" i="27"/>
  <c r="G10" i="32"/>
  <c r="G10" i="34"/>
  <c r="G10" i="36"/>
  <c r="G10" i="37"/>
  <c r="G10" i="40"/>
  <c r="F15" i="41"/>
  <c r="F15" i="40"/>
  <c r="F15" i="39"/>
  <c r="F15" i="35"/>
  <c r="F16" s="1"/>
  <c r="F19" s="1"/>
  <c r="F15" i="37"/>
  <c r="F15" i="36"/>
  <c r="F15" i="34"/>
  <c r="F15" i="33"/>
  <c r="F15" i="32"/>
  <c r="F15" i="31"/>
  <c r="F15" i="30"/>
  <c r="F15" i="27"/>
  <c r="F15" i="28"/>
  <c r="F15" i="25"/>
  <c r="F15" i="23"/>
  <c r="F15" i="26"/>
  <c r="F15" i="24"/>
  <c r="F15" i="22"/>
  <c r="F15" i="21"/>
  <c r="E20" i="30"/>
  <c r="E21" s="1"/>
  <c r="E22" s="1"/>
  <c r="E23" s="1"/>
  <c r="G12" i="4"/>
  <c r="G12" i="41"/>
  <c r="G12" i="40"/>
  <c r="G12" i="39"/>
  <c r="G12" i="35"/>
  <c r="G12" i="37"/>
  <c r="G12" i="36"/>
  <c r="G12" i="34"/>
  <c r="G12" i="33"/>
  <c r="G12" i="32"/>
  <c r="G12" i="31"/>
  <c r="G12" i="30"/>
  <c r="G12" i="28"/>
  <c r="G12" i="25"/>
  <c r="G12" i="23"/>
  <c r="G12" i="27"/>
  <c r="G12" i="26"/>
  <c r="G12" i="24"/>
  <c r="G12" i="22"/>
  <c r="G12" i="21"/>
  <c r="E20" i="37"/>
  <c r="E21"/>
  <c r="G10" i="21"/>
  <c r="G10" i="24"/>
  <c r="G10" i="23"/>
  <c r="G10" i="28"/>
  <c r="G10" i="31"/>
  <c r="G10" i="33"/>
  <c r="G10" i="30"/>
  <c r="G10" i="35"/>
  <c r="G10" i="39"/>
  <c r="G10" i="41"/>
  <c r="H25" i="2"/>
  <c r="F15" i="4"/>
  <c r="I15" i="2"/>
  <c r="F16" i="24" l="1"/>
  <c r="F19" s="1"/>
  <c r="F20" s="1"/>
  <c r="F21" s="1"/>
  <c r="F22" s="1"/>
  <c r="F23" s="1"/>
  <c r="F16" i="32"/>
  <c r="F19" s="1"/>
  <c r="F20" s="1"/>
  <c r="F21" s="1"/>
  <c r="F22" s="1"/>
  <c r="F23" s="1"/>
  <c r="F16" i="34"/>
  <c r="F19" s="1"/>
  <c r="F20" s="1"/>
  <c r="F21" s="1"/>
  <c r="F22" s="1"/>
  <c r="F23" s="1"/>
  <c r="F16" i="37"/>
  <c r="F19" s="1"/>
  <c r="F20" s="1"/>
  <c r="F21" s="1"/>
  <c r="F22" s="1"/>
  <c r="F23" s="1"/>
  <c r="F16" i="22"/>
  <c r="F19" s="1"/>
  <c r="F20" s="1"/>
  <c r="F21" s="1"/>
  <c r="F16" i="21"/>
  <c r="F19" s="1"/>
  <c r="F20" s="1"/>
  <c r="F21" s="1"/>
  <c r="F22" s="1"/>
  <c r="F23" s="1"/>
  <c r="F16" i="23"/>
  <c r="F19" s="1"/>
  <c r="F20" s="1"/>
  <c r="F21" s="1"/>
  <c r="F22" s="1"/>
  <c r="F23" s="1"/>
  <c r="F16" i="28"/>
  <c r="F19" s="1"/>
  <c r="F20" s="1"/>
  <c r="F21" s="1"/>
  <c r="F16" i="26"/>
  <c r="F19" s="1"/>
  <c r="F20" s="1"/>
  <c r="F21" s="1"/>
  <c r="F16" i="31"/>
  <c r="F19" s="1"/>
  <c r="F20" s="1"/>
  <c r="F21" s="1"/>
  <c r="F22" s="1"/>
  <c r="F23" s="1"/>
  <c r="F16" i="33"/>
  <c r="F19" s="1"/>
  <c r="F20" s="1"/>
  <c r="F21" s="1"/>
  <c r="F22" s="1"/>
  <c r="F23" s="1"/>
  <c r="F16" i="30"/>
  <c r="F19" s="1"/>
  <c r="F20" s="1"/>
  <c r="F21" s="1"/>
  <c r="F16" i="39"/>
  <c r="F19" s="1"/>
  <c r="F20" s="1"/>
  <c r="F21" s="1"/>
  <c r="F22" s="1"/>
  <c r="F23" s="1"/>
  <c r="F16" i="41"/>
  <c r="F19" s="1"/>
  <c r="F16" i="25"/>
  <c r="F19" s="1"/>
  <c r="F20" s="1"/>
  <c r="F21" s="1"/>
  <c r="F22" s="1"/>
  <c r="F23" s="1"/>
  <c r="F16" i="27"/>
  <c r="F19" s="1"/>
  <c r="F16" i="36"/>
  <c r="F19" s="1"/>
  <c r="F16" i="40"/>
  <c r="F19" s="1"/>
  <c r="F20" s="1"/>
  <c r="F21" s="1"/>
  <c r="F22" s="1"/>
  <c r="F23" s="1"/>
  <c r="F20" i="35"/>
  <c r="F21" s="1"/>
  <c r="F22" s="1"/>
  <c r="F23" s="1"/>
  <c r="F23" i="28"/>
  <c r="F22"/>
  <c r="F22" i="26"/>
  <c r="F23" s="1"/>
  <c r="F22" i="30"/>
  <c r="F23" s="1"/>
  <c r="F20" i="41"/>
  <c r="F21" s="1"/>
  <c r="F22" s="1"/>
  <c r="F23" s="1"/>
  <c r="F22" i="22"/>
  <c r="F23" s="1"/>
  <c r="F20" i="27"/>
  <c r="F21" s="1"/>
  <c r="F22" s="1"/>
  <c r="F23" s="1"/>
  <c r="F20" i="36"/>
  <c r="F21" s="1"/>
  <c r="F22" s="1"/>
  <c r="F23" s="1"/>
  <c r="G15" i="4"/>
  <c r="G15" i="41"/>
  <c r="G16" s="1"/>
  <c r="G19" s="1"/>
  <c r="G20" s="1"/>
  <c r="G21" s="1"/>
  <c r="G22" s="1"/>
  <c r="G23" s="1"/>
  <c r="G15" i="40"/>
  <c r="G16" s="1"/>
  <c r="G19" s="1"/>
  <c r="G20" s="1"/>
  <c r="G21" s="1"/>
  <c r="G22" s="1"/>
  <c r="G23" s="1"/>
  <c r="G15" i="39"/>
  <c r="G16" s="1"/>
  <c r="G19" s="1"/>
  <c r="G20" s="1"/>
  <c r="G21" s="1"/>
  <c r="G15" i="37"/>
  <c r="G15" i="36"/>
  <c r="G16" s="1"/>
  <c r="G19" s="1"/>
  <c r="G20" s="1"/>
  <c r="G21" s="1"/>
  <c r="G22" s="1"/>
  <c r="G23" s="1"/>
  <c r="G15" i="35"/>
  <c r="G16" s="1"/>
  <c r="G19" s="1"/>
  <c r="G20" s="1"/>
  <c r="G21" s="1"/>
  <c r="G22" s="1"/>
  <c r="G23" s="1"/>
  <c r="G15" i="30"/>
  <c r="G15" i="27"/>
  <c r="G15" i="34"/>
  <c r="G15" i="33"/>
  <c r="G16" s="1"/>
  <c r="G19" s="1"/>
  <c r="G20" s="1"/>
  <c r="G21" s="1"/>
  <c r="G22" s="1"/>
  <c r="G23" s="1"/>
  <c r="G15" i="32"/>
  <c r="G16" s="1"/>
  <c r="G19" s="1"/>
  <c r="G20" s="1"/>
  <c r="G21" s="1"/>
  <c r="G22" s="1"/>
  <c r="G23" s="1"/>
  <c r="G15" i="31"/>
  <c r="G16" s="1"/>
  <c r="G19" s="1"/>
  <c r="G20" s="1"/>
  <c r="G21" s="1"/>
  <c r="G22" s="1"/>
  <c r="G23" s="1"/>
  <c r="G15" i="26"/>
  <c r="G15" i="24"/>
  <c r="G16" s="1"/>
  <c r="G19" s="1"/>
  <c r="G15" i="28"/>
  <c r="G16" s="1"/>
  <c r="G19" s="1"/>
  <c r="G20" s="1"/>
  <c r="G21" s="1"/>
  <c r="G22" s="1"/>
  <c r="G23" s="1"/>
  <c r="G15" i="25"/>
  <c r="G16" s="1"/>
  <c r="G19" s="1"/>
  <c r="G20" s="1"/>
  <c r="G21" s="1"/>
  <c r="G15" i="23"/>
  <c r="G15" i="22"/>
  <c r="G16" s="1"/>
  <c r="G19" s="1"/>
  <c r="G20" s="1"/>
  <c r="G21" s="1"/>
  <c r="G22" s="1"/>
  <c r="G23" s="1"/>
  <c r="G15" i="21"/>
  <c r="G16" s="1"/>
  <c r="G19" s="1"/>
  <c r="G16" i="30"/>
  <c r="G19" s="1"/>
  <c r="G16" i="23"/>
  <c r="G19" s="1"/>
  <c r="G20" s="1"/>
  <c r="G21" s="1"/>
  <c r="G22" s="1"/>
  <c r="G23" s="1"/>
  <c r="E22" i="37"/>
  <c r="E23" s="1"/>
  <c r="G16"/>
  <c r="G19" s="1"/>
  <c r="G16" i="34"/>
  <c r="G19" s="1"/>
  <c r="G20" s="1"/>
  <c r="G21" s="1"/>
  <c r="G22" s="1"/>
  <c r="G23" s="1"/>
  <c r="G16" i="27"/>
  <c r="G19" s="1"/>
  <c r="G20" s="1"/>
  <c r="G21" s="1"/>
  <c r="G22" s="1"/>
  <c r="G23" s="1"/>
  <c r="G16" i="26"/>
  <c r="G19" s="1"/>
  <c r="E22" i="24"/>
  <c r="E23" s="1"/>
  <c r="I25" i="2"/>
  <c r="D32"/>
  <c r="I25" i="8"/>
  <c r="H25"/>
  <c r="F25" i="41" s="1"/>
  <c r="G25" i="8"/>
  <c r="F25"/>
  <c r="E25"/>
  <c r="D32"/>
  <c r="G22" i="25" l="1"/>
  <c r="G23" s="1"/>
  <c r="G20" i="24"/>
  <c r="G21" s="1"/>
  <c r="G22" i="39"/>
  <c r="G23" s="1"/>
  <c r="F32" i="41"/>
  <c r="D25" i="4"/>
  <c r="D25" i="40"/>
  <c r="D32" s="1"/>
  <c r="D25" i="35"/>
  <c r="D32" s="1"/>
  <c r="D25" i="36"/>
  <c r="D32" s="1"/>
  <c r="D25" i="33"/>
  <c r="D32" s="1"/>
  <c r="D25" i="31"/>
  <c r="D32" s="1"/>
  <c r="D25" i="27"/>
  <c r="D32" s="1"/>
  <c r="D25" i="25"/>
  <c r="D32" s="1"/>
  <c r="D25" i="26"/>
  <c r="D32" s="1"/>
  <c r="D25" i="22"/>
  <c r="D32" s="1"/>
  <c r="D25" i="41"/>
  <c r="D32" s="1"/>
  <c r="D25" i="39"/>
  <c r="D32" s="1"/>
  <c r="D25" i="37"/>
  <c r="D32" s="1"/>
  <c r="D25" i="34"/>
  <c r="D32" s="1"/>
  <c r="D25" i="32"/>
  <c r="D32" s="1"/>
  <c r="D25" i="30"/>
  <c r="D32" s="1"/>
  <c r="D25" i="28"/>
  <c r="D32" s="1"/>
  <c r="D25" i="23"/>
  <c r="D32" s="1"/>
  <c r="D25" i="24"/>
  <c r="D32" s="1"/>
  <c r="D25" i="21"/>
  <c r="D32" s="1"/>
  <c r="G20"/>
  <c r="G21" s="1"/>
  <c r="G22" s="1"/>
  <c r="G23" s="1"/>
  <c r="G20" i="30"/>
  <c r="G21" s="1"/>
  <c r="G22" s="1"/>
  <c r="G23" s="1"/>
  <c r="F25" i="22"/>
  <c r="F32" s="1"/>
  <c r="F25" i="26"/>
  <c r="F32" s="1"/>
  <c r="F25" i="25"/>
  <c r="F32" s="1"/>
  <c r="F25" i="27"/>
  <c r="F25" i="31"/>
  <c r="F32" s="1"/>
  <c r="F25" i="33"/>
  <c r="F32" s="1"/>
  <c r="F25" i="36"/>
  <c r="F32" s="1"/>
  <c r="F25" i="35"/>
  <c r="F25" i="40"/>
  <c r="F32" s="1"/>
  <c r="F25" i="4"/>
  <c r="F32" i="27"/>
  <c r="F32" i="35"/>
  <c r="G20" i="26"/>
  <c r="G21" s="1"/>
  <c r="G22" s="1"/>
  <c r="G23" s="1"/>
  <c r="C25" i="4"/>
  <c r="C25" i="40"/>
  <c r="C32" s="1"/>
  <c r="C25" i="37"/>
  <c r="C32" s="1"/>
  <c r="C25" i="35"/>
  <c r="C32" s="1"/>
  <c r="C25" i="27"/>
  <c r="C32" s="1"/>
  <c r="C25" i="33"/>
  <c r="C32" s="1"/>
  <c r="C25" i="31"/>
  <c r="C32" s="1"/>
  <c r="C25" i="24"/>
  <c r="C32" s="1"/>
  <c r="C25" i="25"/>
  <c r="C32" s="1"/>
  <c r="C25" i="22"/>
  <c r="C32" s="1"/>
  <c r="C25" i="41"/>
  <c r="C32" s="1"/>
  <c r="C25" i="39"/>
  <c r="C32" s="1"/>
  <c r="C25" i="36"/>
  <c r="C32" s="1"/>
  <c r="C25" i="30"/>
  <c r="C32" s="1"/>
  <c r="C25" i="34"/>
  <c r="C32" s="1"/>
  <c r="C25" i="32"/>
  <c r="C32" s="1"/>
  <c r="C25" i="26"/>
  <c r="C32" s="1"/>
  <c r="C25" i="28"/>
  <c r="C32" s="1"/>
  <c r="C25" i="23"/>
  <c r="C32" s="1"/>
  <c r="C25" i="21"/>
  <c r="C32" s="1"/>
  <c r="E25" i="41"/>
  <c r="E32" s="1"/>
  <c r="E25" i="39"/>
  <c r="E32" s="1"/>
  <c r="E25" i="36"/>
  <c r="E32" s="1"/>
  <c r="E25" i="30"/>
  <c r="E32" s="1"/>
  <c r="E25" i="34"/>
  <c r="E32" s="1"/>
  <c r="E25" i="32"/>
  <c r="E32" s="1"/>
  <c r="E25" i="26"/>
  <c r="E32" s="1"/>
  <c r="E25" i="28"/>
  <c r="E32" s="1"/>
  <c r="E25" i="23"/>
  <c r="E32" s="1"/>
  <c r="E25" i="21"/>
  <c r="E32" s="1"/>
  <c r="E25" i="4"/>
  <c r="E25" i="40"/>
  <c r="E32" s="1"/>
  <c r="E25" i="37"/>
  <c r="E32" s="1"/>
  <c r="E25" i="35"/>
  <c r="E32" s="1"/>
  <c r="E25" i="27"/>
  <c r="E32" s="1"/>
  <c r="E25" i="33"/>
  <c r="E32" s="1"/>
  <c r="E25" i="31"/>
  <c r="E32" s="1"/>
  <c r="E25" i="24"/>
  <c r="E32" s="1"/>
  <c r="E25" i="25"/>
  <c r="E32" s="1"/>
  <c r="E25" i="22"/>
  <c r="E32" s="1"/>
  <c r="G25" i="4"/>
  <c r="G25" i="41"/>
  <c r="G32" s="1"/>
  <c r="G25" i="40"/>
  <c r="G32" s="1"/>
  <c r="G25" i="39"/>
  <c r="G25" i="37"/>
  <c r="G25" i="36"/>
  <c r="G32" s="1"/>
  <c r="G25" i="35"/>
  <c r="G32" s="1"/>
  <c r="G25" i="30"/>
  <c r="G25" i="27"/>
  <c r="G25" i="34"/>
  <c r="G32" s="1"/>
  <c r="G25" i="33"/>
  <c r="G32" s="1"/>
  <c r="G25" i="32"/>
  <c r="G32" s="1"/>
  <c r="G25" i="31"/>
  <c r="G32" s="1"/>
  <c r="G25" i="26"/>
  <c r="G25" i="24"/>
  <c r="G25" i="28"/>
  <c r="G32" s="1"/>
  <c r="G25" i="25"/>
  <c r="G25" i="23"/>
  <c r="G32" s="1"/>
  <c r="G25" i="22"/>
  <c r="G32" s="1"/>
  <c r="G25" i="21"/>
  <c r="G32" i="27"/>
  <c r="G20" i="37"/>
  <c r="G21" s="1"/>
  <c r="F25" i="21"/>
  <c r="F32" s="1"/>
  <c r="F25" i="24"/>
  <c r="F32" s="1"/>
  <c r="F25" i="23"/>
  <c r="F32" s="1"/>
  <c r="F25" i="28"/>
  <c r="F32" s="1"/>
  <c r="F25" i="30"/>
  <c r="F32" s="1"/>
  <c r="F25" i="32"/>
  <c r="F32" s="1"/>
  <c r="F25" i="34"/>
  <c r="F32" s="1"/>
  <c r="F25" i="37"/>
  <c r="F32" s="1"/>
  <c r="F25" i="39"/>
  <c r="F32" s="1"/>
  <c r="E20" i="8"/>
  <c r="E21" s="1"/>
  <c r="F20"/>
  <c r="F21" s="1"/>
  <c r="G32" i="30" l="1"/>
  <c r="G32" i="39"/>
  <c r="G32" i="26"/>
  <c r="G22" i="37"/>
  <c r="G23" s="1"/>
  <c r="G32" s="1"/>
  <c r="G22" i="24"/>
  <c r="G23" s="1"/>
  <c r="G32" s="1"/>
  <c r="B35" i="23"/>
  <c r="B36"/>
  <c r="B35" i="26"/>
  <c r="B36"/>
  <c r="B35" i="34"/>
  <c r="B36"/>
  <c r="B35" i="36"/>
  <c r="B36"/>
  <c r="B36" i="41"/>
  <c r="B35"/>
  <c r="B35" i="31"/>
  <c r="B36"/>
  <c r="B36" i="27"/>
  <c r="B35"/>
  <c r="B36" i="28"/>
  <c r="B35"/>
  <c r="B36" i="32"/>
  <c r="B35"/>
  <c r="B35" i="30"/>
  <c r="B36"/>
  <c r="B35" i="39"/>
  <c r="B36"/>
  <c r="B36" i="22"/>
  <c r="B35"/>
  <c r="B36" i="33"/>
  <c r="B35"/>
  <c r="B35" i="35"/>
  <c r="B36"/>
  <c r="B35" i="40"/>
  <c r="B36"/>
  <c r="G32" i="21"/>
  <c r="B36" s="1"/>
  <c r="G32" i="25"/>
  <c r="B35" s="1"/>
  <c r="G20" i="8"/>
  <c r="F22"/>
  <c r="F23" s="1"/>
  <c r="F32" s="1"/>
  <c r="E22"/>
  <c r="E23" s="1"/>
  <c r="B32" i="4"/>
  <c r="B7" i="15" s="1"/>
  <c r="B36" i="37" l="1"/>
  <c r="B35"/>
  <c r="B36" i="24"/>
  <c r="B35"/>
  <c r="D7" i="15"/>
  <c r="B35" i="21"/>
  <c r="B36" i="25"/>
  <c r="E32" i="8"/>
  <c r="G21"/>
  <c r="G22" s="1"/>
  <c r="G23" s="1"/>
  <c r="G32" s="1"/>
  <c r="I20"/>
  <c r="I21" s="1"/>
  <c r="H20"/>
  <c r="H21" s="1"/>
  <c r="I22" l="1"/>
  <c r="I23" s="1"/>
  <c r="I32" s="1"/>
  <c r="H22"/>
  <c r="H23" s="1"/>
  <c r="H32" s="1"/>
  <c r="M22" i="2" l="1"/>
  <c r="P9"/>
  <c r="P11" s="1"/>
  <c r="M8" s="1"/>
  <c r="M15" s="1"/>
  <c r="E4" i="4" l="1"/>
  <c r="E10" s="1"/>
  <c r="E16" s="1"/>
  <c r="E19" s="1"/>
  <c r="E20" l="1"/>
  <c r="E21" s="1"/>
  <c r="G4"/>
  <c r="G10" s="1"/>
  <c r="G16" s="1"/>
  <c r="G19" s="1"/>
  <c r="F4"/>
  <c r="F10" s="1"/>
  <c r="F16" s="1"/>
  <c r="F19" s="1"/>
  <c r="G20" l="1"/>
  <c r="G21" s="1"/>
  <c r="F20"/>
  <c r="F21" s="1"/>
  <c r="C32"/>
  <c r="C7" i="15" l="1"/>
  <c r="E7" l="1"/>
  <c r="B8" s="1"/>
  <c r="D8" s="1"/>
  <c r="D22" i="4" l="1"/>
  <c r="D23" s="1"/>
  <c r="D32" l="1"/>
  <c r="C8" i="15" l="1"/>
  <c r="E8" s="1"/>
  <c r="B9" s="1"/>
  <c r="D9" l="1"/>
  <c r="G22" i="4" l="1"/>
  <c r="G23" s="1"/>
  <c r="E22"/>
  <c r="E23" s="1"/>
  <c r="F22"/>
  <c r="F23" s="1"/>
  <c r="G32" l="1"/>
  <c r="E32"/>
  <c r="F32"/>
  <c r="B36" l="1"/>
  <c r="B35"/>
  <c r="C9" i="15"/>
  <c r="E9" s="1"/>
  <c r="B10" s="1"/>
  <c r="C10"/>
  <c r="C11"/>
  <c r="D10" l="1"/>
  <c r="E10" s="1"/>
  <c r="B11" s="1"/>
  <c r="D11" l="1"/>
  <c r="E11" s="1"/>
  <c r="F16" i="2" l="1"/>
  <c r="F19" s="1"/>
  <c r="F20" l="1"/>
  <c r="F21" s="1"/>
  <c r="E20"/>
  <c r="E21" s="1"/>
  <c r="F22" l="1"/>
  <c r="F23" s="1"/>
  <c r="F32" s="1"/>
  <c r="E22"/>
  <c r="E23" s="1"/>
  <c r="E32" s="1"/>
  <c r="G16"/>
  <c r="G19" s="1"/>
  <c r="G20" l="1"/>
  <c r="G21" s="1"/>
  <c r="H16"/>
  <c r="H19" s="1"/>
  <c r="I16"/>
  <c r="I19" s="1"/>
  <c r="H20" l="1"/>
  <c r="H21" s="1"/>
  <c r="I20"/>
  <c r="I21" s="1"/>
  <c r="G22"/>
  <c r="G23" s="1"/>
  <c r="G32" s="1"/>
  <c r="H22" l="1"/>
  <c r="H23" s="1"/>
  <c r="H32" s="1"/>
  <c r="I22"/>
  <c r="I23" s="1"/>
  <c r="I32" s="1"/>
</calcChain>
</file>

<file path=xl/sharedStrings.xml><?xml version="1.0" encoding="utf-8"?>
<sst xmlns="http://schemas.openxmlformats.org/spreadsheetml/2006/main" count="1012" uniqueCount="172">
  <si>
    <t>Ba</t>
  </si>
  <si>
    <t>(1-l)B/(1-LT)</t>
  </si>
  <si>
    <t>AÑO 0</t>
  </si>
  <si>
    <t>AÑO 1</t>
  </si>
  <si>
    <t>AÑO 2</t>
  </si>
  <si>
    <t>AÑO 3</t>
  </si>
  <si>
    <t>AÑO 4</t>
  </si>
  <si>
    <t>AÑO 5</t>
  </si>
  <si>
    <t xml:space="preserve">Cálculo del BETA </t>
  </si>
  <si>
    <t>B</t>
  </si>
  <si>
    <t>ba(1-lt)/(1-l)</t>
  </si>
  <si>
    <t>Ingresos</t>
  </si>
  <si>
    <t>(-) Costo de Venta</t>
  </si>
  <si>
    <t>Datos de la Empresa</t>
  </si>
  <si>
    <t xml:space="preserve">Datos de la Empresa Comparables </t>
  </si>
  <si>
    <t>(=) Utilidad Bruta</t>
  </si>
  <si>
    <t>L</t>
  </si>
  <si>
    <t>Beta</t>
  </si>
  <si>
    <t>(-) Gastos Operacionales</t>
  </si>
  <si>
    <t>T</t>
  </si>
  <si>
    <t>Total Activo</t>
  </si>
  <si>
    <t>Beta(Empresa)</t>
  </si>
  <si>
    <t>Total Pasivo</t>
  </si>
  <si>
    <t xml:space="preserve">Gastos Varios </t>
  </si>
  <si>
    <t>Depreciación (de activos fijos)</t>
  </si>
  <si>
    <t>CAPM=</t>
  </si>
  <si>
    <t>RF+B(RM-RF)</t>
  </si>
  <si>
    <t>Rf(bond5)</t>
  </si>
  <si>
    <t>(=) Utilidad Operacional</t>
  </si>
  <si>
    <t>Prima_Mercado</t>
  </si>
  <si>
    <t>(-) Gastos No Operacionales</t>
  </si>
  <si>
    <t>Rp(bce)</t>
  </si>
  <si>
    <t>Gastos Financieros (intereses sobre prestamos)</t>
  </si>
  <si>
    <t>(=) Utilidad antes de Part. Trab. E Impuestos</t>
  </si>
  <si>
    <t>(-) 15% Participación de Trabajadores</t>
  </si>
  <si>
    <t>(=) Utilidad antes de Impuestos</t>
  </si>
  <si>
    <t>(-) 23% Impuesto a la Renta</t>
  </si>
  <si>
    <t>(=) UTILIDAD NETA</t>
  </si>
  <si>
    <t>(+) Amortización (de Intangibles)</t>
  </si>
  <si>
    <t>(+) Depreciacion (de activos fijos)</t>
  </si>
  <si>
    <t>(-) Inversión</t>
  </si>
  <si>
    <t>(+) Préstamo</t>
  </si>
  <si>
    <t>(-) Amortización Capital del Prestamo</t>
  </si>
  <si>
    <t>(-) Capital de Trabajo</t>
  </si>
  <si>
    <t>(+) Recuperación Capital de Trabj.</t>
  </si>
  <si>
    <t>(+) Valor de Desecho</t>
  </si>
  <si>
    <t>(=) Flujo Neto Efectivo</t>
  </si>
  <si>
    <t>VAN</t>
  </si>
  <si>
    <t>TIR</t>
  </si>
  <si>
    <t>PAYBACK</t>
  </si>
  <si>
    <t xml:space="preserve">Activos </t>
  </si>
  <si>
    <t>Pasivos</t>
  </si>
  <si>
    <t>CUOTA</t>
  </si>
  <si>
    <t>SALDO</t>
  </si>
  <si>
    <t>CAPITAL</t>
  </si>
  <si>
    <t>INTERESES</t>
  </si>
  <si>
    <t>Tasa Crec. Venta LARVAS</t>
  </si>
  <si>
    <t xml:space="preserve">FLUJO POSTERIOR A LA INVERSION </t>
  </si>
  <si>
    <t>FLUJO ANTERIOR A LA INVERSION</t>
  </si>
  <si>
    <t>FLUJO DE EFECTIVO INCREMENTAL</t>
  </si>
  <si>
    <t>TMAR</t>
  </si>
  <si>
    <t>Periodo</t>
  </si>
  <si>
    <t>Saldo de inversion</t>
  </si>
  <si>
    <t xml:space="preserve">Flujo de Caja </t>
  </si>
  <si>
    <t>Rentabilidad exigida</t>
  </si>
  <si>
    <t>Recuperacion Inversión</t>
  </si>
  <si>
    <t>Material Directo</t>
  </si>
  <si>
    <t>Mano de obra Directa</t>
  </si>
  <si>
    <t>(-) Costos Indirectos de Fabricación</t>
  </si>
  <si>
    <t>Sevicios Básicos</t>
  </si>
  <si>
    <t>Gastos Administrativos</t>
  </si>
  <si>
    <t>Gastos de Alimentación</t>
  </si>
  <si>
    <t>COSTOS</t>
  </si>
  <si>
    <t>INGRESOS</t>
  </si>
  <si>
    <t>ALIMENTACION</t>
  </si>
  <si>
    <t>Sueldos / Salarios</t>
  </si>
  <si>
    <t>Personal</t>
  </si>
  <si>
    <t>Cantidad</t>
  </si>
  <si>
    <t>Sueldos/ Salarios</t>
  </si>
  <si>
    <t>Mensual</t>
  </si>
  <si>
    <t>Anual</t>
  </si>
  <si>
    <t>Decimo Cuarto</t>
  </si>
  <si>
    <t>Decimo Tercero</t>
  </si>
  <si>
    <t>Fondo De Reserva mensual</t>
  </si>
  <si>
    <t>Fondo de Reserva Anual</t>
  </si>
  <si>
    <t>Aporte Patronal</t>
  </si>
  <si>
    <t>Aporte Personal</t>
  </si>
  <si>
    <t>Gerente General</t>
  </si>
  <si>
    <t>Presidente</t>
  </si>
  <si>
    <t>Contador</t>
  </si>
  <si>
    <t>Asistente Contable</t>
  </si>
  <si>
    <t>Técnicos</t>
  </si>
  <si>
    <t>Operarios</t>
  </si>
  <si>
    <t>Cocinera</t>
  </si>
  <si>
    <t>Chofer/Mensajero</t>
  </si>
  <si>
    <t>TOTAL</t>
  </si>
  <si>
    <t>Servicios Básicos</t>
  </si>
  <si>
    <t xml:space="preserve">Mensual </t>
  </si>
  <si>
    <t>Luz</t>
  </si>
  <si>
    <t>Teléfono Celular</t>
  </si>
  <si>
    <t>Agua</t>
  </si>
  <si>
    <t>Total</t>
  </si>
  <si>
    <t>Valor de Desecho Contable</t>
  </si>
  <si>
    <t>Activo</t>
  </si>
  <si>
    <t>Valor Contable</t>
  </si>
  <si>
    <t>Vida Contable</t>
  </si>
  <si>
    <t>Depreciación Anual</t>
  </si>
  <si>
    <t>Años Depreciandose</t>
  </si>
  <si>
    <t>Depreciación Acumulada</t>
  </si>
  <si>
    <t>Valor en Libros</t>
  </si>
  <si>
    <t>Depreciación Anual Total</t>
  </si>
  <si>
    <t>Vehículo</t>
  </si>
  <si>
    <t>CAMION NHR (1)</t>
  </si>
  <si>
    <t>Maquinaria y Equipos</t>
  </si>
  <si>
    <t>MICROSCOPIO BINOCULAR (1)</t>
  </si>
  <si>
    <t>BLOWERS DE 10 HP (5)</t>
  </si>
  <si>
    <t>TOMA DE AGUA (2)</t>
  </si>
  <si>
    <t>TINA PARA COSECHA (2)</t>
  </si>
  <si>
    <t>PISCINA PARA ARTEMIA (2)</t>
  </si>
  <si>
    <t>Valor de Desecho</t>
  </si>
  <si>
    <t>Inversión</t>
  </si>
  <si>
    <t>Activos Fijos</t>
  </si>
  <si>
    <t xml:space="preserve">Trámites Legales </t>
  </si>
  <si>
    <t>Constitución Empresa</t>
  </si>
  <si>
    <t>Capital de Trabajo</t>
  </si>
  <si>
    <t>Deuda a Financiar  (60%)</t>
  </si>
  <si>
    <t>Tasa</t>
  </si>
  <si>
    <t>Pago</t>
  </si>
  <si>
    <t>VARIACION</t>
  </si>
  <si>
    <t>RESULTADO</t>
  </si>
  <si>
    <t>FACTIBLE</t>
  </si>
  <si>
    <t>NO FACTIBLE</t>
  </si>
  <si>
    <t>#</t>
  </si>
  <si>
    <t>ESCENARIO</t>
  </si>
  <si>
    <t>VAR</t>
  </si>
  <si>
    <t>ACEPTABLE</t>
  </si>
  <si>
    <t>Aumento de costos</t>
  </si>
  <si>
    <t>SI</t>
  </si>
  <si>
    <t>Aumento de costo y disminución del ingreso</t>
  </si>
  <si>
    <t>Aumento de los ingresos</t>
  </si>
  <si>
    <t>Disminución de los ingresos</t>
  </si>
  <si>
    <t>Disminución de los costos</t>
  </si>
  <si>
    <t>Disminución de costo y aumento de los ingresos</t>
  </si>
  <si>
    <t>NO</t>
  </si>
  <si>
    <t>En el 5to año recupero mi inversi[on porque la recuperacion de la inversion es mayor que el saldo en ese año.</t>
  </si>
  <si>
    <t>ANALISIS DE ESCENARIO RESPECTO A COSTOS</t>
  </si>
  <si>
    <t>ANALISIS DE ESCENARIO RESPECTO A INGRESOS</t>
  </si>
  <si>
    <t>ANALISIS DE SENSIBILIDAD</t>
  </si>
  <si>
    <t>FLUJO DE EFECTIVO (AUMENTO DE LOS COSTOS Y DISMINUCIÓN DE LOS INGRESOS 10%)</t>
  </si>
  <si>
    <t>FLUJO DE EFECTIVO (AUMENTO DE LOS COSTOS 10%)</t>
  </si>
  <si>
    <t>FLUJO DE EFECTIVO (DISMINUCIÓN DE LOS COSTOS 10%)</t>
  </si>
  <si>
    <t>FLUJO DE EFECTIVO (DISMINUCIÓN DE LOS COSTOS 5%)</t>
  </si>
  <si>
    <t>FLUJO DE EFECTIVO (AUMENTO DE LOS COSTOS 95%)</t>
  </si>
  <si>
    <t>FLUJO DE EFECTIVO (AUMENTO DE LOS COSTOS 65%)</t>
  </si>
  <si>
    <t>FLUJO DE EFECTIVO (AUMENTO DE LOS COSTOS 55%)</t>
  </si>
  <si>
    <t>FLUJO DE EFECTIVO (AUMENTO DE LOS COSTOS 45%)</t>
  </si>
  <si>
    <t>FLUJO DE EFECTIVO (AUMENTO DE LOS COSTOS 35%)</t>
  </si>
  <si>
    <t>FLUJO DE EFECTIVO (AUMENTO DE LOS COSTOS 25%)</t>
  </si>
  <si>
    <t>FLUJO DE EFECTIVO (DISMINUCIÓN DE LOS INGRESOS 30%)</t>
  </si>
  <si>
    <t>FLUJO DE EFECTIVO (DISMINUCIÓN DE LOS INGRESOS 20%)</t>
  </si>
  <si>
    <t>FLUJO DE EFECTIVO (DISMINUCIÓN DE LOS INGRESOS 10%)</t>
  </si>
  <si>
    <t>FLUJO DE EFECTIVO (DISMINUCIÓN DE LOS INGRESOS 5%)</t>
  </si>
  <si>
    <t>FLUJO DE EFECTIVO (AUMENTO DE LOS INGRESOS 30%)</t>
  </si>
  <si>
    <t>FLUJO DE EFECTIVO (AUMENTO DE LOS INGRESOS 20%)</t>
  </si>
  <si>
    <t>FLUJO DE EFECTIVO (AUMENTO DE LOS INGRESOS 10%)</t>
  </si>
  <si>
    <t>FLUJO DE EFECTIVO (AUMENTO DE LOS INGRESOS 5%)</t>
  </si>
  <si>
    <t>FLUJO DE EFECTIVO (AUMENTO DE LOS INGRESOS Y DISMINUCIÓN DE LOS COSTOS 10%)</t>
  </si>
  <si>
    <t>Alimentación</t>
  </si>
  <si>
    <t>VAN =0</t>
  </si>
  <si>
    <t>NO HACERLO</t>
  </si>
  <si>
    <t>DEL 5</t>
  </si>
  <si>
    <t>NUESTRO PROYECTYO NO ES MUY SENSIBLE A LOS COSTOS VARIABLES ES MAS BIEN SENSIBLE A LA PARTE FINANCIERA.</t>
  </si>
</sst>
</file>

<file path=xl/styles.xml><?xml version="1.0" encoding="utf-8"?>
<styleSheet xmlns="http://schemas.openxmlformats.org/spreadsheetml/2006/main">
  <numFmts count="9"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0.000"/>
    <numFmt numFmtId="169" formatCode="0.000%"/>
    <numFmt numFmtId="170" formatCode="&quot;$&quot;\ #,##0.00"/>
    <numFmt numFmtId="171" formatCode="_-[$$-409]* #,##0.00_ ;_-[$$-409]* \-#,##0.00\ ;_-[$$-409]* &quot;-&quot;??_ ;_-@_ "/>
    <numFmt numFmtId="172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/>
    <xf numFmtId="10" fontId="0" fillId="0" borderId="0" xfId="1" applyNumberFormat="1" applyFont="1" applyFill="1" applyBorder="1"/>
    <xf numFmtId="4" fontId="4" fillId="0" borderId="0" xfId="0" applyNumberFormat="1" applyFont="1" applyBorder="1"/>
    <xf numFmtId="0" fontId="3" fillId="0" borderId="4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4" fontId="6" fillId="0" borderId="1" xfId="0" applyNumberFormat="1" applyFont="1" applyFill="1" applyBorder="1"/>
    <xf numFmtId="0" fontId="0" fillId="0" borderId="1" xfId="0" applyFill="1" applyBorder="1"/>
    <xf numFmtId="0" fontId="7" fillId="0" borderId="1" xfId="0" applyFont="1" applyFill="1" applyBorder="1"/>
    <xf numFmtId="2" fontId="2" fillId="0" borderId="1" xfId="0" applyNumberFormat="1" applyFont="1" applyFill="1" applyBorder="1"/>
    <xf numFmtId="2" fontId="0" fillId="0" borderId="0" xfId="0" applyNumberFormat="1"/>
    <xf numFmtId="9" fontId="0" fillId="0" borderId="0" xfId="0" applyNumberFormat="1"/>
    <xf numFmtId="2" fontId="0" fillId="0" borderId="1" xfId="0" applyNumberFormat="1" applyFill="1" applyBorder="1"/>
    <xf numFmtId="2" fontId="0" fillId="0" borderId="0" xfId="0" applyNumberFormat="1" applyFill="1" applyBorder="1"/>
    <xf numFmtId="0" fontId="0" fillId="0" borderId="0" xfId="0" applyFill="1"/>
    <xf numFmtId="0" fontId="0" fillId="0" borderId="0" xfId="0" applyBorder="1"/>
    <xf numFmtId="9" fontId="0" fillId="0" borderId="0" xfId="0" applyNumberFormat="1" applyBorder="1"/>
    <xf numFmtId="0" fontId="9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4" fillId="0" borderId="0" xfId="0" applyNumberFormat="1" applyFont="1" applyFill="1" applyBorder="1"/>
    <xf numFmtId="4" fontId="8" fillId="0" borderId="1" xfId="0" applyNumberFormat="1" applyFont="1" applyFill="1" applyBorder="1"/>
    <xf numFmtId="4" fontId="0" fillId="0" borderId="1" xfId="0" applyNumberFormat="1" applyFill="1" applyBorder="1"/>
    <xf numFmtId="2" fontId="6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ill="1" applyBorder="1" applyAlignment="1">
      <alignment horizontal="right"/>
    </xf>
    <xf numFmtId="0" fontId="2" fillId="0" borderId="1" xfId="0" applyFont="1" applyFill="1" applyBorder="1"/>
    <xf numFmtId="2" fontId="0" fillId="0" borderId="2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 wrapText="1"/>
    </xf>
    <xf numFmtId="10" fontId="0" fillId="0" borderId="0" xfId="0" applyNumberFormat="1" applyBorder="1"/>
    <xf numFmtId="0" fontId="0" fillId="0" borderId="0" xfId="0" applyFill="1" applyBorder="1" applyAlignment="1">
      <alignment horizontal="right" vertical="center" wrapText="1"/>
    </xf>
    <xf numFmtId="10" fontId="0" fillId="0" borderId="0" xfId="1" applyNumberFormat="1" applyFont="1" applyBorder="1"/>
    <xf numFmtId="168" fontId="0" fillId="0" borderId="0" xfId="0" applyNumberFormat="1" applyBorder="1"/>
    <xf numFmtId="4" fontId="0" fillId="0" borderId="0" xfId="0" applyNumberFormat="1" applyBorder="1"/>
    <xf numFmtId="167" fontId="0" fillId="0" borderId="1" xfId="0" applyNumberFormat="1" applyFill="1" applyBorder="1"/>
    <xf numFmtId="167" fontId="6" fillId="0" borderId="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167" fontId="0" fillId="0" borderId="0" xfId="0" applyNumberFormat="1" applyFill="1" applyBorder="1"/>
    <xf numFmtId="2" fontId="2" fillId="0" borderId="0" xfId="0" applyNumberFormat="1" applyFont="1" applyFill="1" applyBorder="1"/>
    <xf numFmtId="167" fontId="2" fillId="0" borderId="0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171" fontId="9" fillId="0" borderId="1" xfId="3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right" vertical="center" wrapText="1"/>
    </xf>
    <xf numFmtId="171" fontId="4" fillId="0" borderId="1" xfId="3" applyNumberFormat="1" applyFont="1" applyBorder="1" applyAlignment="1">
      <alignment horizontal="center" vertical="center" wrapText="1"/>
    </xf>
    <xf numFmtId="0" fontId="9" fillId="0" borderId="1" xfId="0" applyFont="1" applyBorder="1"/>
    <xf numFmtId="166" fontId="9" fillId="0" borderId="2" xfId="0" applyNumberFormat="1" applyFont="1" applyBorder="1"/>
    <xf numFmtId="0" fontId="4" fillId="0" borderId="0" xfId="0" applyFont="1"/>
    <xf numFmtId="166" fontId="4" fillId="0" borderId="2" xfId="0" applyNumberFormat="1" applyFont="1" applyBorder="1"/>
    <xf numFmtId="166" fontId="4" fillId="0" borderId="8" xfId="0" applyNumberFormat="1" applyFont="1" applyBorder="1"/>
    <xf numFmtId="166" fontId="4" fillId="0" borderId="1" xfId="0" applyNumberFormat="1" applyFont="1" applyBorder="1"/>
    <xf numFmtId="166" fontId="9" fillId="0" borderId="1" xfId="0" applyNumberFormat="1" applyFont="1" applyBorder="1"/>
    <xf numFmtId="0" fontId="9" fillId="0" borderId="0" xfId="0" applyFont="1"/>
    <xf numFmtId="10" fontId="4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/>
    <xf numFmtId="10" fontId="0" fillId="0" borderId="1" xfId="0" applyNumberFormat="1" applyFill="1" applyBorder="1"/>
    <xf numFmtId="10" fontId="0" fillId="0" borderId="1" xfId="1" applyNumberFormat="1" applyFont="1" applyFill="1" applyBorder="1"/>
    <xf numFmtId="0" fontId="0" fillId="0" borderId="0" xfId="0" applyFont="1"/>
    <xf numFmtId="9" fontId="0" fillId="0" borderId="0" xfId="0" applyNumberFormat="1" applyFont="1"/>
    <xf numFmtId="0" fontId="11" fillId="0" borderId="1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0" fillId="0" borderId="1" xfId="0" applyNumberFormat="1" applyFont="1" applyFill="1" applyBorder="1"/>
    <xf numFmtId="0" fontId="0" fillId="0" borderId="0" xfId="0" applyFont="1" applyFill="1" applyBorder="1"/>
    <xf numFmtId="4" fontId="12" fillId="0" borderId="0" xfId="0" applyNumberFormat="1" applyFont="1" applyBorder="1"/>
    <xf numFmtId="4" fontId="0" fillId="0" borderId="1" xfId="0" applyNumberFormat="1" applyFont="1" applyFill="1" applyBorder="1"/>
    <xf numFmtId="0" fontId="11" fillId="0" borderId="4" xfId="0" applyFont="1" applyFill="1" applyBorder="1"/>
    <xf numFmtId="0" fontId="12" fillId="0" borderId="1" xfId="0" applyFont="1" applyFill="1" applyBorder="1"/>
    <xf numFmtId="0" fontId="13" fillId="0" borderId="1" xfId="0" applyFont="1" applyFill="1" applyBorder="1"/>
    <xf numFmtId="4" fontId="13" fillId="0" borderId="1" xfId="0" applyNumberFormat="1" applyFont="1" applyFill="1" applyBorder="1"/>
    <xf numFmtId="2" fontId="13" fillId="0" borderId="1" xfId="0" applyNumberFormat="1" applyFont="1" applyFill="1" applyBorder="1"/>
    <xf numFmtId="0" fontId="0" fillId="0" borderId="1" xfId="0" applyFont="1" applyFill="1" applyBorder="1"/>
    <xf numFmtId="0" fontId="14" fillId="0" borderId="1" xfId="0" applyFont="1" applyFill="1" applyBorder="1"/>
    <xf numFmtId="2" fontId="0" fillId="0" borderId="0" xfId="0" applyNumberFormat="1" applyFont="1"/>
    <xf numFmtId="2" fontId="0" fillId="0" borderId="0" xfId="0" applyNumberFormat="1" applyFont="1" applyFill="1" applyBorder="1"/>
    <xf numFmtId="0" fontId="14" fillId="0" borderId="0" xfId="0" applyFont="1" applyFill="1" applyBorder="1"/>
    <xf numFmtId="0" fontId="15" fillId="0" borderId="0" xfId="0" applyFont="1"/>
    <xf numFmtId="9" fontId="15" fillId="0" borderId="0" xfId="0" applyNumberFormat="1" applyFont="1"/>
    <xf numFmtId="0" fontId="17" fillId="0" borderId="0" xfId="0" applyFont="1"/>
    <xf numFmtId="0" fontId="15" fillId="0" borderId="1" xfId="0" applyFont="1" applyBorder="1"/>
    <xf numFmtId="2" fontId="15" fillId="0" borderId="1" xfId="0" applyNumberFormat="1" applyFont="1" applyFill="1" applyBorder="1" applyAlignment="1">
      <alignment horizontal="right"/>
    </xf>
    <xf numFmtId="2" fontId="15" fillId="0" borderId="1" xfId="0" applyNumberFormat="1" applyFont="1" applyBorder="1"/>
    <xf numFmtId="2" fontId="15" fillId="0" borderId="2" xfId="0" applyNumberFormat="1" applyFont="1" applyFill="1" applyBorder="1" applyAlignment="1">
      <alignment horizontal="right"/>
    </xf>
    <xf numFmtId="2" fontId="15" fillId="0" borderId="4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vertical="center" wrapText="1"/>
    </xf>
    <xf numFmtId="0" fontId="17" fillId="0" borderId="1" xfId="0" applyFont="1" applyBorder="1"/>
    <xf numFmtId="10" fontId="15" fillId="0" borderId="1" xfId="0" applyNumberFormat="1" applyFont="1" applyBorder="1"/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9" fontId="15" fillId="0" borderId="1" xfId="0" applyNumberFormat="1" applyFont="1" applyBorder="1"/>
    <xf numFmtId="0" fontId="15" fillId="0" borderId="0" xfId="0" applyFont="1" applyFill="1" applyBorder="1" applyAlignment="1">
      <alignment horizontal="left" vertical="center" wrapText="1"/>
    </xf>
    <xf numFmtId="168" fontId="15" fillId="0" borderId="1" xfId="0" applyNumberFormat="1" applyFont="1" applyFill="1" applyBorder="1" applyAlignment="1">
      <alignment vertical="center" wrapText="1"/>
    </xf>
    <xf numFmtId="10" fontId="15" fillId="0" borderId="1" xfId="1" applyNumberFormat="1" applyFont="1" applyBorder="1"/>
    <xf numFmtId="2" fontId="17" fillId="0" borderId="2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15" fillId="0" borderId="1" xfId="0" applyNumberFormat="1" applyFont="1" applyBorder="1"/>
    <xf numFmtId="2" fontId="15" fillId="0" borderId="1" xfId="0" applyNumberFormat="1" applyFont="1" applyFill="1" applyBorder="1"/>
    <xf numFmtId="0" fontId="17" fillId="0" borderId="0" xfId="0" applyFont="1" applyFill="1" applyBorder="1" applyAlignment="1">
      <alignment horizontal="left" vertical="center" wrapText="1"/>
    </xf>
    <xf numFmtId="169" fontId="15" fillId="0" borderId="1" xfId="1" applyNumberFormat="1" applyFont="1" applyBorder="1"/>
    <xf numFmtId="0" fontId="15" fillId="0" borderId="0" xfId="0" applyFont="1" applyFill="1" applyBorder="1"/>
    <xf numFmtId="0" fontId="17" fillId="0" borderId="0" xfId="0" applyFont="1" applyFill="1" applyBorder="1"/>
    <xf numFmtId="10" fontId="15" fillId="0" borderId="0" xfId="1" applyNumberFormat="1" applyFont="1" applyFill="1" applyBorder="1"/>
    <xf numFmtId="2" fontId="17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/>
    <xf numFmtId="4" fontId="17" fillId="0" borderId="1" xfId="0" applyNumberFormat="1" applyFont="1" applyFill="1" applyBorder="1"/>
    <xf numFmtId="0" fontId="15" fillId="0" borderId="1" xfId="0" applyFont="1" applyFill="1" applyBorder="1"/>
    <xf numFmtId="2" fontId="17" fillId="0" borderId="1" xfId="0" applyNumberFormat="1" applyFont="1" applyFill="1" applyBorder="1"/>
    <xf numFmtId="2" fontId="15" fillId="0" borderId="0" xfId="0" applyNumberFormat="1" applyFont="1"/>
    <xf numFmtId="2" fontId="15" fillId="0" borderId="0" xfId="0" applyNumberFormat="1" applyFont="1" applyFill="1" applyBorder="1"/>
    <xf numFmtId="9" fontId="15" fillId="0" borderId="0" xfId="0" applyNumberFormat="1" applyFont="1" applyFill="1" applyBorder="1"/>
    <xf numFmtId="10" fontId="15" fillId="0" borderId="0" xfId="0" applyNumberFormat="1" applyFont="1"/>
    <xf numFmtId="167" fontId="15" fillId="0" borderId="1" xfId="0" applyNumberFormat="1" applyFont="1" applyBorder="1"/>
    <xf numFmtId="167" fontId="15" fillId="0" borderId="0" xfId="0" applyNumberFormat="1" applyFont="1" applyBorder="1"/>
    <xf numFmtId="167" fontId="15" fillId="0" borderId="2" xfId="0" applyNumberFormat="1" applyFont="1" applyFill="1" applyBorder="1" applyAlignment="1">
      <alignment horizontal="right"/>
    </xf>
    <xf numFmtId="167" fontId="15" fillId="0" borderId="1" xfId="0" applyNumberFormat="1" applyFont="1" applyFill="1" applyBorder="1" applyAlignment="1">
      <alignment horizontal="right"/>
    </xf>
    <xf numFmtId="2" fontId="1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vertical="center" wrapText="1"/>
    </xf>
    <xf numFmtId="10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 vertical="center" wrapText="1"/>
    </xf>
    <xf numFmtId="168" fontId="15" fillId="0" borderId="0" xfId="0" applyNumberFormat="1" applyFont="1" applyFill="1" applyBorder="1" applyAlignment="1">
      <alignment vertical="center" wrapText="1"/>
    </xf>
    <xf numFmtId="0" fontId="15" fillId="0" borderId="0" xfId="0" applyFont="1" applyBorder="1"/>
    <xf numFmtId="167" fontId="17" fillId="0" borderId="2" xfId="0" applyNumberFormat="1" applyFont="1" applyFill="1" applyBorder="1" applyAlignment="1">
      <alignment horizontal="right"/>
    </xf>
    <xf numFmtId="167" fontId="15" fillId="0" borderId="1" xfId="0" applyNumberFormat="1" applyFont="1" applyBorder="1" applyAlignment="1">
      <alignment horizontal="right"/>
    </xf>
    <xf numFmtId="168" fontId="15" fillId="0" borderId="0" xfId="0" applyNumberFormat="1" applyFont="1" applyFill="1" applyBorder="1"/>
    <xf numFmtId="167" fontId="15" fillId="0" borderId="1" xfId="0" applyNumberFormat="1" applyFont="1" applyFill="1" applyBorder="1"/>
    <xf numFmtId="0" fontId="15" fillId="0" borderId="0" xfId="0" applyFont="1" applyFill="1"/>
    <xf numFmtId="167" fontId="15" fillId="0" borderId="2" xfId="0" applyNumberFormat="1" applyFont="1" applyBorder="1" applyAlignment="1">
      <alignment horizontal="right"/>
    </xf>
    <xf numFmtId="169" fontId="15" fillId="0" borderId="0" xfId="1" applyNumberFormat="1" applyFont="1" applyFill="1" applyBorder="1"/>
    <xf numFmtId="167" fontId="18" fillId="0" borderId="1" xfId="0" applyNumberFormat="1" applyFont="1" applyFill="1" applyBorder="1"/>
    <xf numFmtId="167" fontId="17" fillId="0" borderId="2" xfId="0" applyNumberFormat="1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167" fontId="15" fillId="0" borderId="0" xfId="0" applyNumberFormat="1" applyFont="1" applyFill="1"/>
    <xf numFmtId="167" fontId="17" fillId="0" borderId="1" xfId="0" applyNumberFormat="1" applyFont="1" applyBorder="1"/>
    <xf numFmtId="167" fontId="15" fillId="2" borderId="1" xfId="0" applyNumberFormat="1" applyFont="1" applyFill="1" applyBorder="1"/>
    <xf numFmtId="167" fontId="17" fillId="0" borderId="1" xfId="0" applyNumberFormat="1" applyFont="1" applyFill="1" applyBorder="1"/>
    <xf numFmtId="4" fontId="15" fillId="0" borderId="0" xfId="0" applyNumberFormat="1" applyFont="1" applyFill="1" applyBorder="1"/>
    <xf numFmtId="0" fontId="0" fillId="0" borderId="0" xfId="0" applyFont="1" applyBorder="1"/>
    <xf numFmtId="10" fontId="0" fillId="0" borderId="0" xfId="0" applyNumberFormat="1" applyFont="1" applyBorder="1"/>
    <xf numFmtId="0" fontId="0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9" fontId="0" fillId="0" borderId="0" xfId="0" applyNumberFormat="1" applyFont="1" applyBorder="1"/>
    <xf numFmtId="168" fontId="0" fillId="0" borderId="0" xfId="0" applyNumberFormat="1" applyFont="1" applyBorder="1"/>
    <xf numFmtId="4" fontId="0" fillId="0" borderId="0" xfId="0" applyNumberFormat="1" applyFont="1" applyBorder="1"/>
    <xf numFmtId="0" fontId="0" fillId="0" borderId="0" xfId="0" applyFont="1" applyFill="1"/>
    <xf numFmtId="167" fontId="0" fillId="0" borderId="1" xfId="0" applyNumberFormat="1" applyFont="1" applyFill="1" applyBorder="1"/>
    <xf numFmtId="167" fontId="0" fillId="0" borderId="0" xfId="0" applyNumberFormat="1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10" fontId="15" fillId="0" borderId="0" xfId="0" applyNumberFormat="1" applyFont="1" applyBorder="1"/>
    <xf numFmtId="0" fontId="15" fillId="0" borderId="1" xfId="0" applyFont="1" applyFill="1" applyBorder="1" applyAlignment="1">
      <alignment horizontal="right"/>
    </xf>
    <xf numFmtId="9" fontId="15" fillId="0" borderId="0" xfId="0" applyNumberFormat="1" applyFont="1" applyBorder="1"/>
    <xf numFmtId="168" fontId="15" fillId="0" borderId="0" xfId="0" applyNumberFormat="1" applyFont="1" applyBorder="1"/>
    <xf numFmtId="4" fontId="15" fillId="0" borderId="0" xfId="0" applyNumberFormat="1" applyFont="1" applyBorder="1"/>
    <xf numFmtId="4" fontId="18" fillId="0" borderId="1" xfId="0" applyNumberFormat="1" applyFont="1" applyFill="1" applyBorder="1"/>
    <xf numFmtId="10" fontId="15" fillId="0" borderId="0" xfId="1" applyNumberFormat="1" applyFont="1" applyBorder="1"/>
    <xf numFmtId="0" fontId="17" fillId="0" borderId="1" xfId="0" applyFont="1" applyFill="1" applyBorder="1"/>
    <xf numFmtId="2" fontId="17" fillId="0" borderId="0" xfId="0" applyNumberFormat="1" applyFont="1" applyFill="1" applyBorder="1"/>
    <xf numFmtId="167" fontId="17" fillId="0" borderId="0" xfId="0" applyNumberFormat="1" applyFont="1" applyFill="1" applyBorder="1"/>
    <xf numFmtId="167" fontId="15" fillId="0" borderId="0" xfId="0" applyNumberFormat="1" applyFont="1" applyFill="1" applyBorder="1"/>
    <xf numFmtId="10" fontId="15" fillId="0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10" fontId="20" fillId="0" borderId="0" xfId="0" applyNumberFormat="1" applyFont="1"/>
    <xf numFmtId="0" fontId="19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0" fillId="0" borderId="0" xfId="0" applyNumberFormat="1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170" fontId="15" fillId="0" borderId="1" xfId="0" applyNumberFormat="1" applyFont="1" applyBorder="1"/>
    <xf numFmtId="166" fontId="15" fillId="0" borderId="1" xfId="3" applyNumberFormat="1" applyFont="1" applyBorder="1"/>
    <xf numFmtId="166" fontId="15" fillId="0" borderId="1" xfId="0" applyNumberFormat="1" applyFont="1" applyBorder="1"/>
    <xf numFmtId="165" fontId="15" fillId="0" borderId="1" xfId="0" applyNumberFormat="1" applyFont="1" applyBorder="1"/>
    <xf numFmtId="0" fontId="17" fillId="0" borderId="3" xfId="0" applyFont="1" applyBorder="1" applyAlignment="1"/>
    <xf numFmtId="0" fontId="17" fillId="0" borderId="1" xfId="0" applyFont="1" applyBorder="1" applyAlignment="1"/>
    <xf numFmtId="170" fontId="17" fillId="0" borderId="1" xfId="0" applyNumberFormat="1" applyFont="1" applyBorder="1" applyAlignment="1"/>
    <xf numFmtId="170" fontId="17" fillId="0" borderId="3" xfId="0" applyNumberFormat="1" applyFont="1" applyBorder="1"/>
    <xf numFmtId="166" fontId="17" fillId="0" borderId="1" xfId="3" applyNumberFormat="1" applyFont="1" applyBorder="1"/>
    <xf numFmtId="165" fontId="17" fillId="0" borderId="3" xfId="0" applyNumberFormat="1" applyFont="1" applyBorder="1"/>
    <xf numFmtId="170" fontId="17" fillId="0" borderId="5" xfId="0" applyNumberFormat="1" applyFont="1" applyBorder="1"/>
    <xf numFmtId="170" fontId="15" fillId="0" borderId="0" xfId="0" applyNumberFormat="1" applyFont="1"/>
    <xf numFmtId="166" fontId="15" fillId="0" borderId="0" xfId="3" applyNumberFormat="1" applyFont="1" applyBorder="1"/>
    <xf numFmtId="166" fontId="15" fillId="0" borderId="0" xfId="0" applyNumberFormat="1" applyFont="1" applyBorder="1"/>
    <xf numFmtId="165" fontId="15" fillId="0" borderId="0" xfId="0" applyNumberFormat="1" applyFont="1" applyBorder="1"/>
    <xf numFmtId="166" fontId="17" fillId="0" borderId="0" xfId="3" applyNumberFormat="1" applyFont="1" applyBorder="1"/>
    <xf numFmtId="170" fontId="15" fillId="0" borderId="1" xfId="0" applyNumberFormat="1" applyFont="1" applyFill="1" applyBorder="1"/>
    <xf numFmtId="170" fontId="15" fillId="0" borderId="0" xfId="0" applyNumberFormat="1" applyFont="1" applyFill="1" applyBorder="1"/>
    <xf numFmtId="166" fontId="17" fillId="0" borderId="0" xfId="0" applyNumberFormat="1" applyFont="1" applyBorder="1"/>
    <xf numFmtId="165" fontId="17" fillId="0" borderId="0" xfId="0" applyNumberFormat="1" applyFont="1" applyBorder="1"/>
    <xf numFmtId="164" fontId="15" fillId="0" borderId="0" xfId="0" applyNumberFormat="1" applyFont="1" applyFill="1" applyBorder="1"/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/>
    </xf>
    <xf numFmtId="2" fontId="15" fillId="0" borderId="0" xfId="0" applyNumberFormat="1" applyFont="1" applyBorder="1" applyAlignment="1">
      <alignment horizontal="right" vertical="top" wrapText="1"/>
    </xf>
    <xf numFmtId="168" fontId="15" fillId="0" borderId="0" xfId="1" applyNumberFormat="1" applyFont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vertical="top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20" fillId="0" borderId="1" xfId="0" applyFont="1" applyBorder="1"/>
    <xf numFmtId="0" fontId="17" fillId="0" borderId="0" xfId="0" applyFont="1" applyBorder="1" applyAlignment="1">
      <alignment vertical="center"/>
    </xf>
    <xf numFmtId="170" fontId="15" fillId="0" borderId="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170" fontId="15" fillId="0" borderId="0" xfId="0" applyNumberFormat="1" applyFont="1" applyBorder="1"/>
    <xf numFmtId="165" fontId="15" fillId="0" borderId="0" xfId="0" applyNumberFormat="1" applyFont="1"/>
    <xf numFmtId="0" fontId="15" fillId="0" borderId="1" xfId="0" applyFont="1" applyBorder="1" applyAlignment="1">
      <alignment horizontal="left"/>
    </xf>
    <xf numFmtId="9" fontId="15" fillId="0" borderId="1" xfId="0" applyNumberFormat="1" applyFont="1" applyBorder="1" applyAlignment="1">
      <alignment horizontal="center"/>
    </xf>
    <xf numFmtId="170" fontId="15" fillId="0" borderId="1" xfId="0" applyNumberFormat="1" applyFont="1" applyBorder="1" applyAlignment="1">
      <alignment horizontal="center"/>
    </xf>
    <xf numFmtId="10" fontId="15" fillId="0" borderId="1" xfId="1" applyNumberFormat="1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9" fontId="15" fillId="0" borderId="1" xfId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170" fontId="15" fillId="0" borderId="1" xfId="0" applyNumberFormat="1" applyFont="1" applyBorder="1" applyAlignment="1">
      <alignment horizontal="right"/>
    </xf>
    <xf numFmtId="0" fontId="17" fillId="3" borderId="1" xfId="0" applyFont="1" applyFill="1" applyBorder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9" fontId="22" fillId="0" borderId="0" xfId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21" fillId="0" borderId="0" xfId="0" applyFont="1" applyBorder="1"/>
    <xf numFmtId="10" fontId="15" fillId="0" borderId="1" xfId="1" applyNumberFormat="1" applyFont="1" applyFill="1" applyBorder="1"/>
    <xf numFmtId="10" fontId="0" fillId="0" borderId="1" xfId="0" applyNumberFormat="1" applyFont="1" applyFill="1" applyBorder="1"/>
    <xf numFmtId="0" fontId="11" fillId="0" borderId="1" xfId="0" applyFont="1" applyFill="1" applyBorder="1"/>
    <xf numFmtId="172" fontId="15" fillId="0" borderId="0" xfId="0" applyNumberFormat="1" applyFont="1"/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170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4">
    <cellStyle name="Moneda" xfId="3" builtinId="4"/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ANALISIS DE SENSIBILIDAD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'analisis de ESCENARIOS 2'!$D$3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'analisis de ESCENARIOS 2'!$E$4:$E$9</c:f>
              <c:numCache>
                <c:formatCode>"$"\ #,##0.00</c:formatCode>
                <c:ptCount val="6"/>
                <c:pt idx="0">
                  <c:v>26522.55</c:v>
                </c:pt>
                <c:pt idx="1">
                  <c:v>17715.84</c:v>
                </c:pt>
                <c:pt idx="2">
                  <c:v>16656.23</c:v>
                </c:pt>
                <c:pt idx="3">
                  <c:v>28641.78</c:v>
                </c:pt>
                <c:pt idx="4">
                  <c:v>37448.49</c:v>
                </c:pt>
                <c:pt idx="5">
                  <c:v>38508.1</c:v>
                </c:pt>
              </c:numCache>
            </c:numRef>
          </c:cat>
          <c:val>
            <c:numRef>
              <c:f>'analisis de ESCENARIOS 2'!$D$4:$D$9</c:f>
              <c:numCache>
                <c:formatCode>0.00%</c:formatCode>
                <c:ptCount val="6"/>
                <c:pt idx="0">
                  <c:v>0.1923</c:v>
                </c:pt>
                <c:pt idx="1">
                  <c:v>0.13020000000000001</c:v>
                </c:pt>
                <c:pt idx="2">
                  <c:v>0.1227</c:v>
                </c:pt>
                <c:pt idx="3">
                  <c:v>0.20710000000000001</c:v>
                </c:pt>
                <c:pt idx="4">
                  <c:v>0.26750000000000002</c:v>
                </c:pt>
                <c:pt idx="5">
                  <c:v>0.2747</c:v>
                </c:pt>
              </c:numCache>
            </c:numRef>
          </c:val>
        </c:ser>
        <c:ser>
          <c:idx val="1"/>
          <c:order val="1"/>
          <c:tx>
            <c:strRef>
              <c:f>'analisis de ESCENARIOS 2'!$E$3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numRef>
              <c:f>'analisis de ESCENARIOS 2'!$E$4:$E$9</c:f>
              <c:numCache>
                <c:formatCode>"$"\ #,##0.00</c:formatCode>
                <c:ptCount val="6"/>
                <c:pt idx="0">
                  <c:v>26522.55</c:v>
                </c:pt>
                <c:pt idx="1">
                  <c:v>17715.84</c:v>
                </c:pt>
                <c:pt idx="2">
                  <c:v>16656.23</c:v>
                </c:pt>
                <c:pt idx="3">
                  <c:v>28641.78</c:v>
                </c:pt>
                <c:pt idx="4">
                  <c:v>37448.49</c:v>
                </c:pt>
                <c:pt idx="5">
                  <c:v>38508.1</c:v>
                </c:pt>
              </c:numCache>
            </c:numRef>
          </c:cat>
          <c:val>
            <c:numRef>
              <c:f>'analisis de ESCENARIOS 2'!$D$4:$D$9</c:f>
              <c:numCache>
                <c:formatCode>0.00%</c:formatCode>
                <c:ptCount val="6"/>
                <c:pt idx="0">
                  <c:v>0.1923</c:v>
                </c:pt>
                <c:pt idx="1">
                  <c:v>0.13020000000000001</c:v>
                </c:pt>
                <c:pt idx="2">
                  <c:v>0.1227</c:v>
                </c:pt>
                <c:pt idx="3">
                  <c:v>0.20710000000000001</c:v>
                </c:pt>
                <c:pt idx="4">
                  <c:v>0.26750000000000002</c:v>
                </c:pt>
                <c:pt idx="5">
                  <c:v>0.2747</c:v>
                </c:pt>
              </c:numCache>
            </c:numRef>
          </c:val>
        </c:ser>
        <c:dLbls/>
        <c:dropLines/>
        <c:marker val="1"/>
        <c:axId val="84806656"/>
        <c:axId val="84808832"/>
      </c:lineChart>
      <c:catAx>
        <c:axId val="8480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VAN</a:t>
                </a:r>
              </a:p>
            </c:rich>
          </c:tx>
          <c:layout/>
        </c:title>
        <c:numFmt formatCode="&quot;$&quot;\ #,##0.00" sourceLinked="1"/>
        <c:majorTickMark val="none"/>
        <c:tickLblPos val="nextTo"/>
        <c:crossAx val="84808832"/>
        <c:crosses val="autoZero"/>
        <c:auto val="1"/>
        <c:lblAlgn val="ctr"/>
        <c:lblOffset val="100"/>
      </c:catAx>
      <c:valAx>
        <c:axId val="84808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TIR</a:t>
                </a:r>
              </a:p>
            </c:rich>
          </c:tx>
          <c:layout/>
        </c:title>
        <c:numFmt formatCode="0.00%" sourceLinked="1"/>
        <c:tickLblPos val="nextTo"/>
        <c:crossAx val="8480665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'analisis de escenario'!$B$4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xVal>
            <c:numRef>
              <c:f>'analisis de escenario'!$A$5:$A$10</c:f>
              <c:numCache>
                <c:formatCode>0%</c:formatCode>
                <c:ptCount val="6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-0.1</c:v>
                </c:pt>
                <c:pt idx="4">
                  <c:v>-0.2</c:v>
                </c:pt>
                <c:pt idx="5">
                  <c:v>-0.3</c:v>
                </c:pt>
              </c:numCache>
            </c:numRef>
          </c:xVal>
          <c:yVal>
            <c:numRef>
              <c:f>'analisis de escenario'!$B$5:$B$10</c:f>
              <c:numCache>
                <c:formatCode>"$"\ #,##0.00</c:formatCode>
                <c:ptCount val="6"/>
                <c:pt idx="0">
                  <c:v>57181.14</c:v>
                </c:pt>
                <c:pt idx="1">
                  <c:v>47314.82</c:v>
                </c:pt>
                <c:pt idx="2">
                  <c:v>37448.49</c:v>
                </c:pt>
                <c:pt idx="3">
                  <c:v>17715.84</c:v>
                </c:pt>
                <c:pt idx="4">
                  <c:v>7849.51</c:v>
                </c:pt>
                <c:pt idx="5">
                  <c:v>-2016.81</c:v>
                </c:pt>
              </c:numCache>
            </c:numRef>
          </c:yVal>
        </c:ser>
        <c:dLbls/>
        <c:axId val="84944768"/>
        <c:axId val="84946304"/>
      </c:scatterChart>
      <c:valAx>
        <c:axId val="84944768"/>
        <c:scaling>
          <c:orientation val="minMax"/>
        </c:scaling>
        <c:axPos val="b"/>
        <c:numFmt formatCode="0%" sourceLinked="1"/>
        <c:majorTickMark val="none"/>
        <c:tickLblPos val="nextTo"/>
        <c:crossAx val="84946304"/>
        <c:crosses val="autoZero"/>
        <c:crossBetween val="midCat"/>
      </c:valAx>
      <c:valAx>
        <c:axId val="84946304"/>
        <c:scaling>
          <c:orientation val="minMax"/>
        </c:scaling>
        <c:axPos val="l"/>
        <c:majorGridlines/>
        <c:numFmt formatCode="&quot;$&quot;\ #,##0.00" sourceLinked="1"/>
        <c:majorTickMark val="none"/>
        <c:tickLblPos val="nextTo"/>
        <c:crossAx val="8494476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'analisis de escenario'!$B$14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xVal>
            <c:numRef>
              <c:f>'analisis de escenario'!$A$15:$A$20</c:f>
              <c:numCache>
                <c:formatCode>0%</c:formatCode>
                <c:ptCount val="6"/>
                <c:pt idx="0">
                  <c:v>-0.05</c:v>
                </c:pt>
                <c:pt idx="1">
                  <c:v>0.35</c:v>
                </c:pt>
                <c:pt idx="2">
                  <c:v>0.45</c:v>
                </c:pt>
                <c:pt idx="3">
                  <c:v>0.55000000000000004</c:v>
                </c:pt>
                <c:pt idx="4">
                  <c:v>0.65</c:v>
                </c:pt>
                <c:pt idx="5">
                  <c:v>0.95</c:v>
                </c:pt>
              </c:numCache>
            </c:numRef>
          </c:xVal>
          <c:yVal>
            <c:numRef>
              <c:f>'analisis de escenario'!$B$15:$B$20</c:f>
              <c:numCache>
                <c:formatCode>"$"\ #,##0.00</c:formatCode>
                <c:ptCount val="6"/>
                <c:pt idx="0">
                  <c:v>28111.97</c:v>
                </c:pt>
                <c:pt idx="1">
                  <c:v>17515.87</c:v>
                </c:pt>
                <c:pt idx="2">
                  <c:v>20694.7</c:v>
                </c:pt>
                <c:pt idx="3">
                  <c:v>21754.31</c:v>
                </c:pt>
                <c:pt idx="4">
                  <c:v>23343.72</c:v>
                </c:pt>
                <c:pt idx="5">
                  <c:v>23873.53</c:v>
                </c:pt>
              </c:numCache>
            </c:numRef>
          </c:yVal>
        </c:ser>
        <c:dLbls/>
        <c:axId val="84962688"/>
        <c:axId val="84972672"/>
      </c:scatterChart>
      <c:valAx>
        <c:axId val="84962688"/>
        <c:scaling>
          <c:orientation val="minMax"/>
        </c:scaling>
        <c:axPos val="b"/>
        <c:numFmt formatCode="0%" sourceLinked="1"/>
        <c:tickLblPos val="nextTo"/>
        <c:crossAx val="84972672"/>
        <c:crosses val="autoZero"/>
        <c:crossBetween val="midCat"/>
      </c:valAx>
      <c:valAx>
        <c:axId val="84972672"/>
        <c:scaling>
          <c:orientation val="minMax"/>
        </c:scaling>
        <c:axPos val="l"/>
        <c:majorGridlines/>
        <c:numFmt formatCode="&quot;$&quot;\ #,##0.00" sourceLinked="1"/>
        <c:tickLblPos val="nextTo"/>
        <c:crossAx val="849626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'analisis de escenario'!$B$23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xVal>
            <c:numRef>
              <c:f>'analisis de escenario'!$A$24:$A$29</c:f>
              <c:numCache>
                <c:formatCode>0%</c:formatCode>
                <c:ptCount val="6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-0.1</c:v>
                </c:pt>
                <c:pt idx="4">
                  <c:v>-0.2</c:v>
                </c:pt>
                <c:pt idx="5">
                  <c:v>-0.3</c:v>
                </c:pt>
              </c:numCache>
            </c:numRef>
          </c:xVal>
          <c:yVal>
            <c:numRef>
              <c:f>'analisis de escenario'!$B$24:$B$29</c:f>
              <c:numCache>
                <c:formatCode>0.00%</c:formatCode>
                <c:ptCount val="6"/>
                <c:pt idx="0">
                  <c:v>0.39929999999999999</c:v>
                </c:pt>
                <c:pt idx="1">
                  <c:v>0.33389999999999997</c:v>
                </c:pt>
                <c:pt idx="2">
                  <c:v>0.26750000000000002</c:v>
                </c:pt>
                <c:pt idx="3">
                  <c:v>0.13020000000000001</c:v>
                </c:pt>
                <c:pt idx="4">
                  <c:v>5.8700000000000002E-2</c:v>
                </c:pt>
                <c:pt idx="5">
                  <c:v>-1.54E-2</c:v>
                </c:pt>
              </c:numCache>
            </c:numRef>
          </c:yVal>
        </c:ser>
        <c:dLbls/>
        <c:axId val="85406848"/>
        <c:axId val="85408384"/>
      </c:scatterChart>
      <c:valAx>
        <c:axId val="85406848"/>
        <c:scaling>
          <c:orientation val="minMax"/>
        </c:scaling>
        <c:axPos val="b"/>
        <c:numFmt formatCode="0%" sourceLinked="1"/>
        <c:tickLblPos val="nextTo"/>
        <c:crossAx val="85408384"/>
        <c:crosses val="autoZero"/>
        <c:crossBetween val="midCat"/>
      </c:valAx>
      <c:valAx>
        <c:axId val="85408384"/>
        <c:scaling>
          <c:orientation val="minMax"/>
        </c:scaling>
        <c:axPos val="l"/>
        <c:majorGridlines/>
        <c:numFmt formatCode="0.00%" sourceLinked="1"/>
        <c:tickLblPos val="nextTo"/>
        <c:crossAx val="8540684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'analisis de escenario'!$B$32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xVal>
            <c:numRef>
              <c:f>'analisis de escenario'!$A$33:$A$38</c:f>
              <c:numCache>
                <c:formatCode>0%</c:formatCode>
                <c:ptCount val="6"/>
                <c:pt idx="0">
                  <c:v>-0.05</c:v>
                </c:pt>
                <c:pt idx="1">
                  <c:v>0.35</c:v>
                </c:pt>
                <c:pt idx="2">
                  <c:v>0.45</c:v>
                </c:pt>
                <c:pt idx="3">
                  <c:v>0.55000000000000004</c:v>
                </c:pt>
                <c:pt idx="4">
                  <c:v>0.65</c:v>
                </c:pt>
                <c:pt idx="5">
                  <c:v>0.95</c:v>
                </c:pt>
              </c:numCache>
            </c:numRef>
          </c:xVal>
          <c:yVal>
            <c:numRef>
              <c:f>'analisis de escenario'!$B$33:$B$38</c:f>
              <c:numCache>
                <c:formatCode>0.00%</c:formatCode>
                <c:ptCount val="6"/>
                <c:pt idx="0">
                  <c:v>0.2034</c:v>
                </c:pt>
                <c:pt idx="1">
                  <c:v>0.17380000000000001</c:v>
                </c:pt>
                <c:pt idx="2">
                  <c:v>0.1701</c:v>
                </c:pt>
                <c:pt idx="3">
                  <c:v>0.15890000000000001</c:v>
                </c:pt>
                <c:pt idx="4">
                  <c:v>0.15140000000000001</c:v>
                </c:pt>
                <c:pt idx="5">
                  <c:v>0.1288</c:v>
                </c:pt>
              </c:numCache>
            </c:numRef>
          </c:yVal>
        </c:ser>
        <c:dLbls/>
        <c:axId val="85437056"/>
        <c:axId val="85787008"/>
      </c:scatterChart>
      <c:valAx>
        <c:axId val="85437056"/>
        <c:scaling>
          <c:orientation val="minMax"/>
        </c:scaling>
        <c:axPos val="b"/>
        <c:numFmt formatCode="0%" sourceLinked="1"/>
        <c:tickLblPos val="nextTo"/>
        <c:crossAx val="85787008"/>
        <c:crosses val="autoZero"/>
        <c:crossBetween val="midCat"/>
      </c:valAx>
      <c:valAx>
        <c:axId val="85787008"/>
        <c:scaling>
          <c:orientation val="minMax"/>
        </c:scaling>
        <c:axPos val="l"/>
        <c:majorGridlines/>
        <c:numFmt formatCode="0.00%" sourceLinked="1"/>
        <c:tickLblPos val="nextTo"/>
        <c:crossAx val="8543705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895349</xdr:colOff>
      <xdr:row>12</xdr:row>
      <xdr:rowOff>95250</xdr:rowOff>
    </xdr:from>
    <xdr:to>
      <xdr:col>6</xdr:col>
      <xdr:colOff>19050</xdr:colOff>
      <xdr:row>27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0</xdr:row>
      <xdr:rowOff>104775</xdr:rowOff>
    </xdr:from>
    <xdr:to>
      <xdr:col>13</xdr:col>
      <xdr:colOff>323850</xdr:colOff>
      <xdr:row>16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485774</xdr:colOff>
      <xdr:row>17</xdr:row>
      <xdr:rowOff>180975</xdr:rowOff>
    </xdr:from>
    <xdr:to>
      <xdr:col>13</xdr:col>
      <xdr:colOff>304799</xdr:colOff>
      <xdr:row>32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28574</xdr:colOff>
      <xdr:row>0</xdr:row>
      <xdr:rowOff>123824</xdr:rowOff>
    </xdr:from>
    <xdr:to>
      <xdr:col>20</xdr:col>
      <xdr:colOff>209549</xdr:colOff>
      <xdr:row>16</xdr:row>
      <xdr:rowOff>57149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38100</xdr:colOff>
      <xdr:row>17</xdr:row>
      <xdr:rowOff>171450</xdr:rowOff>
    </xdr:from>
    <xdr:to>
      <xdr:col>20</xdr:col>
      <xdr:colOff>171450</xdr:colOff>
      <xdr:row>32</xdr:row>
      <xdr:rowOff>57150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Q45"/>
  <sheetViews>
    <sheetView tabSelected="1" zoomScaleNormal="100" workbookViewId="0">
      <selection activeCell="A44" sqref="A44"/>
    </sheetView>
  </sheetViews>
  <sheetFormatPr baseColWidth="10" defaultRowHeight="14.25"/>
  <cols>
    <col min="1" max="1" width="26.140625" style="97" bestFit="1" customWidth="1"/>
    <col min="2" max="2" width="8.7109375" style="97" customWidth="1"/>
    <col min="3" max="3" width="46.28515625" style="97" bestFit="1" customWidth="1"/>
    <col min="4" max="4" width="15" style="97" customWidth="1"/>
    <col min="5" max="5" width="16.140625" style="97" customWidth="1"/>
    <col min="6" max="6" width="12.42578125" style="97" customWidth="1"/>
    <col min="7" max="7" width="16.5703125" style="97" customWidth="1"/>
    <col min="8" max="8" width="17.42578125" style="97" customWidth="1"/>
    <col min="9" max="9" width="19.42578125" style="97" customWidth="1"/>
    <col min="10" max="11" width="11.42578125" style="97"/>
    <col min="12" max="12" width="18.85546875" style="97" bestFit="1" customWidth="1"/>
    <col min="13" max="13" width="15.42578125" style="97" customWidth="1"/>
    <col min="14" max="14" width="11.42578125" style="97"/>
    <col min="15" max="15" width="12.85546875" style="97" customWidth="1"/>
    <col min="16" max="16" width="26.140625" style="97" customWidth="1"/>
    <col min="17" max="16384" width="11.42578125" style="97"/>
  </cols>
  <sheetData>
    <row r="1" spans="1:17" ht="18">
      <c r="C1" s="258" t="s">
        <v>57</v>
      </c>
      <c r="D1" s="258"/>
      <c r="E1" s="258"/>
      <c r="F1" s="258"/>
      <c r="G1" s="258"/>
      <c r="H1" s="258"/>
      <c r="I1" s="258"/>
    </row>
    <row r="2" spans="1:17">
      <c r="M2" s="97" t="s">
        <v>0</v>
      </c>
      <c r="N2" s="97" t="s">
        <v>1</v>
      </c>
    </row>
    <row r="3" spans="1:17" ht="15">
      <c r="A3" s="97" t="s">
        <v>56</v>
      </c>
      <c r="B3" s="254">
        <v>0.155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K3" s="99" t="s">
        <v>8</v>
      </c>
      <c r="M3" s="97" t="s">
        <v>9</v>
      </c>
      <c r="N3" s="97" t="s">
        <v>10</v>
      </c>
    </row>
    <row r="4" spans="1:17">
      <c r="A4" s="97" t="s">
        <v>72</v>
      </c>
      <c r="B4" s="98">
        <v>0.04</v>
      </c>
      <c r="C4" s="100" t="s">
        <v>11</v>
      </c>
      <c r="D4" s="100"/>
      <c r="E4" s="101">
        <f>'FLUJO ANTERIOR 2 '!E4*(1.065)</f>
        <v>412704.2205</v>
      </c>
      <c r="F4" s="102">
        <f>'FLUJO ANTERIOR 2 '!F4*(1+0.065)</f>
        <v>449847.60034500004</v>
      </c>
      <c r="G4" s="102">
        <f>'FLUJO ANTERIOR 2 '!G4*(1+0.065)</f>
        <v>490333.88437605009</v>
      </c>
      <c r="H4" s="102">
        <f>'FLUJO ANTERIOR 2 '!H4*(1+0.065)</f>
        <v>534463.93396989466</v>
      </c>
      <c r="I4" s="102">
        <f>'FLUJO ANTERIOR 2 '!I4*(1+0.065)</f>
        <v>582565.68802718527</v>
      </c>
    </row>
    <row r="5" spans="1:17" ht="15" customHeight="1">
      <c r="A5" s="97" t="s">
        <v>73</v>
      </c>
      <c r="B5" s="254">
        <v>6.5000000000000002E-2</v>
      </c>
      <c r="C5" s="100" t="s">
        <v>12</v>
      </c>
      <c r="D5" s="100"/>
      <c r="E5" s="103"/>
      <c r="F5" s="103"/>
      <c r="G5" s="103"/>
      <c r="H5" s="103"/>
      <c r="I5" s="103"/>
      <c r="J5" s="104"/>
      <c r="L5" s="255" t="s">
        <v>13</v>
      </c>
      <c r="M5" s="256"/>
      <c r="O5" s="257" t="s">
        <v>14</v>
      </c>
      <c r="P5" s="257"/>
      <c r="Q5" s="105"/>
    </row>
    <row r="6" spans="1:17" ht="15">
      <c r="A6" s="97" t="s">
        <v>74</v>
      </c>
      <c r="B6" s="98">
        <v>0.01</v>
      </c>
      <c r="C6" s="100" t="s">
        <v>66</v>
      </c>
      <c r="D6" s="100"/>
      <c r="E6" s="103">
        <f>'FLUJO ANTERIOR 2 '!E6*(1.04)</f>
        <v>70334.232800000013</v>
      </c>
      <c r="F6" s="103">
        <f>'FLUJO ANTERIOR 2 '!F6*(1.04)</f>
        <v>76664.313752000016</v>
      </c>
      <c r="G6" s="103">
        <f>'FLUJO ANTERIOR 2 '!G6*(1.04)</f>
        <v>83564.101989680028</v>
      </c>
      <c r="H6" s="103">
        <f>'FLUJO ANTERIOR 2 '!H6*(1.04)</f>
        <v>91084.87116875124</v>
      </c>
      <c r="I6" s="103">
        <f>'FLUJO ANTERIOR 2 '!I6*(1.04)</f>
        <v>99282.509573938863</v>
      </c>
      <c r="L6" s="106" t="s">
        <v>16</v>
      </c>
      <c r="M6" s="107">
        <v>0.15</v>
      </c>
      <c r="O6" s="108" t="s">
        <v>17</v>
      </c>
      <c r="P6" s="109">
        <v>1.1100000000000001</v>
      </c>
      <c r="Q6" s="100"/>
    </row>
    <row r="7" spans="1:17" ht="30">
      <c r="C7" s="100" t="s">
        <v>67</v>
      </c>
      <c r="D7" s="100"/>
      <c r="E7" s="103">
        <f>'FLUJO ANTERIOR 2 '!E7</f>
        <v>32112</v>
      </c>
      <c r="F7" s="103">
        <f>'FLUJO ANTERIOR 2 '!F7</f>
        <v>32112</v>
      </c>
      <c r="G7" s="103">
        <f>'FLUJO ANTERIOR 2 '!G7</f>
        <v>32112</v>
      </c>
      <c r="H7" s="103">
        <f>'FLUJO ANTERIOR 2 '!H7</f>
        <v>32112</v>
      </c>
      <c r="I7" s="103">
        <f>'FLUJO ANTERIOR 2 '!I7</f>
        <v>32112</v>
      </c>
      <c r="L7" s="106" t="s">
        <v>19</v>
      </c>
      <c r="M7" s="110">
        <v>0.23</v>
      </c>
      <c r="O7" s="108" t="s">
        <v>20</v>
      </c>
      <c r="P7" s="109">
        <v>453085.5</v>
      </c>
      <c r="Q7" s="100"/>
    </row>
    <row r="8" spans="1:17" ht="16.5" customHeight="1">
      <c r="C8" s="100" t="s">
        <v>68</v>
      </c>
      <c r="D8" s="100"/>
      <c r="E8" s="103"/>
      <c r="F8" s="103"/>
      <c r="G8" s="103"/>
      <c r="H8" s="103"/>
      <c r="I8" s="103"/>
      <c r="J8" s="111"/>
      <c r="K8" s="111"/>
      <c r="L8" s="108" t="s">
        <v>21</v>
      </c>
      <c r="M8" s="112">
        <f>P11*(1-M6*M7)/(1-M6)</f>
        <v>0.86906491717674861</v>
      </c>
      <c r="N8" s="111"/>
      <c r="O8" s="108" t="s">
        <v>22</v>
      </c>
      <c r="P8" s="109">
        <v>177483.3</v>
      </c>
      <c r="Q8" s="100"/>
    </row>
    <row r="9" spans="1:17" ht="15">
      <c r="C9" s="100" t="s">
        <v>69</v>
      </c>
      <c r="D9" s="100"/>
      <c r="E9" s="103">
        <f>'FLUJO ANTERIOR 2 '!E9*(1.04)</f>
        <v>9672</v>
      </c>
      <c r="F9" s="103">
        <f>'FLUJO ANTERIOR 2 '!F9*(1.04)</f>
        <v>10542.48</v>
      </c>
      <c r="G9" s="103">
        <f>'FLUJO ANTERIOR 2 '!G9*(1.04)</f>
        <v>11491.3032</v>
      </c>
      <c r="H9" s="103">
        <f>'FLUJO ANTERIOR 2 '!H9*(1.04)</f>
        <v>12525.520488000002</v>
      </c>
      <c r="I9" s="103">
        <f>'FLUJO ANTERIOR 2 '!I9*(1.04)</f>
        <v>13652.817331920003</v>
      </c>
      <c r="J9" s="111"/>
      <c r="K9" s="111"/>
      <c r="N9" s="111"/>
      <c r="O9" s="108" t="s">
        <v>16</v>
      </c>
      <c r="P9" s="113">
        <f>P8/P7</f>
        <v>0.39172143006121357</v>
      </c>
      <c r="Q9" s="100"/>
    </row>
    <row r="10" spans="1:17" ht="15">
      <c r="C10" s="82" t="s">
        <v>15</v>
      </c>
      <c r="D10" s="100"/>
      <c r="E10" s="114">
        <f>E4-E6-E7-E9</f>
        <v>300585.9877</v>
      </c>
      <c r="F10" s="114">
        <f t="shared" ref="F10:I10" si="0">F4-F6-F7-F9</f>
        <v>330528.80659300007</v>
      </c>
      <c r="G10" s="114">
        <f t="shared" si="0"/>
        <v>363166.47918637004</v>
      </c>
      <c r="H10" s="114">
        <f t="shared" si="0"/>
        <v>398741.54231314338</v>
      </c>
      <c r="I10" s="114">
        <f t="shared" si="0"/>
        <v>437518.36112132639</v>
      </c>
      <c r="J10" s="111"/>
      <c r="K10" s="111"/>
      <c r="N10" s="111"/>
      <c r="O10" s="108" t="s">
        <v>19</v>
      </c>
      <c r="P10" s="110">
        <v>0.3</v>
      </c>
      <c r="Q10" s="100"/>
    </row>
    <row r="11" spans="1:17" ht="14.25" customHeight="1">
      <c r="C11" s="100" t="s">
        <v>18</v>
      </c>
      <c r="D11" s="115"/>
      <c r="E11" s="103"/>
      <c r="F11" s="101"/>
      <c r="G11" s="101"/>
      <c r="H11" s="101"/>
      <c r="I11" s="101"/>
      <c r="J11" s="111"/>
      <c r="K11" s="111"/>
      <c r="N11" s="111"/>
      <c r="O11" s="108" t="s">
        <v>0</v>
      </c>
      <c r="P11" s="116">
        <f>((1-P9)*P6)/(1-P9*P10)</f>
        <v>0.76510116996399402</v>
      </c>
      <c r="Q11" s="100"/>
    </row>
    <row r="12" spans="1:17">
      <c r="C12" s="100" t="s">
        <v>23</v>
      </c>
      <c r="D12" s="100"/>
      <c r="E12" s="117">
        <f>'FLUJO ANTERIOR 2 '!E12*(1.04)</f>
        <v>13315.754400000002</v>
      </c>
      <c r="F12" s="117">
        <f>'FLUJO ANTERIOR 2 '!F12*(1.04)</f>
        <v>14514.172296000002</v>
      </c>
      <c r="G12" s="117">
        <f>'FLUJO ANTERIOR 2 '!G12*(1.04)</f>
        <v>15820.447802640005</v>
      </c>
      <c r="H12" s="117">
        <f>'FLUJO ANTERIOR 2 '!H12*(1.04)</f>
        <v>17244.288104877607</v>
      </c>
      <c r="I12" s="117">
        <f>'FLUJO ANTERIOR 2 '!I12*(1.04)</f>
        <v>18796.274034316593</v>
      </c>
      <c r="J12" s="111"/>
      <c r="K12" s="111"/>
      <c r="N12" s="111"/>
    </row>
    <row r="13" spans="1:17">
      <c r="C13" s="100" t="s">
        <v>70</v>
      </c>
      <c r="D13" s="100"/>
      <c r="E13" s="103">
        <f>'FLUJO ANTERIOR 2 '!E13</f>
        <v>31008</v>
      </c>
      <c r="F13" s="103">
        <f>'FLUJO ANTERIOR 2 '!F13</f>
        <v>31008</v>
      </c>
      <c r="G13" s="103">
        <f>'FLUJO ANTERIOR 2 '!G13</f>
        <v>31008</v>
      </c>
      <c r="H13" s="103">
        <f>'FLUJO ANTERIOR 2 '!H13</f>
        <v>31008</v>
      </c>
      <c r="I13" s="103">
        <f>'FLUJO ANTERIOR 2 '!I13</f>
        <v>31008</v>
      </c>
      <c r="J13" s="111"/>
      <c r="K13" s="111"/>
      <c r="N13" s="111"/>
    </row>
    <row r="14" spans="1:17" ht="15">
      <c r="C14" s="100" t="s">
        <v>71</v>
      </c>
      <c r="D14" s="100"/>
      <c r="E14" s="103">
        <f>'FLUJO ANTERIOR 2 '!E14</f>
        <v>11856</v>
      </c>
      <c r="F14" s="103">
        <f>'FLUJO ANTERIOR 2 '!F14</f>
        <v>11974.56</v>
      </c>
      <c r="G14" s="103">
        <f>'FLUJO ANTERIOR 2 '!G14</f>
        <v>12094.3056</v>
      </c>
      <c r="H14" s="103">
        <f>'FLUJO ANTERIOR 2 '!H14</f>
        <v>12215.248656</v>
      </c>
      <c r="I14" s="103">
        <f>'FLUJO ANTERIOR 2 '!I14</f>
        <v>12337.40114256</v>
      </c>
      <c r="J14" s="111"/>
      <c r="K14" s="111"/>
      <c r="L14" s="118" t="s">
        <v>25</v>
      </c>
      <c r="M14" s="111" t="s">
        <v>26</v>
      </c>
      <c r="N14" s="111"/>
      <c r="P14" s="106" t="s">
        <v>27</v>
      </c>
      <c r="Q14" s="119">
        <v>8.0400000000000003E-3</v>
      </c>
    </row>
    <row r="15" spans="1:17" ht="15">
      <c r="C15" s="100" t="s">
        <v>24</v>
      </c>
      <c r="D15" s="100"/>
      <c r="E15" s="103">
        <f>'FLUJO ANTERIOR 2 '!E15+9770</f>
        <v>31326.62</v>
      </c>
      <c r="F15" s="103">
        <f>E15</f>
        <v>31326.62</v>
      </c>
      <c r="G15" s="103">
        <f t="shared" ref="G15:I15" si="1">F15</f>
        <v>31326.62</v>
      </c>
      <c r="H15" s="103">
        <f t="shared" si="1"/>
        <v>31326.62</v>
      </c>
      <c r="I15" s="103">
        <f t="shared" si="1"/>
        <v>31326.62</v>
      </c>
      <c r="J15" s="120"/>
      <c r="K15" s="120"/>
      <c r="L15" s="121" t="s">
        <v>25</v>
      </c>
      <c r="M15" s="122">
        <f>Q14+M8*(Q15)+Q16</f>
        <v>0.16775584254590736</v>
      </c>
      <c r="N15" s="120"/>
      <c r="P15" s="106" t="s">
        <v>29</v>
      </c>
      <c r="Q15" s="110">
        <v>0.09</v>
      </c>
    </row>
    <row r="16" spans="1:17" ht="15">
      <c r="C16" s="82" t="s">
        <v>28</v>
      </c>
      <c r="D16" s="100"/>
      <c r="E16" s="114">
        <f>E10-SUM(E12:E15)</f>
        <v>213079.6133</v>
      </c>
      <c r="F16" s="123">
        <f>F10-SUM(F12:F15)</f>
        <v>241705.45429700008</v>
      </c>
      <c r="G16" s="123">
        <f>G10-SUM(G12:G15)</f>
        <v>272917.10578373005</v>
      </c>
      <c r="H16" s="123">
        <f>H10-SUM(H12:H15)</f>
        <v>306947.3855522658</v>
      </c>
      <c r="I16" s="123">
        <f>I10-SUM(I12:I15)</f>
        <v>344050.0659444498</v>
      </c>
      <c r="J16" s="85"/>
      <c r="K16" s="120"/>
      <c r="N16" s="120"/>
      <c r="P16" s="106" t="s">
        <v>31</v>
      </c>
      <c r="Q16" s="113">
        <v>8.1500000000000003E-2</v>
      </c>
    </row>
    <row r="17" spans="3:14" ht="15">
      <c r="C17" s="82" t="s">
        <v>30</v>
      </c>
      <c r="D17" s="100"/>
      <c r="E17" s="117"/>
      <c r="F17" s="117"/>
      <c r="G17" s="117"/>
      <c r="H17" s="117"/>
      <c r="I17" s="117"/>
      <c r="J17" s="85"/>
      <c r="K17" s="111"/>
      <c r="L17" s="111"/>
      <c r="M17" s="111"/>
      <c r="N17" s="111"/>
    </row>
    <row r="18" spans="3:14">
      <c r="C18" s="100" t="s">
        <v>32</v>
      </c>
      <c r="E18" s="124">
        <f>'FLUJO ANTERIOR 2 '!E18+4140</f>
        <v>9196.7999999999993</v>
      </c>
      <c r="F18" s="124">
        <f>'FLUJO ANTERIOR 2 '!F18+3461.88</f>
        <v>7690.39</v>
      </c>
      <c r="G18" s="124">
        <f>'FLUJO ANTERIOR 2 '!G18+2715.94</f>
        <v>6033.33</v>
      </c>
      <c r="H18" s="124">
        <f>'FLUJO ANTERIOR 2 '!H18+1895.42</f>
        <v>4210.58</v>
      </c>
      <c r="I18" s="124">
        <f>'FLUJO ANTERIOR 2 '!I18+992.84</f>
        <v>2205.54</v>
      </c>
      <c r="J18" s="85"/>
      <c r="K18" s="111"/>
      <c r="L18" s="111"/>
      <c r="M18" s="111"/>
      <c r="N18" s="111"/>
    </row>
    <row r="19" spans="3:14" ht="15">
      <c r="C19" s="82" t="s">
        <v>33</v>
      </c>
      <c r="D19" s="106"/>
      <c r="E19" s="125">
        <f>E16-E18</f>
        <v>203882.81330000001</v>
      </c>
      <c r="F19" s="125">
        <f t="shared" ref="F19:I19" si="2">F16-F18</f>
        <v>234015.06429700006</v>
      </c>
      <c r="G19" s="125">
        <f t="shared" si="2"/>
        <v>266883.77578373003</v>
      </c>
      <c r="H19" s="125">
        <f t="shared" si="2"/>
        <v>302736.80555226578</v>
      </c>
      <c r="I19" s="125">
        <f t="shared" si="2"/>
        <v>341844.52594444982</v>
      </c>
      <c r="J19" s="85"/>
      <c r="L19" s="100" t="s">
        <v>50</v>
      </c>
      <c r="M19" s="109">
        <v>278058.55</v>
      </c>
    </row>
    <row r="20" spans="3:14">
      <c r="C20" s="100" t="s">
        <v>34</v>
      </c>
      <c r="D20" s="100"/>
      <c r="E20" s="117">
        <f>E19*0.15</f>
        <v>30582.421995000001</v>
      </c>
      <c r="F20" s="117">
        <f>F19*0.15</f>
        <v>35102.259644550009</v>
      </c>
      <c r="G20" s="117">
        <f>G19*0.15</f>
        <v>40032.566367559506</v>
      </c>
      <c r="H20" s="117">
        <f>H19*0.15</f>
        <v>45410.520832839866</v>
      </c>
      <c r="I20" s="117">
        <f>I19*0.15</f>
        <v>51276.67889166747</v>
      </c>
      <c r="J20" s="85"/>
      <c r="L20" s="100" t="s">
        <v>51</v>
      </c>
      <c r="M20" s="100">
        <v>42928.480000000003</v>
      </c>
    </row>
    <row r="21" spans="3:14" ht="15">
      <c r="C21" s="87" t="s">
        <v>35</v>
      </c>
      <c r="D21" s="100"/>
      <c r="E21" s="125">
        <f>E19-E20</f>
        <v>173300.391305</v>
      </c>
      <c r="F21" s="125">
        <f>F19-F20</f>
        <v>198912.80465245005</v>
      </c>
      <c r="G21" s="125">
        <f>G19-G20</f>
        <v>226851.20941617052</v>
      </c>
      <c r="H21" s="125">
        <f>H19-H20</f>
        <v>257326.28471942592</v>
      </c>
      <c r="I21" s="125">
        <f>I19-I20</f>
        <v>290567.84705278237</v>
      </c>
    </row>
    <row r="22" spans="3:14" ht="15">
      <c r="C22" s="100" t="s">
        <v>36</v>
      </c>
      <c r="D22" s="100"/>
      <c r="E22" s="117">
        <f>E21*0.23</f>
        <v>39859.090000149998</v>
      </c>
      <c r="F22" s="117">
        <f>F21*0.23</f>
        <v>45749.945070063513</v>
      </c>
      <c r="G22" s="117">
        <f>G21*0.23</f>
        <v>52175.778165719224</v>
      </c>
      <c r="H22" s="117">
        <f>H21*0.23</f>
        <v>59185.045485467963</v>
      </c>
      <c r="I22" s="117">
        <f>I21*0.23</f>
        <v>66830.604822139954</v>
      </c>
      <c r="L22" s="99" t="s">
        <v>16</v>
      </c>
      <c r="M22" s="99">
        <f>M20/M19</f>
        <v>0.15438647723653887</v>
      </c>
    </row>
    <row r="23" spans="3:14" ht="15">
      <c r="C23" s="82" t="s">
        <v>37</v>
      </c>
      <c r="D23" s="100"/>
      <c r="E23" s="125">
        <f>E21-E22</f>
        <v>133441.30130485</v>
      </c>
      <c r="F23" s="125">
        <f>F21-F22</f>
        <v>153162.85958238653</v>
      </c>
      <c r="G23" s="125">
        <f>G21-G22</f>
        <v>174675.43125045131</v>
      </c>
      <c r="H23" s="125">
        <f>H21-H22</f>
        <v>198141.23923395795</v>
      </c>
      <c r="I23" s="125">
        <f>I21-I22</f>
        <v>223737.24223064241</v>
      </c>
    </row>
    <row r="24" spans="3:14">
      <c r="C24" s="88" t="s">
        <v>38</v>
      </c>
      <c r="D24" s="89"/>
      <c r="E24" s="90"/>
      <c r="F24" s="90"/>
      <c r="G24" s="90"/>
      <c r="H24" s="90"/>
      <c r="I24" s="90"/>
    </row>
    <row r="25" spans="3:14">
      <c r="C25" s="88" t="s">
        <v>39</v>
      </c>
      <c r="D25" s="89"/>
      <c r="E25" s="91">
        <f>E15</f>
        <v>31326.62</v>
      </c>
      <c r="F25" s="91">
        <f t="shared" ref="F25:I25" si="3">F15</f>
        <v>31326.62</v>
      </c>
      <c r="G25" s="91">
        <f t="shared" si="3"/>
        <v>31326.62</v>
      </c>
      <c r="H25" s="91">
        <f t="shared" si="3"/>
        <v>31326.62</v>
      </c>
      <c r="I25" s="91">
        <f t="shared" si="3"/>
        <v>31326.62</v>
      </c>
    </row>
    <row r="26" spans="3:14">
      <c r="C26" s="88" t="s">
        <v>40</v>
      </c>
      <c r="D26" s="117">
        <f>'FLUJO ANTERIOR 2 '!D26-69000</f>
        <v>-119568</v>
      </c>
      <c r="E26" s="126"/>
      <c r="F26" s="126"/>
      <c r="G26" s="126"/>
      <c r="H26" s="126"/>
      <c r="I26" s="126"/>
    </row>
    <row r="27" spans="3:14">
      <c r="C27" s="88" t="s">
        <v>41</v>
      </c>
      <c r="D27" s="117">
        <f>'FLUJO ANTERIOR 2 '!D27+41400</f>
        <v>91968</v>
      </c>
      <c r="E27" s="126"/>
      <c r="F27" s="126"/>
      <c r="G27" s="126"/>
      <c r="H27" s="126"/>
      <c r="I27" s="126"/>
    </row>
    <row r="28" spans="3:14">
      <c r="C28" s="88" t="s">
        <v>42</v>
      </c>
      <c r="D28" s="126"/>
      <c r="E28" s="124">
        <f>'FLUJO ANTERIOR 2 '!E28+-10921.22</f>
        <v>-24260.93</v>
      </c>
      <c r="F28" s="124">
        <f>E28</f>
        <v>-24260.93</v>
      </c>
      <c r="G28" s="124">
        <f t="shared" ref="G28:I28" si="4">F28</f>
        <v>-24260.93</v>
      </c>
      <c r="H28" s="124">
        <f t="shared" si="4"/>
        <v>-24260.93</v>
      </c>
      <c r="I28" s="124">
        <f t="shared" si="4"/>
        <v>-24260.93</v>
      </c>
    </row>
    <row r="29" spans="3:14">
      <c r="C29" s="88" t="s">
        <v>43</v>
      </c>
      <c r="D29" s="117">
        <v>0</v>
      </c>
      <c r="E29" s="126"/>
      <c r="F29" s="126"/>
      <c r="G29" s="126"/>
      <c r="H29" s="126"/>
      <c r="I29" s="126"/>
    </row>
    <row r="30" spans="3:14">
      <c r="C30" s="88" t="s">
        <v>44</v>
      </c>
      <c r="D30" s="126"/>
      <c r="E30" s="126"/>
      <c r="F30" s="126"/>
      <c r="G30" s="126"/>
      <c r="H30" s="126"/>
      <c r="I30" s="117">
        <v>0</v>
      </c>
    </row>
    <row r="31" spans="3:14">
      <c r="C31" s="88" t="s">
        <v>45</v>
      </c>
      <c r="D31" s="126"/>
      <c r="E31" s="126"/>
      <c r="F31" s="126"/>
      <c r="G31" s="126"/>
      <c r="H31" s="126"/>
      <c r="I31" s="126">
        <f>16950+'FLUJO ANTERIOR 2 '!I31</f>
        <v>124733.1</v>
      </c>
    </row>
    <row r="32" spans="3:14" ht="15">
      <c r="C32" s="93" t="s">
        <v>46</v>
      </c>
      <c r="D32" s="127">
        <f>SUM(D26:D31)</f>
        <v>-27600</v>
      </c>
      <c r="E32" s="127">
        <f>SUM(E23:E31)</f>
        <v>140506.99130485</v>
      </c>
      <c r="F32" s="127">
        <f t="shared" ref="F32:H32" si="5">SUM(F23:F31)</f>
        <v>160228.54958238653</v>
      </c>
      <c r="G32" s="127">
        <f>SUM(G23:G31)</f>
        <v>181741.12125045131</v>
      </c>
      <c r="H32" s="127">
        <f t="shared" si="5"/>
        <v>205206.92923395796</v>
      </c>
      <c r="I32" s="127">
        <f>SUM(I23:I31)</f>
        <v>355536.03223064239</v>
      </c>
    </row>
    <row r="33" spans="1:9">
      <c r="D33" s="128"/>
      <c r="E33" s="128"/>
      <c r="F33" s="128"/>
      <c r="G33" s="128"/>
      <c r="H33" s="128"/>
      <c r="I33" s="128"/>
    </row>
    <row r="35" spans="1:9" ht="15">
      <c r="A35" s="120"/>
      <c r="B35" s="120"/>
      <c r="C35" s="121"/>
      <c r="D35" s="129"/>
      <c r="E35" s="120"/>
      <c r="F35" s="120"/>
      <c r="G35" s="130"/>
      <c r="H35" s="120"/>
      <c r="I35" s="120"/>
    </row>
    <row r="36" spans="1:9" ht="15">
      <c r="A36" s="120"/>
      <c r="B36" s="120"/>
      <c r="C36" s="121"/>
      <c r="D36" s="130"/>
      <c r="E36" s="120"/>
      <c r="F36" s="120"/>
      <c r="G36" s="120"/>
      <c r="H36" s="120"/>
      <c r="I36" s="120"/>
    </row>
    <row r="37" spans="1:9">
      <c r="A37" s="120"/>
      <c r="B37" s="120"/>
      <c r="C37" s="120"/>
      <c r="D37" s="120"/>
      <c r="E37" s="120"/>
      <c r="F37" s="120"/>
      <c r="G37" s="120"/>
      <c r="H37" s="120"/>
      <c r="I37" s="120"/>
    </row>
    <row r="38" spans="1:9">
      <c r="A38" s="120"/>
      <c r="B38" s="120"/>
      <c r="C38" s="120"/>
      <c r="D38" s="120"/>
      <c r="E38" s="120"/>
      <c r="F38" s="120"/>
      <c r="G38" s="120"/>
      <c r="H38" s="120"/>
      <c r="I38" s="120"/>
    </row>
    <row r="39" spans="1:9" ht="15">
      <c r="A39" s="120"/>
      <c r="B39" s="120"/>
      <c r="C39" s="96"/>
      <c r="D39" s="129"/>
      <c r="E39" s="129"/>
      <c r="F39" s="129"/>
      <c r="G39" s="129"/>
      <c r="H39" s="129"/>
      <c r="I39" s="129"/>
    </row>
    <row r="40" spans="1:9" ht="15">
      <c r="A40" s="120"/>
      <c r="B40" s="120"/>
      <c r="C40" s="96"/>
      <c r="D40" s="129"/>
      <c r="E40" s="129"/>
      <c r="F40" s="129"/>
      <c r="G40" s="129"/>
      <c r="H40" s="129"/>
      <c r="I40" s="129"/>
    </row>
    <row r="41" spans="1:9" ht="15">
      <c r="A41" s="120"/>
      <c r="B41" s="120"/>
      <c r="C41" s="96"/>
      <c r="D41" s="129"/>
      <c r="E41" s="129"/>
      <c r="F41" s="129"/>
      <c r="G41" s="129"/>
      <c r="H41" s="129"/>
      <c r="I41" s="129"/>
    </row>
    <row r="42" spans="1:9">
      <c r="A42" s="120"/>
      <c r="B42" s="120"/>
      <c r="C42" s="120"/>
      <c r="D42" s="120"/>
      <c r="E42" s="120"/>
      <c r="F42" s="120"/>
      <c r="G42" s="120"/>
      <c r="H42" s="120"/>
      <c r="I42" s="120"/>
    </row>
    <row r="43" spans="1:9" ht="15">
      <c r="A43" s="120"/>
      <c r="B43" s="120"/>
      <c r="C43" s="120"/>
      <c r="D43" s="120"/>
      <c r="E43" s="120"/>
      <c r="F43" s="121"/>
      <c r="G43" s="129"/>
      <c r="H43" s="120"/>
      <c r="I43" s="120"/>
    </row>
    <row r="45" spans="1:9">
      <c r="D45" s="98"/>
    </row>
  </sheetData>
  <mergeCells count="3">
    <mergeCell ref="L5:M5"/>
    <mergeCell ref="O5:P5"/>
    <mergeCell ref="C1:I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O45"/>
  <sheetViews>
    <sheetView workbookViewId="0">
      <selection sqref="A1:G1"/>
    </sheetView>
  </sheetViews>
  <sheetFormatPr baseColWidth="10" defaultRowHeight="15"/>
  <cols>
    <col min="1" max="1" width="43.5703125" bestFit="1" customWidth="1"/>
    <col min="2" max="2" width="11.140625" customWidth="1"/>
    <col min="3" max="3" width="12.140625" bestFit="1" customWidth="1"/>
    <col min="4" max="4" width="12.42578125" customWidth="1"/>
    <col min="5" max="5" width="12.140625" customWidth="1"/>
    <col min="6" max="6" width="12.85546875" customWidth="1"/>
    <col min="7" max="7" width="11.7109375" bestFit="1" customWidth="1"/>
    <col min="10" max="10" width="18.85546875" bestFit="1" customWidth="1"/>
    <col min="11" max="11" width="15.42578125" customWidth="1"/>
    <col min="13" max="13" width="12.85546875" customWidth="1"/>
    <col min="14" max="14" width="26.140625" customWidth="1"/>
  </cols>
  <sheetData>
    <row r="1" spans="1:15" ht="18.75">
      <c r="A1" s="271" t="s">
        <v>165</v>
      </c>
      <c r="B1" s="271"/>
      <c r="C1" s="271"/>
      <c r="D1" s="271"/>
      <c r="E1" s="271"/>
      <c r="F1" s="271"/>
      <c r="G1" s="271"/>
      <c r="I1" s="23"/>
      <c r="J1" s="23"/>
      <c r="K1" s="23"/>
      <c r="L1" s="23"/>
      <c r="M1" s="23"/>
      <c r="N1" s="23"/>
      <c r="O1" s="23"/>
    </row>
    <row r="2" spans="1:15">
      <c r="I2" s="23"/>
      <c r="J2" s="23"/>
      <c r="K2" s="23"/>
      <c r="L2" s="23"/>
      <c r="M2" s="23"/>
      <c r="N2" s="23"/>
      <c r="O2" s="23"/>
    </row>
    <row r="3" spans="1: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41"/>
      <c r="J3" s="23"/>
      <c r="K3" s="23"/>
      <c r="L3" s="23"/>
      <c r="M3" s="23"/>
      <c r="N3" s="23"/>
      <c r="O3" s="23"/>
    </row>
    <row r="4" spans="1:15">
      <c r="A4" s="15" t="s">
        <v>11</v>
      </c>
      <c r="B4" s="15"/>
      <c r="C4" s="36">
        <f>('FLUJO FLUJO NOSOTRAS'!E4-'FLUJO ANTERIOR 2 '!E4)*(1.05)</f>
        <v>26447.946524999985</v>
      </c>
      <c r="D4" s="37">
        <f>('FLUJO FLUJO NOSOTRAS'!F4-'FLUJO ANTERIOR 2 '!F4)*1.05</f>
        <v>28828.261712249972</v>
      </c>
      <c r="E4" s="37">
        <f>('FLUJO FLUJO NOSOTRAS'!G4-'FLUJO ANTERIOR 2 '!G4)*1.05</f>
        <v>31422.805266352469</v>
      </c>
      <c r="F4" s="37">
        <f>('FLUJO FLUJO NOSOTRAS'!H4-'FLUJO ANTERIOR 2 '!H4)*1.05</f>
        <v>34250.857740324216</v>
      </c>
      <c r="G4" s="37">
        <f>('FLUJO FLUJO NOSOTRAS'!I4-'FLUJO ANTERIOR 2 '!I4)*1.05</f>
        <v>37333.434936953439</v>
      </c>
      <c r="I4" s="23"/>
      <c r="J4" s="23"/>
      <c r="K4" s="23"/>
      <c r="L4" s="23"/>
      <c r="M4" s="23"/>
      <c r="N4" s="23"/>
      <c r="O4" s="23"/>
    </row>
    <row r="5" spans="1:15" ht="15" customHeight="1">
      <c r="A5" s="15" t="s">
        <v>12</v>
      </c>
      <c r="B5" s="15"/>
      <c r="C5" s="36"/>
      <c r="D5" s="37"/>
      <c r="E5" s="37"/>
      <c r="F5" s="37"/>
      <c r="G5" s="37"/>
      <c r="I5" s="23"/>
      <c r="J5" s="272"/>
      <c r="K5" s="272"/>
      <c r="L5" s="23"/>
      <c r="M5" s="273"/>
      <c r="N5" s="273"/>
      <c r="O5" s="42"/>
    </row>
    <row r="6" spans="1:15" ht="15" customHeight="1">
      <c r="A6" s="2" t="s">
        <v>66</v>
      </c>
      <c r="B6" s="15"/>
      <c r="C6" s="36">
        <f>'FLUJO FLUJO NOSOTRAS'!E6-'FLUJO ANTERIOR 2 '!E6</f>
        <v>2705.1628000000055</v>
      </c>
      <c r="D6" s="37">
        <f>'FLUJO FLUJO NOSOTRAS'!F6-'FLUJO ANTERIOR 2 '!F6</f>
        <v>2948.6274520000006</v>
      </c>
      <c r="E6" s="37">
        <f>'FLUJO FLUJO NOSOTRAS'!G6-'FLUJO ANTERIOR 2 '!G6</f>
        <v>3214.00392268</v>
      </c>
      <c r="F6" s="37">
        <f>'FLUJO FLUJO NOSOTRAS'!H6-'FLUJO ANTERIOR 2 '!H6</f>
        <v>3503.2642757212016</v>
      </c>
      <c r="G6" s="37">
        <f>'FLUJO FLUJO NOSOTRAS'!I6-'FLUJO ANTERIOR 2 '!I6</f>
        <v>3818.5580605361174</v>
      </c>
      <c r="I6" s="23"/>
      <c r="J6" s="51"/>
      <c r="K6" s="51"/>
      <c r="L6" s="23"/>
      <c r="M6" s="50"/>
      <c r="N6" s="50"/>
      <c r="O6" s="42"/>
    </row>
    <row r="7" spans="1:15" ht="15" customHeight="1">
      <c r="A7" s="2" t="s">
        <v>67</v>
      </c>
      <c r="B7" s="15"/>
      <c r="C7" s="36">
        <f>'FLUJO FLUJO NOSOTRAS'!E7-'FLUJO ANTERIOR 2 '!E7</f>
        <v>0</v>
      </c>
      <c r="D7" s="36">
        <f>'FLUJO FLUJO NOSOTRAS'!F7-'FLUJO ANTERIOR 2 '!F7</f>
        <v>0</v>
      </c>
      <c r="E7" s="36">
        <f>'FLUJO FLUJO NOSOTRAS'!G7-'FLUJO ANTERIOR 2 '!G7</f>
        <v>0</v>
      </c>
      <c r="F7" s="36">
        <f>'FLUJO FLUJO NOSOTRAS'!H7-'FLUJO ANTERIOR 2 '!H7</f>
        <v>0</v>
      </c>
      <c r="G7" s="36">
        <f>'FLUJO FLUJO NOSOTRAS'!I7-'FLUJO ANTERIOR 2 '!I7</f>
        <v>0</v>
      </c>
      <c r="I7" s="23"/>
      <c r="J7" s="51"/>
      <c r="K7" s="51"/>
      <c r="L7" s="23"/>
      <c r="M7" s="50"/>
      <c r="N7" s="50"/>
      <c r="O7" s="42"/>
    </row>
    <row r="8" spans="1:15" ht="15" customHeight="1">
      <c r="A8" s="2" t="s">
        <v>68</v>
      </c>
      <c r="B8" s="15"/>
      <c r="C8" s="36"/>
      <c r="D8" s="37"/>
      <c r="E8" s="37"/>
      <c r="F8" s="37"/>
      <c r="G8" s="37"/>
      <c r="I8" s="23"/>
      <c r="J8" s="51"/>
      <c r="K8" s="51"/>
      <c r="L8" s="23"/>
      <c r="M8" s="50"/>
      <c r="N8" s="50"/>
      <c r="O8" s="42"/>
    </row>
    <row r="9" spans="1:15" ht="15" customHeight="1">
      <c r="A9" s="2" t="s">
        <v>69</v>
      </c>
      <c r="B9" s="15"/>
      <c r="C9" s="36">
        <f>'FLUJO FLUJO NOSOTRAS'!E9-'FLUJO ANTERIOR 2 '!E9</f>
        <v>372</v>
      </c>
      <c r="D9" s="36">
        <f>'FLUJO FLUJO NOSOTRAS'!F9-'FLUJO ANTERIOR 2 '!F9</f>
        <v>405.47999999999956</v>
      </c>
      <c r="E9" s="36">
        <f>'FLUJO FLUJO NOSOTRAS'!G9-'FLUJO ANTERIOR 2 '!G9</f>
        <v>441.97320000000036</v>
      </c>
      <c r="F9" s="36">
        <f>'FLUJO FLUJO NOSOTRAS'!H9-'FLUJO ANTERIOR 2 '!H9</f>
        <v>481.75078800000119</v>
      </c>
      <c r="G9" s="36">
        <f>'FLUJO FLUJO NOSOTRAS'!I9-'FLUJO ANTERIOR 2 '!I9</f>
        <v>525.10835892000068</v>
      </c>
      <c r="I9" s="23"/>
      <c r="J9" s="51"/>
      <c r="K9" s="51"/>
      <c r="L9" s="23"/>
      <c r="M9" s="50"/>
      <c r="N9" s="50"/>
      <c r="O9" s="42"/>
    </row>
    <row r="10" spans="1:15">
      <c r="A10" s="33" t="s">
        <v>15</v>
      </c>
      <c r="B10" s="15"/>
      <c r="C10" s="38">
        <f>C4-C6-C7-C9</f>
        <v>23370.783724999979</v>
      </c>
      <c r="D10" s="38">
        <f t="shared" ref="D10:G10" si="0">D4-D6-D7-D9</f>
        <v>25474.154260249972</v>
      </c>
      <c r="E10" s="38">
        <f t="shared" si="0"/>
        <v>27766.828143672468</v>
      </c>
      <c r="F10" s="38">
        <f t="shared" si="0"/>
        <v>30265.842676603013</v>
      </c>
      <c r="G10" s="38">
        <f t="shared" si="0"/>
        <v>32989.768517497323</v>
      </c>
      <c r="I10" s="23"/>
      <c r="J10" s="41"/>
      <c r="K10" s="43"/>
      <c r="L10" s="23"/>
      <c r="M10" s="6"/>
      <c r="N10" s="44"/>
      <c r="O10" s="23"/>
    </row>
    <row r="11" spans="1:15">
      <c r="A11" s="15" t="s">
        <v>18</v>
      </c>
      <c r="B11" s="34"/>
      <c r="C11" s="36"/>
      <c r="D11" s="37"/>
      <c r="E11" s="37"/>
      <c r="F11" s="37"/>
      <c r="G11" s="37"/>
      <c r="I11" s="23"/>
      <c r="J11" s="41"/>
      <c r="K11" s="24"/>
      <c r="L11" s="23"/>
      <c r="M11" s="6"/>
      <c r="N11" s="44"/>
      <c r="O11" s="23"/>
    </row>
    <row r="12" spans="1:15">
      <c r="A12" s="15" t="s">
        <v>23</v>
      </c>
      <c r="B12" s="15"/>
      <c r="C12" s="20">
        <f>'FLUJO FLUJO NOSOTRAS'!E12-'FLUJO ANTERIOR 2 '!E12</f>
        <v>512.14440000000104</v>
      </c>
      <c r="D12" s="20">
        <f>'FLUJO FLUJO NOSOTRAS'!F12-'FLUJO ANTERIOR 2 '!F12</f>
        <v>558.23739600000044</v>
      </c>
      <c r="E12" s="20">
        <f>'FLUJO FLUJO NOSOTRAS'!G12-'FLUJO ANTERIOR 2 '!G12</f>
        <v>608.47876164000081</v>
      </c>
      <c r="F12" s="20">
        <f>'FLUJO FLUJO NOSOTRAS'!H12-'FLUJO ANTERIOR 2 '!H12</f>
        <v>663.24185018760181</v>
      </c>
      <c r="G12" s="20">
        <f>'FLUJO FLUJO NOSOTRAS'!I12-'FLUJO ANTERIOR 2 '!I12</f>
        <v>722.93361670448576</v>
      </c>
      <c r="H12" s="5"/>
      <c r="I12" s="5"/>
      <c r="J12" s="23"/>
      <c r="K12" s="23"/>
      <c r="L12" s="5"/>
      <c r="M12" s="6"/>
      <c r="N12" s="24"/>
      <c r="O12" s="23"/>
    </row>
    <row r="13" spans="1:15" ht="14.25" customHeight="1">
      <c r="A13" s="15" t="s">
        <v>70</v>
      </c>
      <c r="B13" s="15"/>
      <c r="C13" s="36">
        <f>'FLUJO FLUJO NOSOTRAS'!E13-'FLUJO ANTERIOR 2 '!E13</f>
        <v>0</v>
      </c>
      <c r="D13" s="36">
        <f>'FLUJO FLUJO NOSOTRAS'!F13-'FLUJO ANTERIOR 2 '!F13</f>
        <v>0</v>
      </c>
      <c r="E13" s="36">
        <f>'FLUJO FLUJO NOSOTRAS'!G13-'FLUJO ANTERIOR 2 '!G13</f>
        <v>0</v>
      </c>
      <c r="F13" s="36">
        <f>'FLUJO FLUJO NOSOTRAS'!H13-'FLUJO ANTERIOR 2 '!H13</f>
        <v>0</v>
      </c>
      <c r="G13" s="36">
        <f>'FLUJO FLUJO NOSOTRAS'!I13-'FLUJO ANTERIOR 2 '!I13</f>
        <v>0</v>
      </c>
      <c r="H13" s="5"/>
      <c r="I13" s="5"/>
      <c r="J13" s="23"/>
      <c r="K13" s="23"/>
      <c r="L13" s="5"/>
      <c r="M13" s="6"/>
      <c r="N13" s="46"/>
      <c r="O13" s="23"/>
    </row>
    <row r="14" spans="1:15">
      <c r="A14" s="15" t="s">
        <v>71</v>
      </c>
      <c r="B14" s="15"/>
      <c r="C14" s="36">
        <f>'FLUJO FLUJO NOSOTRAS'!E14-'FLUJO ANTERIOR 2 '!E14</f>
        <v>0</v>
      </c>
      <c r="D14" s="36">
        <f>'FLUJO FLUJO NOSOTRAS'!F14-'FLUJO ANTERIOR 2 '!F14</f>
        <v>0</v>
      </c>
      <c r="E14" s="36">
        <f>'FLUJO FLUJO NOSOTRAS'!G14-'FLUJO ANTERIOR 2 '!G14</f>
        <v>0</v>
      </c>
      <c r="F14" s="36">
        <f>'FLUJO FLUJO NOSOTRAS'!H14-'FLUJO ANTERIOR 2 '!H14</f>
        <v>0</v>
      </c>
      <c r="G14" s="36">
        <f>'FLUJO FLUJO NOSOTRAS'!I14-'FLUJO ANTERIOR 2 '!I14</f>
        <v>0</v>
      </c>
      <c r="H14" s="5"/>
      <c r="I14" s="47"/>
      <c r="J14" s="23"/>
      <c r="K14" s="23"/>
      <c r="L14" s="5"/>
      <c r="M14" s="23"/>
      <c r="N14" s="23"/>
      <c r="O14" s="23"/>
    </row>
    <row r="15" spans="1:15">
      <c r="A15" s="15" t="s">
        <v>24</v>
      </c>
      <c r="B15" s="15"/>
      <c r="C15" s="30">
        <f>'FLUJO FLUJO NOSOTRAS'!E15-'FLUJO ANTERIOR 2 '!E15</f>
        <v>9770</v>
      </c>
      <c r="D15" s="30">
        <f>'FLUJO FLUJO NOSOTRAS'!F15-'FLUJO ANTERIOR 2 '!F15</f>
        <v>9770</v>
      </c>
      <c r="E15" s="30">
        <f>'FLUJO FLUJO NOSOTRAS'!G15-'FLUJO ANTERIOR 2 '!G15</f>
        <v>9770</v>
      </c>
      <c r="F15" s="30">
        <f>'FLUJO FLUJO NOSOTRAS'!H15-'FLUJO ANTERIOR 2 '!H15</f>
        <v>9770</v>
      </c>
      <c r="G15" s="30">
        <f>'FLUJO FLUJO NOSOTRAS'!I15-'FLUJO ANTERIOR 2 '!I15</f>
        <v>9770</v>
      </c>
      <c r="H15" s="5"/>
      <c r="I15" s="5"/>
      <c r="J15" s="23"/>
      <c r="K15" s="23"/>
      <c r="L15" s="5"/>
      <c r="M15" s="23"/>
      <c r="N15" s="23"/>
      <c r="O15" s="23"/>
    </row>
    <row r="16" spans="1:15">
      <c r="A16" s="33" t="s">
        <v>28</v>
      </c>
      <c r="B16" s="15"/>
      <c r="C16" s="38">
        <f>C10-SUM(C12:C15)</f>
        <v>13088.639324999978</v>
      </c>
      <c r="D16" s="39">
        <f>D10-SUM(D12:D15)</f>
        <v>15145.916864249972</v>
      </c>
      <c r="E16" s="39">
        <f>E10-SUM(E12:E15)</f>
        <v>17388.349382032466</v>
      </c>
      <c r="F16" s="39">
        <f>F10-SUM(F12:F15)</f>
        <v>19832.600826415412</v>
      </c>
      <c r="G16" s="39">
        <f>G10-SUM(G12:G15)</f>
        <v>22496.834900792837</v>
      </c>
      <c r="H16" s="7"/>
      <c r="I16" s="7"/>
      <c r="J16" s="8"/>
      <c r="K16" s="9"/>
      <c r="L16" s="7"/>
      <c r="M16" s="23"/>
      <c r="N16" s="41"/>
      <c r="O16" s="24"/>
    </row>
    <row r="17" spans="1:15">
      <c r="A17" s="33" t="s">
        <v>30</v>
      </c>
      <c r="B17" s="15"/>
      <c r="C17" s="20"/>
      <c r="D17" s="20"/>
      <c r="E17" s="20"/>
      <c r="F17" s="20"/>
      <c r="G17" s="20"/>
      <c r="H17" s="10"/>
      <c r="I17" s="7"/>
      <c r="J17" s="23"/>
      <c r="K17" s="23"/>
      <c r="L17" s="7"/>
      <c r="M17" s="23"/>
      <c r="N17" s="41"/>
      <c r="O17" s="45"/>
    </row>
    <row r="18" spans="1:15">
      <c r="A18" s="15" t="s">
        <v>32</v>
      </c>
      <c r="B18" s="22"/>
      <c r="C18" s="31">
        <f>'FLUJO FLUJO NOSOTRAS'!E18-'FLUJO ANTERIOR 2 '!E18</f>
        <v>4139.9999999999991</v>
      </c>
      <c r="D18" s="31">
        <f>'FLUJO FLUJO NOSOTRAS'!F18-'FLUJO ANTERIOR 2 '!F18</f>
        <v>3461.88</v>
      </c>
      <c r="E18" s="31">
        <f>'FLUJO FLUJO NOSOTRAS'!G18-'FLUJO ANTERIOR 2 '!G18</f>
        <v>2715.94</v>
      </c>
      <c r="F18" s="31">
        <f>'FLUJO FLUJO NOSOTRAS'!H18-'FLUJO ANTERIOR 2 '!H18</f>
        <v>1895.42</v>
      </c>
      <c r="G18" s="31">
        <f>'FLUJO FLUJO NOSOTRAS'!I18-'FLUJO ANTERIOR 2 '!I18</f>
        <v>992.83999999999992</v>
      </c>
      <c r="H18" s="10"/>
      <c r="I18" s="5"/>
      <c r="J18" s="5"/>
      <c r="K18" s="5"/>
      <c r="L18" s="5"/>
      <c r="M18" s="23"/>
      <c r="N18" s="23"/>
      <c r="O18" s="23"/>
    </row>
    <row r="19" spans="1:15">
      <c r="A19" s="33" t="s">
        <v>33</v>
      </c>
      <c r="B19" s="35"/>
      <c r="C19" s="40">
        <f>C16-C18</f>
        <v>8948.6393249999783</v>
      </c>
      <c r="D19" s="40">
        <f t="shared" ref="D19:G19" si="1">D16-D18</f>
        <v>11684.036864249971</v>
      </c>
      <c r="E19" s="40">
        <f t="shared" si="1"/>
        <v>14672.409382032465</v>
      </c>
      <c r="F19" s="40">
        <f t="shared" si="1"/>
        <v>17937.18082641541</v>
      </c>
      <c r="G19" s="40">
        <f t="shared" si="1"/>
        <v>21503.994900792837</v>
      </c>
      <c r="H19" s="10"/>
      <c r="I19" s="23"/>
      <c r="J19" s="23"/>
      <c r="K19" s="44"/>
      <c r="L19" s="23"/>
      <c r="M19" s="23"/>
      <c r="N19" s="23"/>
      <c r="O19" s="23"/>
    </row>
    <row r="20" spans="1:15">
      <c r="A20" s="15" t="s">
        <v>34</v>
      </c>
      <c r="B20" s="15"/>
      <c r="C20" s="20">
        <f>C19*0.15</f>
        <v>1342.2958987499967</v>
      </c>
      <c r="D20" s="20">
        <f t="shared" ref="D20:G20" si="2">D19*0.15</f>
        <v>1752.6055296374955</v>
      </c>
      <c r="E20" s="20">
        <f t="shared" si="2"/>
        <v>2200.8614073048698</v>
      </c>
      <c r="F20" s="20">
        <f t="shared" si="2"/>
        <v>2690.5771239623114</v>
      </c>
      <c r="G20" s="20">
        <f t="shared" si="2"/>
        <v>3225.5992351189257</v>
      </c>
      <c r="H20" s="10"/>
      <c r="I20" s="23"/>
      <c r="J20" s="23"/>
      <c r="K20" s="23"/>
      <c r="L20" s="23"/>
      <c r="M20" s="23"/>
      <c r="N20" s="23"/>
      <c r="O20" s="23"/>
    </row>
    <row r="21" spans="1:15">
      <c r="A21" s="11" t="s">
        <v>35</v>
      </c>
      <c r="B21" s="15"/>
      <c r="C21" s="40">
        <f>C19-C20</f>
        <v>7606.3434262499813</v>
      </c>
      <c r="D21" s="40">
        <f t="shared" ref="D21:G21" si="3">D19-D20</f>
        <v>9931.4313346124745</v>
      </c>
      <c r="E21" s="40">
        <f t="shared" si="3"/>
        <v>12471.547974727595</v>
      </c>
      <c r="F21" s="40">
        <f t="shared" si="3"/>
        <v>15246.603702453098</v>
      </c>
      <c r="G21" s="40">
        <f t="shared" si="3"/>
        <v>18278.39566567391</v>
      </c>
      <c r="I21" s="23"/>
      <c r="J21" s="23"/>
      <c r="K21" s="23"/>
      <c r="L21" s="23"/>
      <c r="M21" s="23"/>
      <c r="N21" s="23"/>
      <c r="O21" s="23"/>
    </row>
    <row r="22" spans="1:15">
      <c r="A22" s="15" t="s">
        <v>36</v>
      </c>
      <c r="B22" s="15"/>
      <c r="C22" s="20">
        <f>C21*0.23</f>
        <v>1749.4589880374958</v>
      </c>
      <c r="D22" s="20">
        <f>D21*0.23</f>
        <v>2284.2292069608693</v>
      </c>
      <c r="E22" s="20">
        <f>E21*0.23</f>
        <v>2868.4560341873471</v>
      </c>
      <c r="F22" s="20">
        <f>F21*0.23</f>
        <v>3506.7188515642129</v>
      </c>
      <c r="G22" s="20">
        <f>G21*0.23</f>
        <v>4204.0310031049994</v>
      </c>
      <c r="I22" s="23"/>
      <c r="J22" s="41"/>
      <c r="K22" s="41"/>
      <c r="L22" s="23"/>
      <c r="M22" s="23"/>
      <c r="N22" s="23"/>
      <c r="O22" s="23"/>
    </row>
    <row r="23" spans="1:15">
      <c r="A23" s="33" t="s">
        <v>37</v>
      </c>
      <c r="B23" s="15"/>
      <c r="C23" s="40">
        <f>C21-C22</f>
        <v>5856.8844382124853</v>
      </c>
      <c r="D23" s="40">
        <f>D21-D22</f>
        <v>7647.2021276516052</v>
      </c>
      <c r="E23" s="40">
        <f>E21-E22</f>
        <v>9603.0919405402474</v>
      </c>
      <c r="F23" s="40">
        <f>F21-F22</f>
        <v>11739.884850888884</v>
      </c>
      <c r="G23" s="40">
        <f>G21-G22</f>
        <v>14074.364662568911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20">
        <f>'FLUJO FLUJO NOSOTRAS'!D26-'FLUJO ANTERIOR 2 '!D26</f>
        <v>-69000</v>
      </c>
      <c r="C26" s="15"/>
      <c r="D26" s="15"/>
      <c r="E26" s="15"/>
      <c r="F26" s="15"/>
      <c r="G26" s="15"/>
    </row>
    <row r="27" spans="1:15">
      <c r="A27" s="12" t="s">
        <v>41</v>
      </c>
      <c r="B27" s="20">
        <f>'FLUJO FLUJO NOSOTRAS'!D27-'FLUJO ANTERIOR 2 '!D27</f>
        <v>41400</v>
      </c>
      <c r="C27" s="15"/>
      <c r="D27" s="15"/>
      <c r="E27" s="15"/>
      <c r="F27" s="15"/>
      <c r="G27" s="15"/>
    </row>
    <row r="28" spans="1:15">
      <c r="A28" s="12" t="s">
        <v>42</v>
      </c>
      <c r="B28" s="15"/>
      <c r="C28" s="31">
        <f>'FLUJO FLUJO NOSOTRAS'!E28-'FLUJO ANTERIOR 2 '!E28</f>
        <v>-10921.220000000001</v>
      </c>
      <c r="D28" s="31">
        <f>'FLUJO FLUJO NOSOTRAS'!F28-'FLUJO ANTERIOR 2 '!F28</f>
        <v>-10921.220000000001</v>
      </c>
      <c r="E28" s="31">
        <f>'FLUJO FLUJO NOSOTRAS'!G28-'FLUJO ANTERIOR 2 '!G28</f>
        <v>-10921.220000000001</v>
      </c>
      <c r="F28" s="31">
        <f>'FLUJO FLUJO NOSOTRAS'!H28-'FLUJO ANTERIOR 2 '!H28</f>
        <v>-10921.220000000001</v>
      </c>
      <c r="G28" s="31">
        <f>'FLUJO FLUJO NOSOTRAS'!I28-'FLUJO ANTERIOR 2 '!I28</f>
        <v>-10921.220000000001</v>
      </c>
    </row>
    <row r="29" spans="1:15">
      <c r="A29" s="12" t="s">
        <v>43</v>
      </c>
      <c r="B29" s="20">
        <f>'FLUJO FLUJO NOSOTRAS'!D29-'FLUJO ANTERIOR 2 '!D29</f>
        <v>0</v>
      </c>
      <c r="C29" s="15"/>
      <c r="D29" s="15"/>
      <c r="E29" s="15"/>
      <c r="F29" s="15"/>
      <c r="G29" s="15"/>
    </row>
    <row r="30" spans="1:15">
      <c r="A30" s="12" t="s">
        <v>44</v>
      </c>
      <c r="B30" s="15"/>
      <c r="C30" s="15"/>
      <c r="D30" s="15"/>
      <c r="E30" s="15"/>
      <c r="F30" s="15"/>
      <c r="G30" s="20">
        <f>'FLUJO FLUJO NOSOTRAS'!I30-'FLUJO ANTERIOR 2 '!I30</f>
        <v>0</v>
      </c>
    </row>
    <row r="31" spans="1:15">
      <c r="A31" s="12" t="s">
        <v>45</v>
      </c>
      <c r="B31" s="15"/>
      <c r="C31" s="15"/>
      <c r="D31" s="15"/>
      <c r="E31" s="15"/>
      <c r="F31" s="15"/>
      <c r="G31" s="48">
        <f>'FLUJO FLUJO NOSOTRAS'!I31-'FLUJO ANTERIOR 2 '!I31</f>
        <v>16950</v>
      </c>
      <c r="H31" s="22"/>
      <c r="I31" s="22"/>
      <c r="J31" s="22"/>
      <c r="K31" s="22"/>
      <c r="L31" s="22"/>
    </row>
    <row r="32" spans="1:15">
      <c r="A32" s="16" t="s">
        <v>46</v>
      </c>
      <c r="B32" s="17">
        <f>SUM(B26:B31)</f>
        <v>-27600</v>
      </c>
      <c r="C32" s="17">
        <f>SUM(C23:C31)</f>
        <v>4705.6644382124832</v>
      </c>
      <c r="D32" s="17">
        <f t="shared" ref="D32:F32" si="4">SUM(D23:D31)</f>
        <v>6495.982127651605</v>
      </c>
      <c r="E32" s="17">
        <f>SUM(E23:E31)</f>
        <v>8451.8719405402444</v>
      </c>
      <c r="F32" s="17">
        <f t="shared" si="4"/>
        <v>10588.664850888883</v>
      </c>
      <c r="G32" s="17">
        <f>SUM(G23:G31)</f>
        <v>29873.14466256891</v>
      </c>
    </row>
    <row r="33" spans="1:7">
      <c r="B33" s="18"/>
      <c r="C33" s="18"/>
      <c r="D33" s="18"/>
      <c r="E33" s="18"/>
      <c r="F33" s="18"/>
      <c r="G33" s="18"/>
    </row>
    <row r="35" spans="1:7">
      <c r="A35" s="4" t="s">
        <v>47</v>
      </c>
      <c r="B35" s="20">
        <f>NPV(K16,C32:G32)+B32</f>
        <v>32515.328019862121</v>
      </c>
      <c r="E35" s="19"/>
    </row>
    <row r="36" spans="1:7">
      <c r="A36" s="4" t="s">
        <v>48</v>
      </c>
      <c r="B36" s="74">
        <f>IRR(B32:G32)</f>
        <v>0.23379170050080994</v>
      </c>
    </row>
    <row r="37" spans="1:7">
      <c r="A37" s="4" t="s">
        <v>60</v>
      </c>
      <c r="B37" s="75">
        <v>0.1678</v>
      </c>
    </row>
    <row r="38" spans="1:7">
      <c r="A38" s="7"/>
      <c r="B38" s="7"/>
      <c r="C38" s="7"/>
      <c r="D38" s="7"/>
      <c r="E38" s="7"/>
      <c r="F38" s="7"/>
      <c r="G38" s="7"/>
    </row>
    <row r="39" spans="1:7">
      <c r="A39" s="52"/>
      <c r="B39" s="21"/>
      <c r="C39" s="21"/>
      <c r="D39" s="21"/>
      <c r="E39" s="21"/>
      <c r="F39" s="21"/>
      <c r="G39" s="21"/>
    </row>
    <row r="40" spans="1:7">
      <c r="A40" s="52"/>
      <c r="B40" s="54"/>
      <c r="C40" s="54"/>
      <c r="D40" s="54"/>
      <c r="E40" s="54"/>
      <c r="F40" s="54"/>
      <c r="G40" s="54"/>
    </row>
    <row r="41" spans="1:7">
      <c r="A41" s="52"/>
      <c r="B41" s="55"/>
      <c r="C41" s="55"/>
      <c r="D41" s="55"/>
      <c r="E41" s="55"/>
      <c r="F41" s="55"/>
      <c r="G41" s="55"/>
    </row>
    <row r="42" spans="1:7">
      <c r="A42" s="7"/>
      <c r="B42" s="53"/>
      <c r="C42" s="53"/>
      <c r="D42" s="53"/>
      <c r="E42" s="53"/>
      <c r="F42" s="53"/>
      <c r="G42" s="53"/>
    </row>
    <row r="43" spans="1:7">
      <c r="A43" s="7"/>
      <c r="B43" s="7"/>
      <c r="C43" s="7"/>
      <c r="D43" s="8"/>
      <c r="E43" s="21"/>
      <c r="F43" s="7"/>
      <c r="G43" s="7"/>
    </row>
    <row r="45" spans="1:7">
      <c r="B45" s="19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workbookViewId="0">
      <selection activeCell="D41" sqref="D41"/>
    </sheetView>
  </sheetViews>
  <sheetFormatPr baseColWidth="10" defaultRowHeight="14.25"/>
  <cols>
    <col min="1" max="1" width="43.5703125" style="97" bestFit="1" customWidth="1"/>
    <col min="2" max="16384" width="11.42578125" style="97"/>
  </cols>
  <sheetData>
    <row r="1" spans="1:7" ht="18">
      <c r="A1" s="258" t="s">
        <v>164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'!E4)*1.1</f>
        <v>27707.372549999985</v>
      </c>
      <c r="D4" s="101">
        <f>('FLUJO FLUJO NOSOTRAS'!F4-'FLUJO ANTERIOR 2 '!F4)*1.1</f>
        <v>30201.036079499972</v>
      </c>
      <c r="E4" s="101">
        <f>('FLUJO FLUJO NOSOTRAS'!G4-'FLUJO ANTERIOR 2 '!G4)*1.1</f>
        <v>32919.129326654969</v>
      </c>
      <c r="F4" s="101">
        <f>('FLUJO FLUJO NOSOTRAS'!H4-'FLUJO ANTERIOR 2 '!H4)*1.1</f>
        <v>35881.850966053942</v>
      </c>
      <c r="G4" s="101">
        <f>('FLUJO FLUJO NOSOTRAS'!I4-'FLUJO ANTERIOR 2 '!I4)*1.1</f>
        <v>39111.217552998838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24630.20974999998</v>
      </c>
      <c r="D10" s="114">
        <f t="shared" ref="D10:G10" si="0">D4-D6-D7-D9</f>
        <v>26846.928627499972</v>
      </c>
      <c r="E10" s="114">
        <f t="shared" si="0"/>
        <v>29263.152203974969</v>
      </c>
      <c r="F10" s="114">
        <f t="shared" si="0"/>
        <v>31896.835902332739</v>
      </c>
      <c r="G10" s="114">
        <f t="shared" si="0"/>
        <v>34767.551133542722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14348.065349999979</v>
      </c>
      <c r="D16" s="123">
        <f>D10-SUM(D12:D15)</f>
        <v>16518.691231499972</v>
      </c>
      <c r="E16" s="123">
        <f>E10-SUM(E12:E15)</f>
        <v>18884.67344233497</v>
      </c>
      <c r="F16" s="123">
        <f>F10-SUM(F12:F15)</f>
        <v>21463.594052145138</v>
      </c>
      <c r="G16" s="123">
        <f>G10-SUM(G12:G15)</f>
        <v>24274.617516838236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10208.065349999979</v>
      </c>
      <c r="D19" s="125">
        <f t="shared" ref="D19:G19" si="1">D16-D18</f>
        <v>13056.811231499971</v>
      </c>
      <c r="E19" s="125">
        <f t="shared" si="1"/>
        <v>16168.733442334969</v>
      </c>
      <c r="F19" s="125">
        <f t="shared" si="1"/>
        <v>19568.174052145136</v>
      </c>
      <c r="G19" s="125">
        <f t="shared" si="1"/>
        <v>23281.777516838236</v>
      </c>
    </row>
    <row r="20" spans="1:7">
      <c r="A20" s="126" t="s">
        <v>34</v>
      </c>
      <c r="B20" s="126"/>
      <c r="C20" s="117">
        <f>C19*0.15</f>
        <v>1531.2098024999968</v>
      </c>
      <c r="D20" s="117">
        <f t="shared" ref="D20:G20" si="2">D19*0.15</f>
        <v>1958.5216847249956</v>
      </c>
      <c r="E20" s="117">
        <f t="shared" si="2"/>
        <v>2425.3100163502454</v>
      </c>
      <c r="F20" s="117">
        <f t="shared" si="2"/>
        <v>2935.2261078217703</v>
      </c>
      <c r="G20" s="117">
        <f t="shared" si="2"/>
        <v>3492.2666275257352</v>
      </c>
    </row>
    <row r="21" spans="1:7" ht="15">
      <c r="A21" s="11" t="s">
        <v>35</v>
      </c>
      <c r="B21" s="126"/>
      <c r="C21" s="125">
        <f>C19-C20</f>
        <v>8676.8555474999812</v>
      </c>
      <c r="D21" s="125">
        <f t="shared" ref="D21:G21" si="3">D19-D20</f>
        <v>11098.289546774975</v>
      </c>
      <c r="E21" s="125">
        <f t="shared" si="3"/>
        <v>13743.423425984724</v>
      </c>
      <c r="F21" s="125">
        <f t="shared" si="3"/>
        <v>16632.947944323365</v>
      </c>
      <c r="G21" s="125">
        <f t="shared" si="3"/>
        <v>19789.5108893125</v>
      </c>
    </row>
    <row r="22" spans="1:7">
      <c r="A22" s="126" t="s">
        <v>36</v>
      </c>
      <c r="B22" s="126"/>
      <c r="C22" s="117">
        <f>C21*0.23</f>
        <v>1995.6767759249958</v>
      </c>
      <c r="D22" s="117">
        <f>D21*0.23</f>
        <v>2552.6065957582446</v>
      </c>
      <c r="E22" s="117">
        <f>E21*0.23</f>
        <v>3160.9873879764864</v>
      </c>
      <c r="F22" s="117">
        <f>F21*0.23</f>
        <v>3825.578027194374</v>
      </c>
      <c r="G22" s="117">
        <f>G21*0.23</f>
        <v>4551.5875045418752</v>
      </c>
    </row>
    <row r="23" spans="1:7" ht="15">
      <c r="A23" s="33" t="s">
        <v>37</v>
      </c>
      <c r="B23" s="126"/>
      <c r="C23" s="125">
        <f>C21-C22</f>
        <v>6681.1787715749851</v>
      </c>
      <c r="D23" s="125">
        <f>D21-D22</f>
        <v>8545.6829510167299</v>
      </c>
      <c r="E23" s="125">
        <f>E21-E22</f>
        <v>10582.436038008236</v>
      </c>
      <c r="F23" s="125">
        <f>F21-F22</f>
        <v>12807.369917128992</v>
      </c>
      <c r="G23" s="125">
        <f>G21-G22</f>
        <v>15237.923384770624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5529.958771574984</v>
      </c>
      <c r="D32" s="127">
        <f t="shared" ref="D32:F32" si="4">SUM(D23:D31)</f>
        <v>7394.4629510167288</v>
      </c>
      <c r="E32" s="127">
        <f>SUM(E23:E31)</f>
        <v>9431.216038008235</v>
      </c>
      <c r="F32" s="127">
        <f t="shared" si="4"/>
        <v>11656.149917128991</v>
      </c>
      <c r="G32" s="127">
        <f>SUM(G23:G31)</f>
        <v>31036.703384770623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06" t="s">
        <v>47</v>
      </c>
      <c r="B35" s="117">
        <f>NPV(K16,C32:G32)+B32</f>
        <v>37448.491062499554</v>
      </c>
      <c r="E35" s="98"/>
    </row>
    <row r="36" spans="1:7" ht="15">
      <c r="A36" s="106" t="s">
        <v>48</v>
      </c>
      <c r="B36" s="181">
        <f>IRR(B32:G32)</f>
        <v>0.2675045649528911</v>
      </c>
    </row>
    <row r="37" spans="1:7" ht="15">
      <c r="A37" s="106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topLeftCell="A20" workbookViewId="0">
      <selection activeCell="C36" sqref="C36"/>
    </sheetView>
  </sheetViews>
  <sheetFormatPr baseColWidth="10" defaultColWidth="46.28515625" defaultRowHeight="14.25"/>
  <cols>
    <col min="1" max="16384" width="46.28515625" style="97"/>
  </cols>
  <sheetData>
    <row r="1" spans="1:7" ht="18">
      <c r="A1" s="258" t="s">
        <v>163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'!E4)*1.2</f>
        <v>30226.22459999998</v>
      </c>
      <c r="D4" s="101">
        <f>('FLUJO FLUJO NOSOTRAS'!F4-'FLUJO ANTERIOR 2 '!F4)*1.2</f>
        <v>32946.584813999965</v>
      </c>
      <c r="E4" s="101">
        <f>('FLUJO FLUJO NOSOTRAS'!G4-'FLUJO ANTERIOR 2 '!G4)*1.2</f>
        <v>35911.777447259963</v>
      </c>
      <c r="F4" s="101">
        <f>('FLUJO FLUJO NOSOTRAS'!H4-'FLUJO ANTERIOR 2 '!H4)*1.2</f>
        <v>39143.837417513387</v>
      </c>
      <c r="G4" s="101">
        <f>('FLUJO FLUJO NOSOTRAS'!I4-'FLUJO ANTERIOR 2 '!I4)*1.2</f>
        <v>42666.782785089636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27149.061799999974</v>
      </c>
      <c r="D10" s="114">
        <f t="shared" ref="D10:G10" si="0">D4-D6-D7-D9</f>
        <v>29592.477361999965</v>
      </c>
      <c r="E10" s="114">
        <f t="shared" si="0"/>
        <v>32255.800324579963</v>
      </c>
      <c r="F10" s="114">
        <f t="shared" si="0"/>
        <v>35158.822353792188</v>
      </c>
      <c r="G10" s="114">
        <f t="shared" si="0"/>
        <v>38323.116365633519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16866.917399999973</v>
      </c>
      <c r="D16" s="123">
        <f>D10-SUM(D12:D15)</f>
        <v>19264.239965999965</v>
      </c>
      <c r="E16" s="123">
        <f>E10-SUM(E12:E15)</f>
        <v>21877.321562939964</v>
      </c>
      <c r="F16" s="123">
        <f>F10-SUM(F12:F15)</f>
        <v>24725.580503604586</v>
      </c>
      <c r="G16" s="123">
        <f>G10-SUM(G12:G15)</f>
        <v>27830.182748929034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12726.917399999973</v>
      </c>
      <c r="D19" s="125">
        <f t="shared" ref="D19:G19" si="1">D16-D18</f>
        <v>15802.359965999964</v>
      </c>
      <c r="E19" s="125">
        <f t="shared" si="1"/>
        <v>19161.381562939965</v>
      </c>
      <c r="F19" s="125">
        <f t="shared" si="1"/>
        <v>22830.160503604588</v>
      </c>
      <c r="G19" s="125">
        <f t="shared" si="1"/>
        <v>26837.342748929033</v>
      </c>
    </row>
    <row r="20" spans="1:7">
      <c r="A20" s="126" t="s">
        <v>34</v>
      </c>
      <c r="B20" s="126"/>
      <c r="C20" s="117">
        <f>C19*0.15</f>
        <v>1909.0376099999958</v>
      </c>
      <c r="D20" s="117">
        <f t="shared" ref="D20:G20" si="2">D19*0.15</f>
        <v>2370.3539948999946</v>
      </c>
      <c r="E20" s="117">
        <f t="shared" si="2"/>
        <v>2874.2072344409949</v>
      </c>
      <c r="F20" s="117">
        <f t="shared" si="2"/>
        <v>3424.524075540688</v>
      </c>
      <c r="G20" s="117">
        <f t="shared" si="2"/>
        <v>4025.6014123393547</v>
      </c>
    </row>
    <row r="21" spans="1:7" ht="15">
      <c r="A21" s="11" t="s">
        <v>35</v>
      </c>
      <c r="B21" s="126"/>
      <c r="C21" s="125">
        <f>C19-C20</f>
        <v>10817.879789999977</v>
      </c>
      <c r="D21" s="125">
        <f t="shared" ref="D21:G21" si="3">D19-D20</f>
        <v>13432.005971099969</v>
      </c>
      <c r="E21" s="125">
        <f t="shared" si="3"/>
        <v>16287.17432849897</v>
      </c>
      <c r="F21" s="125">
        <f t="shared" si="3"/>
        <v>19405.636428063899</v>
      </c>
      <c r="G21" s="125">
        <f t="shared" si="3"/>
        <v>22811.741336589679</v>
      </c>
    </row>
    <row r="22" spans="1:7">
      <c r="A22" s="126" t="s">
        <v>36</v>
      </c>
      <c r="B22" s="126"/>
      <c r="C22" s="117">
        <f>C21*0.23</f>
        <v>2488.1123516999951</v>
      </c>
      <c r="D22" s="117">
        <f>D21*0.23</f>
        <v>3089.3613733529928</v>
      </c>
      <c r="E22" s="117">
        <f>E21*0.23</f>
        <v>3746.0500955547632</v>
      </c>
      <c r="F22" s="117">
        <f>F21*0.23</f>
        <v>4463.2963784546973</v>
      </c>
      <c r="G22" s="117">
        <f>G21*0.23</f>
        <v>5246.7005074156268</v>
      </c>
    </row>
    <row r="23" spans="1:7" ht="15">
      <c r="A23" s="33" t="s">
        <v>37</v>
      </c>
      <c r="B23" s="126"/>
      <c r="C23" s="125">
        <f>C21-C22</f>
        <v>8329.767438299983</v>
      </c>
      <c r="D23" s="125">
        <f>D21-D22</f>
        <v>10342.644597746976</v>
      </c>
      <c r="E23" s="125">
        <f>E21-E22</f>
        <v>12541.124232944207</v>
      </c>
      <c r="F23" s="125">
        <f>F21-F22</f>
        <v>14942.340049609202</v>
      </c>
      <c r="G23" s="125">
        <f>G21-G22</f>
        <v>17565.040829174053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7178.5474382999819</v>
      </c>
      <c r="D32" s="127">
        <f t="shared" ref="D32:F32" si="4">SUM(D23:D31)</f>
        <v>9191.4245977469764</v>
      </c>
      <c r="E32" s="127">
        <f>SUM(E23:E31)</f>
        <v>11389.904232944205</v>
      </c>
      <c r="F32" s="127">
        <f t="shared" si="4"/>
        <v>13791.120049609199</v>
      </c>
      <c r="G32" s="127">
        <f>SUM(G23:G31)</f>
        <v>33363.820829174052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47314.817147774418</v>
      </c>
      <c r="E35" s="98"/>
    </row>
    <row r="36" spans="1:7" ht="15">
      <c r="A36" s="177" t="s">
        <v>48</v>
      </c>
      <c r="B36" s="181">
        <f>IRR(B32:G32)</f>
        <v>0.33394869031319091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topLeftCell="A11" workbookViewId="0">
      <selection activeCell="H21" sqref="H21"/>
    </sheetView>
  </sheetViews>
  <sheetFormatPr baseColWidth="10" defaultColWidth="45.710937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5.7109375" style="97"/>
  </cols>
  <sheetData>
    <row r="1" spans="1:7" ht="18">
      <c r="A1" s="258" t="s">
        <v>162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'!E4)*1.3</f>
        <v>32745.076649999981</v>
      </c>
      <c r="D4" s="101">
        <f>('FLUJO FLUJO NOSOTRAS'!F4-'FLUJO ANTERIOR 2 '!F4)*1.3</f>
        <v>35692.133548499965</v>
      </c>
      <c r="E4" s="101">
        <f>('FLUJO FLUJO NOSOTRAS'!G4-'FLUJO ANTERIOR 2 '!G4)*1.3</f>
        <v>38904.425567864957</v>
      </c>
      <c r="F4" s="101">
        <f>('FLUJO FLUJO NOSOTRAS'!H4-'FLUJO ANTERIOR 2 '!H4)*1.3</f>
        <v>42405.823868972839</v>
      </c>
      <c r="G4" s="101">
        <f>('FLUJO FLUJO NOSOTRAS'!I4-'FLUJO ANTERIOR 2 '!I4)*1.3</f>
        <v>46222.348017180448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29667.913849999975</v>
      </c>
      <c r="D10" s="114">
        <f t="shared" ref="D10:G10" si="0">D4-D6-D7-D9</f>
        <v>32338.026096499965</v>
      </c>
      <c r="E10" s="114">
        <f t="shared" si="0"/>
        <v>35248.448445184957</v>
      </c>
      <c r="F10" s="114">
        <f t="shared" si="0"/>
        <v>38420.80880525164</v>
      </c>
      <c r="G10" s="114">
        <f t="shared" si="0"/>
        <v>41878.681597724331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19385.769449999974</v>
      </c>
      <c r="D16" s="123">
        <f>D10-SUM(D12:D15)</f>
        <v>22009.788700499965</v>
      </c>
      <c r="E16" s="123">
        <f>E10-SUM(E12:E15)</f>
        <v>24869.969683544958</v>
      </c>
      <c r="F16" s="123">
        <f>F10-SUM(F12:F15)</f>
        <v>27987.566955064038</v>
      </c>
      <c r="G16" s="123">
        <f>G10-SUM(G12:G15)</f>
        <v>31385.747981019846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15245.769449999974</v>
      </c>
      <c r="D19" s="125">
        <f t="shared" ref="D19:G19" si="1">D16-D18</f>
        <v>18547.908700499964</v>
      </c>
      <c r="E19" s="125">
        <f t="shared" si="1"/>
        <v>22154.029683544959</v>
      </c>
      <c r="F19" s="125">
        <f t="shared" si="1"/>
        <v>26092.14695506404</v>
      </c>
      <c r="G19" s="125">
        <f t="shared" si="1"/>
        <v>30392.907981019845</v>
      </c>
    </row>
    <row r="20" spans="1:7">
      <c r="A20" s="126" t="s">
        <v>34</v>
      </c>
      <c r="B20" s="126"/>
      <c r="C20" s="117">
        <f>C19*0.15</f>
        <v>2286.8654174999961</v>
      </c>
      <c r="D20" s="117">
        <f t="shared" ref="D20:G20" si="2">D19*0.15</f>
        <v>2782.1863050749944</v>
      </c>
      <c r="E20" s="117">
        <f t="shared" si="2"/>
        <v>3323.1044525317438</v>
      </c>
      <c r="F20" s="117">
        <f t="shared" si="2"/>
        <v>3913.8220432596058</v>
      </c>
      <c r="G20" s="117">
        <f t="shared" si="2"/>
        <v>4558.936197152977</v>
      </c>
    </row>
    <row r="21" spans="1:7" ht="15">
      <c r="A21" s="11" t="s">
        <v>35</v>
      </c>
      <c r="B21" s="126"/>
      <c r="C21" s="125">
        <f>C19-C20</f>
        <v>12958.904032499979</v>
      </c>
      <c r="D21" s="125">
        <f t="shared" ref="D21:G21" si="3">D19-D20</f>
        <v>15765.722395424969</v>
      </c>
      <c r="E21" s="125">
        <f t="shared" si="3"/>
        <v>18830.925231013214</v>
      </c>
      <c r="F21" s="125">
        <f t="shared" si="3"/>
        <v>22178.324911804433</v>
      </c>
      <c r="G21" s="125">
        <f t="shared" si="3"/>
        <v>25833.971783866869</v>
      </c>
    </row>
    <row r="22" spans="1:7">
      <c r="A22" s="126" t="s">
        <v>36</v>
      </c>
      <c r="B22" s="126"/>
      <c r="C22" s="117">
        <f>C21*0.23</f>
        <v>2980.547927474995</v>
      </c>
      <c r="D22" s="117">
        <f>D21*0.23</f>
        <v>3626.1161509477433</v>
      </c>
      <c r="E22" s="117">
        <f>E21*0.23</f>
        <v>4331.1128031330391</v>
      </c>
      <c r="F22" s="117">
        <f>F21*0.23</f>
        <v>5101.0147297150197</v>
      </c>
      <c r="G22" s="117">
        <f>G21*0.23</f>
        <v>5941.8135102893802</v>
      </c>
    </row>
    <row r="23" spans="1:7" ht="15">
      <c r="A23" s="33" t="s">
        <v>37</v>
      </c>
      <c r="B23" s="126"/>
      <c r="C23" s="125">
        <f>C21-C22</f>
        <v>9978.3561050249846</v>
      </c>
      <c r="D23" s="125">
        <f>D21-D22</f>
        <v>12139.606244477225</v>
      </c>
      <c r="E23" s="125">
        <f>E21-E22</f>
        <v>14499.812427880175</v>
      </c>
      <c r="F23" s="125">
        <f>F21-F22</f>
        <v>17077.310182089415</v>
      </c>
      <c r="G23" s="125">
        <f>G21-G22</f>
        <v>19892.15827357749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8827.1361050249834</v>
      </c>
      <c r="D32" s="127">
        <f t="shared" ref="D32:F32" si="4">SUM(D23:D31)</f>
        <v>10988.386244477224</v>
      </c>
      <c r="E32" s="127">
        <f>SUM(E23:E31)</f>
        <v>13348.592427880176</v>
      </c>
      <c r="F32" s="127">
        <f t="shared" si="4"/>
        <v>15926.090182089414</v>
      </c>
      <c r="G32" s="127">
        <f>SUM(G23:G31)</f>
        <v>35690.938273577485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57181.143233049283</v>
      </c>
      <c r="E35" s="98"/>
    </row>
    <row r="36" spans="1:7" ht="15">
      <c r="A36" s="177" t="s">
        <v>48</v>
      </c>
      <c r="B36" s="181">
        <f>IRR(B32:G32)</f>
        <v>0.39928151626604924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A1:O45"/>
  <sheetViews>
    <sheetView topLeftCell="A17" workbookViewId="0">
      <selection activeCell="A17" sqref="A1:XFD1048576"/>
    </sheetView>
  </sheetViews>
  <sheetFormatPr baseColWidth="10" defaultColWidth="45.7109375" defaultRowHeight="15"/>
  <cols>
    <col min="1" max="16384" width="45.7109375" style="76"/>
  </cols>
  <sheetData>
    <row r="1" spans="1:15">
      <c r="A1" s="274" t="s">
        <v>161</v>
      </c>
      <c r="B1" s="274"/>
      <c r="C1" s="274"/>
      <c r="D1" s="274"/>
      <c r="E1" s="274"/>
      <c r="F1" s="274"/>
      <c r="G1" s="274"/>
      <c r="I1" s="157"/>
      <c r="J1" s="157"/>
      <c r="K1" s="157"/>
      <c r="L1" s="157"/>
      <c r="M1" s="157"/>
      <c r="N1" s="157"/>
      <c r="O1" s="157"/>
    </row>
    <row r="2" spans="1:15">
      <c r="I2" s="157"/>
      <c r="J2" s="157"/>
      <c r="K2" s="157"/>
      <c r="L2" s="157"/>
      <c r="M2" s="157"/>
      <c r="N2" s="157"/>
      <c r="O2" s="157"/>
    </row>
    <row r="3" spans="1:15"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  <c r="I3" s="41"/>
      <c r="J3" s="157"/>
      <c r="K3" s="157"/>
      <c r="L3" s="157"/>
      <c r="M3" s="157"/>
      <c r="N3" s="157"/>
      <c r="O3" s="157"/>
    </row>
    <row r="4" spans="1:15">
      <c r="A4" s="92" t="s">
        <v>11</v>
      </c>
      <c r="B4" s="92"/>
      <c r="C4" s="80">
        <f>('FLUJO FLUJO NOSOTRAS'!E4-'FLUJO ANTERIOR 2 '!E4)*(0.95)</f>
        <v>23929.094474999984</v>
      </c>
      <c r="D4" s="79">
        <f>('FLUJO FLUJO NOSOTRAS'!F4-'FLUJO ANTERIOR 2 '!F4)*0.95</f>
        <v>26082.712977749972</v>
      </c>
      <c r="E4" s="79">
        <f>('FLUJO FLUJO NOSOTRAS'!G4-'FLUJO ANTERIOR 2 '!G4)*0.95</f>
        <v>28430.157145747467</v>
      </c>
      <c r="F4" s="79">
        <f>('FLUJO FLUJO NOSOTRAS'!H4-'FLUJO ANTERIOR 2 '!H4)*0.95</f>
        <v>30988.871288864764</v>
      </c>
      <c r="G4" s="79">
        <f>('FLUJO FLUJO NOSOTRAS'!I4-'FLUJO ANTERIOR 2 '!I4)*0.95</f>
        <v>33777.869704862627</v>
      </c>
      <c r="I4" s="157"/>
      <c r="J4" s="157"/>
      <c r="K4" s="157"/>
      <c r="L4" s="157"/>
      <c r="M4" s="157"/>
      <c r="N4" s="157"/>
      <c r="O4" s="157"/>
    </row>
    <row r="5" spans="1:15" ht="15" customHeight="1">
      <c r="A5" s="92" t="s">
        <v>12</v>
      </c>
      <c r="B5" s="92"/>
      <c r="C5" s="80"/>
      <c r="D5" s="79"/>
      <c r="E5" s="79"/>
      <c r="F5" s="79"/>
      <c r="G5" s="79"/>
      <c r="I5" s="157"/>
      <c r="J5" s="272"/>
      <c r="K5" s="272"/>
      <c r="L5" s="157"/>
      <c r="M5" s="273"/>
      <c r="N5" s="273"/>
      <c r="O5" s="42"/>
    </row>
    <row r="6" spans="1:15" ht="15" customHeight="1">
      <c r="A6" s="73" t="s">
        <v>66</v>
      </c>
      <c r="B6" s="92"/>
      <c r="C6" s="80">
        <f>'FLUJO FLUJO NOSOTRAS'!E6-'FLUJO ANTERIOR 2 '!E6</f>
        <v>2705.1628000000055</v>
      </c>
      <c r="D6" s="79">
        <f>'FLUJO FLUJO NOSOTRAS'!F6-'FLUJO ANTERIOR 2 '!F6</f>
        <v>2948.6274520000006</v>
      </c>
      <c r="E6" s="79">
        <f>'FLUJO FLUJO NOSOTRAS'!G6-'FLUJO ANTERIOR 2 '!G6</f>
        <v>3214.00392268</v>
      </c>
      <c r="F6" s="79">
        <f>'FLUJO FLUJO NOSOTRAS'!H6-'FLUJO ANTERIOR 2 '!H6</f>
        <v>3503.2642757212016</v>
      </c>
      <c r="G6" s="79">
        <f>'FLUJO FLUJO NOSOTRAS'!I6-'FLUJO ANTERIOR 2 '!I6</f>
        <v>3818.5580605361174</v>
      </c>
      <c r="I6" s="157"/>
      <c r="J6" s="72"/>
      <c r="K6" s="72"/>
      <c r="L6" s="157"/>
      <c r="M6" s="71"/>
      <c r="N6" s="71"/>
      <c r="O6" s="42"/>
    </row>
    <row r="7" spans="1:15" ht="15" customHeight="1">
      <c r="A7" s="73" t="s">
        <v>67</v>
      </c>
      <c r="B7" s="92"/>
      <c r="C7" s="80">
        <f>'FLUJO FLUJO NOSOTRAS'!E7-'FLUJO ANTERIOR 2 '!E7</f>
        <v>0</v>
      </c>
      <c r="D7" s="80">
        <f>'FLUJO FLUJO NOSOTRAS'!F7-'FLUJO ANTERIOR 2 '!F7</f>
        <v>0</v>
      </c>
      <c r="E7" s="80">
        <f>'FLUJO FLUJO NOSOTRAS'!G7-'FLUJO ANTERIOR 2 '!G7</f>
        <v>0</v>
      </c>
      <c r="F7" s="80">
        <f>'FLUJO FLUJO NOSOTRAS'!H7-'FLUJO ANTERIOR 2 '!H7</f>
        <v>0</v>
      </c>
      <c r="G7" s="80">
        <f>'FLUJO FLUJO NOSOTRAS'!I7-'FLUJO ANTERIOR 2 '!I7</f>
        <v>0</v>
      </c>
      <c r="I7" s="157"/>
      <c r="J7" s="72"/>
      <c r="K7" s="72"/>
      <c r="L7" s="157"/>
      <c r="M7" s="71"/>
      <c r="N7" s="71"/>
      <c r="O7" s="42"/>
    </row>
    <row r="8" spans="1:15" ht="15" customHeight="1">
      <c r="A8" s="73" t="s">
        <v>68</v>
      </c>
      <c r="B8" s="92"/>
      <c r="C8" s="80"/>
      <c r="D8" s="79"/>
      <c r="E8" s="79"/>
      <c r="F8" s="79"/>
      <c r="G8" s="79"/>
      <c r="I8" s="157"/>
      <c r="J8" s="72"/>
      <c r="K8" s="72"/>
      <c r="L8" s="157"/>
      <c r="M8" s="71"/>
      <c r="N8" s="71"/>
      <c r="O8" s="42"/>
    </row>
    <row r="9" spans="1:15" ht="15" customHeight="1">
      <c r="A9" s="73" t="s">
        <v>69</v>
      </c>
      <c r="B9" s="92"/>
      <c r="C9" s="80">
        <f>'FLUJO FLUJO NOSOTRAS'!E9-'FLUJO ANTERIOR 2 '!E9</f>
        <v>372</v>
      </c>
      <c r="D9" s="80">
        <f>'FLUJO FLUJO NOSOTRAS'!F9-'FLUJO ANTERIOR 2 '!F9</f>
        <v>405.47999999999956</v>
      </c>
      <c r="E9" s="80">
        <f>'FLUJO FLUJO NOSOTRAS'!G9-'FLUJO ANTERIOR 2 '!G9</f>
        <v>441.97320000000036</v>
      </c>
      <c r="F9" s="80">
        <f>'FLUJO FLUJO NOSOTRAS'!H9-'FLUJO ANTERIOR 2 '!H9</f>
        <v>481.75078800000119</v>
      </c>
      <c r="G9" s="80">
        <f>'FLUJO FLUJO NOSOTRAS'!I9-'FLUJO ANTERIOR 2 '!I9</f>
        <v>525.10835892000068</v>
      </c>
      <c r="I9" s="157"/>
      <c r="J9" s="72"/>
      <c r="K9" s="72"/>
      <c r="L9" s="157"/>
      <c r="M9" s="71"/>
      <c r="N9" s="71"/>
      <c r="O9" s="42"/>
    </row>
    <row r="10" spans="1:15">
      <c r="A10" s="253" t="s">
        <v>15</v>
      </c>
      <c r="B10" s="92"/>
      <c r="C10" s="38">
        <f>C4-C6-C7-C9</f>
        <v>20851.931674999978</v>
      </c>
      <c r="D10" s="38">
        <f t="shared" ref="D10:G10" si="0">D4-D6-D7-D9</f>
        <v>22728.605525749972</v>
      </c>
      <c r="E10" s="38">
        <f t="shared" si="0"/>
        <v>24774.180023067467</v>
      </c>
      <c r="F10" s="38">
        <f t="shared" si="0"/>
        <v>27003.856225143561</v>
      </c>
      <c r="G10" s="38">
        <f t="shared" si="0"/>
        <v>29434.203285406511</v>
      </c>
      <c r="I10" s="157"/>
      <c r="J10" s="41"/>
      <c r="K10" s="158"/>
      <c r="L10" s="157"/>
      <c r="M10" s="6"/>
      <c r="N10" s="159"/>
      <c r="O10" s="157"/>
    </row>
    <row r="11" spans="1:15">
      <c r="A11" s="92" t="s">
        <v>18</v>
      </c>
      <c r="B11" s="160"/>
      <c r="C11" s="80"/>
      <c r="D11" s="79"/>
      <c r="E11" s="79"/>
      <c r="F11" s="79"/>
      <c r="G11" s="79"/>
      <c r="I11" s="157"/>
      <c r="J11" s="41"/>
      <c r="K11" s="161"/>
      <c r="L11" s="157"/>
      <c r="M11" s="6"/>
      <c r="N11" s="159"/>
      <c r="O11" s="157"/>
    </row>
    <row r="12" spans="1:15">
      <c r="A12" s="92" t="s">
        <v>23</v>
      </c>
      <c r="B12" s="92"/>
      <c r="C12" s="83">
        <f>'FLUJO FLUJO NOSOTRAS'!E12-'FLUJO ANTERIOR 2 '!E12</f>
        <v>512.14440000000104</v>
      </c>
      <c r="D12" s="83">
        <f>'FLUJO FLUJO NOSOTRAS'!F12-'FLUJO ANTERIOR 2 '!F12</f>
        <v>558.23739600000044</v>
      </c>
      <c r="E12" s="83">
        <f>'FLUJO FLUJO NOSOTRAS'!G12-'FLUJO ANTERIOR 2 '!G12</f>
        <v>608.47876164000081</v>
      </c>
      <c r="F12" s="83">
        <f>'FLUJO FLUJO NOSOTRAS'!H12-'FLUJO ANTERIOR 2 '!H12</f>
        <v>663.24185018760181</v>
      </c>
      <c r="G12" s="83">
        <f>'FLUJO FLUJO NOSOTRAS'!I12-'FLUJO ANTERIOR 2 '!I12</f>
        <v>722.93361670448576</v>
      </c>
      <c r="H12" s="81"/>
      <c r="I12" s="81"/>
      <c r="J12" s="157"/>
      <c r="K12" s="157"/>
      <c r="L12" s="81"/>
      <c r="M12" s="6"/>
      <c r="N12" s="161"/>
      <c r="O12" s="157"/>
    </row>
    <row r="13" spans="1:15" ht="14.25" customHeight="1">
      <c r="A13" s="92" t="s">
        <v>70</v>
      </c>
      <c r="B13" s="92"/>
      <c r="C13" s="80">
        <f>'FLUJO FLUJO NOSOTRAS'!E13-'FLUJO ANTERIOR 2 '!E13</f>
        <v>0</v>
      </c>
      <c r="D13" s="80">
        <f>'FLUJO FLUJO NOSOTRAS'!F13-'FLUJO ANTERIOR 2 '!F13</f>
        <v>0</v>
      </c>
      <c r="E13" s="80">
        <f>'FLUJO FLUJO NOSOTRAS'!G13-'FLUJO ANTERIOR 2 '!G13</f>
        <v>0</v>
      </c>
      <c r="F13" s="80">
        <f>'FLUJO FLUJO NOSOTRAS'!H13-'FLUJO ANTERIOR 2 '!H13</f>
        <v>0</v>
      </c>
      <c r="G13" s="80">
        <f>'FLUJO FLUJO NOSOTRAS'!I13-'FLUJO ANTERIOR 2 '!I13</f>
        <v>0</v>
      </c>
      <c r="H13" s="81"/>
      <c r="I13" s="81"/>
      <c r="J13" s="157"/>
      <c r="K13" s="157"/>
      <c r="L13" s="81"/>
      <c r="M13" s="6"/>
      <c r="N13" s="162"/>
      <c r="O13" s="157"/>
    </row>
    <row r="14" spans="1:15">
      <c r="A14" s="92" t="s">
        <v>71</v>
      </c>
      <c r="B14" s="92"/>
      <c r="C14" s="80">
        <f>'FLUJO FLUJO NOSOTRAS'!E14-'FLUJO ANTERIOR 2 '!E14</f>
        <v>0</v>
      </c>
      <c r="D14" s="80">
        <f>'FLUJO FLUJO NOSOTRAS'!F14-'FLUJO ANTERIOR 2 '!F14</f>
        <v>0</v>
      </c>
      <c r="E14" s="80">
        <f>'FLUJO FLUJO NOSOTRAS'!G14-'FLUJO ANTERIOR 2 '!G14</f>
        <v>0</v>
      </c>
      <c r="F14" s="80">
        <f>'FLUJO FLUJO NOSOTRAS'!H14-'FLUJO ANTERIOR 2 '!H14</f>
        <v>0</v>
      </c>
      <c r="G14" s="80">
        <f>'FLUJO FLUJO NOSOTRAS'!I14-'FLUJO ANTERIOR 2 '!I14</f>
        <v>0</v>
      </c>
      <c r="H14" s="81"/>
      <c r="I14" s="163"/>
      <c r="J14" s="157"/>
      <c r="K14" s="157"/>
      <c r="L14" s="81"/>
      <c r="M14" s="157"/>
      <c r="N14" s="157"/>
      <c r="O14" s="157"/>
    </row>
    <row r="15" spans="1:15">
      <c r="A15" s="92" t="s">
        <v>24</v>
      </c>
      <c r="B15" s="92"/>
      <c r="C15" s="30">
        <f>'FLUJO FLUJO NOSOTRAS'!E15-'FLUJO ANTERIOR 2 '!E15</f>
        <v>9770</v>
      </c>
      <c r="D15" s="30">
        <f>'FLUJO FLUJO NOSOTRAS'!F15-'FLUJO ANTERIOR 2 '!F15</f>
        <v>9770</v>
      </c>
      <c r="E15" s="30">
        <f>'FLUJO FLUJO NOSOTRAS'!G15-'FLUJO ANTERIOR 2 '!G15</f>
        <v>9770</v>
      </c>
      <c r="F15" s="30">
        <f>'FLUJO FLUJO NOSOTRAS'!H15-'FLUJO ANTERIOR 2 '!H15</f>
        <v>9770</v>
      </c>
      <c r="G15" s="30">
        <f>'FLUJO FLUJO NOSOTRAS'!I15-'FLUJO ANTERIOR 2 '!I15</f>
        <v>9770</v>
      </c>
      <c r="H15" s="81"/>
      <c r="I15" s="81"/>
      <c r="J15" s="157"/>
      <c r="K15" s="157"/>
      <c r="L15" s="81"/>
      <c r="M15" s="157"/>
      <c r="N15" s="157"/>
      <c r="O15" s="157"/>
    </row>
    <row r="16" spans="1:15">
      <c r="A16" s="253" t="s">
        <v>28</v>
      </c>
      <c r="B16" s="92"/>
      <c r="C16" s="38">
        <f>C10-SUM(C12:C15)</f>
        <v>10569.787274999977</v>
      </c>
      <c r="D16" s="39">
        <f>D10-SUM(D12:D15)</f>
        <v>12400.368129749972</v>
      </c>
      <c r="E16" s="39">
        <f>E10-SUM(E12:E15)</f>
        <v>14395.701261427466</v>
      </c>
      <c r="F16" s="39">
        <f>F10-SUM(F12:F15)</f>
        <v>16570.61437495596</v>
      </c>
      <c r="G16" s="39">
        <f>G10-SUM(G12:G15)</f>
        <v>18941.269668702025</v>
      </c>
      <c r="H16" s="84"/>
      <c r="I16" s="84"/>
      <c r="J16" s="8"/>
      <c r="K16" s="9"/>
      <c r="L16" s="84"/>
      <c r="M16" s="157"/>
      <c r="N16" s="41"/>
      <c r="O16" s="161"/>
    </row>
    <row r="17" spans="1:15">
      <c r="A17" s="253" t="s">
        <v>30</v>
      </c>
      <c r="B17" s="92"/>
      <c r="C17" s="83"/>
      <c r="D17" s="83"/>
      <c r="E17" s="83"/>
      <c r="F17" s="83"/>
      <c r="G17" s="83"/>
      <c r="H17" s="85"/>
      <c r="I17" s="84"/>
      <c r="J17" s="157"/>
      <c r="K17" s="157"/>
      <c r="L17" s="84"/>
      <c r="M17" s="157"/>
      <c r="N17" s="41"/>
      <c r="O17" s="45"/>
    </row>
    <row r="18" spans="1:15">
      <c r="A18" s="92" t="s">
        <v>32</v>
      </c>
      <c r="B18" s="164"/>
      <c r="C18" s="86">
        <f>'FLUJO FLUJO NOSOTRAS'!E18-'FLUJO ANTERIOR 2 '!E18</f>
        <v>4139.9999999999991</v>
      </c>
      <c r="D18" s="86">
        <f>'FLUJO FLUJO NOSOTRAS'!F18-'FLUJO ANTERIOR 2 '!F18</f>
        <v>3461.88</v>
      </c>
      <c r="E18" s="86">
        <f>'FLUJO FLUJO NOSOTRAS'!G18-'FLUJO ANTERIOR 2 '!G18</f>
        <v>2715.94</v>
      </c>
      <c r="F18" s="86">
        <f>'FLUJO FLUJO NOSOTRAS'!H18-'FLUJO ANTERIOR 2 '!H18</f>
        <v>1895.42</v>
      </c>
      <c r="G18" s="86">
        <f>'FLUJO FLUJO NOSOTRAS'!I18-'FLUJO ANTERIOR 2 '!I18</f>
        <v>992.83999999999992</v>
      </c>
      <c r="H18" s="85"/>
      <c r="I18" s="81"/>
      <c r="J18" s="81"/>
      <c r="K18" s="81"/>
      <c r="L18" s="81"/>
      <c r="M18" s="157"/>
      <c r="N18" s="157"/>
      <c r="O18" s="157"/>
    </row>
    <row r="19" spans="1:15">
      <c r="A19" s="253" t="s">
        <v>33</v>
      </c>
      <c r="B19" s="35"/>
      <c r="C19" s="40">
        <f>C16-C18</f>
        <v>6429.7872749999779</v>
      </c>
      <c r="D19" s="40">
        <f t="shared" ref="D19:G19" si="1">D16-D18</f>
        <v>8938.4881297499705</v>
      </c>
      <c r="E19" s="40">
        <f t="shared" si="1"/>
        <v>11679.761261427466</v>
      </c>
      <c r="F19" s="40">
        <f t="shared" si="1"/>
        <v>14675.19437495596</v>
      </c>
      <c r="G19" s="40">
        <f t="shared" si="1"/>
        <v>17948.429668702025</v>
      </c>
      <c r="H19" s="85"/>
      <c r="I19" s="157"/>
      <c r="J19" s="157"/>
      <c r="K19" s="159"/>
      <c r="L19" s="157"/>
      <c r="M19" s="157"/>
      <c r="N19" s="157"/>
      <c r="O19" s="157"/>
    </row>
    <row r="20" spans="1:15">
      <c r="A20" s="92" t="s">
        <v>34</v>
      </c>
      <c r="B20" s="92"/>
      <c r="C20" s="83">
        <f>C19*0.15</f>
        <v>964.46809124999663</v>
      </c>
      <c r="D20" s="83">
        <f t="shared" ref="D20:G20" si="2">D19*0.15</f>
        <v>1340.7732194624955</v>
      </c>
      <c r="E20" s="83">
        <f t="shared" si="2"/>
        <v>1751.9641892141199</v>
      </c>
      <c r="F20" s="83">
        <f t="shared" si="2"/>
        <v>2201.279156243394</v>
      </c>
      <c r="G20" s="83">
        <f t="shared" si="2"/>
        <v>2692.2644503053039</v>
      </c>
      <c r="H20" s="85"/>
      <c r="I20" s="157"/>
      <c r="J20" s="157"/>
      <c r="K20" s="157"/>
      <c r="L20" s="157"/>
      <c r="M20" s="157"/>
      <c r="N20" s="157"/>
      <c r="O20" s="157"/>
    </row>
    <row r="21" spans="1:15">
      <c r="A21" s="87" t="s">
        <v>35</v>
      </c>
      <c r="B21" s="92"/>
      <c r="C21" s="40">
        <f>C19-C20</f>
        <v>5465.3191837499817</v>
      </c>
      <c r="D21" s="40">
        <f t="shared" ref="D21:G21" si="3">D19-D20</f>
        <v>7597.7149102874755</v>
      </c>
      <c r="E21" s="40">
        <f t="shared" si="3"/>
        <v>9927.7970722133468</v>
      </c>
      <c r="F21" s="40">
        <f t="shared" si="3"/>
        <v>12473.915218712566</v>
      </c>
      <c r="G21" s="40">
        <f t="shared" si="3"/>
        <v>15256.165218396722</v>
      </c>
      <c r="I21" s="157"/>
      <c r="J21" s="157"/>
      <c r="K21" s="157"/>
      <c r="L21" s="157"/>
      <c r="M21" s="157"/>
      <c r="N21" s="157"/>
      <c r="O21" s="157"/>
    </row>
    <row r="22" spans="1:15">
      <c r="A22" s="92" t="s">
        <v>36</v>
      </c>
      <c r="B22" s="92"/>
      <c r="C22" s="83">
        <f>C21*0.23</f>
        <v>1257.0234122624959</v>
      </c>
      <c r="D22" s="83">
        <f>D21*0.23</f>
        <v>1747.4744293661195</v>
      </c>
      <c r="E22" s="83">
        <f>E21*0.23</f>
        <v>2283.3933266090698</v>
      </c>
      <c r="F22" s="83">
        <f>F21*0.23</f>
        <v>2869.00050030389</v>
      </c>
      <c r="G22" s="83">
        <f>G21*0.23</f>
        <v>3508.918000231246</v>
      </c>
      <c r="I22" s="157"/>
      <c r="J22" s="41"/>
      <c r="K22" s="41"/>
      <c r="L22" s="157"/>
      <c r="M22" s="157"/>
      <c r="N22" s="157"/>
      <c r="O22" s="157"/>
    </row>
    <row r="23" spans="1:15">
      <c r="A23" s="253" t="s">
        <v>37</v>
      </c>
      <c r="B23" s="92"/>
      <c r="C23" s="40">
        <f>C21-C22</f>
        <v>4208.2957714874856</v>
      </c>
      <c r="D23" s="40">
        <f>D21-D22</f>
        <v>5850.2404809213558</v>
      </c>
      <c r="E23" s="40">
        <f>E21-E22</f>
        <v>7644.403745604277</v>
      </c>
      <c r="F23" s="40">
        <f>F21-F22</f>
        <v>9604.914718408676</v>
      </c>
      <c r="G23" s="40">
        <f>G21-G22</f>
        <v>11747.247218165476</v>
      </c>
    </row>
    <row r="24" spans="1:15">
      <c r="A24" s="88" t="s">
        <v>38</v>
      </c>
      <c r="B24" s="89"/>
      <c r="C24" s="90"/>
      <c r="D24" s="90"/>
      <c r="E24" s="90"/>
      <c r="F24" s="90"/>
      <c r="G24" s="90"/>
    </row>
    <row r="25" spans="1:15">
      <c r="A25" s="88" t="s">
        <v>39</v>
      </c>
      <c r="B25" s="89"/>
      <c r="C25" s="91">
        <f>'FLUJO FLUJO NOSOTRAS'!E25-'FLUJO ANTERIOR 2 '!E25</f>
        <v>9770</v>
      </c>
      <c r="D25" s="91">
        <f>'FLUJO FLUJO NOSOTRAS'!F25-'FLUJO ANTERIOR 2 '!F25</f>
        <v>9770</v>
      </c>
      <c r="E25" s="91">
        <f>'FLUJO FLUJO NOSOTRAS'!G25-'FLUJO ANTERIOR 2 '!G25</f>
        <v>9770</v>
      </c>
      <c r="F25" s="91">
        <f>'FLUJO FLUJO NOSOTRAS'!H25-'FLUJO ANTERIOR 2 '!H25</f>
        <v>9770</v>
      </c>
      <c r="G25" s="91">
        <f>'FLUJO FLUJO NOSOTRAS'!I25-'FLUJO ANTERIOR 2 '!I25</f>
        <v>9770</v>
      </c>
    </row>
    <row r="26" spans="1:15">
      <c r="A26" s="88" t="s">
        <v>40</v>
      </c>
      <c r="B26" s="83">
        <f>'FLUJO FLUJO NOSOTRAS'!D26-'FLUJO ANTERIOR 2 '!D26</f>
        <v>-69000</v>
      </c>
      <c r="C26" s="92"/>
      <c r="D26" s="92"/>
      <c r="E26" s="92"/>
      <c r="F26" s="92"/>
      <c r="G26" s="92"/>
    </row>
    <row r="27" spans="1:15">
      <c r="A27" s="88" t="s">
        <v>41</v>
      </c>
      <c r="B27" s="83">
        <f>'FLUJO FLUJO NOSOTRAS'!D27-'FLUJO ANTERIOR 2 '!D27</f>
        <v>41400</v>
      </c>
      <c r="C27" s="92"/>
      <c r="D27" s="92"/>
      <c r="E27" s="92"/>
      <c r="F27" s="92"/>
      <c r="G27" s="92"/>
    </row>
    <row r="28" spans="1:15">
      <c r="A28" s="88" t="s">
        <v>42</v>
      </c>
      <c r="B28" s="92"/>
      <c r="C28" s="86">
        <f>'FLUJO FLUJO NOSOTRAS'!E28-'FLUJO ANTERIOR 2 '!E28</f>
        <v>-10921.220000000001</v>
      </c>
      <c r="D28" s="86">
        <f>'FLUJO FLUJO NOSOTRAS'!F28-'FLUJO ANTERIOR 2 '!F28</f>
        <v>-10921.220000000001</v>
      </c>
      <c r="E28" s="86">
        <f>'FLUJO FLUJO NOSOTRAS'!G28-'FLUJO ANTERIOR 2 '!G28</f>
        <v>-10921.220000000001</v>
      </c>
      <c r="F28" s="86">
        <f>'FLUJO FLUJO NOSOTRAS'!H28-'FLUJO ANTERIOR 2 '!H28</f>
        <v>-10921.220000000001</v>
      </c>
      <c r="G28" s="86">
        <f>'FLUJO FLUJO NOSOTRAS'!I28-'FLUJO ANTERIOR 2 '!I28</f>
        <v>-10921.220000000001</v>
      </c>
    </row>
    <row r="29" spans="1:15">
      <c r="A29" s="88" t="s">
        <v>43</v>
      </c>
      <c r="B29" s="83">
        <f>'FLUJO FLUJO NOSOTRAS'!D29-'FLUJO ANTERIOR 2 '!D29</f>
        <v>0</v>
      </c>
      <c r="C29" s="92"/>
      <c r="D29" s="92"/>
      <c r="E29" s="92"/>
      <c r="F29" s="92"/>
      <c r="G29" s="92"/>
    </row>
    <row r="30" spans="1:15">
      <c r="A30" s="88" t="s">
        <v>44</v>
      </c>
      <c r="B30" s="92"/>
      <c r="C30" s="92"/>
      <c r="D30" s="92"/>
      <c r="E30" s="92"/>
      <c r="F30" s="92"/>
      <c r="G30" s="83">
        <f>'FLUJO FLUJO NOSOTRAS'!I30-'FLUJO ANTERIOR 2 '!I30</f>
        <v>0</v>
      </c>
    </row>
    <row r="31" spans="1:15">
      <c r="A31" s="88" t="s">
        <v>45</v>
      </c>
      <c r="B31" s="92"/>
      <c r="C31" s="92"/>
      <c r="D31" s="92"/>
      <c r="E31" s="92"/>
      <c r="F31" s="92"/>
      <c r="G31" s="165">
        <f>'FLUJO FLUJO NOSOTRAS'!I31-'FLUJO ANTERIOR 2 '!I31</f>
        <v>16950</v>
      </c>
      <c r="H31" s="164"/>
      <c r="I31" s="164"/>
      <c r="J31" s="164"/>
      <c r="K31" s="164"/>
      <c r="L31" s="164"/>
    </row>
    <row r="32" spans="1:15">
      <c r="A32" s="93" t="s">
        <v>46</v>
      </c>
      <c r="B32" s="17">
        <f>SUM(B26:B31)</f>
        <v>-27600</v>
      </c>
      <c r="C32" s="17">
        <f>SUM(C23:C31)</f>
        <v>3057.0757714874853</v>
      </c>
      <c r="D32" s="17">
        <f t="shared" ref="D32:F32" si="4">SUM(D23:D31)</f>
        <v>4699.0204809213537</v>
      </c>
      <c r="E32" s="17">
        <f>SUM(E23:E31)</f>
        <v>6493.1837456042776</v>
      </c>
      <c r="F32" s="17">
        <f t="shared" si="4"/>
        <v>8453.6947184086748</v>
      </c>
      <c r="G32" s="17">
        <f>SUM(G23:G31)</f>
        <v>27546.027218165473</v>
      </c>
    </row>
    <row r="33" spans="1:7">
      <c r="B33" s="94"/>
      <c r="C33" s="94"/>
      <c r="D33" s="94"/>
      <c r="E33" s="94"/>
      <c r="F33" s="94"/>
      <c r="G33" s="94"/>
    </row>
    <row r="35" spans="1:7">
      <c r="A35" s="35" t="s">
        <v>47</v>
      </c>
      <c r="B35" s="83">
        <f>NPV(K16,C32:G32)+B32</f>
        <v>22649.001934587264</v>
      </c>
      <c r="E35" s="77"/>
    </row>
    <row r="36" spans="1:7">
      <c r="A36" s="35" t="s">
        <v>48</v>
      </c>
      <c r="B36" s="252">
        <f>IRR(B32:G32)</f>
        <v>0.16520266126605668</v>
      </c>
    </row>
    <row r="37" spans="1:7">
      <c r="A37" s="35" t="s">
        <v>60</v>
      </c>
      <c r="B37" s="75">
        <v>0.1678</v>
      </c>
    </row>
    <row r="38" spans="1:7">
      <c r="A38" s="84"/>
      <c r="B38" s="84"/>
      <c r="C38" s="84"/>
      <c r="D38" s="84"/>
      <c r="E38" s="84"/>
      <c r="F38" s="84"/>
      <c r="G38" s="84"/>
    </row>
    <row r="39" spans="1:7">
      <c r="A39" s="96"/>
      <c r="B39" s="95"/>
      <c r="C39" s="95"/>
      <c r="D39" s="95"/>
      <c r="E39" s="95"/>
      <c r="F39" s="95"/>
      <c r="G39" s="95"/>
    </row>
    <row r="40" spans="1:7">
      <c r="A40" s="96"/>
      <c r="B40" s="54"/>
      <c r="C40" s="54"/>
      <c r="D40" s="54"/>
      <c r="E40" s="54"/>
      <c r="F40" s="54"/>
      <c r="G40" s="54"/>
    </row>
    <row r="41" spans="1:7">
      <c r="A41" s="96"/>
      <c r="B41" s="55"/>
      <c r="C41" s="55"/>
      <c r="D41" s="55"/>
      <c r="E41" s="55"/>
      <c r="F41" s="55"/>
      <c r="G41" s="55"/>
    </row>
    <row r="42" spans="1:7">
      <c r="A42" s="84"/>
      <c r="B42" s="166"/>
      <c r="C42" s="166"/>
      <c r="D42" s="166"/>
      <c r="E42" s="166"/>
      <c r="F42" s="166"/>
      <c r="G42" s="166"/>
    </row>
    <row r="43" spans="1:7">
      <c r="A43" s="84"/>
      <c r="B43" s="84"/>
      <c r="C43" s="84"/>
      <c r="D43" s="8"/>
      <c r="E43" s="95"/>
      <c r="F43" s="84"/>
      <c r="G43" s="84"/>
    </row>
    <row r="45" spans="1:7">
      <c r="B45" s="77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topLeftCell="C24" workbookViewId="0">
      <selection activeCell="A12" sqref="A1:XFD1048576"/>
    </sheetView>
  </sheetViews>
  <sheetFormatPr baseColWidth="10" defaultColWidth="46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" style="97"/>
  </cols>
  <sheetData>
    <row r="1" spans="1:7" ht="18">
      <c r="A1" s="258" t="s">
        <v>160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'!E4)*0.9</f>
        <v>22669.668449999986</v>
      </c>
      <c r="D4" s="101">
        <f>('FLUJO FLUJO NOSOTRAS'!F4-'FLUJO ANTERIOR 2 '!F4)*0.9</f>
        <v>24709.938610499976</v>
      </c>
      <c r="E4" s="101">
        <f>('FLUJO FLUJO NOSOTRAS'!G4-'FLUJO ANTERIOR 2 '!G4)*0.9</f>
        <v>26933.83308544497</v>
      </c>
      <c r="F4" s="101">
        <f>('FLUJO FLUJO NOSOTRAS'!H4-'FLUJO ANTERIOR 2 '!H4)*0.9</f>
        <v>29357.878063135042</v>
      </c>
      <c r="G4" s="101">
        <f>('FLUJO FLUJO NOSOTRAS'!I4-'FLUJO ANTERIOR 2 '!I4)*0.9</f>
        <v>32000.087088817232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19592.505649999981</v>
      </c>
      <c r="D10" s="114">
        <f t="shared" ref="D10:G10" si="0">D4-D6-D7-D9</f>
        <v>21355.831158499976</v>
      </c>
      <c r="E10" s="114">
        <f t="shared" si="0"/>
        <v>23277.85596276497</v>
      </c>
      <c r="F10" s="114">
        <f t="shared" si="0"/>
        <v>25372.862999413839</v>
      </c>
      <c r="G10" s="114">
        <f t="shared" si="0"/>
        <v>27656.420669361112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9310.3612499999799</v>
      </c>
      <c r="D16" s="123">
        <f>D10-SUM(D12:D15)</f>
        <v>11027.593762499975</v>
      </c>
      <c r="E16" s="123">
        <f>E10-SUM(E12:E15)</f>
        <v>12899.377201124969</v>
      </c>
      <c r="F16" s="123">
        <f>F10-SUM(F12:F15)</f>
        <v>14939.621149226237</v>
      </c>
      <c r="G16" s="123">
        <f>G10-SUM(G12:G15)</f>
        <v>17163.487052656626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5170.3612499999808</v>
      </c>
      <c r="D19" s="125">
        <f t="shared" ref="D19:G19" si="1">D16-D18</f>
        <v>7565.713762499975</v>
      </c>
      <c r="E19" s="125">
        <f t="shared" si="1"/>
        <v>10183.437201124969</v>
      </c>
      <c r="F19" s="125">
        <f t="shared" si="1"/>
        <v>13044.201149226237</v>
      </c>
      <c r="G19" s="125">
        <f t="shared" si="1"/>
        <v>16170.647052656626</v>
      </c>
    </row>
    <row r="20" spans="1:7">
      <c r="A20" s="126" t="s">
        <v>34</v>
      </c>
      <c r="B20" s="126"/>
      <c r="C20" s="117">
        <f>C19*0.15</f>
        <v>775.55418749999706</v>
      </c>
      <c r="D20" s="117">
        <f t="shared" ref="D20:G20" si="2">D19*0.15</f>
        <v>1134.8570643749963</v>
      </c>
      <c r="E20" s="117">
        <f t="shared" si="2"/>
        <v>1527.5155801687454</v>
      </c>
      <c r="F20" s="117">
        <f t="shared" si="2"/>
        <v>1956.6301723839356</v>
      </c>
      <c r="G20" s="117">
        <f t="shared" si="2"/>
        <v>2425.5970578984939</v>
      </c>
    </row>
    <row r="21" spans="1:7" ht="15">
      <c r="A21" s="11" t="s">
        <v>35</v>
      </c>
      <c r="B21" s="126"/>
      <c r="C21" s="125">
        <f>C19-C20</f>
        <v>4394.8070624999837</v>
      </c>
      <c r="D21" s="125">
        <f t="shared" ref="D21:G21" si="3">D19-D20</f>
        <v>6430.8566981249787</v>
      </c>
      <c r="E21" s="125">
        <f t="shared" si="3"/>
        <v>8655.9216209562237</v>
      </c>
      <c r="F21" s="125">
        <f t="shared" si="3"/>
        <v>11087.570976842302</v>
      </c>
      <c r="G21" s="125">
        <f t="shared" si="3"/>
        <v>13745.049994758132</v>
      </c>
    </row>
    <row r="22" spans="1:7">
      <c r="A22" s="126" t="s">
        <v>36</v>
      </c>
      <c r="B22" s="126"/>
      <c r="C22" s="117">
        <f>C21*0.23</f>
        <v>1010.8056243749963</v>
      </c>
      <c r="D22" s="117">
        <f>D21*0.23</f>
        <v>1479.0970405687451</v>
      </c>
      <c r="E22" s="117">
        <f>E21*0.23</f>
        <v>1990.8619728199315</v>
      </c>
      <c r="F22" s="117">
        <f>F21*0.23</f>
        <v>2550.1413246737297</v>
      </c>
      <c r="G22" s="117">
        <f>G21*0.23</f>
        <v>3161.3614987943706</v>
      </c>
    </row>
    <row r="23" spans="1:7" ht="15">
      <c r="A23" s="33" t="s">
        <v>37</v>
      </c>
      <c r="B23" s="126"/>
      <c r="C23" s="125">
        <f>C21-C22</f>
        <v>3384.0014381249875</v>
      </c>
      <c r="D23" s="125">
        <f>D21-D22</f>
        <v>4951.7596575562338</v>
      </c>
      <c r="E23" s="125">
        <f>E21-E22</f>
        <v>6665.0596481362918</v>
      </c>
      <c r="F23" s="125">
        <f>F21-F22</f>
        <v>8537.4296521685719</v>
      </c>
      <c r="G23" s="125">
        <f>G21-G22</f>
        <v>10583.688495963761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2232.7814381249864</v>
      </c>
      <c r="D32" s="127">
        <f t="shared" ref="D32:F32" si="4">SUM(D23:D31)</f>
        <v>3800.5396575562336</v>
      </c>
      <c r="E32" s="127">
        <f>SUM(E23:E31)</f>
        <v>5513.8396481362906</v>
      </c>
      <c r="F32" s="127">
        <f t="shared" si="4"/>
        <v>7386.2096521685708</v>
      </c>
      <c r="G32" s="127">
        <f>SUM(G23:G31)</f>
        <v>26382.46849596376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17715.838891949839</v>
      </c>
      <c r="E35" s="98"/>
    </row>
    <row r="36" spans="1:7" ht="15">
      <c r="A36" s="177" t="s">
        <v>48</v>
      </c>
      <c r="B36" s="181">
        <f>IRR(B32:G32)</f>
        <v>0.13023945412882482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topLeftCell="A12" workbookViewId="0">
      <selection activeCell="A12" sqref="A1:XFD1048576"/>
    </sheetView>
  </sheetViews>
  <sheetFormatPr baseColWidth="10" defaultColWidth="46.710937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7109375" style="97"/>
  </cols>
  <sheetData>
    <row r="1" spans="1:7" ht="18">
      <c r="A1" s="258" t="s">
        <v>159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'!E4)*0.8</f>
        <v>20150.816399999989</v>
      </c>
      <c r="D4" s="101">
        <f>('FLUJO FLUJO NOSOTRAS'!F4-'FLUJO ANTERIOR 2 '!F4)*0.8</f>
        <v>21964.389875999979</v>
      </c>
      <c r="E4" s="101">
        <f>('FLUJO FLUJO NOSOTRAS'!G4-'FLUJO ANTERIOR 2 '!G4)*0.8</f>
        <v>23941.184964839977</v>
      </c>
      <c r="F4" s="101">
        <f>('FLUJO FLUJO NOSOTRAS'!H4-'FLUJO ANTERIOR 2 '!H4)*0.8</f>
        <v>26095.891611675594</v>
      </c>
      <c r="G4" s="101">
        <f>('FLUJO FLUJO NOSOTRAS'!I4-'FLUJO ANTERIOR 2 '!I4)*0.8</f>
        <v>28444.521856726427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17073.653599999983</v>
      </c>
      <c r="D10" s="114">
        <f t="shared" ref="D10:G10" si="0">D4-D6-D7-D9</f>
        <v>18610.282423999979</v>
      </c>
      <c r="E10" s="114">
        <f t="shared" si="0"/>
        <v>20285.207842159976</v>
      </c>
      <c r="F10" s="114">
        <f t="shared" si="0"/>
        <v>22110.876547954391</v>
      </c>
      <c r="G10" s="114">
        <f t="shared" si="0"/>
        <v>24100.855437270307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6791.5091999999822</v>
      </c>
      <c r="D16" s="123">
        <f>D10-SUM(D12:D15)</f>
        <v>8282.0450279999786</v>
      </c>
      <c r="E16" s="123">
        <f>E10-SUM(E12:E15)</f>
        <v>9906.7290805199755</v>
      </c>
      <c r="F16" s="123">
        <f>F10-SUM(F12:F15)</f>
        <v>11677.634697766789</v>
      </c>
      <c r="G16" s="123">
        <f>G10-SUM(G12:G15)</f>
        <v>13607.921820565822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2651.5091999999831</v>
      </c>
      <c r="D19" s="125">
        <f t="shared" ref="D19:G19" si="1">D16-D18</f>
        <v>4820.1650279999785</v>
      </c>
      <c r="E19" s="125">
        <f t="shared" si="1"/>
        <v>7190.789080519975</v>
      </c>
      <c r="F19" s="125">
        <f t="shared" si="1"/>
        <v>9782.214697766789</v>
      </c>
      <c r="G19" s="125">
        <f t="shared" si="1"/>
        <v>12615.081820565822</v>
      </c>
    </row>
    <row r="20" spans="1:7">
      <c r="A20" s="126" t="s">
        <v>34</v>
      </c>
      <c r="B20" s="126"/>
      <c r="C20" s="117">
        <f>C19*0.15</f>
        <v>397.72637999999745</v>
      </c>
      <c r="D20" s="117">
        <f t="shared" ref="D20:G20" si="2">D19*0.15</f>
        <v>723.02475419999678</v>
      </c>
      <c r="E20" s="117">
        <f t="shared" si="2"/>
        <v>1078.6183620779962</v>
      </c>
      <c r="F20" s="117">
        <f t="shared" si="2"/>
        <v>1467.3322046650183</v>
      </c>
      <c r="G20" s="117">
        <f t="shared" si="2"/>
        <v>1892.2622730848732</v>
      </c>
    </row>
    <row r="21" spans="1:7" ht="15">
      <c r="A21" s="11" t="s">
        <v>35</v>
      </c>
      <c r="B21" s="126"/>
      <c r="C21" s="125">
        <f>C19-C20</f>
        <v>2253.7828199999858</v>
      </c>
      <c r="D21" s="125">
        <f t="shared" ref="D21:G21" si="3">D19-D20</f>
        <v>4097.1402737999815</v>
      </c>
      <c r="E21" s="125">
        <f t="shared" si="3"/>
        <v>6112.1707184419793</v>
      </c>
      <c r="F21" s="125">
        <f t="shared" si="3"/>
        <v>8314.8824931017698</v>
      </c>
      <c r="G21" s="125">
        <f t="shared" si="3"/>
        <v>10722.819547480949</v>
      </c>
    </row>
    <row r="22" spans="1:7">
      <c r="A22" s="126" t="s">
        <v>36</v>
      </c>
      <c r="B22" s="126"/>
      <c r="C22" s="117">
        <f>C21*0.23</f>
        <v>518.37004859999672</v>
      </c>
      <c r="D22" s="117">
        <f>D21*0.23</f>
        <v>942.34226297399584</v>
      </c>
      <c r="E22" s="117">
        <f>E21*0.23</f>
        <v>1405.7992652416553</v>
      </c>
      <c r="F22" s="117">
        <f>F21*0.23</f>
        <v>1912.4229734134071</v>
      </c>
      <c r="G22" s="117">
        <f>G21*0.23</f>
        <v>2466.2484959206186</v>
      </c>
    </row>
    <row r="23" spans="1:7" ht="15">
      <c r="A23" s="33" t="s">
        <v>37</v>
      </c>
      <c r="B23" s="126"/>
      <c r="C23" s="125">
        <f>C21-C22</f>
        <v>1735.4127713999892</v>
      </c>
      <c r="D23" s="125">
        <f>D21-D22</f>
        <v>3154.7980108259858</v>
      </c>
      <c r="E23" s="125">
        <f>E21-E22</f>
        <v>4706.3714532003241</v>
      </c>
      <c r="F23" s="125">
        <f>F21-F22</f>
        <v>6402.4595196883629</v>
      </c>
      <c r="G23" s="125">
        <f>G21-G22</f>
        <v>8256.5710515603314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584.19277139998849</v>
      </c>
      <c r="D32" s="127">
        <f t="shared" ref="D32:F32" si="4">SUM(D23:D31)</f>
        <v>2003.5780108259842</v>
      </c>
      <c r="E32" s="127">
        <f>SUM(E23:E31)</f>
        <v>3555.1514532003239</v>
      </c>
      <c r="F32" s="127">
        <f t="shared" si="4"/>
        <v>5251.2395196883626</v>
      </c>
      <c r="G32" s="127">
        <f>SUM(G23:G31)</f>
        <v>24055.35105156033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7849.5128066749894</v>
      </c>
      <c r="E35" s="98"/>
    </row>
    <row r="36" spans="1:7" ht="15">
      <c r="A36" s="177" t="s">
        <v>48</v>
      </c>
      <c r="B36" s="181">
        <f>IRR(B32:G32)</f>
        <v>5.8713006342650136E-2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/>
  </sheetPr>
  <dimension ref="A1:G37"/>
  <sheetViews>
    <sheetView topLeftCell="A11" workbookViewId="0">
      <selection activeCell="H39" sqref="H39"/>
    </sheetView>
  </sheetViews>
  <sheetFormatPr baseColWidth="10" defaultColWidth="46.57031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5703125" style="97"/>
  </cols>
  <sheetData>
    <row r="1" spans="1:7" ht="18">
      <c r="A1" s="258" t="s">
        <v>158</v>
      </c>
      <c r="B1" s="258"/>
      <c r="C1" s="258"/>
      <c r="D1" s="258"/>
      <c r="E1" s="258"/>
      <c r="F1" s="258"/>
      <c r="G1" s="258"/>
    </row>
    <row r="3" spans="1:7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>
      <c r="A4" s="126" t="s">
        <v>11</v>
      </c>
      <c r="B4" s="126"/>
      <c r="C4" s="103">
        <f>('FLUJO FLUJO NOSOTRAS'!E4-'FLUJO ANTERIOR 2 '!E4)*0.7</f>
        <v>17631.964349999987</v>
      </c>
      <c r="D4" s="101">
        <f>('FLUJO FLUJO NOSOTRAS'!F4-'FLUJO ANTERIOR 2 '!F4)*0.7</f>
        <v>19218.841141499979</v>
      </c>
      <c r="E4" s="101">
        <f>('FLUJO FLUJO NOSOTRAS'!G4-'FLUJO ANTERIOR 2 '!G4)*0.7</f>
        <v>20948.536844234975</v>
      </c>
      <c r="F4" s="101">
        <f>('FLUJO FLUJO NOSOTRAS'!H4-'FLUJO ANTERIOR 2 '!H4)*0.7</f>
        <v>22833.905160216142</v>
      </c>
      <c r="G4" s="101">
        <f>('FLUJO FLUJO NOSOTRAS'!I4-'FLUJO ANTERIOR 2 '!I4)*0.7</f>
        <v>24888.956624635623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33" t="s">
        <v>15</v>
      </c>
      <c r="B10" s="126"/>
      <c r="C10" s="114">
        <f>C4-C6-C7-C9</f>
        <v>14554.801549999982</v>
      </c>
      <c r="D10" s="114">
        <f t="shared" ref="D10:G10" si="0">D4-D6-D7-D9</f>
        <v>15864.733689499979</v>
      </c>
      <c r="E10" s="114">
        <f t="shared" si="0"/>
        <v>17292.559721554975</v>
      </c>
      <c r="F10" s="114">
        <f t="shared" si="0"/>
        <v>18848.890096494939</v>
      </c>
      <c r="G10" s="114">
        <f t="shared" si="0"/>
        <v>20545.290205179503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33" t="s">
        <v>28</v>
      </c>
      <c r="B16" s="126"/>
      <c r="C16" s="114">
        <f>C10-SUM(C12:C15)</f>
        <v>4272.6571499999809</v>
      </c>
      <c r="D16" s="123">
        <f>D10-SUM(D12:D15)</f>
        <v>5536.4962934999785</v>
      </c>
      <c r="E16" s="123">
        <f>E10-SUM(E12:E15)</f>
        <v>6914.0809599149743</v>
      </c>
      <c r="F16" s="123">
        <f>F10-SUM(F12:F15)</f>
        <v>8415.6482463073371</v>
      </c>
      <c r="G16" s="123">
        <f>G10-SUM(G12:G15)</f>
        <v>10052.356588475017</v>
      </c>
    </row>
    <row r="17" spans="1:7">
      <c r="A17" s="3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33" t="s">
        <v>33</v>
      </c>
      <c r="B19" s="177"/>
      <c r="C19" s="125">
        <f>C16-C18</f>
        <v>132.65714999998181</v>
      </c>
      <c r="D19" s="125">
        <f t="shared" ref="D19:G19" si="1">D16-D18</f>
        <v>2074.6162934999784</v>
      </c>
      <c r="E19" s="125">
        <f t="shared" si="1"/>
        <v>4198.1409599149738</v>
      </c>
      <c r="F19" s="125">
        <f t="shared" si="1"/>
        <v>6520.228246307337</v>
      </c>
      <c r="G19" s="125">
        <f t="shared" si="1"/>
        <v>9059.5165884750168</v>
      </c>
    </row>
    <row r="20" spans="1:7">
      <c r="A20" s="126" t="s">
        <v>34</v>
      </c>
      <c r="B20" s="126"/>
      <c r="C20" s="117">
        <f>C19*0.15</f>
        <v>19.898572499997272</v>
      </c>
      <c r="D20" s="117">
        <f t="shared" ref="D20:G20" si="2">D19*0.15</f>
        <v>311.19244402499675</v>
      </c>
      <c r="E20" s="117">
        <f t="shared" si="2"/>
        <v>629.72114398724602</v>
      </c>
      <c r="F20" s="117">
        <f t="shared" si="2"/>
        <v>978.03423694610046</v>
      </c>
      <c r="G20" s="117">
        <f t="shared" si="2"/>
        <v>1358.9274882712525</v>
      </c>
    </row>
    <row r="21" spans="1:7" ht="15">
      <c r="A21" s="11" t="s">
        <v>35</v>
      </c>
      <c r="B21" s="126"/>
      <c r="C21" s="125">
        <f>C19-C20</f>
        <v>112.75857749998454</v>
      </c>
      <c r="D21" s="125">
        <f t="shared" ref="D21:G21" si="3">D19-D20</f>
        <v>1763.4238494749816</v>
      </c>
      <c r="E21" s="125">
        <f t="shared" si="3"/>
        <v>3568.4198159277275</v>
      </c>
      <c r="F21" s="125">
        <f t="shared" si="3"/>
        <v>5542.1940093612366</v>
      </c>
      <c r="G21" s="125">
        <f t="shared" si="3"/>
        <v>7700.5891002037642</v>
      </c>
    </row>
    <row r="22" spans="1:7">
      <c r="A22" s="126" t="s">
        <v>36</v>
      </c>
      <c r="B22" s="126"/>
      <c r="C22" s="117">
        <f>C21*0.23</f>
        <v>25.934472824996444</v>
      </c>
      <c r="D22" s="117">
        <f>D21*0.23</f>
        <v>405.58748537924578</v>
      </c>
      <c r="E22" s="117">
        <f>E21*0.23</f>
        <v>820.73655766337743</v>
      </c>
      <c r="F22" s="117">
        <f>F21*0.23</f>
        <v>1274.7046221530845</v>
      </c>
      <c r="G22" s="117">
        <f>G21*0.23</f>
        <v>1771.1354930468658</v>
      </c>
    </row>
    <row r="23" spans="1:7" ht="15">
      <c r="A23" s="33" t="s">
        <v>37</v>
      </c>
      <c r="B23" s="126"/>
      <c r="C23" s="125">
        <f>C21-C22</f>
        <v>86.824104674988092</v>
      </c>
      <c r="D23" s="125">
        <f>D21-D22</f>
        <v>1357.8363640957359</v>
      </c>
      <c r="E23" s="125">
        <f>E21-E22</f>
        <v>2747.6832582643501</v>
      </c>
      <c r="F23" s="125">
        <f>F21-F22</f>
        <v>4267.489387208152</v>
      </c>
      <c r="G23" s="125">
        <f>G21-G22</f>
        <v>5929.4536071568982</v>
      </c>
    </row>
    <row r="24" spans="1:7">
      <c r="A24" s="12" t="s">
        <v>38</v>
      </c>
      <c r="B24" s="13"/>
      <c r="C24" s="14"/>
      <c r="D24" s="14"/>
      <c r="E24" s="14"/>
      <c r="F24" s="14"/>
      <c r="G24" s="14"/>
    </row>
    <row r="25" spans="1:7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7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16" t="s">
        <v>46</v>
      </c>
      <c r="B32" s="127">
        <f>SUM(B26:B31)</f>
        <v>-27600</v>
      </c>
      <c r="C32" s="127">
        <f>SUM(C23:C31)</f>
        <v>-1064.395895325013</v>
      </c>
      <c r="D32" s="127">
        <f t="shared" ref="D32:F32" si="4">SUM(D23:D31)</f>
        <v>206.61636409573475</v>
      </c>
      <c r="E32" s="127">
        <f>SUM(E23:E31)</f>
        <v>1596.4632582643499</v>
      </c>
      <c r="F32" s="127">
        <f t="shared" si="4"/>
        <v>3116.2693872081509</v>
      </c>
      <c r="G32" s="127">
        <f>SUM(G23:G31)</f>
        <v>21728.233607156897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-2016.8132785998823</v>
      </c>
      <c r="E35" s="98"/>
    </row>
    <row r="36" spans="1:7" ht="15">
      <c r="A36" s="177" t="s">
        <v>48</v>
      </c>
      <c r="B36" s="181">
        <f>IRR(B32:G32)</f>
        <v>-1.538568872573854E-2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4" workbookViewId="0">
      <selection activeCell="A14" sqref="A1:XFD1048576"/>
    </sheetView>
  </sheetViews>
  <sheetFormatPr baseColWidth="10" defaultColWidth="46.425781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42578125" style="97"/>
  </cols>
  <sheetData>
    <row r="1" spans="1:15" ht="18">
      <c r="A1" s="258" t="s">
        <v>157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'!E6)*1.25</f>
        <v>3381.4535000000069</v>
      </c>
      <c r="D6" s="101">
        <f>('FLUJO FLUJO NOSOTRAS'!F6-'FLUJO ANTERIOR 2 '!F6)*1.25</f>
        <v>3685.7843150000008</v>
      </c>
      <c r="E6" s="101">
        <f>('FLUJO FLUJO NOSOTRAS'!G6-'FLUJO ANTERIOR 2 '!G6)*1.25</f>
        <v>4017.5049033499999</v>
      </c>
      <c r="F6" s="101">
        <f>('FLUJO FLUJO NOSOTRAS'!H6-'FLUJO ANTERIOR 2 '!H6)*1.25</f>
        <v>4379.0803446515019</v>
      </c>
      <c r="G6" s="101">
        <f>('FLUJO FLUJO NOSOTRAS'!I6-'FLUJO ANTERIOR 2 '!I6)*1.25</f>
        <v>4773.1975756701468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21435.066999999977</v>
      </c>
      <c r="D10" s="114">
        <f t="shared" ref="D10:G10" si="0">D4-D6-D7-D9</f>
        <v>23364.223029999972</v>
      </c>
      <c r="E10" s="114">
        <f t="shared" si="0"/>
        <v>25467.003102699968</v>
      </c>
      <c r="F10" s="114">
        <f t="shared" si="0"/>
        <v>27759.033381942987</v>
      </c>
      <c r="G10" s="114">
        <f t="shared" si="0"/>
        <v>30257.346386317884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11152.922599999976</v>
      </c>
      <c r="D16" s="123">
        <f>D10-SUM(D12:D15)</f>
        <v>13035.985633999971</v>
      </c>
      <c r="E16" s="123">
        <f>E10-SUM(E12:E15)</f>
        <v>15088.524341059967</v>
      </c>
      <c r="F16" s="123">
        <f>F10-SUM(F12:F15)</f>
        <v>17325.791531755385</v>
      </c>
      <c r="G16" s="123">
        <f>G10-SUM(G12:G15)</f>
        <v>19764.412769613398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7012.9225999999771</v>
      </c>
      <c r="D19" s="125">
        <f t="shared" ref="D19:G19" si="1">D16-D18</f>
        <v>9574.1056339999705</v>
      </c>
      <c r="E19" s="125">
        <f t="shared" si="1"/>
        <v>12372.584341059966</v>
      </c>
      <c r="F19" s="125">
        <f t="shared" si="1"/>
        <v>15430.371531755385</v>
      </c>
      <c r="G19" s="125">
        <f t="shared" si="1"/>
        <v>18771.572769613398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1051.9383899999966</v>
      </c>
      <c r="D20" s="117">
        <f t="shared" ref="D20:G20" si="2">D19*0.15</f>
        <v>1436.1158450999956</v>
      </c>
      <c r="E20" s="117">
        <f t="shared" si="2"/>
        <v>1855.8876511589949</v>
      </c>
      <c r="F20" s="117">
        <f t="shared" si="2"/>
        <v>2314.5557297633077</v>
      </c>
      <c r="G20" s="117">
        <f t="shared" si="2"/>
        <v>2815.7359154420096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5960.9842099999805</v>
      </c>
      <c r="D21" s="125">
        <f t="shared" ref="D21:G21" si="3">D19-D20</f>
        <v>8137.9897888999749</v>
      </c>
      <c r="E21" s="125">
        <f t="shared" si="3"/>
        <v>10516.696689900971</v>
      </c>
      <c r="F21" s="125">
        <f t="shared" si="3"/>
        <v>13115.815801992077</v>
      </c>
      <c r="G21" s="125">
        <f t="shared" si="3"/>
        <v>15955.836854171388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1371.0263682999955</v>
      </c>
      <c r="D22" s="117">
        <f>D21*0.23</f>
        <v>1871.7376514469943</v>
      </c>
      <c r="E22" s="117">
        <f>E21*0.23</f>
        <v>2418.8402386772236</v>
      </c>
      <c r="F22" s="117">
        <f>F21*0.23</f>
        <v>3016.6376344581781</v>
      </c>
      <c r="G22" s="117">
        <f>G21*0.23</f>
        <v>3669.8424764594192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4589.9578416999848</v>
      </c>
      <c r="D23" s="125">
        <f>D21-D22</f>
        <v>6266.2521374529806</v>
      </c>
      <c r="E23" s="125">
        <f>E21-E22</f>
        <v>8097.8564512237481</v>
      </c>
      <c r="F23" s="125">
        <f>F21-F22</f>
        <v>10099.178167533899</v>
      </c>
      <c r="G23" s="125">
        <f>G21-G22</f>
        <v>12285.99437771197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3438.7378416999836</v>
      </c>
      <c r="D32" s="127">
        <f t="shared" ref="D32:F32" si="4">SUM(D23:D31)</f>
        <v>5115.0321374529794</v>
      </c>
      <c r="E32" s="127">
        <f>SUM(E23:E31)</f>
        <v>6946.6364512237487</v>
      </c>
      <c r="F32" s="127">
        <f t="shared" si="4"/>
        <v>8947.9581675338995</v>
      </c>
      <c r="G32" s="127">
        <f>SUM(G23:G31)</f>
        <v>28084.774377711969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24933.138975622584</v>
      </c>
      <c r="E35" s="98"/>
    </row>
    <row r="36" spans="1:7" ht="15">
      <c r="A36" s="177" t="s">
        <v>48</v>
      </c>
      <c r="B36" s="181">
        <f>IRR(B32:G32)</f>
        <v>0.18123207412275458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1" workbookViewId="0">
      <selection activeCell="A11" sqref="A1:XFD1048576"/>
    </sheetView>
  </sheetViews>
  <sheetFormatPr baseColWidth="10" defaultColWidth="45.8554687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5.85546875" style="97"/>
  </cols>
  <sheetData>
    <row r="1" spans="1:15" ht="18">
      <c r="A1" s="258" t="s">
        <v>156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'!E6)*1.35</f>
        <v>3651.9697800000076</v>
      </c>
      <c r="D6" s="101">
        <f>('FLUJO FLUJO NOSOTRAS'!F6-'FLUJO ANTERIOR 2 '!F6)*1.35</f>
        <v>3980.6470602000013</v>
      </c>
      <c r="E6" s="101">
        <f>('FLUJO FLUJO NOSOTRAS'!G6-'FLUJO ANTERIOR 2 '!G6)*1.35</f>
        <v>4338.9052956180003</v>
      </c>
      <c r="F6" s="101">
        <f>('FLUJO FLUJO NOSOTRAS'!H6-'FLUJO ANTERIOR 2 '!H6)*1.35</f>
        <v>4729.4067722236223</v>
      </c>
      <c r="G6" s="101">
        <f>('FLUJO FLUJO NOSOTRAS'!I6-'FLUJO ANTERIOR 2 '!I6)*1.35</f>
        <v>5155.0533817237592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21164.550719999977</v>
      </c>
      <c r="D10" s="114">
        <f t="shared" ref="D10:G10" si="0">D4-D6-D7-D9</f>
        <v>23069.360284799972</v>
      </c>
      <c r="E10" s="114">
        <f t="shared" si="0"/>
        <v>25145.602710431966</v>
      </c>
      <c r="F10" s="114">
        <f t="shared" si="0"/>
        <v>27408.706954370868</v>
      </c>
      <c r="G10" s="114">
        <f t="shared" si="0"/>
        <v>29875.490580264275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10882.406319999976</v>
      </c>
      <c r="D16" s="123">
        <f>D10-SUM(D12:D15)</f>
        <v>12741.122888799971</v>
      </c>
      <c r="E16" s="123">
        <f>E10-SUM(E12:E15)</f>
        <v>14767.123948791965</v>
      </c>
      <c r="F16" s="123">
        <f>F10-SUM(F12:F15)</f>
        <v>16975.465104183266</v>
      </c>
      <c r="G16" s="123">
        <f>G10-SUM(G12:G15)</f>
        <v>19382.556963559789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6742.4063199999773</v>
      </c>
      <c r="D19" s="125">
        <f t="shared" ref="D19:G19" si="1">D16-D18</f>
        <v>9279.2428887999704</v>
      </c>
      <c r="E19" s="125">
        <f t="shared" si="1"/>
        <v>12051.183948791964</v>
      </c>
      <c r="F19" s="125">
        <f t="shared" si="1"/>
        <v>15080.045104183266</v>
      </c>
      <c r="G19" s="125">
        <f t="shared" si="1"/>
        <v>18389.716963559789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1011.3609479999966</v>
      </c>
      <c r="D20" s="117">
        <f t="shared" ref="D20:G20" si="2">D19*0.15</f>
        <v>1391.8864333199956</v>
      </c>
      <c r="E20" s="117">
        <f t="shared" si="2"/>
        <v>1807.6775923187945</v>
      </c>
      <c r="F20" s="117">
        <f t="shared" si="2"/>
        <v>2262.0067656274896</v>
      </c>
      <c r="G20" s="117">
        <f t="shared" si="2"/>
        <v>2758.4575445339683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5731.0453719999805</v>
      </c>
      <c r="D21" s="125">
        <f t="shared" ref="D21:G21" si="3">D19-D20</f>
        <v>7887.356455479975</v>
      </c>
      <c r="E21" s="125">
        <f t="shared" si="3"/>
        <v>10243.50635647317</v>
      </c>
      <c r="F21" s="125">
        <f t="shared" si="3"/>
        <v>12818.038338555776</v>
      </c>
      <c r="G21" s="125">
        <f t="shared" si="3"/>
        <v>15631.259419025821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1318.1404355599955</v>
      </c>
      <c r="D22" s="117">
        <f>D21*0.23</f>
        <v>1814.0919847603943</v>
      </c>
      <c r="E22" s="117">
        <f>E21*0.23</f>
        <v>2356.0064619888294</v>
      </c>
      <c r="F22" s="117">
        <f>F21*0.23</f>
        <v>2948.1488178678287</v>
      </c>
      <c r="G22" s="117">
        <f>G21*0.23</f>
        <v>3595.1896663759389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4412.9049364399852</v>
      </c>
      <c r="D23" s="125">
        <f>D21-D22</f>
        <v>6073.2644707195805</v>
      </c>
      <c r="E23" s="125">
        <f>E21-E22</f>
        <v>7887.499894484341</v>
      </c>
      <c r="F23" s="125">
        <f>F21-F22</f>
        <v>9869.8895206879479</v>
      </c>
      <c r="G23" s="125">
        <f>G21-G22</f>
        <v>12036.069752649881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3261.6849364399841</v>
      </c>
      <c r="D32" s="127">
        <f t="shared" ref="D32:F32" si="4">SUM(D23:D31)</f>
        <v>4922.0444707195784</v>
      </c>
      <c r="E32" s="127">
        <f>SUM(E23:E31)</f>
        <v>6736.279894484338</v>
      </c>
      <c r="F32" s="127">
        <f t="shared" si="4"/>
        <v>8718.6695206879449</v>
      </c>
      <c r="G32" s="127">
        <f>SUM(G23:G31)</f>
        <v>27834.84975264988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23873.528574981727</v>
      </c>
      <c r="E35" s="98"/>
    </row>
    <row r="36" spans="1:7" ht="15">
      <c r="A36" s="177" t="s">
        <v>48</v>
      </c>
      <c r="B36" s="181">
        <f>IRR(B32:G32)</f>
        <v>0.17380801106360372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Q45"/>
  <sheetViews>
    <sheetView topLeftCell="A5" zoomScale="90" zoomScaleNormal="90" workbookViewId="0">
      <selection activeCell="E16" sqref="E16"/>
    </sheetView>
  </sheetViews>
  <sheetFormatPr baseColWidth="10" defaultRowHeight="14.25"/>
  <cols>
    <col min="1" max="1" width="13" style="97" bestFit="1" customWidth="1"/>
    <col min="2" max="2" width="9.28515625" style="97" customWidth="1"/>
    <col min="3" max="3" width="43.5703125" style="97" bestFit="1" customWidth="1"/>
    <col min="4" max="4" width="11.7109375" style="97" customWidth="1"/>
    <col min="5" max="5" width="12.140625" style="97" bestFit="1" customWidth="1"/>
    <col min="6" max="6" width="12.42578125" style="97" customWidth="1"/>
    <col min="7" max="7" width="12.140625" style="97" customWidth="1"/>
    <col min="8" max="8" width="12.85546875" style="97" customWidth="1"/>
    <col min="9" max="9" width="13.28515625" style="97" bestFit="1" customWidth="1"/>
    <col min="10" max="10" width="11.42578125" style="97"/>
    <col min="11" max="11" width="12.140625" style="97" bestFit="1" customWidth="1"/>
    <col min="12" max="12" width="18.85546875" style="97" bestFit="1" customWidth="1"/>
    <col min="13" max="13" width="15.42578125" style="97" customWidth="1"/>
    <col min="14" max="14" width="11.42578125" style="97"/>
    <col min="15" max="15" width="12.85546875" style="97" customWidth="1"/>
    <col min="16" max="16" width="26.140625" style="97" customWidth="1"/>
    <col min="17" max="16384" width="11.42578125" style="97"/>
  </cols>
  <sheetData>
    <row r="1" spans="1:17" ht="18">
      <c r="C1" s="258" t="s">
        <v>58</v>
      </c>
      <c r="D1" s="258"/>
      <c r="E1" s="258"/>
      <c r="F1" s="258"/>
      <c r="G1" s="258"/>
      <c r="H1" s="258"/>
      <c r="I1" s="258"/>
    </row>
    <row r="2" spans="1:17">
      <c r="B2" s="97" t="s">
        <v>56</v>
      </c>
      <c r="K2" s="120"/>
      <c r="L2" s="120"/>
      <c r="M2" s="120"/>
      <c r="N2" s="120"/>
      <c r="O2" s="120"/>
      <c r="P2" s="120"/>
      <c r="Q2" s="120"/>
    </row>
    <row r="3" spans="1:17" ht="15">
      <c r="B3" s="131">
        <v>0.09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K3" s="121"/>
      <c r="L3" s="120"/>
      <c r="M3" s="120"/>
      <c r="N3" s="120"/>
      <c r="O3" s="120"/>
      <c r="P3" s="120"/>
      <c r="Q3" s="120"/>
    </row>
    <row r="4" spans="1:17">
      <c r="A4" s="97" t="s">
        <v>167</v>
      </c>
      <c r="B4" s="98">
        <v>0.01</v>
      </c>
      <c r="C4" s="100" t="s">
        <v>11</v>
      </c>
      <c r="D4" s="132"/>
      <c r="E4" s="132">
        <v>387515.7</v>
      </c>
      <c r="F4" s="132">
        <f>E4*(1+$B$3)</f>
        <v>422392.11300000007</v>
      </c>
      <c r="G4" s="132">
        <f t="shared" ref="G4:I4" si="0">F4*(1+$B$3)</f>
        <v>460407.40317000012</v>
      </c>
      <c r="H4" s="132">
        <f t="shared" si="0"/>
        <v>501844.06945530017</v>
      </c>
      <c r="I4" s="132">
        <f t="shared" si="0"/>
        <v>547010.03570627724</v>
      </c>
      <c r="K4" s="133"/>
      <c r="L4" s="120"/>
      <c r="M4" s="120"/>
      <c r="N4" s="120"/>
      <c r="O4" s="120"/>
      <c r="P4" s="120"/>
      <c r="Q4" s="120"/>
    </row>
    <row r="5" spans="1:17" ht="15" customHeight="1">
      <c r="C5" s="100" t="s">
        <v>12</v>
      </c>
      <c r="D5" s="132"/>
      <c r="E5" s="134"/>
      <c r="F5" s="135"/>
      <c r="G5" s="135"/>
      <c r="H5" s="135"/>
      <c r="I5" s="135"/>
      <c r="J5" s="136"/>
      <c r="K5" s="120"/>
      <c r="L5" s="259"/>
      <c r="M5" s="259"/>
      <c r="N5" s="120"/>
      <c r="O5" s="260"/>
      <c r="P5" s="260"/>
      <c r="Q5" s="137"/>
    </row>
    <row r="6" spans="1:17" ht="15">
      <c r="C6" s="100" t="s">
        <v>66</v>
      </c>
      <c r="D6" s="132"/>
      <c r="E6" s="134">
        <v>67629.070000000007</v>
      </c>
      <c r="F6" s="135">
        <f>E6*(1+$B$3)</f>
        <v>73715.686300000016</v>
      </c>
      <c r="G6" s="135">
        <f t="shared" ref="G6:I6" si="1">F6*(1+$B$3)</f>
        <v>80350.098067000028</v>
      </c>
      <c r="H6" s="135">
        <f t="shared" si="1"/>
        <v>87581.606893030039</v>
      </c>
      <c r="I6" s="135">
        <f t="shared" si="1"/>
        <v>95463.951513402746</v>
      </c>
      <c r="K6" s="120"/>
      <c r="L6" s="121"/>
      <c r="M6" s="138"/>
      <c r="N6" s="120"/>
      <c r="O6" s="118"/>
      <c r="P6" s="139"/>
      <c r="Q6" s="120"/>
    </row>
    <row r="7" spans="1:17" ht="15">
      <c r="C7" s="100" t="s">
        <v>67</v>
      </c>
      <c r="D7" s="132"/>
      <c r="E7" s="134">
        <v>32112</v>
      </c>
      <c r="F7" s="135">
        <f>E7</f>
        <v>32112</v>
      </c>
      <c r="G7" s="135">
        <f t="shared" ref="G7:I7" si="2">F7</f>
        <v>32112</v>
      </c>
      <c r="H7" s="135">
        <f t="shared" si="2"/>
        <v>32112</v>
      </c>
      <c r="I7" s="135">
        <f t="shared" si="2"/>
        <v>32112</v>
      </c>
      <c r="K7" s="120"/>
      <c r="L7" s="121"/>
      <c r="M7" s="130"/>
      <c r="N7" s="120"/>
      <c r="O7" s="118"/>
      <c r="P7" s="139"/>
      <c r="Q7" s="120"/>
    </row>
    <row r="8" spans="1:17" ht="16.5" customHeight="1">
      <c r="C8" s="100" t="s">
        <v>68</v>
      </c>
      <c r="D8" s="132"/>
      <c r="E8" s="134"/>
      <c r="F8" s="135"/>
      <c r="G8" s="135"/>
      <c r="H8" s="135"/>
      <c r="I8" s="135"/>
      <c r="J8" s="111"/>
      <c r="K8" s="111"/>
      <c r="L8" s="118"/>
      <c r="M8" s="140"/>
      <c r="N8" s="111"/>
      <c r="O8" s="118"/>
      <c r="P8" s="139"/>
      <c r="Q8" s="120"/>
    </row>
    <row r="9" spans="1:17" ht="15">
      <c r="C9" s="100" t="s">
        <v>69</v>
      </c>
      <c r="D9" s="132"/>
      <c r="E9" s="134">
        <v>9300</v>
      </c>
      <c r="F9" s="135">
        <f>E9*(1+$B$3)</f>
        <v>10137</v>
      </c>
      <c r="G9" s="135">
        <f t="shared" ref="G9:I9" si="3">F9*(1+$B$3)</f>
        <v>11049.33</v>
      </c>
      <c r="H9" s="135">
        <f t="shared" si="3"/>
        <v>12043.769700000001</v>
      </c>
      <c r="I9" s="135">
        <f t="shared" si="3"/>
        <v>13127.708973000003</v>
      </c>
      <c r="J9" s="111"/>
      <c r="K9" s="111"/>
      <c r="L9" s="120"/>
      <c r="M9" s="120"/>
      <c r="N9" s="111"/>
      <c r="O9" s="118"/>
      <c r="P9" s="122"/>
      <c r="Q9" s="120"/>
    </row>
    <row r="10" spans="1:17" ht="15">
      <c r="B10" s="141"/>
      <c r="C10" s="3" t="s">
        <v>15</v>
      </c>
      <c r="D10" s="132"/>
      <c r="E10" s="142">
        <f>E4-E6-E7-E9</f>
        <v>278474.63</v>
      </c>
      <c r="F10" s="142">
        <f>F4-F6-F7-F9</f>
        <v>306427.42670000007</v>
      </c>
      <c r="G10" s="142">
        <f t="shared" ref="G10:I10" si="4">G4-G6-G7-G9</f>
        <v>336895.97510300006</v>
      </c>
      <c r="H10" s="142">
        <f t="shared" si="4"/>
        <v>370106.69286227011</v>
      </c>
      <c r="I10" s="142">
        <f t="shared" si="4"/>
        <v>406306.37521987449</v>
      </c>
      <c r="J10" s="111"/>
      <c r="K10" s="111"/>
      <c r="L10" s="120"/>
      <c r="M10" s="120"/>
      <c r="N10" s="111"/>
      <c r="O10" s="118"/>
      <c r="P10" s="130"/>
      <c r="Q10" s="120"/>
    </row>
    <row r="11" spans="1:17" ht="14.25" customHeight="1">
      <c r="B11" s="141"/>
      <c r="C11" s="100" t="s">
        <v>18</v>
      </c>
      <c r="D11" s="143"/>
      <c r="E11" s="134"/>
      <c r="F11" s="135"/>
      <c r="G11" s="135"/>
      <c r="H11" s="135"/>
      <c r="I11" s="135"/>
      <c r="J11" s="111"/>
      <c r="K11" s="111"/>
      <c r="L11" s="120"/>
      <c r="M11" s="120"/>
      <c r="N11" s="111"/>
      <c r="O11" s="118"/>
      <c r="P11" s="144"/>
      <c r="Q11" s="120"/>
    </row>
    <row r="12" spans="1:17">
      <c r="B12" s="141"/>
      <c r="C12" s="100" t="s">
        <v>23</v>
      </c>
      <c r="D12" s="132"/>
      <c r="E12" s="145">
        <v>12803.61</v>
      </c>
      <c r="F12" s="145">
        <f>E12*(1+$B$3)</f>
        <v>13955.934900000002</v>
      </c>
      <c r="G12" s="145">
        <f t="shared" ref="G12:I12" si="5">F12*(1+$B$3)</f>
        <v>15211.969041000004</v>
      </c>
      <c r="H12" s="145">
        <f t="shared" si="5"/>
        <v>16581.046254690005</v>
      </c>
      <c r="I12" s="145">
        <f t="shared" si="5"/>
        <v>18073.340417612108</v>
      </c>
      <c r="J12" s="111"/>
      <c r="K12" s="111"/>
      <c r="L12" s="120"/>
      <c r="M12" s="120"/>
      <c r="N12" s="111"/>
      <c r="O12" s="120"/>
      <c r="P12" s="120"/>
      <c r="Q12" s="120"/>
    </row>
    <row r="13" spans="1:17" s="146" customFormat="1">
      <c r="B13" s="29"/>
      <c r="C13" s="100" t="s">
        <v>70</v>
      </c>
      <c r="D13" s="132"/>
      <c r="E13" s="134">
        <v>31008</v>
      </c>
      <c r="F13" s="134">
        <f>E13</f>
        <v>31008</v>
      </c>
      <c r="G13" s="134">
        <f t="shared" ref="G13:I13" si="6">F13</f>
        <v>31008</v>
      </c>
      <c r="H13" s="134">
        <f t="shared" si="6"/>
        <v>31008</v>
      </c>
      <c r="I13" s="134">
        <f t="shared" si="6"/>
        <v>31008</v>
      </c>
      <c r="J13" s="111"/>
      <c r="K13" s="111"/>
      <c r="L13" s="120"/>
      <c r="M13" s="120"/>
      <c r="N13" s="111"/>
      <c r="O13" s="120"/>
      <c r="P13" s="120"/>
      <c r="Q13" s="120"/>
    </row>
    <row r="14" spans="1:17" ht="15">
      <c r="B14" s="10"/>
      <c r="C14" s="100" t="s">
        <v>71</v>
      </c>
      <c r="D14" s="132"/>
      <c r="E14" s="147">
        <v>11856</v>
      </c>
      <c r="F14" s="147">
        <f>E14*(1+0.01)</f>
        <v>11974.56</v>
      </c>
      <c r="G14" s="147">
        <f t="shared" ref="G14:I14" si="7">F14*(1+0.01)</f>
        <v>12094.3056</v>
      </c>
      <c r="H14" s="147">
        <f t="shared" si="7"/>
        <v>12215.248656</v>
      </c>
      <c r="I14" s="147">
        <f t="shared" si="7"/>
        <v>12337.40114256</v>
      </c>
      <c r="J14" s="111"/>
      <c r="K14" s="111"/>
      <c r="L14" s="118"/>
      <c r="M14" s="111"/>
      <c r="N14" s="111"/>
      <c r="O14" s="120"/>
      <c r="P14" s="121"/>
      <c r="Q14" s="148"/>
    </row>
    <row r="15" spans="1:17" ht="15">
      <c r="B15" s="10"/>
      <c r="C15" s="126" t="s">
        <v>24</v>
      </c>
      <c r="D15" s="145"/>
      <c r="E15" s="149">
        <v>21556.62</v>
      </c>
      <c r="F15" s="149">
        <v>21556.62</v>
      </c>
      <c r="G15" s="149">
        <v>21556.62</v>
      </c>
      <c r="H15" s="149">
        <v>21556.62</v>
      </c>
      <c r="I15" s="149">
        <v>21556.62</v>
      </c>
      <c r="J15" s="111"/>
      <c r="K15" s="111"/>
      <c r="L15" s="118"/>
      <c r="M15" s="111"/>
      <c r="N15" s="111"/>
      <c r="O15" s="120"/>
      <c r="P15" s="121"/>
      <c r="Q15" s="148"/>
    </row>
    <row r="16" spans="1:17" ht="15">
      <c r="B16" s="10"/>
      <c r="C16" s="3" t="s">
        <v>28</v>
      </c>
      <c r="D16" s="132"/>
      <c r="E16" s="150">
        <f>E10-SUM(E12:E15)</f>
        <v>201250.40000000002</v>
      </c>
      <c r="F16" s="151">
        <f>F10-SUM(F12:F15)</f>
        <v>227932.31180000008</v>
      </c>
      <c r="G16" s="151">
        <f>G10-SUM(G12:G15)</f>
        <v>257025.08046200004</v>
      </c>
      <c r="H16" s="151">
        <f>H10-SUM(H12:H15)</f>
        <v>288745.77795158012</v>
      </c>
      <c r="I16" s="151">
        <f>I10-SUM(I12:I15)</f>
        <v>323331.01365970238</v>
      </c>
      <c r="J16" s="120"/>
      <c r="K16" s="120"/>
      <c r="L16" s="121"/>
      <c r="M16" s="122"/>
      <c r="N16" s="120"/>
      <c r="O16" s="120"/>
      <c r="P16" s="121"/>
      <c r="Q16" s="130"/>
    </row>
    <row r="17" spans="2:17" ht="15">
      <c r="B17" s="10"/>
      <c r="C17" s="3" t="s">
        <v>30</v>
      </c>
      <c r="D17" s="132"/>
      <c r="E17" s="132"/>
      <c r="F17" s="132"/>
      <c r="G17" s="132"/>
      <c r="H17" s="132"/>
      <c r="I17" s="132"/>
      <c r="J17" s="10"/>
      <c r="K17" s="120"/>
      <c r="L17" s="120"/>
      <c r="M17" s="120"/>
      <c r="N17" s="120"/>
      <c r="O17" s="120"/>
      <c r="P17" s="121"/>
      <c r="Q17" s="122"/>
    </row>
    <row r="18" spans="2:17" s="146" customFormat="1">
      <c r="B18" s="29"/>
      <c r="C18" s="126" t="s">
        <v>32</v>
      </c>
      <c r="D18" s="152"/>
      <c r="E18" s="145">
        <v>5056.8</v>
      </c>
      <c r="F18" s="145">
        <v>4228.51</v>
      </c>
      <c r="G18" s="145">
        <v>3317.39</v>
      </c>
      <c r="H18" s="145">
        <v>2315.16</v>
      </c>
      <c r="I18" s="145">
        <v>1212.7</v>
      </c>
      <c r="J18" s="29"/>
      <c r="K18" s="111"/>
      <c r="L18" s="111"/>
      <c r="M18" s="111"/>
      <c r="N18" s="111"/>
      <c r="O18" s="120"/>
      <c r="P18" s="120"/>
      <c r="Q18" s="120"/>
    </row>
    <row r="19" spans="2:17" ht="15">
      <c r="B19" s="141"/>
      <c r="C19" s="3" t="s">
        <v>33</v>
      </c>
      <c r="D19" s="153"/>
      <c r="E19" s="153">
        <f>E16-E18</f>
        <v>196193.60000000003</v>
      </c>
      <c r="F19" s="153">
        <f>F16-F18</f>
        <v>223703.80180000007</v>
      </c>
      <c r="G19" s="153">
        <f t="shared" ref="G19:I19" si="8">G16-G18</f>
        <v>253707.69046200003</v>
      </c>
      <c r="H19" s="153">
        <f t="shared" si="8"/>
        <v>286430.61795158015</v>
      </c>
      <c r="I19" s="153">
        <f t="shared" si="8"/>
        <v>322118.31365970237</v>
      </c>
      <c r="J19" s="10"/>
      <c r="K19" s="111"/>
      <c r="L19" s="111"/>
      <c r="M19" s="111"/>
      <c r="N19" s="111"/>
      <c r="O19" s="120"/>
      <c r="P19" s="120"/>
      <c r="Q19" s="120"/>
    </row>
    <row r="20" spans="2:17">
      <c r="B20" s="141"/>
      <c r="C20" s="100" t="s">
        <v>34</v>
      </c>
      <c r="D20" s="132"/>
      <c r="E20" s="132">
        <f>E19*0.15</f>
        <v>29429.040000000005</v>
      </c>
      <c r="F20" s="132">
        <f>F19*0.15</f>
        <v>33555.570270000011</v>
      </c>
      <c r="G20" s="132">
        <f>G19*0.15</f>
        <v>38056.153569300004</v>
      </c>
      <c r="H20" s="132">
        <f>H19*0.15</f>
        <v>42964.592692737024</v>
      </c>
      <c r="I20" s="132">
        <f>I19*0.15</f>
        <v>48317.747048955353</v>
      </c>
      <c r="J20" s="10"/>
      <c r="K20" s="120"/>
      <c r="L20" s="120"/>
      <c r="M20" s="139"/>
      <c r="N20" s="120"/>
      <c r="O20" s="120"/>
      <c r="P20" s="120"/>
      <c r="Q20" s="120"/>
    </row>
    <row r="21" spans="2:17" ht="15">
      <c r="B21" s="141"/>
      <c r="C21" s="11" t="s">
        <v>35</v>
      </c>
      <c r="D21" s="132"/>
      <c r="E21" s="153">
        <f>E19-E20</f>
        <v>166764.56000000003</v>
      </c>
      <c r="F21" s="153">
        <f>F19-F20</f>
        <v>190148.23153000005</v>
      </c>
      <c r="G21" s="153">
        <f>G19-G20</f>
        <v>215651.53689270001</v>
      </c>
      <c r="H21" s="153">
        <f>H19-H20</f>
        <v>243466.02525884312</v>
      </c>
      <c r="I21" s="153">
        <f>I19-I20</f>
        <v>273800.56661074702</v>
      </c>
      <c r="J21" s="10"/>
      <c r="K21" s="120"/>
      <c r="L21" s="120"/>
      <c r="M21" s="120"/>
      <c r="N21" s="120"/>
      <c r="O21" s="120"/>
      <c r="P21" s="120"/>
      <c r="Q21" s="120"/>
    </row>
    <row r="22" spans="2:17">
      <c r="B22" s="141"/>
      <c r="C22" s="100" t="s">
        <v>36</v>
      </c>
      <c r="D22" s="132"/>
      <c r="E22" s="154">
        <f>E21*0.23</f>
        <v>38355.848800000007</v>
      </c>
      <c r="F22" s="154">
        <f>F21*0.23</f>
        <v>43734.093251900013</v>
      </c>
      <c r="G22" s="154">
        <f>G21*0.23</f>
        <v>49599.853485321008</v>
      </c>
      <c r="H22" s="154">
        <f>H21*0.23</f>
        <v>55997.185809533919</v>
      </c>
      <c r="I22" s="154">
        <f>I21*0.23</f>
        <v>62974.130320471813</v>
      </c>
      <c r="K22" s="120"/>
      <c r="L22" s="120"/>
      <c r="M22" s="120"/>
      <c r="N22" s="120"/>
      <c r="O22" s="120"/>
      <c r="P22" s="120"/>
      <c r="Q22" s="120"/>
    </row>
    <row r="23" spans="2:17" ht="15">
      <c r="C23" s="3" t="s">
        <v>37</v>
      </c>
      <c r="D23" s="132"/>
      <c r="E23" s="153">
        <f>E21-E22</f>
        <v>128408.71120000002</v>
      </c>
      <c r="F23" s="153">
        <f>F21-F22</f>
        <v>146414.13827810003</v>
      </c>
      <c r="G23" s="153">
        <f>G21-G22</f>
        <v>166051.68340737899</v>
      </c>
      <c r="H23" s="153">
        <f>H21-H22</f>
        <v>187468.83944930919</v>
      </c>
      <c r="I23" s="153">
        <f>I21-I22</f>
        <v>210826.43629027519</v>
      </c>
      <c r="K23" s="120"/>
      <c r="L23" s="121"/>
      <c r="M23" s="121"/>
      <c r="N23" s="120"/>
      <c r="O23" s="120"/>
      <c r="P23" s="120"/>
      <c r="Q23" s="120"/>
    </row>
    <row r="24" spans="2:17">
      <c r="C24" s="12" t="s">
        <v>38</v>
      </c>
      <c r="D24" s="49"/>
      <c r="E24" s="49"/>
      <c r="F24" s="49"/>
      <c r="G24" s="49"/>
      <c r="H24" s="49"/>
      <c r="I24" s="49"/>
    </row>
    <row r="25" spans="2:17">
      <c r="C25" s="12" t="s">
        <v>39</v>
      </c>
      <c r="D25" s="49"/>
      <c r="E25" s="49">
        <f>E15</f>
        <v>21556.62</v>
      </c>
      <c r="F25" s="49">
        <f>F15</f>
        <v>21556.62</v>
      </c>
      <c r="G25" s="49">
        <f t="shared" ref="G25:I25" si="9">G15</f>
        <v>21556.62</v>
      </c>
      <c r="H25" s="49">
        <f t="shared" si="9"/>
        <v>21556.62</v>
      </c>
      <c r="I25" s="49">
        <f t="shared" si="9"/>
        <v>21556.62</v>
      </c>
    </row>
    <row r="26" spans="2:17" s="146" customFormat="1">
      <c r="C26" s="12" t="s">
        <v>40</v>
      </c>
      <c r="D26" s="145">
        <v>-50568</v>
      </c>
      <c r="E26" s="145"/>
      <c r="F26" s="145"/>
      <c r="G26" s="145"/>
      <c r="H26" s="145"/>
      <c r="I26" s="145"/>
    </row>
    <row r="27" spans="2:17" s="146" customFormat="1">
      <c r="C27" s="12" t="s">
        <v>41</v>
      </c>
      <c r="D27" s="145">
        <v>50568</v>
      </c>
      <c r="E27" s="145"/>
      <c r="F27" s="145"/>
      <c r="G27" s="145"/>
      <c r="H27" s="145"/>
      <c r="I27" s="145"/>
    </row>
    <row r="28" spans="2:17" s="146" customFormat="1">
      <c r="C28" s="12" t="s">
        <v>42</v>
      </c>
      <c r="D28" s="145"/>
      <c r="E28" s="145">
        <v>-13339.71</v>
      </c>
      <c r="F28" s="145">
        <v>-13339.71</v>
      </c>
      <c r="G28" s="145">
        <v>-13339.71</v>
      </c>
      <c r="H28" s="145">
        <v>-13339.71</v>
      </c>
      <c r="I28" s="145">
        <v>-13339.71</v>
      </c>
    </row>
    <row r="29" spans="2:17" s="146" customFormat="1">
      <c r="C29" s="12" t="s">
        <v>43</v>
      </c>
      <c r="D29" s="145">
        <v>0</v>
      </c>
      <c r="E29" s="145"/>
      <c r="F29" s="145"/>
      <c r="G29" s="145"/>
      <c r="H29" s="145"/>
      <c r="I29" s="145"/>
    </row>
    <row r="30" spans="2:17" s="146" customFormat="1">
      <c r="C30" s="12" t="s">
        <v>44</v>
      </c>
      <c r="D30" s="145"/>
      <c r="E30" s="145"/>
      <c r="F30" s="145"/>
      <c r="G30" s="145"/>
      <c r="H30" s="145"/>
      <c r="I30" s="145">
        <v>0</v>
      </c>
    </row>
    <row r="31" spans="2:17">
      <c r="C31" s="12" t="s">
        <v>45</v>
      </c>
      <c r="D31" s="145"/>
      <c r="E31" s="145"/>
      <c r="F31" s="145"/>
      <c r="G31" s="145"/>
      <c r="H31" s="145"/>
      <c r="I31" s="145">
        <v>107783.1</v>
      </c>
      <c r="J31" s="129"/>
    </row>
    <row r="32" spans="2:17" ht="15">
      <c r="C32" s="16" t="s">
        <v>46</v>
      </c>
      <c r="D32" s="155">
        <f>SUM(D26:D31)</f>
        <v>0</v>
      </c>
      <c r="E32" s="155">
        <f>SUM(E23:E31)</f>
        <v>136625.62120000002</v>
      </c>
      <c r="F32" s="155">
        <f t="shared" ref="F32:H32" si="10">SUM(F23:F31)</f>
        <v>154631.04827810003</v>
      </c>
      <c r="G32" s="155">
        <f>SUM(G23:G31)</f>
        <v>174268.593407379</v>
      </c>
      <c r="H32" s="155">
        <f t="shared" si="10"/>
        <v>195685.74944930919</v>
      </c>
      <c r="I32" s="155">
        <f>SUM(I23:I31)</f>
        <v>326826.4462902752</v>
      </c>
      <c r="J32" s="120"/>
    </row>
    <row r="33" spans="2:10">
      <c r="D33" s="128"/>
      <c r="E33" s="128"/>
      <c r="F33" s="128"/>
      <c r="G33" s="128"/>
      <c r="H33" s="128"/>
      <c r="I33" s="128"/>
    </row>
    <row r="34" spans="2:10">
      <c r="B34" s="120"/>
      <c r="C34" s="120"/>
      <c r="D34" s="120"/>
      <c r="E34" s="156"/>
      <c r="F34" s="156"/>
      <c r="G34" s="156"/>
      <c r="H34" s="156"/>
      <c r="I34" s="156"/>
      <c r="J34" s="120"/>
    </row>
    <row r="35" spans="2:10" ht="15">
      <c r="B35" s="120"/>
      <c r="C35" s="121"/>
      <c r="D35" s="129"/>
      <c r="E35" s="120"/>
      <c r="F35" s="120"/>
      <c r="G35" s="130"/>
      <c r="H35" s="120"/>
      <c r="I35" s="120"/>
      <c r="J35" s="120"/>
    </row>
    <row r="36" spans="2:10" ht="15">
      <c r="B36" s="120"/>
      <c r="C36" s="121"/>
      <c r="D36" s="130"/>
      <c r="E36" s="120"/>
      <c r="F36" s="120"/>
      <c r="G36" s="120"/>
      <c r="H36" s="120"/>
      <c r="I36" s="120"/>
      <c r="J36" s="120"/>
    </row>
    <row r="37" spans="2:10">
      <c r="B37" s="120"/>
      <c r="C37" s="120"/>
      <c r="D37" s="120"/>
      <c r="E37" s="120"/>
      <c r="F37" s="120"/>
      <c r="G37" s="120"/>
      <c r="H37" s="120"/>
      <c r="I37" s="120"/>
      <c r="J37" s="120"/>
    </row>
    <row r="38" spans="2:10">
      <c r="B38" s="120"/>
      <c r="C38" s="120"/>
      <c r="D38" s="120"/>
      <c r="E38" s="120"/>
      <c r="F38" s="120"/>
      <c r="G38" s="120"/>
      <c r="H38" s="120"/>
      <c r="I38" s="120"/>
      <c r="J38" s="120"/>
    </row>
    <row r="39" spans="2:10">
      <c r="B39" s="120"/>
      <c r="C39" s="52"/>
      <c r="D39" s="129"/>
      <c r="E39" s="129"/>
      <c r="F39" s="129"/>
      <c r="G39" s="129"/>
      <c r="H39" s="129"/>
      <c r="I39" s="129"/>
      <c r="J39" s="120"/>
    </row>
    <row r="40" spans="2:10">
      <c r="B40" s="120"/>
      <c r="C40" s="52"/>
      <c r="D40" s="129"/>
      <c r="E40" s="129"/>
      <c r="F40" s="129"/>
      <c r="G40" s="129"/>
      <c r="H40" s="129"/>
      <c r="I40" s="129"/>
      <c r="J40" s="120"/>
    </row>
    <row r="41" spans="2:10">
      <c r="B41" s="120"/>
      <c r="C41" s="52"/>
      <c r="D41" s="129"/>
      <c r="E41" s="129"/>
      <c r="F41" s="129"/>
      <c r="G41" s="129"/>
      <c r="H41" s="129"/>
      <c r="I41" s="129"/>
      <c r="J41" s="120"/>
    </row>
    <row r="42" spans="2:10">
      <c r="B42" s="120"/>
      <c r="C42" s="120"/>
      <c r="D42" s="120"/>
      <c r="E42" s="120"/>
      <c r="F42" s="120"/>
      <c r="G42" s="120"/>
      <c r="H42" s="120"/>
      <c r="I42" s="120"/>
      <c r="J42" s="120"/>
    </row>
    <row r="43" spans="2:10" ht="15">
      <c r="B43" s="120"/>
      <c r="C43" s="120"/>
      <c r="D43" s="120"/>
      <c r="E43" s="120"/>
      <c r="F43" s="121"/>
      <c r="G43" s="129"/>
      <c r="H43" s="120"/>
      <c r="I43" s="120"/>
      <c r="J43" s="120"/>
    </row>
    <row r="45" spans="2:10">
      <c r="D45" s="98"/>
    </row>
  </sheetData>
  <mergeCells count="3">
    <mergeCell ref="L5:M5"/>
    <mergeCell ref="O5:P5"/>
    <mergeCell ref="C1:I1"/>
  </mergeCells>
  <pageMargins left="0.23622047244094491" right="0.27559055118110237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1" workbookViewId="0">
      <selection activeCell="A11" sqref="A1:XFD1048576"/>
    </sheetView>
  </sheetViews>
  <sheetFormatPr baseColWidth="10" defaultColWidth="46.1406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140625" style="97"/>
  </cols>
  <sheetData>
    <row r="1" spans="1:15" ht="18">
      <c r="A1" s="258" t="s">
        <v>155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'!E6)*1.4</f>
        <v>3787.2279200000075</v>
      </c>
      <c r="D6" s="101">
        <f>('FLUJO FLUJO NOSOTRAS'!F6-'FLUJO ANTERIOR 2 '!F6)*1.4</f>
        <v>4128.0784328000009</v>
      </c>
      <c r="E6" s="101">
        <f>('FLUJO FLUJO NOSOTRAS'!G6-'FLUJO ANTERIOR 2 '!G6)*1.4</f>
        <v>4499.6054917519996</v>
      </c>
      <c r="F6" s="101">
        <f>('FLUJO FLUJO NOSOTRAS'!H6-'FLUJO ANTERIOR 2 '!H6)*1.4</f>
        <v>4904.569986009682</v>
      </c>
      <c r="G6" s="101">
        <f>('FLUJO FLUJO NOSOTRAS'!I6-'FLUJO ANTERIOR 2 '!I6)*1.4</f>
        <v>5345.9812847505636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21029.292579999976</v>
      </c>
      <c r="D10" s="114">
        <f t="shared" ref="D10:G10" si="0">D4-D6-D7-D9</f>
        <v>22921.928912199972</v>
      </c>
      <c r="E10" s="114">
        <f t="shared" si="0"/>
        <v>24984.902514297966</v>
      </c>
      <c r="F10" s="114">
        <f t="shared" si="0"/>
        <v>27233.543740584806</v>
      </c>
      <c r="G10" s="114">
        <f t="shared" si="0"/>
        <v>29684.562677237467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10747.148179999975</v>
      </c>
      <c r="D16" s="123">
        <f>D10-SUM(D12:D15)</f>
        <v>12593.691516199971</v>
      </c>
      <c r="E16" s="123">
        <f>E10-SUM(E12:E15)</f>
        <v>14606.423752657965</v>
      </c>
      <c r="F16" s="123">
        <f>F10-SUM(F12:F15)</f>
        <v>16800.301890397204</v>
      </c>
      <c r="G16" s="123">
        <f>G10-SUM(G12:G15)</f>
        <v>19191.629060532981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6607.1481799999756</v>
      </c>
      <c r="D19" s="125">
        <f t="shared" ref="D19:G19" si="1">D16-D18</f>
        <v>9131.8115161999704</v>
      </c>
      <c r="E19" s="125">
        <f t="shared" si="1"/>
        <v>11890.483752657965</v>
      </c>
      <c r="F19" s="125">
        <f t="shared" si="1"/>
        <v>14904.881890397204</v>
      </c>
      <c r="G19" s="125">
        <f t="shared" si="1"/>
        <v>18198.789060532981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991.07222699999625</v>
      </c>
      <c r="D20" s="117">
        <f t="shared" ref="D20:G20" si="2">D19*0.15</f>
        <v>1369.7717274299955</v>
      </c>
      <c r="E20" s="117">
        <f t="shared" si="2"/>
        <v>1783.5725628986947</v>
      </c>
      <c r="F20" s="117">
        <f t="shared" si="2"/>
        <v>2235.7322835595805</v>
      </c>
      <c r="G20" s="117">
        <f t="shared" si="2"/>
        <v>2729.8183590799472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5616.0759529999796</v>
      </c>
      <c r="D21" s="125">
        <f t="shared" ref="D21:G21" si="3">D19-D20</f>
        <v>7762.0397887699746</v>
      </c>
      <c r="E21" s="125">
        <f t="shared" si="3"/>
        <v>10106.91118975927</v>
      </c>
      <c r="F21" s="125">
        <f t="shared" si="3"/>
        <v>12669.149606837624</v>
      </c>
      <c r="G21" s="125">
        <f t="shared" si="3"/>
        <v>15468.970701453034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1291.6974691899954</v>
      </c>
      <c r="D22" s="117">
        <f>D21*0.23</f>
        <v>1785.2691514170942</v>
      </c>
      <c r="E22" s="117">
        <f>E21*0.23</f>
        <v>2324.5895736446323</v>
      </c>
      <c r="F22" s="117">
        <f>F21*0.23</f>
        <v>2913.9044095726535</v>
      </c>
      <c r="G22" s="117">
        <f>G21*0.23</f>
        <v>3557.8632613341979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4324.3784838099837</v>
      </c>
      <c r="D23" s="125">
        <f>D21-D22</f>
        <v>5976.7706373528799</v>
      </c>
      <c r="E23" s="125">
        <f>E21-E22</f>
        <v>7782.3216161146374</v>
      </c>
      <c r="F23" s="125">
        <f>F21-F22</f>
        <v>9755.2451972649706</v>
      </c>
      <c r="G23" s="125">
        <f>G21-G22</f>
        <v>11911.107440118836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3173.1584838099825</v>
      </c>
      <c r="D32" s="127">
        <f t="shared" ref="D32:F32" si="4">SUM(D23:D31)</f>
        <v>4825.5506373528788</v>
      </c>
      <c r="E32" s="127">
        <f>SUM(E23:E31)</f>
        <v>6631.1016161146363</v>
      </c>
      <c r="F32" s="127">
        <f t="shared" si="4"/>
        <v>8604.0251972649712</v>
      </c>
      <c r="G32" s="127">
        <f>SUM(G23:G31)</f>
        <v>27709.887440118837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23343.723374661306</v>
      </c>
      <c r="E35" s="98"/>
    </row>
    <row r="36" spans="1:7" ht="15">
      <c r="A36" s="177" t="s">
        <v>48</v>
      </c>
      <c r="B36" s="181">
        <f>IRR(B32:G32)</f>
        <v>0.17008824589916088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2" workbookViewId="0">
      <selection activeCell="A12" sqref="A1:XFD1048576"/>
    </sheetView>
  </sheetViews>
  <sheetFormatPr baseColWidth="10" defaultColWidth="46.57031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5703125" style="97"/>
  </cols>
  <sheetData>
    <row r="1" spans="1:15" ht="18">
      <c r="A1" s="258" t="s">
        <v>154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'!E6)*1.55</f>
        <v>4193.0023400000091</v>
      </c>
      <c r="D6" s="101">
        <f>('FLUJO FLUJO NOSOTRAS'!F6-'FLUJO ANTERIOR 2 '!F6)*1.55</f>
        <v>4570.372550600001</v>
      </c>
      <c r="E6" s="101">
        <f>('FLUJO FLUJO NOSOTRAS'!G6-'FLUJO ANTERIOR 2 '!G6)*1.55</f>
        <v>4981.7060801540001</v>
      </c>
      <c r="F6" s="101">
        <f>('FLUJO FLUJO NOSOTRAS'!H6-'FLUJO ANTERIOR 2 '!H6)*1.55</f>
        <v>5430.059627367863</v>
      </c>
      <c r="G6" s="101">
        <f>('FLUJO FLUJO NOSOTRAS'!I6-'FLUJO ANTERIOR 2 '!I6)*1.55</f>
        <v>5918.7649938309823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20623.518159999974</v>
      </c>
      <c r="D10" s="114">
        <f t="shared" ref="D10:G10" si="0">D4-D6-D7-D9</f>
        <v>22479.634794399972</v>
      </c>
      <c r="E10" s="114">
        <f t="shared" si="0"/>
        <v>24502.801925895968</v>
      </c>
      <c r="F10" s="114">
        <f t="shared" si="0"/>
        <v>26708.054099226625</v>
      </c>
      <c r="G10" s="114">
        <f t="shared" si="0"/>
        <v>29111.77896815705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10341.373759999973</v>
      </c>
      <c r="D16" s="123">
        <f>D10-SUM(D12:D15)</f>
        <v>12151.397398399971</v>
      </c>
      <c r="E16" s="123">
        <f>E10-SUM(E12:E15)</f>
        <v>14124.323164255968</v>
      </c>
      <c r="F16" s="123">
        <f>F10-SUM(F12:F15)</f>
        <v>16274.812249039023</v>
      </c>
      <c r="G16" s="123">
        <f>G10-SUM(G12:G15)</f>
        <v>18618.845351452565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6201.373759999974</v>
      </c>
      <c r="D19" s="125">
        <f t="shared" ref="D19:G19" si="1">D16-D18</f>
        <v>8689.5173983999703</v>
      </c>
      <c r="E19" s="125">
        <f t="shared" si="1"/>
        <v>11408.383164255967</v>
      </c>
      <c r="F19" s="125">
        <f t="shared" si="1"/>
        <v>14379.392249039023</v>
      </c>
      <c r="G19" s="125">
        <f t="shared" si="1"/>
        <v>17626.005351452564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930.2060639999961</v>
      </c>
      <c r="D20" s="117">
        <f t="shared" ref="D20:G20" si="2">D19*0.15</f>
        <v>1303.4276097599954</v>
      </c>
      <c r="E20" s="117">
        <f t="shared" si="2"/>
        <v>1711.257474638395</v>
      </c>
      <c r="F20" s="117">
        <f t="shared" si="2"/>
        <v>2156.9088373558534</v>
      </c>
      <c r="G20" s="117">
        <f t="shared" si="2"/>
        <v>2643.9008027178847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5271.1676959999777</v>
      </c>
      <c r="D21" s="125">
        <f t="shared" ref="D21:G21" si="3">D19-D20</f>
        <v>7386.0897886399744</v>
      </c>
      <c r="E21" s="125">
        <f t="shared" si="3"/>
        <v>9697.1256896175728</v>
      </c>
      <c r="F21" s="125">
        <f t="shared" si="3"/>
        <v>12222.48341168317</v>
      </c>
      <c r="G21" s="125">
        <f t="shared" si="3"/>
        <v>14982.10454873468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1212.3685700799949</v>
      </c>
      <c r="D22" s="117">
        <f>D21*0.23</f>
        <v>1698.8006513871942</v>
      </c>
      <c r="E22" s="117">
        <f>E21*0.23</f>
        <v>2230.3389086120419</v>
      </c>
      <c r="F22" s="117">
        <f>F21*0.23</f>
        <v>2811.171184687129</v>
      </c>
      <c r="G22" s="117">
        <f>G21*0.23</f>
        <v>3445.8840462089765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4058.7991259199825</v>
      </c>
      <c r="D23" s="125">
        <f>D21-D22</f>
        <v>5687.2891372527802</v>
      </c>
      <c r="E23" s="125">
        <f>E21-E22</f>
        <v>7466.7867810055304</v>
      </c>
      <c r="F23" s="125">
        <f>F21-F22</f>
        <v>9411.3122269960404</v>
      </c>
      <c r="G23" s="125">
        <f>G21-G22</f>
        <v>11536.220502525703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2907.5791259199814</v>
      </c>
      <c r="D32" s="127">
        <f t="shared" ref="D32:F32" si="4">SUM(D23:D31)</f>
        <v>4536.0691372527799</v>
      </c>
      <c r="E32" s="127">
        <f>SUM(E23:E31)</f>
        <v>6315.5667810055311</v>
      </c>
      <c r="F32" s="127">
        <f t="shared" si="4"/>
        <v>8260.0922269960392</v>
      </c>
      <c r="G32" s="127">
        <f>SUM(G23:G31)</f>
        <v>27335.000502525701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21754.307773700028</v>
      </c>
      <c r="E35" s="98"/>
    </row>
    <row r="36" spans="1:7" ht="15">
      <c r="A36" s="177" t="s">
        <v>48</v>
      </c>
      <c r="B36" s="181">
        <f>IRR(B32:G32)</f>
        <v>0.15889730195816448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2" workbookViewId="0">
      <selection activeCell="A12" sqref="A1:XFD1048576"/>
    </sheetView>
  </sheetViews>
  <sheetFormatPr baseColWidth="10" defaultColWidth="46.285156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28515625" style="97"/>
  </cols>
  <sheetData>
    <row r="1" spans="1:15" ht="18">
      <c r="A1" s="258" t="s">
        <v>153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'!E6)*1.65</f>
        <v>4463.5186200000089</v>
      </c>
      <c r="D6" s="101">
        <f>('FLUJO FLUJO NOSOTRAS'!F6-'FLUJO ANTERIOR 2 '!F6)*1.65</f>
        <v>4865.235295800001</v>
      </c>
      <c r="E6" s="101">
        <f>('FLUJO FLUJO NOSOTRAS'!G6-'FLUJO ANTERIOR 2 '!G6)*1.65</f>
        <v>5303.1064724219996</v>
      </c>
      <c r="F6" s="101">
        <f>('FLUJO FLUJO NOSOTRAS'!H6-'FLUJO ANTERIOR 2 '!H6)*1.65</f>
        <v>5780.3860549399824</v>
      </c>
      <c r="G6" s="101">
        <f>('FLUJO FLUJO NOSOTRAS'!I6-'FLUJO ANTERIOR 2 '!I6)*1.65</f>
        <v>6300.620799884593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20353.001879999974</v>
      </c>
      <c r="D10" s="114">
        <f t="shared" ref="D10:G10" si="0">D4-D6-D7-D9</f>
        <v>22184.772049199972</v>
      </c>
      <c r="E10" s="114">
        <f t="shared" si="0"/>
        <v>24181.40153362797</v>
      </c>
      <c r="F10" s="114">
        <f t="shared" si="0"/>
        <v>26357.727671654506</v>
      </c>
      <c r="G10" s="114">
        <f t="shared" si="0"/>
        <v>28729.923162103441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10070.857479999973</v>
      </c>
      <c r="D16" s="123">
        <f>D10-SUM(D12:D15)</f>
        <v>11856.534653199971</v>
      </c>
      <c r="E16" s="123">
        <f>E10-SUM(E12:E15)</f>
        <v>13802.922771987969</v>
      </c>
      <c r="F16" s="123">
        <f>F10-SUM(F12:F15)</f>
        <v>15924.485821466904</v>
      </c>
      <c r="G16" s="123">
        <f>G10-SUM(G12:G15)</f>
        <v>18236.989545398956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5930.8574799999742</v>
      </c>
      <c r="D19" s="125">
        <f t="shared" ref="D19:G19" si="1">D16-D18</f>
        <v>8394.6546531999702</v>
      </c>
      <c r="E19" s="125">
        <f t="shared" si="1"/>
        <v>11086.982771987969</v>
      </c>
      <c r="F19" s="125">
        <f t="shared" si="1"/>
        <v>14029.065821466904</v>
      </c>
      <c r="G19" s="125">
        <f t="shared" si="1"/>
        <v>17244.149545398956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889.62862199999608</v>
      </c>
      <c r="D20" s="117">
        <f t="shared" ref="D20:G20" si="2">D19*0.15</f>
        <v>1259.1981979799955</v>
      </c>
      <c r="E20" s="117">
        <f t="shared" si="2"/>
        <v>1663.0474157981953</v>
      </c>
      <c r="F20" s="117">
        <f t="shared" si="2"/>
        <v>2104.3598732200353</v>
      </c>
      <c r="G20" s="117">
        <f t="shared" si="2"/>
        <v>2586.6224318098434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5041.2288579999786</v>
      </c>
      <c r="D21" s="125">
        <f t="shared" ref="D21:G21" si="3">D19-D20</f>
        <v>7135.4564552199745</v>
      </c>
      <c r="E21" s="125">
        <f t="shared" si="3"/>
        <v>9423.9353561897733</v>
      </c>
      <c r="F21" s="125">
        <f t="shared" si="3"/>
        <v>11924.705948246869</v>
      </c>
      <c r="G21" s="125">
        <f t="shared" si="3"/>
        <v>14657.527113589113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1159.4826373399951</v>
      </c>
      <c r="D22" s="117">
        <f>D21*0.23</f>
        <v>1641.1549847005942</v>
      </c>
      <c r="E22" s="117">
        <f>E21*0.23</f>
        <v>2167.5051319236482</v>
      </c>
      <c r="F22" s="117">
        <f>F21*0.23</f>
        <v>2742.68236809678</v>
      </c>
      <c r="G22" s="117">
        <f>G21*0.23</f>
        <v>3371.2312361254963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3881.7462206599835</v>
      </c>
      <c r="D23" s="125">
        <f>D21-D22</f>
        <v>5494.30147051938</v>
      </c>
      <c r="E23" s="125">
        <f>E21-E22</f>
        <v>7256.4302242661252</v>
      </c>
      <c r="F23" s="125">
        <f>F21-F22</f>
        <v>9182.0235801500894</v>
      </c>
      <c r="G23" s="125">
        <f>G21-G22</f>
        <v>11286.295877463617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2730.5262206599818</v>
      </c>
      <c r="D32" s="127">
        <f t="shared" ref="D32:F32" si="4">SUM(D23:D31)</f>
        <v>4343.0814705193789</v>
      </c>
      <c r="E32" s="127">
        <f>SUM(E23:E31)</f>
        <v>6105.210224266124</v>
      </c>
      <c r="F32" s="127">
        <f t="shared" si="4"/>
        <v>8030.8035801500882</v>
      </c>
      <c r="G32" s="127">
        <f>SUM(G23:G31)</f>
        <v>27085.075877463616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20694.697373059185</v>
      </c>
      <c r="E35" s="98"/>
    </row>
    <row r="36" spans="1:7" ht="15">
      <c r="A36" s="177" t="s">
        <v>48</v>
      </c>
      <c r="B36" s="181">
        <f>IRR(B32:G32)</f>
        <v>0.15140968784052752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6" workbookViewId="0">
      <selection activeCell="A16" sqref="A1:XFD1048576"/>
    </sheetView>
  </sheetViews>
  <sheetFormatPr baseColWidth="10" defaultColWidth="45.85546875" defaultRowHeight="15"/>
  <cols>
    <col min="1" max="1" width="46.28515625" style="76" bestFit="1" customWidth="1"/>
    <col min="2" max="2" width="9.28515625" style="76" bestFit="1" customWidth="1"/>
    <col min="3" max="6" width="9.85546875" style="76" bestFit="1" customWidth="1"/>
    <col min="7" max="7" width="10.5703125" style="76" bestFit="1" customWidth="1"/>
    <col min="8" max="16384" width="45.85546875" style="76"/>
  </cols>
  <sheetData>
    <row r="1" spans="1:15">
      <c r="A1" s="274" t="s">
        <v>152</v>
      </c>
      <c r="B1" s="274"/>
      <c r="C1" s="274"/>
      <c r="D1" s="274"/>
      <c r="E1" s="274"/>
      <c r="F1" s="274"/>
      <c r="G1" s="274"/>
      <c r="I1" s="157"/>
      <c r="J1" s="157"/>
      <c r="K1" s="157"/>
      <c r="L1" s="157"/>
      <c r="M1" s="157"/>
      <c r="N1" s="157"/>
      <c r="O1" s="157"/>
    </row>
    <row r="2" spans="1:15">
      <c r="I2" s="157"/>
      <c r="J2" s="157"/>
      <c r="K2" s="157"/>
      <c r="L2" s="157"/>
      <c r="M2" s="157"/>
      <c r="N2" s="157"/>
      <c r="O2" s="157"/>
    </row>
    <row r="3" spans="1:15"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  <c r="I3" s="41"/>
      <c r="J3" s="157"/>
      <c r="K3" s="157"/>
      <c r="L3" s="157"/>
      <c r="M3" s="157"/>
      <c r="N3" s="157"/>
      <c r="O3" s="157"/>
    </row>
    <row r="4" spans="1:15">
      <c r="A4" s="92" t="s">
        <v>11</v>
      </c>
      <c r="B4" s="92"/>
      <c r="C4" s="80">
        <f>'FLUJO FLUJO NOSOTRAS'!E4-'FLUJO ANTERIOR 2 '!E4</f>
        <v>25188.520499999984</v>
      </c>
      <c r="D4" s="79">
        <f>'FLUJO FLUJO NOSOTRAS'!F4-'FLUJO ANTERIOR 2 '!F4</f>
        <v>27455.487344999972</v>
      </c>
      <c r="E4" s="79">
        <f>'FLUJO FLUJO NOSOTRAS'!G4-'FLUJO ANTERIOR 2 '!G4</f>
        <v>29926.481206049968</v>
      </c>
      <c r="F4" s="79">
        <f>'FLUJO FLUJO NOSOTRAS'!H4-'FLUJO ANTERIOR 2 '!H4</f>
        <v>32619.86451459449</v>
      </c>
      <c r="G4" s="79">
        <f>'FLUJO FLUJO NOSOTRAS'!I4-'FLUJO ANTERIOR 2 '!I4</f>
        <v>35555.652320908033</v>
      </c>
      <c r="I4" s="157"/>
      <c r="J4" s="157"/>
      <c r="K4" s="157"/>
      <c r="L4" s="157"/>
      <c r="M4" s="157"/>
      <c r="N4" s="157"/>
      <c r="O4" s="157"/>
    </row>
    <row r="5" spans="1:15" ht="15" customHeight="1">
      <c r="A5" s="92" t="s">
        <v>12</v>
      </c>
      <c r="B5" s="92"/>
      <c r="C5" s="80"/>
      <c r="D5" s="79"/>
      <c r="E5" s="79"/>
      <c r="F5" s="79"/>
      <c r="G5" s="79"/>
      <c r="I5" s="157"/>
      <c r="J5" s="272"/>
      <c r="K5" s="272"/>
      <c r="L5" s="157"/>
      <c r="M5" s="273"/>
      <c r="N5" s="273"/>
      <c r="O5" s="42"/>
    </row>
    <row r="6" spans="1:15" ht="15" customHeight="1">
      <c r="A6" s="73" t="s">
        <v>66</v>
      </c>
      <c r="B6" s="92"/>
      <c r="C6" s="80">
        <f>('FLUJO FLUJO NOSOTRAS'!E6-'FLUJO ANTERIOR 2 '!E6)*1.95</f>
        <v>5275.0674600000102</v>
      </c>
      <c r="D6" s="79">
        <f>('FLUJO FLUJO NOSOTRAS'!F6-'FLUJO ANTERIOR 2 '!F6)*1.95</f>
        <v>5749.8235314000012</v>
      </c>
      <c r="E6" s="79">
        <f>('FLUJO FLUJO NOSOTRAS'!G6-'FLUJO ANTERIOR 2 '!G6)*1.95</f>
        <v>6267.3076492259997</v>
      </c>
      <c r="F6" s="79">
        <f>('FLUJO FLUJO NOSOTRAS'!H6-'FLUJO ANTERIOR 2 '!H6)*1.95</f>
        <v>6831.3653376563425</v>
      </c>
      <c r="G6" s="79">
        <f>('FLUJO FLUJO NOSOTRAS'!I6-'FLUJO ANTERIOR 2 '!I6)*1.95</f>
        <v>7446.1882180454286</v>
      </c>
      <c r="I6" s="157"/>
      <c r="J6" s="72"/>
      <c r="K6" s="72"/>
      <c r="L6" s="157"/>
      <c r="M6" s="71"/>
      <c r="N6" s="71"/>
      <c r="O6" s="42"/>
    </row>
    <row r="7" spans="1:15" ht="15" customHeight="1">
      <c r="A7" s="73" t="s">
        <v>67</v>
      </c>
      <c r="B7" s="92"/>
      <c r="C7" s="80">
        <f>'FLUJO FLUJO NOSOTRAS'!E7-'FLUJO ANTERIOR 2 '!E7</f>
        <v>0</v>
      </c>
      <c r="D7" s="80">
        <f>'FLUJO FLUJO NOSOTRAS'!F7-'FLUJO ANTERIOR 2 '!F7</f>
        <v>0</v>
      </c>
      <c r="E7" s="80">
        <f>'FLUJO FLUJO NOSOTRAS'!G7-'FLUJO ANTERIOR 2 '!G7</f>
        <v>0</v>
      </c>
      <c r="F7" s="80">
        <f>'FLUJO FLUJO NOSOTRAS'!H7-'FLUJO ANTERIOR 2 '!H7</f>
        <v>0</v>
      </c>
      <c r="G7" s="80">
        <f>'FLUJO FLUJO NOSOTRAS'!I7-'FLUJO ANTERIOR 2 '!I7</f>
        <v>0</v>
      </c>
      <c r="I7" s="157"/>
      <c r="J7" s="72"/>
      <c r="K7" s="72"/>
      <c r="L7" s="157"/>
      <c r="M7" s="71"/>
      <c r="N7" s="71"/>
      <c r="O7" s="42"/>
    </row>
    <row r="8" spans="1:15" ht="15" customHeight="1">
      <c r="A8" s="73" t="s">
        <v>68</v>
      </c>
      <c r="B8" s="92"/>
      <c r="C8" s="80"/>
      <c r="D8" s="79"/>
      <c r="E8" s="79"/>
      <c r="F8" s="79"/>
      <c r="G8" s="79"/>
      <c r="I8" s="157"/>
      <c r="J8" s="72"/>
      <c r="K8" s="72"/>
      <c r="L8" s="157"/>
      <c r="M8" s="71"/>
      <c r="N8" s="71"/>
      <c r="O8" s="42"/>
    </row>
    <row r="9" spans="1:15" ht="15" customHeight="1">
      <c r="A9" s="73" t="s">
        <v>69</v>
      </c>
      <c r="B9" s="92"/>
      <c r="C9" s="80">
        <f>'FLUJO FLUJO NOSOTRAS'!E9-'FLUJO ANTERIOR 2 '!E9</f>
        <v>372</v>
      </c>
      <c r="D9" s="80">
        <f>'FLUJO FLUJO NOSOTRAS'!F9-'FLUJO ANTERIOR 2 '!F9</f>
        <v>405.47999999999956</v>
      </c>
      <c r="E9" s="80">
        <f>'FLUJO FLUJO NOSOTRAS'!G9-'FLUJO ANTERIOR 2 '!G9</f>
        <v>441.97320000000036</v>
      </c>
      <c r="F9" s="80">
        <f>'FLUJO FLUJO NOSOTRAS'!H9-'FLUJO ANTERIOR 2 '!H9</f>
        <v>481.75078800000119</v>
      </c>
      <c r="G9" s="80">
        <f>'FLUJO FLUJO NOSOTRAS'!I9-'FLUJO ANTERIOR 2 '!I9</f>
        <v>525.10835892000068</v>
      </c>
      <c r="I9" s="157"/>
      <c r="J9" s="72"/>
      <c r="K9" s="72"/>
      <c r="L9" s="157"/>
      <c r="M9" s="71"/>
      <c r="N9" s="71"/>
      <c r="O9" s="42"/>
    </row>
    <row r="10" spans="1:15">
      <c r="A10" s="253" t="s">
        <v>15</v>
      </c>
      <c r="B10" s="92"/>
      <c r="C10" s="38">
        <f>C4-C6-C7-C9</f>
        <v>19541.453039999975</v>
      </c>
      <c r="D10" s="38">
        <f t="shared" ref="D10:G10" si="0">D4-D6-D7-D9</f>
        <v>21300.183813599971</v>
      </c>
      <c r="E10" s="38">
        <f t="shared" si="0"/>
        <v>23217.200356823967</v>
      </c>
      <c r="F10" s="38">
        <f t="shared" si="0"/>
        <v>25306.748388938147</v>
      </c>
      <c r="G10" s="38">
        <f t="shared" si="0"/>
        <v>27584.355743942608</v>
      </c>
      <c r="I10" s="157"/>
      <c r="J10" s="41"/>
      <c r="K10" s="158"/>
      <c r="L10" s="157"/>
      <c r="M10" s="6"/>
      <c r="N10" s="159"/>
      <c r="O10" s="157"/>
    </row>
    <row r="11" spans="1:15">
      <c r="A11" s="92" t="s">
        <v>18</v>
      </c>
      <c r="B11" s="160"/>
      <c r="C11" s="80"/>
      <c r="D11" s="79"/>
      <c r="E11" s="79"/>
      <c r="F11" s="79"/>
      <c r="G11" s="79"/>
      <c r="I11" s="157"/>
      <c r="J11" s="41"/>
      <c r="K11" s="161"/>
      <c r="L11" s="157"/>
      <c r="M11" s="6"/>
      <c r="N11" s="159"/>
      <c r="O11" s="157"/>
    </row>
    <row r="12" spans="1:15">
      <c r="A12" s="92" t="s">
        <v>23</v>
      </c>
      <c r="B12" s="92"/>
      <c r="C12" s="83">
        <f>'FLUJO FLUJO NOSOTRAS'!E12-'FLUJO ANTERIOR 2 '!E12</f>
        <v>512.14440000000104</v>
      </c>
      <c r="D12" s="83">
        <f>'FLUJO FLUJO NOSOTRAS'!F12-'FLUJO ANTERIOR 2 '!F12</f>
        <v>558.23739600000044</v>
      </c>
      <c r="E12" s="83">
        <f>'FLUJO FLUJO NOSOTRAS'!G12-'FLUJO ANTERIOR 2 '!G12</f>
        <v>608.47876164000081</v>
      </c>
      <c r="F12" s="83">
        <f>'FLUJO FLUJO NOSOTRAS'!H12-'FLUJO ANTERIOR 2 '!H12</f>
        <v>663.24185018760181</v>
      </c>
      <c r="G12" s="83">
        <f>'FLUJO FLUJO NOSOTRAS'!I12-'FLUJO ANTERIOR 2 '!I12</f>
        <v>722.93361670448576</v>
      </c>
      <c r="H12" s="81"/>
      <c r="I12" s="81"/>
      <c r="J12" s="157"/>
      <c r="K12" s="157"/>
      <c r="L12" s="81"/>
      <c r="M12" s="6"/>
      <c r="N12" s="161"/>
      <c r="O12" s="157"/>
    </row>
    <row r="13" spans="1:15" ht="14.25" customHeight="1">
      <c r="A13" s="92" t="s">
        <v>70</v>
      </c>
      <c r="B13" s="92"/>
      <c r="C13" s="80">
        <f>'FLUJO FLUJO NOSOTRAS'!E13-'FLUJO ANTERIOR 2 '!E13</f>
        <v>0</v>
      </c>
      <c r="D13" s="80">
        <f>'FLUJO FLUJO NOSOTRAS'!F13-'FLUJO ANTERIOR 2 '!F13</f>
        <v>0</v>
      </c>
      <c r="E13" s="80">
        <f>'FLUJO FLUJO NOSOTRAS'!G13-'FLUJO ANTERIOR 2 '!G13</f>
        <v>0</v>
      </c>
      <c r="F13" s="80">
        <f>'FLUJO FLUJO NOSOTRAS'!H13-'FLUJO ANTERIOR 2 '!H13</f>
        <v>0</v>
      </c>
      <c r="G13" s="80">
        <f>'FLUJO FLUJO NOSOTRAS'!I13-'FLUJO ANTERIOR 2 '!I13</f>
        <v>0</v>
      </c>
      <c r="H13" s="81"/>
      <c r="I13" s="81"/>
      <c r="J13" s="157"/>
      <c r="K13" s="157"/>
      <c r="L13" s="81"/>
      <c r="M13" s="6"/>
      <c r="N13" s="162"/>
      <c r="O13" s="157"/>
    </row>
    <row r="14" spans="1:15">
      <c r="A14" s="92" t="s">
        <v>71</v>
      </c>
      <c r="B14" s="92"/>
      <c r="C14" s="80">
        <f>'FLUJO FLUJO NOSOTRAS'!E14-'FLUJO ANTERIOR 2 '!E14</f>
        <v>0</v>
      </c>
      <c r="D14" s="80">
        <f>'FLUJO FLUJO NOSOTRAS'!F14-'FLUJO ANTERIOR 2 '!F14</f>
        <v>0</v>
      </c>
      <c r="E14" s="80">
        <f>'FLUJO FLUJO NOSOTRAS'!G14-'FLUJO ANTERIOR 2 '!G14</f>
        <v>0</v>
      </c>
      <c r="F14" s="80">
        <f>'FLUJO FLUJO NOSOTRAS'!H14-'FLUJO ANTERIOR 2 '!H14</f>
        <v>0</v>
      </c>
      <c r="G14" s="80">
        <f>'FLUJO FLUJO NOSOTRAS'!I14-'FLUJO ANTERIOR 2 '!I14</f>
        <v>0</v>
      </c>
      <c r="H14" s="81"/>
      <c r="I14" s="163"/>
      <c r="J14" s="157"/>
      <c r="K14" s="157"/>
      <c r="L14" s="81"/>
      <c r="M14" s="157"/>
      <c r="N14" s="157"/>
      <c r="O14" s="157"/>
    </row>
    <row r="15" spans="1:15">
      <c r="A15" s="92" t="s">
        <v>24</v>
      </c>
      <c r="B15" s="92"/>
      <c r="C15" s="30">
        <f>'FLUJO FLUJO NOSOTRAS'!E15-'FLUJO ANTERIOR 2 '!E15</f>
        <v>9770</v>
      </c>
      <c r="D15" s="30">
        <f>'FLUJO FLUJO NOSOTRAS'!F15-'FLUJO ANTERIOR 2 '!F15</f>
        <v>9770</v>
      </c>
      <c r="E15" s="30">
        <f>'FLUJO FLUJO NOSOTRAS'!G15-'FLUJO ANTERIOR 2 '!G15</f>
        <v>9770</v>
      </c>
      <c r="F15" s="30">
        <f>'FLUJO FLUJO NOSOTRAS'!H15-'FLUJO ANTERIOR 2 '!H15</f>
        <v>9770</v>
      </c>
      <c r="G15" s="30">
        <f>'FLUJO FLUJO NOSOTRAS'!I15-'FLUJO ANTERIOR 2 '!I15</f>
        <v>9770</v>
      </c>
      <c r="H15" s="81"/>
      <c r="I15" s="81"/>
      <c r="J15" s="157"/>
      <c r="K15" s="157"/>
      <c r="L15" s="81"/>
      <c r="M15" s="157"/>
      <c r="N15" s="157"/>
      <c r="O15" s="157"/>
    </row>
    <row r="16" spans="1:15">
      <c r="A16" s="253" t="s">
        <v>28</v>
      </c>
      <c r="B16" s="92"/>
      <c r="C16" s="38">
        <f>C10-SUM(C12:C15)</f>
        <v>9259.3086399999738</v>
      </c>
      <c r="D16" s="39">
        <f>D10-SUM(D12:D15)</f>
        <v>10971.946417599971</v>
      </c>
      <c r="E16" s="39">
        <f>E10-SUM(E12:E15)</f>
        <v>12838.721595183966</v>
      </c>
      <c r="F16" s="39">
        <f>F10-SUM(F12:F15)</f>
        <v>14873.506538750546</v>
      </c>
      <c r="G16" s="39">
        <f>G10-SUM(G12:G15)</f>
        <v>17091.422127238122</v>
      </c>
      <c r="H16" s="84"/>
      <c r="I16" s="84"/>
      <c r="J16" s="8"/>
      <c r="K16" s="9"/>
      <c r="L16" s="84"/>
      <c r="M16" s="157"/>
      <c r="N16" s="41"/>
      <c r="O16" s="161"/>
    </row>
    <row r="17" spans="1:15">
      <c r="A17" s="253" t="s">
        <v>30</v>
      </c>
      <c r="B17" s="92"/>
      <c r="C17" s="83"/>
      <c r="D17" s="83"/>
      <c r="E17" s="83"/>
      <c r="F17" s="83"/>
      <c r="G17" s="83"/>
      <c r="H17" s="85"/>
      <c r="I17" s="84"/>
      <c r="J17" s="157"/>
      <c r="K17" s="157"/>
      <c r="L17" s="84"/>
      <c r="M17" s="157"/>
      <c r="N17" s="41"/>
      <c r="O17" s="45"/>
    </row>
    <row r="18" spans="1:15">
      <c r="A18" s="92" t="s">
        <v>32</v>
      </c>
      <c r="B18" s="164"/>
      <c r="C18" s="86">
        <f>'FLUJO FLUJO NOSOTRAS'!E18-'FLUJO ANTERIOR 2 '!E18</f>
        <v>4139.9999999999991</v>
      </c>
      <c r="D18" s="86">
        <f>'FLUJO FLUJO NOSOTRAS'!F18-'FLUJO ANTERIOR 2 '!F18</f>
        <v>3461.88</v>
      </c>
      <c r="E18" s="86">
        <f>'FLUJO FLUJO NOSOTRAS'!G18-'FLUJO ANTERIOR 2 '!G18</f>
        <v>2715.94</v>
      </c>
      <c r="F18" s="86">
        <f>'FLUJO FLUJO NOSOTRAS'!H18-'FLUJO ANTERIOR 2 '!H18</f>
        <v>1895.42</v>
      </c>
      <c r="G18" s="86">
        <f>'FLUJO FLUJO NOSOTRAS'!I18-'FLUJO ANTERIOR 2 '!I18</f>
        <v>992.83999999999992</v>
      </c>
      <c r="H18" s="85"/>
      <c r="I18" s="81"/>
      <c r="J18" s="81"/>
      <c r="K18" s="81"/>
      <c r="L18" s="81"/>
      <c r="M18" s="157"/>
      <c r="N18" s="157"/>
      <c r="O18" s="157"/>
    </row>
    <row r="19" spans="1:15">
      <c r="A19" s="253" t="s">
        <v>33</v>
      </c>
      <c r="B19" s="35"/>
      <c r="C19" s="40">
        <f>C16-C18</f>
        <v>5119.3086399999747</v>
      </c>
      <c r="D19" s="40">
        <f t="shared" ref="D19:G19" si="1">D16-D18</f>
        <v>7510.0664175999709</v>
      </c>
      <c r="E19" s="40">
        <f t="shared" si="1"/>
        <v>10122.781595183966</v>
      </c>
      <c r="F19" s="40">
        <f t="shared" si="1"/>
        <v>12978.086538750546</v>
      </c>
      <c r="G19" s="40">
        <f t="shared" si="1"/>
        <v>16098.582127238122</v>
      </c>
      <c r="H19" s="85"/>
      <c r="I19" s="157"/>
      <c r="J19" s="157"/>
      <c r="K19" s="159"/>
      <c r="L19" s="157"/>
      <c r="M19" s="157"/>
      <c r="N19" s="157"/>
      <c r="O19" s="157"/>
    </row>
    <row r="20" spans="1:15">
      <c r="A20" s="92" t="s">
        <v>34</v>
      </c>
      <c r="B20" s="92"/>
      <c r="C20" s="83">
        <f>C19*0.15</f>
        <v>767.89629599999614</v>
      </c>
      <c r="D20" s="83">
        <f t="shared" ref="D20:G20" si="2">D19*0.15</f>
        <v>1126.5099626399956</v>
      </c>
      <c r="E20" s="83">
        <f t="shared" si="2"/>
        <v>1518.4172392775947</v>
      </c>
      <c r="F20" s="83">
        <f t="shared" si="2"/>
        <v>1946.7129808125817</v>
      </c>
      <c r="G20" s="83">
        <f t="shared" si="2"/>
        <v>2414.7873190857181</v>
      </c>
      <c r="H20" s="85"/>
      <c r="I20" s="157"/>
      <c r="J20" s="157"/>
      <c r="K20" s="157"/>
      <c r="L20" s="157"/>
      <c r="M20" s="157"/>
      <c r="N20" s="157"/>
      <c r="O20" s="157"/>
    </row>
    <row r="21" spans="1:15">
      <c r="A21" s="87" t="s">
        <v>35</v>
      </c>
      <c r="B21" s="92"/>
      <c r="C21" s="40">
        <f>C19-C20</f>
        <v>4351.4123439999785</v>
      </c>
      <c r="D21" s="40">
        <f t="shared" ref="D21:G21" si="3">D19-D20</f>
        <v>6383.5564549599749</v>
      </c>
      <c r="E21" s="40">
        <f t="shared" si="3"/>
        <v>8604.3643559063712</v>
      </c>
      <c r="F21" s="40">
        <f t="shared" si="3"/>
        <v>11031.373557937965</v>
      </c>
      <c r="G21" s="40">
        <f t="shared" si="3"/>
        <v>13683.794808152405</v>
      </c>
      <c r="I21" s="157"/>
      <c r="J21" s="157"/>
      <c r="K21" s="157"/>
      <c r="L21" s="157"/>
      <c r="M21" s="157"/>
      <c r="N21" s="157"/>
      <c r="O21" s="157"/>
    </row>
    <row r="22" spans="1:15">
      <c r="A22" s="92" t="s">
        <v>36</v>
      </c>
      <c r="B22" s="92"/>
      <c r="C22" s="83">
        <f>C21*0.23</f>
        <v>1000.8248391199951</v>
      </c>
      <c r="D22" s="83">
        <f>D21*0.23</f>
        <v>1468.2179846407944</v>
      </c>
      <c r="E22" s="83">
        <f>E21*0.23</f>
        <v>1979.0038018584655</v>
      </c>
      <c r="F22" s="83">
        <f>F21*0.23</f>
        <v>2537.2159183257318</v>
      </c>
      <c r="G22" s="83">
        <f>G21*0.23</f>
        <v>3147.2728058750531</v>
      </c>
      <c r="I22" s="157"/>
      <c r="J22" s="41"/>
      <c r="K22" s="41"/>
      <c r="L22" s="157"/>
      <c r="M22" s="157"/>
      <c r="N22" s="157"/>
      <c r="O22" s="157"/>
    </row>
    <row r="23" spans="1:15">
      <c r="A23" s="253" t="s">
        <v>37</v>
      </c>
      <c r="B23" s="92"/>
      <c r="C23" s="40">
        <f>C21-C22</f>
        <v>3350.5875048799835</v>
      </c>
      <c r="D23" s="40">
        <f>D21-D22</f>
        <v>4915.3384703191805</v>
      </c>
      <c r="E23" s="40">
        <f>E21-E22</f>
        <v>6625.3605540479057</v>
      </c>
      <c r="F23" s="40">
        <f>F21-F22</f>
        <v>8494.1576396122327</v>
      </c>
      <c r="G23" s="40">
        <f>G21-G22</f>
        <v>10536.522002277352</v>
      </c>
    </row>
    <row r="24" spans="1:15">
      <c r="A24" s="88" t="s">
        <v>38</v>
      </c>
      <c r="B24" s="89"/>
      <c r="C24" s="90"/>
      <c r="D24" s="90"/>
      <c r="E24" s="90"/>
      <c r="F24" s="90"/>
      <c r="G24" s="90"/>
    </row>
    <row r="25" spans="1:15">
      <c r="A25" s="88" t="s">
        <v>39</v>
      </c>
      <c r="B25" s="89"/>
      <c r="C25" s="91">
        <f>'FLUJO FLUJO NOSOTRAS'!E25-'FLUJO ANTERIOR 2 '!E25</f>
        <v>9770</v>
      </c>
      <c r="D25" s="91">
        <f>'FLUJO FLUJO NOSOTRAS'!F25-'FLUJO ANTERIOR 2 '!F25</f>
        <v>9770</v>
      </c>
      <c r="E25" s="91">
        <f>'FLUJO FLUJO NOSOTRAS'!G25-'FLUJO ANTERIOR 2 '!G25</f>
        <v>9770</v>
      </c>
      <c r="F25" s="91">
        <f>'FLUJO FLUJO NOSOTRAS'!H25-'FLUJO ANTERIOR 2 '!H25</f>
        <v>9770</v>
      </c>
      <c r="G25" s="91">
        <f>'FLUJO FLUJO NOSOTRAS'!I25-'FLUJO ANTERIOR 2 '!I25</f>
        <v>9770</v>
      </c>
    </row>
    <row r="26" spans="1:15">
      <c r="A26" s="88" t="s">
        <v>40</v>
      </c>
      <c r="B26" s="83">
        <f>'FLUJO FLUJO NOSOTRAS'!D26-'FLUJO ANTERIOR 2 '!D26</f>
        <v>-69000</v>
      </c>
      <c r="C26" s="92"/>
      <c r="D26" s="92"/>
      <c r="E26" s="92"/>
      <c r="F26" s="92"/>
      <c r="G26" s="92"/>
    </row>
    <row r="27" spans="1:15">
      <c r="A27" s="88" t="s">
        <v>41</v>
      </c>
      <c r="B27" s="83">
        <f>'FLUJO FLUJO NOSOTRAS'!D27-'FLUJO ANTERIOR 2 '!D27</f>
        <v>41400</v>
      </c>
      <c r="C27" s="92"/>
      <c r="D27" s="92"/>
      <c r="E27" s="92"/>
      <c r="F27" s="92"/>
      <c r="G27" s="92"/>
    </row>
    <row r="28" spans="1:15">
      <c r="A28" s="88" t="s">
        <v>42</v>
      </c>
      <c r="B28" s="92"/>
      <c r="C28" s="86">
        <f>'FLUJO FLUJO NOSOTRAS'!E28-'FLUJO ANTERIOR 2 '!E28</f>
        <v>-10921.220000000001</v>
      </c>
      <c r="D28" s="86">
        <f>'FLUJO FLUJO NOSOTRAS'!F28-'FLUJO ANTERIOR 2 '!F28</f>
        <v>-10921.220000000001</v>
      </c>
      <c r="E28" s="86">
        <f>'FLUJO FLUJO NOSOTRAS'!G28-'FLUJO ANTERIOR 2 '!G28</f>
        <v>-10921.220000000001</v>
      </c>
      <c r="F28" s="86">
        <f>'FLUJO FLUJO NOSOTRAS'!H28-'FLUJO ANTERIOR 2 '!H28</f>
        <v>-10921.220000000001</v>
      </c>
      <c r="G28" s="86">
        <f>'FLUJO FLUJO NOSOTRAS'!I28-'FLUJO ANTERIOR 2 '!I28</f>
        <v>-10921.220000000001</v>
      </c>
    </row>
    <row r="29" spans="1:15">
      <c r="A29" s="88" t="s">
        <v>43</v>
      </c>
      <c r="B29" s="83">
        <f>'FLUJO FLUJO NOSOTRAS'!D29-'FLUJO ANTERIOR 2 '!D29</f>
        <v>0</v>
      </c>
      <c r="C29" s="92"/>
      <c r="D29" s="92"/>
      <c r="E29" s="92"/>
      <c r="F29" s="92"/>
      <c r="G29" s="92"/>
    </row>
    <row r="30" spans="1:15">
      <c r="A30" s="88" t="s">
        <v>44</v>
      </c>
      <c r="B30" s="92"/>
      <c r="C30" s="92"/>
      <c r="D30" s="92"/>
      <c r="E30" s="92"/>
      <c r="F30" s="92"/>
      <c r="G30" s="83">
        <f>'FLUJO FLUJO NOSOTRAS'!I30-'FLUJO ANTERIOR 2 '!I30</f>
        <v>0</v>
      </c>
    </row>
    <row r="31" spans="1:15">
      <c r="A31" s="88" t="s">
        <v>45</v>
      </c>
      <c r="B31" s="92"/>
      <c r="C31" s="92"/>
      <c r="D31" s="92"/>
      <c r="E31" s="92"/>
      <c r="F31" s="92"/>
      <c r="G31" s="165">
        <f>'FLUJO FLUJO NOSOTRAS'!I31-'FLUJO ANTERIOR 2 '!I31</f>
        <v>16950</v>
      </c>
      <c r="H31" s="164"/>
      <c r="I31" s="164"/>
      <c r="J31" s="164"/>
      <c r="K31" s="164"/>
      <c r="L31" s="164"/>
    </row>
    <row r="32" spans="1:15">
      <c r="A32" s="93" t="s">
        <v>46</v>
      </c>
      <c r="B32" s="17">
        <f>SUM(B26:B31)</f>
        <v>-27600</v>
      </c>
      <c r="C32" s="17">
        <f>SUM(C23:C31)</f>
        <v>2199.3675048799814</v>
      </c>
      <c r="D32" s="17">
        <f t="shared" ref="D32:F32" si="4">SUM(D23:D31)</f>
        <v>3764.1184703191793</v>
      </c>
      <c r="E32" s="17">
        <f>SUM(E23:E31)</f>
        <v>5474.1405540479027</v>
      </c>
      <c r="F32" s="17">
        <f t="shared" si="4"/>
        <v>7342.9376396122316</v>
      </c>
      <c r="G32" s="17">
        <f>SUM(G23:G31)</f>
        <v>26335.302002277349</v>
      </c>
    </row>
    <row r="33" spans="1:7">
      <c r="B33" s="94"/>
      <c r="C33" s="94"/>
      <c r="D33" s="94"/>
      <c r="E33" s="94"/>
      <c r="F33" s="94"/>
      <c r="G33" s="94"/>
    </row>
    <row r="35" spans="1:7">
      <c r="A35" s="35" t="s">
        <v>47</v>
      </c>
      <c r="B35" s="83">
        <f>NPV(K16,C32:G32)+B32</f>
        <v>17515.866171136644</v>
      </c>
      <c r="E35" s="77"/>
    </row>
    <row r="36" spans="1:7">
      <c r="A36" s="35" t="s">
        <v>48</v>
      </c>
      <c r="B36" s="252">
        <f>IRR(B32:G32)</f>
        <v>0.12881171719784199</v>
      </c>
    </row>
    <row r="37" spans="1:7">
      <c r="A37" s="35" t="s">
        <v>60</v>
      </c>
      <c r="B37" s="75">
        <v>0.1678</v>
      </c>
    </row>
    <row r="38" spans="1:7">
      <c r="A38" s="84"/>
      <c r="B38" s="84"/>
      <c r="C38" s="84"/>
      <c r="D38" s="84"/>
      <c r="E38" s="84"/>
      <c r="F38" s="84"/>
      <c r="G38" s="84"/>
    </row>
    <row r="39" spans="1:7">
      <c r="A39" s="96"/>
      <c r="B39" s="95"/>
      <c r="C39" s="95"/>
      <c r="D39" s="95"/>
      <c r="E39" s="95"/>
      <c r="F39" s="95"/>
      <c r="G39" s="95"/>
    </row>
    <row r="40" spans="1:7">
      <c r="A40" s="96"/>
      <c r="B40" s="54"/>
      <c r="C40" s="54"/>
      <c r="D40" s="54"/>
      <c r="E40" s="54"/>
      <c r="F40" s="54"/>
      <c r="G40" s="54"/>
    </row>
    <row r="41" spans="1:7">
      <c r="A41" s="96"/>
      <c r="B41" s="55"/>
      <c r="C41" s="55"/>
      <c r="D41" s="55"/>
      <c r="E41" s="55"/>
      <c r="F41" s="55"/>
      <c r="G41" s="55"/>
    </row>
    <row r="42" spans="1:7">
      <c r="A42" s="84"/>
      <c r="B42" s="166"/>
      <c r="C42" s="166"/>
      <c r="D42" s="166"/>
      <c r="E42" s="166"/>
      <c r="F42" s="166"/>
      <c r="G42" s="166"/>
    </row>
    <row r="43" spans="1:7">
      <c r="A43" s="84"/>
      <c r="B43" s="84"/>
      <c r="C43" s="84"/>
      <c r="D43" s="8"/>
      <c r="E43" s="95"/>
      <c r="F43" s="84"/>
      <c r="G43" s="84"/>
    </row>
    <row r="45" spans="1:7">
      <c r="B45" s="77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/>
  </sheetPr>
  <dimension ref="A1:O45"/>
  <sheetViews>
    <sheetView topLeftCell="A18" workbookViewId="0">
      <selection activeCell="A18" sqref="A1:XFD1048576"/>
    </sheetView>
  </sheetViews>
  <sheetFormatPr baseColWidth="10" defaultColWidth="45.8554687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5.85546875" style="97"/>
  </cols>
  <sheetData>
    <row r="1" spans="1:15" ht="18">
      <c r="A1" s="258" t="s">
        <v>151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'!E6)*0.95</f>
        <v>2569.9046600000052</v>
      </c>
      <c r="D6" s="101">
        <f>('FLUJO FLUJO NOSOTRAS'!F6-'FLUJO ANTERIOR 2 '!F6)*0.95</f>
        <v>2801.1960794000006</v>
      </c>
      <c r="E6" s="101">
        <f>('FLUJO FLUJO NOSOTRAS'!G6-'FLUJO ANTERIOR 2 '!G6)*0.95</f>
        <v>3053.3037265459998</v>
      </c>
      <c r="F6" s="101">
        <f>('FLUJO FLUJO NOSOTRAS'!H6-'FLUJO ANTERIOR 2 '!H6)*0.95</f>
        <v>3328.1010619351414</v>
      </c>
      <c r="G6" s="101">
        <f>('FLUJO FLUJO NOSOTRAS'!I6-'FLUJO ANTERIOR 2 '!I6)*0.95</f>
        <v>3627.6301575093112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22246.61583999998</v>
      </c>
      <c r="D10" s="114">
        <f t="shared" ref="D10:G10" si="0">D4-D6-D7-D9</f>
        <v>24248.811265599972</v>
      </c>
      <c r="E10" s="114">
        <f t="shared" si="0"/>
        <v>26431.204279503967</v>
      </c>
      <c r="F10" s="114">
        <f t="shared" si="0"/>
        <v>28810.012664659349</v>
      </c>
      <c r="G10" s="114">
        <f t="shared" si="0"/>
        <v>31402.913804478725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11964.471439999979</v>
      </c>
      <c r="D16" s="123">
        <f>D10-SUM(D12:D15)</f>
        <v>13920.573869599972</v>
      </c>
      <c r="E16" s="123">
        <f>E10-SUM(E12:E15)</f>
        <v>16052.725517863966</v>
      </c>
      <c r="F16" s="123">
        <f>F10-SUM(F12:F15)</f>
        <v>18376.770814471747</v>
      </c>
      <c r="G16" s="123">
        <f>G10-SUM(G12:G15)</f>
        <v>20909.980187774239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7824.4714399999802</v>
      </c>
      <c r="D19" s="125">
        <f t="shared" ref="D19:G19" si="1">D16-D18</f>
        <v>10458.693869599971</v>
      </c>
      <c r="E19" s="125">
        <f t="shared" si="1"/>
        <v>13336.785517863966</v>
      </c>
      <c r="F19" s="125">
        <f t="shared" si="1"/>
        <v>16481.350814471749</v>
      </c>
      <c r="G19" s="125">
        <f t="shared" si="1"/>
        <v>19917.140187774239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1173.6707159999969</v>
      </c>
      <c r="D20" s="117">
        <f t="shared" ref="D20:G20" si="2">D19*0.15</f>
        <v>1568.8040804399955</v>
      </c>
      <c r="E20" s="117">
        <f t="shared" si="2"/>
        <v>2000.5178276795948</v>
      </c>
      <c r="F20" s="117">
        <f t="shared" si="2"/>
        <v>2472.2026221707624</v>
      </c>
      <c r="G20" s="117">
        <f t="shared" si="2"/>
        <v>2987.5710281661359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6650.8007239999833</v>
      </c>
      <c r="D21" s="125">
        <f t="shared" ref="D21:G21" si="3">D19-D20</f>
        <v>8889.8897891599754</v>
      </c>
      <c r="E21" s="125">
        <f t="shared" si="3"/>
        <v>11336.267690184372</v>
      </c>
      <c r="F21" s="125">
        <f t="shared" si="3"/>
        <v>14009.148192300987</v>
      </c>
      <c r="G21" s="125">
        <f t="shared" si="3"/>
        <v>16929.569159608101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1529.6841665199963</v>
      </c>
      <c r="D22" s="117">
        <f>D21*0.23</f>
        <v>2044.6746515067944</v>
      </c>
      <c r="E22" s="117">
        <f>E21*0.23</f>
        <v>2607.3415687424053</v>
      </c>
      <c r="F22" s="117">
        <f>F21*0.23</f>
        <v>3222.1040842292273</v>
      </c>
      <c r="G22" s="117">
        <f>G21*0.23</f>
        <v>3893.8009067098633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5121.116557479987</v>
      </c>
      <c r="D23" s="125">
        <f>D21-D22</f>
        <v>6845.215137653181</v>
      </c>
      <c r="E23" s="125">
        <f>E21-E22</f>
        <v>8728.9261214419657</v>
      </c>
      <c r="F23" s="125">
        <f>F21-F22</f>
        <v>10787.044108071759</v>
      </c>
      <c r="G23" s="125">
        <f>G21-G22</f>
        <v>13035.768252898239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3969.8965574799859</v>
      </c>
      <c r="D32" s="127">
        <f t="shared" ref="D32:F32" si="4">SUM(D23:D31)</f>
        <v>5693.995137653179</v>
      </c>
      <c r="E32" s="127">
        <f>SUM(E23:E31)</f>
        <v>7577.7061214419664</v>
      </c>
      <c r="F32" s="127">
        <f t="shared" si="4"/>
        <v>9635.8241080717562</v>
      </c>
      <c r="G32" s="127">
        <f>SUM(G23:G31)</f>
        <v>28834.548252898239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28111.970177545125</v>
      </c>
      <c r="E35" s="98"/>
    </row>
    <row r="36" spans="1:7" ht="15">
      <c r="A36" s="177" t="s">
        <v>48</v>
      </c>
      <c r="B36" s="181">
        <f>IRR(B32:G32)</f>
        <v>0.20338464109486759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45"/>
  <sheetViews>
    <sheetView topLeftCell="C30" workbookViewId="0">
      <selection activeCell="G37" sqref="A1:G37"/>
    </sheetView>
  </sheetViews>
  <sheetFormatPr baseColWidth="10" defaultColWidth="45" defaultRowHeight="15"/>
  <cols>
    <col min="1" max="1" width="46.28515625" style="76" bestFit="1" customWidth="1"/>
    <col min="2" max="2" width="9.28515625" style="76" bestFit="1" customWidth="1"/>
    <col min="3" max="6" width="9.85546875" style="76" bestFit="1" customWidth="1"/>
    <col min="7" max="7" width="10.5703125" style="76" bestFit="1" customWidth="1"/>
    <col min="8" max="16384" width="45" style="76"/>
  </cols>
  <sheetData>
    <row r="1" spans="1:15">
      <c r="A1" s="274" t="s">
        <v>150</v>
      </c>
      <c r="B1" s="274"/>
      <c r="C1" s="274"/>
      <c r="D1" s="274"/>
      <c r="E1" s="274"/>
      <c r="F1" s="274"/>
      <c r="G1" s="274"/>
      <c r="I1" s="157"/>
      <c r="J1" s="157"/>
      <c r="K1" s="157"/>
      <c r="L1" s="157"/>
      <c r="M1" s="157"/>
      <c r="N1" s="157"/>
      <c r="O1" s="157"/>
    </row>
    <row r="2" spans="1:15">
      <c r="I2" s="157"/>
      <c r="J2" s="157"/>
      <c r="K2" s="157"/>
      <c r="L2" s="157"/>
      <c r="M2" s="157"/>
      <c r="N2" s="157"/>
      <c r="O2" s="157"/>
    </row>
    <row r="3" spans="1:15"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  <c r="I3" s="41"/>
      <c r="J3" s="157"/>
      <c r="K3" s="157"/>
      <c r="L3" s="157"/>
      <c r="M3" s="157"/>
      <c r="N3" s="157"/>
      <c r="O3" s="157"/>
    </row>
    <row r="4" spans="1:15">
      <c r="A4" s="92" t="s">
        <v>11</v>
      </c>
      <c r="B4" s="92"/>
      <c r="C4" s="80">
        <f>'FLUJO FLUJO NOSOTRAS'!E4-'FLUJO ANTERIOR 2 '!E4</f>
        <v>25188.520499999984</v>
      </c>
      <c r="D4" s="79">
        <f>'FLUJO FLUJO NOSOTRAS'!F4-'FLUJO ANTERIOR 2 '!F4</f>
        <v>27455.487344999972</v>
      </c>
      <c r="E4" s="79">
        <f>'FLUJO FLUJO NOSOTRAS'!G4-'FLUJO ANTERIOR 2 '!G4</f>
        <v>29926.481206049968</v>
      </c>
      <c r="F4" s="79">
        <f>'FLUJO FLUJO NOSOTRAS'!H4-'FLUJO ANTERIOR 2 '!H4</f>
        <v>32619.86451459449</v>
      </c>
      <c r="G4" s="79">
        <f>'FLUJO FLUJO NOSOTRAS'!I4-'FLUJO ANTERIOR 2 '!I4</f>
        <v>35555.652320908033</v>
      </c>
      <c r="I4" s="157"/>
      <c r="J4" s="157"/>
      <c r="K4" s="157"/>
      <c r="L4" s="157"/>
      <c r="M4" s="157"/>
      <c r="N4" s="157"/>
      <c r="O4" s="157"/>
    </row>
    <row r="5" spans="1:15" ht="15" customHeight="1">
      <c r="A5" s="92" t="s">
        <v>12</v>
      </c>
      <c r="B5" s="92"/>
      <c r="C5" s="80"/>
      <c r="D5" s="79"/>
      <c r="E5" s="79"/>
      <c r="F5" s="79"/>
      <c r="G5" s="79"/>
      <c r="I5" s="157"/>
      <c r="J5" s="272"/>
      <c r="K5" s="272"/>
      <c r="L5" s="157"/>
      <c r="M5" s="273"/>
      <c r="N5" s="273"/>
      <c r="O5" s="42"/>
    </row>
    <row r="6" spans="1:15" ht="15" customHeight="1">
      <c r="A6" s="73" t="s">
        <v>66</v>
      </c>
      <c r="B6" s="92"/>
      <c r="C6" s="80">
        <f>('FLUJO FLUJO NOSOTRAS'!E6-'FLUJO ANTERIOR 2 '!E6)*0.9</f>
        <v>2434.6465200000052</v>
      </c>
      <c r="D6" s="79">
        <f>('FLUJO FLUJO NOSOTRAS'!F6-'FLUJO ANTERIOR 2 '!F6)*0.9</f>
        <v>2653.7647068000006</v>
      </c>
      <c r="E6" s="79">
        <f>('FLUJO FLUJO NOSOTRAS'!G6-'FLUJO ANTERIOR 2 '!G6)*0.9</f>
        <v>2892.6035304120001</v>
      </c>
      <c r="F6" s="79">
        <f>('FLUJO FLUJO NOSOTRAS'!H6-'FLUJO ANTERIOR 2 '!H6)*0.9</f>
        <v>3152.9378481490817</v>
      </c>
      <c r="G6" s="79">
        <f>('FLUJO FLUJO NOSOTRAS'!I6-'FLUJO ANTERIOR 2 '!I6)*0.9</f>
        <v>3436.7022544825059</v>
      </c>
      <c r="I6" s="157"/>
      <c r="J6" s="72"/>
      <c r="K6" s="72"/>
      <c r="L6" s="157"/>
      <c r="M6" s="71"/>
      <c r="N6" s="71"/>
      <c r="O6" s="42"/>
    </row>
    <row r="7" spans="1:15" ht="15" customHeight="1">
      <c r="A7" s="73" t="s">
        <v>67</v>
      </c>
      <c r="B7" s="92"/>
      <c r="C7" s="80">
        <f>'FLUJO FLUJO NOSOTRAS'!E7-'FLUJO ANTERIOR 2 '!E7</f>
        <v>0</v>
      </c>
      <c r="D7" s="80">
        <f>'FLUJO FLUJO NOSOTRAS'!F7-'FLUJO ANTERIOR 2 '!F7</f>
        <v>0</v>
      </c>
      <c r="E7" s="80">
        <f>'FLUJO FLUJO NOSOTRAS'!G7-'FLUJO ANTERIOR 2 '!G7</f>
        <v>0</v>
      </c>
      <c r="F7" s="80">
        <f>'FLUJO FLUJO NOSOTRAS'!H7-'FLUJO ANTERIOR 2 '!H7</f>
        <v>0</v>
      </c>
      <c r="G7" s="80">
        <f>'FLUJO FLUJO NOSOTRAS'!I7-'FLUJO ANTERIOR 2 '!I7</f>
        <v>0</v>
      </c>
      <c r="I7" s="157"/>
      <c r="J7" s="72"/>
      <c r="K7" s="72"/>
      <c r="L7" s="157"/>
      <c r="M7" s="71"/>
      <c r="N7" s="71"/>
      <c r="O7" s="42"/>
    </row>
    <row r="8" spans="1:15" ht="15" customHeight="1">
      <c r="A8" s="73" t="s">
        <v>68</v>
      </c>
      <c r="B8" s="92"/>
      <c r="C8" s="80"/>
      <c r="D8" s="79"/>
      <c r="E8" s="79"/>
      <c r="F8" s="79"/>
      <c r="G8" s="79"/>
      <c r="I8" s="157"/>
      <c r="J8" s="72"/>
      <c r="K8" s="72"/>
      <c r="L8" s="157"/>
      <c r="M8" s="71"/>
      <c r="N8" s="71"/>
      <c r="O8" s="42"/>
    </row>
    <row r="9" spans="1:15" ht="15" customHeight="1">
      <c r="A9" s="73" t="s">
        <v>69</v>
      </c>
      <c r="B9" s="92"/>
      <c r="C9" s="80">
        <f>'FLUJO FLUJO NOSOTRAS'!E9-'FLUJO ANTERIOR 2 '!E9</f>
        <v>372</v>
      </c>
      <c r="D9" s="80">
        <f>'FLUJO FLUJO NOSOTRAS'!F9-'FLUJO ANTERIOR 2 '!F9</f>
        <v>405.47999999999956</v>
      </c>
      <c r="E9" s="80">
        <f>'FLUJO FLUJO NOSOTRAS'!G9-'FLUJO ANTERIOR 2 '!G9</f>
        <v>441.97320000000036</v>
      </c>
      <c r="F9" s="80">
        <f>'FLUJO FLUJO NOSOTRAS'!H9-'FLUJO ANTERIOR 2 '!H9</f>
        <v>481.75078800000119</v>
      </c>
      <c r="G9" s="80">
        <f>'FLUJO FLUJO NOSOTRAS'!I9-'FLUJO ANTERIOR 2 '!I9</f>
        <v>525.10835892000068</v>
      </c>
      <c r="I9" s="157"/>
      <c r="J9" s="72"/>
      <c r="K9" s="72"/>
      <c r="L9" s="157"/>
      <c r="M9" s="71"/>
      <c r="N9" s="71"/>
      <c r="O9" s="42"/>
    </row>
    <row r="10" spans="1:15">
      <c r="A10" s="253" t="s">
        <v>15</v>
      </c>
      <c r="B10" s="92"/>
      <c r="C10" s="38">
        <f>C4-C6-C7-C9</f>
        <v>22381.873979999978</v>
      </c>
      <c r="D10" s="38">
        <f t="shared" ref="D10:G10" si="0">D4-D6-D7-D9</f>
        <v>24396.242638199972</v>
      </c>
      <c r="E10" s="38">
        <f t="shared" si="0"/>
        <v>26591.904475637966</v>
      </c>
      <c r="F10" s="38">
        <f t="shared" si="0"/>
        <v>28985.175878445407</v>
      </c>
      <c r="G10" s="38">
        <f t="shared" si="0"/>
        <v>31593.841707505526</v>
      </c>
      <c r="I10" s="157"/>
      <c r="J10" s="41"/>
      <c r="K10" s="158"/>
      <c r="L10" s="157"/>
      <c r="M10" s="6"/>
      <c r="N10" s="159"/>
      <c r="O10" s="157"/>
    </row>
    <row r="11" spans="1:15">
      <c r="A11" s="92" t="s">
        <v>18</v>
      </c>
      <c r="B11" s="160"/>
      <c r="C11" s="80"/>
      <c r="D11" s="79"/>
      <c r="E11" s="79"/>
      <c r="F11" s="79"/>
      <c r="G11" s="79"/>
      <c r="I11" s="157"/>
      <c r="J11" s="41"/>
      <c r="K11" s="161"/>
      <c r="L11" s="157"/>
      <c r="M11" s="6"/>
      <c r="N11" s="159"/>
      <c r="O11" s="157"/>
    </row>
    <row r="12" spans="1:15">
      <c r="A12" s="92" t="s">
        <v>23</v>
      </c>
      <c r="B12" s="92"/>
      <c r="C12" s="83">
        <f>'FLUJO FLUJO NOSOTRAS'!E12-'FLUJO ANTERIOR 2 '!E12</f>
        <v>512.14440000000104</v>
      </c>
      <c r="D12" s="83">
        <f>'FLUJO FLUJO NOSOTRAS'!F12-'FLUJO ANTERIOR 2 '!F12</f>
        <v>558.23739600000044</v>
      </c>
      <c r="E12" s="83">
        <f>'FLUJO FLUJO NOSOTRAS'!G12-'FLUJO ANTERIOR 2 '!G12</f>
        <v>608.47876164000081</v>
      </c>
      <c r="F12" s="83">
        <f>'FLUJO FLUJO NOSOTRAS'!H12-'FLUJO ANTERIOR 2 '!H12</f>
        <v>663.24185018760181</v>
      </c>
      <c r="G12" s="83">
        <f>'FLUJO FLUJO NOSOTRAS'!I12-'FLUJO ANTERIOR 2 '!I12</f>
        <v>722.93361670448576</v>
      </c>
      <c r="H12" s="81"/>
      <c r="I12" s="81"/>
      <c r="J12" s="157"/>
      <c r="K12" s="157"/>
      <c r="L12" s="81"/>
      <c r="M12" s="6"/>
      <c r="N12" s="161"/>
      <c r="O12" s="157"/>
    </row>
    <row r="13" spans="1:15" ht="14.25" customHeight="1">
      <c r="A13" s="92" t="s">
        <v>70</v>
      </c>
      <c r="B13" s="92"/>
      <c r="C13" s="80">
        <f>'FLUJO FLUJO NOSOTRAS'!E13-'FLUJO ANTERIOR 2 '!E13</f>
        <v>0</v>
      </c>
      <c r="D13" s="80">
        <f>'FLUJO FLUJO NOSOTRAS'!F13-'FLUJO ANTERIOR 2 '!F13</f>
        <v>0</v>
      </c>
      <c r="E13" s="80">
        <f>'FLUJO FLUJO NOSOTRAS'!G13-'FLUJO ANTERIOR 2 '!G13</f>
        <v>0</v>
      </c>
      <c r="F13" s="80">
        <f>'FLUJO FLUJO NOSOTRAS'!H13-'FLUJO ANTERIOR 2 '!H13</f>
        <v>0</v>
      </c>
      <c r="G13" s="80">
        <f>'FLUJO FLUJO NOSOTRAS'!I13-'FLUJO ANTERIOR 2 '!I13</f>
        <v>0</v>
      </c>
      <c r="H13" s="81"/>
      <c r="I13" s="81"/>
      <c r="J13" s="157"/>
      <c r="K13" s="157"/>
      <c r="L13" s="81"/>
      <c r="M13" s="6"/>
      <c r="N13" s="162"/>
      <c r="O13" s="157"/>
    </row>
    <row r="14" spans="1:15">
      <c r="A14" s="92" t="s">
        <v>71</v>
      </c>
      <c r="B14" s="92"/>
      <c r="C14" s="80">
        <f>'FLUJO FLUJO NOSOTRAS'!E14-'FLUJO ANTERIOR 2 '!E14</f>
        <v>0</v>
      </c>
      <c r="D14" s="80">
        <f>'FLUJO FLUJO NOSOTRAS'!F14-'FLUJO ANTERIOR 2 '!F14</f>
        <v>0</v>
      </c>
      <c r="E14" s="80">
        <f>'FLUJO FLUJO NOSOTRAS'!G14-'FLUJO ANTERIOR 2 '!G14</f>
        <v>0</v>
      </c>
      <c r="F14" s="80">
        <f>'FLUJO FLUJO NOSOTRAS'!H14-'FLUJO ANTERIOR 2 '!H14</f>
        <v>0</v>
      </c>
      <c r="G14" s="80">
        <f>'FLUJO FLUJO NOSOTRAS'!I14-'FLUJO ANTERIOR 2 '!I14</f>
        <v>0</v>
      </c>
      <c r="H14" s="81"/>
      <c r="I14" s="163"/>
      <c r="J14" s="157"/>
      <c r="K14" s="157"/>
      <c r="L14" s="81"/>
      <c r="M14" s="157"/>
      <c r="N14" s="157"/>
      <c r="O14" s="157"/>
    </row>
    <row r="15" spans="1:15">
      <c r="A15" s="92" t="s">
        <v>24</v>
      </c>
      <c r="B15" s="92"/>
      <c r="C15" s="30">
        <f>'FLUJO FLUJO NOSOTRAS'!E15-'FLUJO ANTERIOR 2 '!E15</f>
        <v>9770</v>
      </c>
      <c r="D15" s="30">
        <f>'FLUJO FLUJO NOSOTRAS'!F15-'FLUJO ANTERIOR 2 '!F15</f>
        <v>9770</v>
      </c>
      <c r="E15" s="30">
        <f>'FLUJO FLUJO NOSOTRAS'!G15-'FLUJO ANTERIOR 2 '!G15</f>
        <v>9770</v>
      </c>
      <c r="F15" s="30">
        <f>'FLUJO FLUJO NOSOTRAS'!H15-'FLUJO ANTERIOR 2 '!H15</f>
        <v>9770</v>
      </c>
      <c r="G15" s="30">
        <f>'FLUJO FLUJO NOSOTRAS'!I15-'FLUJO ANTERIOR 2 '!I15</f>
        <v>9770</v>
      </c>
      <c r="H15" s="81"/>
      <c r="I15" s="81"/>
      <c r="J15" s="157"/>
      <c r="K15" s="157"/>
      <c r="L15" s="81"/>
      <c r="M15" s="157"/>
      <c r="N15" s="157"/>
      <c r="O15" s="157"/>
    </row>
    <row r="16" spans="1:15">
      <c r="A16" s="253" t="s">
        <v>28</v>
      </c>
      <c r="B16" s="92"/>
      <c r="C16" s="38">
        <f>C10-SUM(C12:C15)</f>
        <v>12099.729579999977</v>
      </c>
      <c r="D16" s="39">
        <f>D10-SUM(D12:D15)</f>
        <v>14068.005242199972</v>
      </c>
      <c r="E16" s="39">
        <f>E10-SUM(E12:E15)</f>
        <v>16213.425713997965</v>
      </c>
      <c r="F16" s="39">
        <f>F10-SUM(F12:F15)</f>
        <v>18551.934028257805</v>
      </c>
      <c r="G16" s="39">
        <f>G10-SUM(G12:G15)</f>
        <v>21100.90809080104</v>
      </c>
      <c r="H16" s="84"/>
      <c r="I16" s="84"/>
      <c r="J16" s="8"/>
      <c r="K16" s="9"/>
      <c r="L16" s="84"/>
      <c r="M16" s="157"/>
      <c r="N16" s="41"/>
      <c r="O16" s="161"/>
    </row>
    <row r="17" spans="1:15">
      <c r="A17" s="253" t="s">
        <v>30</v>
      </c>
      <c r="B17" s="92"/>
      <c r="C17" s="83"/>
      <c r="D17" s="83"/>
      <c r="E17" s="83"/>
      <c r="F17" s="83"/>
      <c r="G17" s="83"/>
      <c r="H17" s="85"/>
      <c r="I17" s="84"/>
      <c r="J17" s="157"/>
      <c r="K17" s="157"/>
      <c r="L17" s="84"/>
      <c r="M17" s="157"/>
      <c r="N17" s="41"/>
      <c r="O17" s="45"/>
    </row>
    <row r="18" spans="1:15">
      <c r="A18" s="92" t="s">
        <v>32</v>
      </c>
      <c r="B18" s="164"/>
      <c r="C18" s="86">
        <f>'FLUJO FLUJO NOSOTRAS'!E18-'FLUJO ANTERIOR 2 '!E18</f>
        <v>4139.9999999999991</v>
      </c>
      <c r="D18" s="86">
        <f>'FLUJO FLUJO NOSOTRAS'!F18-'FLUJO ANTERIOR 2 '!F18</f>
        <v>3461.88</v>
      </c>
      <c r="E18" s="86">
        <f>'FLUJO FLUJO NOSOTRAS'!G18-'FLUJO ANTERIOR 2 '!G18</f>
        <v>2715.94</v>
      </c>
      <c r="F18" s="86">
        <f>'FLUJO FLUJO NOSOTRAS'!H18-'FLUJO ANTERIOR 2 '!H18</f>
        <v>1895.42</v>
      </c>
      <c r="G18" s="86">
        <f>'FLUJO FLUJO NOSOTRAS'!I18-'FLUJO ANTERIOR 2 '!I18</f>
        <v>992.83999999999992</v>
      </c>
      <c r="H18" s="85"/>
      <c r="I18" s="81"/>
      <c r="J18" s="81"/>
      <c r="K18" s="81"/>
      <c r="L18" s="81"/>
      <c r="M18" s="157"/>
      <c r="N18" s="157"/>
      <c r="O18" s="157"/>
    </row>
    <row r="19" spans="1:15">
      <c r="A19" s="253" t="s">
        <v>33</v>
      </c>
      <c r="B19" s="35"/>
      <c r="C19" s="40">
        <f>C16-C18</f>
        <v>7959.7295799999783</v>
      </c>
      <c r="D19" s="40">
        <f t="shared" ref="D19:G19" si="1">D16-D18</f>
        <v>10606.125242199971</v>
      </c>
      <c r="E19" s="40">
        <f t="shared" si="1"/>
        <v>13497.485713997965</v>
      </c>
      <c r="F19" s="40">
        <f t="shared" si="1"/>
        <v>16656.514028257807</v>
      </c>
      <c r="G19" s="40">
        <f t="shared" si="1"/>
        <v>20108.06809080104</v>
      </c>
      <c r="H19" s="85"/>
      <c r="I19" s="157"/>
      <c r="J19" s="157"/>
      <c r="K19" s="159"/>
      <c r="L19" s="157"/>
      <c r="M19" s="157"/>
      <c r="N19" s="157"/>
      <c r="O19" s="157"/>
    </row>
    <row r="20" spans="1:15">
      <c r="A20" s="92" t="s">
        <v>34</v>
      </c>
      <c r="B20" s="92"/>
      <c r="C20" s="83">
        <f>C19*0.15</f>
        <v>1193.9594369999968</v>
      </c>
      <c r="D20" s="83">
        <f t="shared" ref="D20:G20" si="2">D19*0.15</f>
        <v>1590.9187863299956</v>
      </c>
      <c r="E20" s="83">
        <f t="shared" si="2"/>
        <v>2024.6228570996946</v>
      </c>
      <c r="F20" s="83">
        <f t="shared" si="2"/>
        <v>2498.477104238671</v>
      </c>
      <c r="G20" s="83">
        <f t="shared" si="2"/>
        <v>3016.2102136201561</v>
      </c>
      <c r="H20" s="85"/>
      <c r="I20" s="157"/>
      <c r="J20" s="157"/>
      <c r="K20" s="157"/>
      <c r="L20" s="157"/>
      <c r="M20" s="157"/>
      <c r="N20" s="157"/>
      <c r="O20" s="157"/>
    </row>
    <row r="21" spans="1:15">
      <c r="A21" s="87" t="s">
        <v>35</v>
      </c>
      <c r="B21" s="92"/>
      <c r="C21" s="40">
        <f>C19-C20</f>
        <v>6765.7701429999815</v>
      </c>
      <c r="D21" s="40">
        <f t="shared" ref="D21:G21" si="3">D19-D20</f>
        <v>9015.2064558699749</v>
      </c>
      <c r="E21" s="40">
        <f t="shared" si="3"/>
        <v>11472.862856898271</v>
      </c>
      <c r="F21" s="40">
        <f t="shared" si="3"/>
        <v>14158.036924019136</v>
      </c>
      <c r="G21" s="40">
        <f t="shared" si="3"/>
        <v>17091.857877180882</v>
      </c>
      <c r="I21" s="157"/>
      <c r="J21" s="157"/>
      <c r="K21" s="157"/>
      <c r="L21" s="157"/>
      <c r="M21" s="157"/>
      <c r="N21" s="157"/>
      <c r="O21" s="157"/>
    </row>
    <row r="22" spans="1:15">
      <c r="A22" s="92" t="s">
        <v>36</v>
      </c>
      <c r="B22" s="92"/>
      <c r="C22" s="83">
        <f>C21*0.23</f>
        <v>1556.1271328899959</v>
      </c>
      <c r="D22" s="83">
        <f>D21*0.23</f>
        <v>2073.4974848500942</v>
      </c>
      <c r="E22" s="83">
        <f>E21*0.23</f>
        <v>2638.7584570866024</v>
      </c>
      <c r="F22" s="83">
        <f>F21*0.23</f>
        <v>3256.3484925244015</v>
      </c>
      <c r="G22" s="83">
        <f>G21*0.23</f>
        <v>3931.127311751603</v>
      </c>
      <c r="I22" s="157"/>
      <c r="J22" s="41"/>
      <c r="K22" s="41"/>
      <c r="L22" s="157"/>
      <c r="M22" s="157"/>
      <c r="N22" s="157"/>
      <c r="O22" s="157"/>
    </row>
    <row r="23" spans="1:15">
      <c r="A23" s="253" t="s">
        <v>37</v>
      </c>
      <c r="B23" s="92"/>
      <c r="C23" s="40">
        <f>C21-C22</f>
        <v>5209.6430101099859</v>
      </c>
      <c r="D23" s="40">
        <f>D21-D22</f>
        <v>6941.7089710198807</v>
      </c>
      <c r="E23" s="40">
        <f>E21-E22</f>
        <v>8834.1043998116693</v>
      </c>
      <c r="F23" s="40">
        <f>F21-F22</f>
        <v>10901.688431494735</v>
      </c>
      <c r="G23" s="40">
        <f>G21-G22</f>
        <v>13160.73056542928</v>
      </c>
    </row>
    <row r="24" spans="1:15">
      <c r="A24" s="88" t="s">
        <v>38</v>
      </c>
      <c r="B24" s="89"/>
      <c r="C24" s="90"/>
      <c r="D24" s="90"/>
      <c r="E24" s="90"/>
      <c r="F24" s="90"/>
      <c r="G24" s="90"/>
    </row>
    <row r="25" spans="1:15">
      <c r="A25" s="88" t="s">
        <v>39</v>
      </c>
      <c r="B25" s="89"/>
      <c r="C25" s="91">
        <f>'FLUJO FLUJO NOSOTRAS'!E25-'FLUJO ANTERIOR 2 '!E25</f>
        <v>9770</v>
      </c>
      <c r="D25" s="91">
        <f>'FLUJO FLUJO NOSOTRAS'!F25-'FLUJO ANTERIOR 2 '!F25</f>
        <v>9770</v>
      </c>
      <c r="E25" s="91">
        <f>'FLUJO FLUJO NOSOTRAS'!G25-'FLUJO ANTERIOR 2 '!G25</f>
        <v>9770</v>
      </c>
      <c r="F25" s="91">
        <f>'FLUJO FLUJO NOSOTRAS'!H25-'FLUJO ANTERIOR 2 '!H25</f>
        <v>9770</v>
      </c>
      <c r="G25" s="91">
        <f>'FLUJO FLUJO NOSOTRAS'!I25-'FLUJO ANTERIOR 2 '!I25</f>
        <v>9770</v>
      </c>
    </row>
    <row r="26" spans="1:15">
      <c r="A26" s="88" t="s">
        <v>40</v>
      </c>
      <c r="B26" s="83">
        <f>'FLUJO FLUJO NOSOTRAS'!D26-'FLUJO ANTERIOR 2 '!D26</f>
        <v>-69000</v>
      </c>
      <c r="C26" s="92"/>
      <c r="D26" s="92"/>
      <c r="E26" s="92"/>
      <c r="F26" s="92"/>
      <c r="G26" s="92"/>
    </row>
    <row r="27" spans="1:15">
      <c r="A27" s="88" t="s">
        <v>41</v>
      </c>
      <c r="B27" s="83">
        <f>'FLUJO FLUJO NOSOTRAS'!D27-'FLUJO ANTERIOR 2 '!D27</f>
        <v>41400</v>
      </c>
      <c r="C27" s="92"/>
      <c r="D27" s="92"/>
      <c r="E27" s="92"/>
      <c r="F27" s="92"/>
      <c r="G27" s="92"/>
    </row>
    <row r="28" spans="1:15">
      <c r="A28" s="88" t="s">
        <v>42</v>
      </c>
      <c r="B28" s="92"/>
      <c r="C28" s="86">
        <f>'FLUJO FLUJO NOSOTRAS'!E28-'FLUJO ANTERIOR 2 '!E28</f>
        <v>-10921.220000000001</v>
      </c>
      <c r="D28" s="86">
        <f>'FLUJO FLUJO NOSOTRAS'!F28-'FLUJO ANTERIOR 2 '!F28</f>
        <v>-10921.220000000001</v>
      </c>
      <c r="E28" s="86">
        <f>'FLUJO FLUJO NOSOTRAS'!G28-'FLUJO ANTERIOR 2 '!G28</f>
        <v>-10921.220000000001</v>
      </c>
      <c r="F28" s="86">
        <f>'FLUJO FLUJO NOSOTRAS'!H28-'FLUJO ANTERIOR 2 '!H28</f>
        <v>-10921.220000000001</v>
      </c>
      <c r="G28" s="86">
        <f>'FLUJO FLUJO NOSOTRAS'!I28-'FLUJO ANTERIOR 2 '!I28</f>
        <v>-10921.220000000001</v>
      </c>
    </row>
    <row r="29" spans="1:15">
      <c r="A29" s="88" t="s">
        <v>43</v>
      </c>
      <c r="B29" s="83">
        <f>'FLUJO FLUJO NOSOTRAS'!D29-'FLUJO ANTERIOR 2 '!D29</f>
        <v>0</v>
      </c>
      <c r="C29" s="92"/>
      <c r="D29" s="92"/>
      <c r="E29" s="92"/>
      <c r="F29" s="92"/>
      <c r="G29" s="92"/>
    </row>
    <row r="30" spans="1:15">
      <c r="A30" s="88" t="s">
        <v>44</v>
      </c>
      <c r="B30" s="92"/>
      <c r="C30" s="92"/>
      <c r="D30" s="92"/>
      <c r="E30" s="92"/>
      <c r="F30" s="92"/>
      <c r="G30" s="83">
        <f>'FLUJO FLUJO NOSOTRAS'!I30-'FLUJO ANTERIOR 2 '!I30</f>
        <v>0</v>
      </c>
    </row>
    <row r="31" spans="1:15">
      <c r="A31" s="88" t="s">
        <v>45</v>
      </c>
      <c r="B31" s="92"/>
      <c r="C31" s="92"/>
      <c r="D31" s="92"/>
      <c r="E31" s="92"/>
      <c r="F31" s="92"/>
      <c r="G31" s="165">
        <f>'FLUJO FLUJO NOSOTRAS'!I31-'FLUJO ANTERIOR 2 '!I31</f>
        <v>16950</v>
      </c>
      <c r="H31" s="164"/>
      <c r="I31" s="164"/>
      <c r="J31" s="164"/>
      <c r="K31" s="164"/>
      <c r="L31" s="164"/>
    </row>
    <row r="32" spans="1:15">
      <c r="A32" s="93" t="s">
        <v>46</v>
      </c>
      <c r="B32" s="17">
        <f>SUM(B26:B31)</f>
        <v>-27600</v>
      </c>
      <c r="C32" s="17">
        <f>SUM(C23:C31)</f>
        <v>4058.4230101099856</v>
      </c>
      <c r="D32" s="17">
        <f t="shared" ref="D32:F32" si="4">SUM(D23:D31)</f>
        <v>5790.4889710198804</v>
      </c>
      <c r="E32" s="17">
        <f>SUM(E23:E31)</f>
        <v>7682.8843998116681</v>
      </c>
      <c r="F32" s="17">
        <f t="shared" si="4"/>
        <v>9750.4684314947335</v>
      </c>
      <c r="G32" s="17">
        <f>SUM(G23:G31)</f>
        <v>28959.510565429278</v>
      </c>
    </row>
    <row r="33" spans="1:7">
      <c r="B33" s="94"/>
      <c r="C33" s="94"/>
      <c r="D33" s="94"/>
      <c r="E33" s="94"/>
      <c r="F33" s="94"/>
      <c r="G33" s="94"/>
    </row>
    <row r="35" spans="1:7">
      <c r="A35" s="35" t="s">
        <v>47</v>
      </c>
      <c r="B35" s="83">
        <f>NPV(K16,C32:G32)+B32</f>
        <v>28641.775377865546</v>
      </c>
      <c r="E35" s="77"/>
    </row>
    <row r="36" spans="1:7">
      <c r="A36" s="35" t="s">
        <v>48</v>
      </c>
      <c r="B36" s="252">
        <f>IRR(B32:G32)</f>
        <v>0.20705987137280954</v>
      </c>
    </row>
    <row r="37" spans="1:7">
      <c r="A37" s="35" t="s">
        <v>60</v>
      </c>
      <c r="B37" s="75">
        <v>0.1678</v>
      </c>
    </row>
    <row r="38" spans="1:7">
      <c r="A38" s="84"/>
      <c r="B38" s="84"/>
      <c r="C38" s="84"/>
      <c r="D38" s="84"/>
      <c r="E38" s="84"/>
      <c r="F38" s="84"/>
      <c r="G38" s="84"/>
    </row>
    <row r="39" spans="1:7">
      <c r="A39" s="96"/>
      <c r="B39" s="95"/>
      <c r="C39" s="95"/>
      <c r="D39" s="95"/>
      <c r="E39" s="95"/>
      <c r="F39" s="95"/>
      <c r="G39" s="95"/>
    </row>
    <row r="40" spans="1:7">
      <c r="A40" s="96"/>
      <c r="B40" s="54"/>
      <c r="C40" s="54"/>
      <c r="D40" s="54"/>
      <c r="E40" s="54"/>
      <c r="F40" s="54"/>
      <c r="G40" s="54"/>
    </row>
    <row r="41" spans="1:7">
      <c r="A41" s="96"/>
      <c r="B41" s="55"/>
      <c r="C41" s="55"/>
      <c r="D41" s="55"/>
      <c r="E41" s="55"/>
      <c r="F41" s="55"/>
      <c r="G41" s="55"/>
    </row>
    <row r="42" spans="1:7">
      <c r="A42" s="84"/>
      <c r="B42" s="166"/>
      <c r="C42" s="166"/>
      <c r="D42" s="166"/>
      <c r="E42" s="166"/>
      <c r="F42" s="166"/>
      <c r="G42" s="166"/>
    </row>
    <row r="43" spans="1:7">
      <c r="A43" s="84"/>
      <c r="B43" s="84"/>
      <c r="C43" s="84"/>
      <c r="D43" s="8"/>
      <c r="E43" s="95"/>
      <c r="F43" s="84"/>
      <c r="G43" s="84"/>
    </row>
    <row r="45" spans="1:7">
      <c r="B45" s="77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45"/>
  <sheetViews>
    <sheetView topLeftCell="B20" workbookViewId="0">
      <selection activeCell="D13" sqref="D13"/>
    </sheetView>
  </sheetViews>
  <sheetFormatPr baseColWidth="10" defaultColWidth="45.8554687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5.85546875" style="97"/>
  </cols>
  <sheetData>
    <row r="1" spans="1:15" ht="18">
      <c r="A1" s="258" t="s">
        <v>149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('FLUJO FLUJO NOSOTRAS'!E6-'FLUJO ANTERIOR 2 '!E6)*1.1</f>
        <v>2975.6790800000063</v>
      </c>
      <c r="D6" s="101">
        <f>('FLUJO FLUJO NOSOTRAS'!F6-'FLUJO ANTERIOR 2 '!F6)*1.1</f>
        <v>3243.4901972000011</v>
      </c>
      <c r="E6" s="101">
        <f>('FLUJO FLUJO NOSOTRAS'!G6-'FLUJO ANTERIOR 2 '!G6)*1.1</f>
        <v>3535.4043149480003</v>
      </c>
      <c r="F6" s="101">
        <f>('FLUJO FLUJO NOSOTRAS'!H6-'FLUJO ANTERIOR 2 '!H6)*1.1</f>
        <v>3853.5907032933219</v>
      </c>
      <c r="G6" s="101">
        <f>('FLUJO FLUJO NOSOTRAS'!I6-'FLUJO ANTERIOR 2 '!I6)*1.1</f>
        <v>4200.4138665897299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21840.841419999979</v>
      </c>
      <c r="D10" s="114">
        <f t="shared" ref="D10:G10" si="0">D4-D6-D7-D9</f>
        <v>23806.517147799972</v>
      </c>
      <c r="E10" s="114">
        <f t="shared" si="0"/>
        <v>25949.103691101969</v>
      </c>
      <c r="F10" s="114">
        <f t="shared" si="0"/>
        <v>28284.523023301168</v>
      </c>
      <c r="G10" s="114">
        <f t="shared" si="0"/>
        <v>30830.130095398301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11558.697019999978</v>
      </c>
      <c r="D16" s="123">
        <f>D10-SUM(D12:D15)</f>
        <v>13478.279751799972</v>
      </c>
      <c r="E16" s="123">
        <f>E10-SUM(E12:E15)</f>
        <v>15570.624929461968</v>
      </c>
      <c r="F16" s="123">
        <f>F10-SUM(F12:F15)</f>
        <v>17851.281173113566</v>
      </c>
      <c r="G16" s="123">
        <f>G10-SUM(G12:G15)</f>
        <v>20337.196478693815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7418.6970199999787</v>
      </c>
      <c r="D19" s="125">
        <f t="shared" ref="D19:G19" si="1">D16-D18</f>
        <v>10016.399751799971</v>
      </c>
      <c r="E19" s="125">
        <f t="shared" si="1"/>
        <v>12854.684929461968</v>
      </c>
      <c r="F19" s="125">
        <f t="shared" si="1"/>
        <v>15955.861173113566</v>
      </c>
      <c r="G19" s="125">
        <f t="shared" si="1"/>
        <v>19344.356478693815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1112.8045529999968</v>
      </c>
      <c r="D20" s="117">
        <f t="shared" ref="D20:G20" si="2">D19*0.15</f>
        <v>1502.4599627699956</v>
      </c>
      <c r="E20" s="117">
        <f t="shared" si="2"/>
        <v>1928.2027394192951</v>
      </c>
      <c r="F20" s="117">
        <f t="shared" si="2"/>
        <v>2393.3791759670348</v>
      </c>
      <c r="G20" s="117">
        <f t="shared" si="2"/>
        <v>2901.6534718040721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6305.8924669999815</v>
      </c>
      <c r="D21" s="125">
        <f t="shared" ref="D21:G21" si="3">D19-D20</f>
        <v>8513.9397890299751</v>
      </c>
      <c r="E21" s="125">
        <f t="shared" si="3"/>
        <v>10926.482190042672</v>
      </c>
      <c r="F21" s="125">
        <f t="shared" si="3"/>
        <v>13562.481997146531</v>
      </c>
      <c r="G21" s="125">
        <f t="shared" si="3"/>
        <v>16442.703006889744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1450.3552674099958</v>
      </c>
      <c r="D22" s="117">
        <f>D21*0.23</f>
        <v>1958.2061514768943</v>
      </c>
      <c r="E22" s="117">
        <f>E21*0.23</f>
        <v>2513.0909037098149</v>
      </c>
      <c r="F22" s="117">
        <f>F21*0.23</f>
        <v>3119.3708593437023</v>
      </c>
      <c r="G22" s="117">
        <f>G21*0.23</f>
        <v>3781.821691584641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4855.5371995899859</v>
      </c>
      <c r="D23" s="125">
        <f>D21-D22</f>
        <v>6555.7336375530813</v>
      </c>
      <c r="E23" s="125">
        <f>E21-E22</f>
        <v>8413.3912863328569</v>
      </c>
      <c r="F23" s="125">
        <f>F21-F22</f>
        <v>10443.111137802829</v>
      </c>
      <c r="G23" s="125">
        <f>G21-G22</f>
        <v>12660.881315305103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3704.3171995899847</v>
      </c>
      <c r="D32" s="127">
        <f t="shared" ref="D32:F32" si="4">SUM(D23:D31)</f>
        <v>5404.5136375530801</v>
      </c>
      <c r="E32" s="127">
        <f>SUM(E23:E31)</f>
        <v>7262.1712863328576</v>
      </c>
      <c r="F32" s="127">
        <f t="shared" si="4"/>
        <v>9291.8911378028279</v>
      </c>
      <c r="G32" s="127">
        <f>SUM(G23:G31)</f>
        <v>28459.6613153051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26522.554576583847</v>
      </c>
      <c r="E35" s="98"/>
    </row>
    <row r="36" spans="1:7" ht="15">
      <c r="A36" s="177" t="s">
        <v>48</v>
      </c>
      <c r="B36" s="181">
        <f>IRR(B32:G32)</f>
        <v>0.19233036651104257</v>
      </c>
    </row>
    <row r="37" spans="1:7" ht="15">
      <c r="A37" s="177" t="s">
        <v>60</v>
      </c>
      <c r="B37" s="25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45"/>
  <sheetViews>
    <sheetView topLeftCell="E22" workbookViewId="0">
      <selection activeCell="H27" sqref="H27"/>
    </sheetView>
  </sheetViews>
  <sheetFormatPr baseColWidth="10" defaultColWidth="45.140625" defaultRowHeight="15"/>
  <cols>
    <col min="1" max="1" width="46.28515625" style="76" bestFit="1" customWidth="1"/>
    <col min="2" max="2" width="9.28515625" style="76" bestFit="1" customWidth="1"/>
    <col min="3" max="6" width="9.85546875" style="76" bestFit="1" customWidth="1"/>
    <col min="7" max="7" width="10.5703125" style="76" bestFit="1" customWidth="1"/>
    <col min="8" max="16384" width="45.140625" style="76"/>
  </cols>
  <sheetData>
    <row r="1" spans="1:15">
      <c r="A1" s="274" t="s">
        <v>148</v>
      </c>
      <c r="B1" s="274"/>
      <c r="C1" s="274"/>
      <c r="D1" s="274"/>
      <c r="E1" s="274"/>
      <c r="F1" s="274"/>
      <c r="G1" s="274"/>
      <c r="I1" s="157"/>
      <c r="J1" s="157"/>
      <c r="K1" s="157"/>
      <c r="L1" s="157"/>
      <c r="M1" s="157"/>
      <c r="N1" s="157"/>
      <c r="O1" s="157"/>
    </row>
    <row r="2" spans="1:15">
      <c r="I2" s="157"/>
      <c r="J2" s="157"/>
      <c r="K2" s="157"/>
      <c r="L2" s="157"/>
      <c r="M2" s="157"/>
      <c r="N2" s="157"/>
      <c r="O2" s="157"/>
    </row>
    <row r="3" spans="1:15"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  <c r="I3" s="41"/>
      <c r="J3" s="157"/>
      <c r="K3" s="157"/>
      <c r="L3" s="157"/>
      <c r="M3" s="157"/>
      <c r="N3" s="157"/>
      <c r="O3" s="157"/>
    </row>
    <row r="4" spans="1:15">
      <c r="A4" s="92" t="s">
        <v>11</v>
      </c>
      <c r="B4" s="92"/>
      <c r="C4" s="80">
        <f>('FLUJO FLUJO NOSOTRAS'!E4-'FLUJO ANTERIOR 2 '!E4)*0.9</f>
        <v>22669.668449999986</v>
      </c>
      <c r="D4" s="79">
        <f>('FLUJO FLUJO NOSOTRAS'!F4-'FLUJO ANTERIOR 2 '!F4)*0.9</f>
        <v>24709.938610499976</v>
      </c>
      <c r="E4" s="79">
        <f>('FLUJO FLUJO NOSOTRAS'!G4-'FLUJO ANTERIOR 2 '!G4)*0.9</f>
        <v>26933.83308544497</v>
      </c>
      <c r="F4" s="79">
        <f>('FLUJO FLUJO NOSOTRAS'!H4-'FLUJO ANTERIOR 2 '!H4)*0.9</f>
        <v>29357.878063135042</v>
      </c>
      <c r="G4" s="79">
        <f>('FLUJO FLUJO NOSOTRAS'!I4-'FLUJO ANTERIOR 2 '!I4)*0.9</f>
        <v>32000.087088817232</v>
      </c>
      <c r="I4" s="157"/>
      <c r="J4" s="157"/>
      <c r="K4" s="157"/>
      <c r="L4" s="157"/>
      <c r="M4" s="157"/>
      <c r="N4" s="157"/>
      <c r="O4" s="157"/>
    </row>
    <row r="5" spans="1:15" ht="15" customHeight="1">
      <c r="A5" s="92" t="s">
        <v>12</v>
      </c>
      <c r="B5" s="92"/>
      <c r="C5" s="80"/>
      <c r="D5" s="79"/>
      <c r="E5" s="79"/>
      <c r="F5" s="79"/>
      <c r="G5" s="79"/>
      <c r="I5" s="157"/>
      <c r="J5" s="272"/>
      <c r="K5" s="272"/>
      <c r="L5" s="157"/>
      <c r="M5" s="273"/>
      <c r="N5" s="273"/>
      <c r="O5" s="42"/>
    </row>
    <row r="6" spans="1:15" ht="15" customHeight="1">
      <c r="A6" s="73" t="s">
        <v>66</v>
      </c>
      <c r="B6" s="92"/>
      <c r="C6" s="80">
        <f>('FLUJO FLUJO NOSOTRAS'!E6-'FLUJO ANTERIOR 2 '!E6)*1.1</f>
        <v>2975.6790800000063</v>
      </c>
      <c r="D6" s="79">
        <f>('FLUJO FLUJO NOSOTRAS'!F6-'FLUJO ANTERIOR 2 '!F6)*1.1</f>
        <v>3243.4901972000011</v>
      </c>
      <c r="E6" s="79">
        <f>('FLUJO FLUJO NOSOTRAS'!G6-'FLUJO ANTERIOR 2 '!G6)*1.1</f>
        <v>3535.4043149480003</v>
      </c>
      <c r="F6" s="79">
        <f>('FLUJO FLUJO NOSOTRAS'!H6-'FLUJO ANTERIOR 2 '!H6)*1.1</f>
        <v>3853.5907032933219</v>
      </c>
      <c r="G6" s="79">
        <f>('FLUJO FLUJO NOSOTRAS'!I6-'FLUJO ANTERIOR 2 '!I6)*1.1</f>
        <v>4200.4138665897299</v>
      </c>
      <c r="I6" s="157"/>
      <c r="J6" s="72"/>
      <c r="K6" s="72"/>
      <c r="L6" s="157"/>
      <c r="M6" s="71"/>
      <c r="N6" s="71"/>
      <c r="O6" s="42"/>
    </row>
    <row r="7" spans="1:15" ht="15" customHeight="1">
      <c r="A7" s="73" t="s">
        <v>67</v>
      </c>
      <c r="B7" s="92"/>
      <c r="C7" s="80">
        <f>'FLUJO FLUJO NOSOTRAS'!E7-'FLUJO ANTERIOR 2 '!E7</f>
        <v>0</v>
      </c>
      <c r="D7" s="80">
        <f>'FLUJO FLUJO NOSOTRAS'!F7-'FLUJO ANTERIOR 2 '!F7</f>
        <v>0</v>
      </c>
      <c r="E7" s="80">
        <f>'FLUJO FLUJO NOSOTRAS'!G7-'FLUJO ANTERIOR 2 '!G7</f>
        <v>0</v>
      </c>
      <c r="F7" s="80">
        <f>'FLUJO FLUJO NOSOTRAS'!H7-'FLUJO ANTERIOR 2 '!H7</f>
        <v>0</v>
      </c>
      <c r="G7" s="80">
        <f>'FLUJO FLUJO NOSOTRAS'!I7-'FLUJO ANTERIOR 2 '!I7</f>
        <v>0</v>
      </c>
      <c r="I7" s="157"/>
      <c r="J7" s="72"/>
      <c r="K7" s="72"/>
      <c r="L7" s="157"/>
      <c r="M7" s="71"/>
      <c r="N7" s="71"/>
      <c r="O7" s="42"/>
    </row>
    <row r="8" spans="1:15" ht="15" customHeight="1">
      <c r="A8" s="73" t="s">
        <v>68</v>
      </c>
      <c r="B8" s="92"/>
      <c r="C8" s="80"/>
      <c r="D8" s="79"/>
      <c r="E8" s="79"/>
      <c r="F8" s="79"/>
      <c r="G8" s="79"/>
      <c r="I8" s="157"/>
      <c r="J8" s="72"/>
      <c r="K8" s="72"/>
      <c r="L8" s="157"/>
      <c r="M8" s="71"/>
      <c r="N8" s="71"/>
      <c r="O8" s="42"/>
    </row>
    <row r="9" spans="1:15" ht="15" customHeight="1">
      <c r="A9" s="73" t="s">
        <v>69</v>
      </c>
      <c r="B9" s="92"/>
      <c r="C9" s="80">
        <f>'FLUJO FLUJO NOSOTRAS'!E9-'FLUJO ANTERIOR 2 '!E9</f>
        <v>372</v>
      </c>
      <c r="D9" s="80">
        <f>'FLUJO FLUJO NOSOTRAS'!F9-'FLUJO ANTERIOR 2 '!F9</f>
        <v>405.47999999999956</v>
      </c>
      <c r="E9" s="80">
        <f>'FLUJO FLUJO NOSOTRAS'!G9-'FLUJO ANTERIOR 2 '!G9</f>
        <v>441.97320000000036</v>
      </c>
      <c r="F9" s="80">
        <f>'FLUJO FLUJO NOSOTRAS'!H9-'FLUJO ANTERIOR 2 '!H9</f>
        <v>481.75078800000119</v>
      </c>
      <c r="G9" s="80">
        <f>'FLUJO FLUJO NOSOTRAS'!I9-'FLUJO ANTERIOR 2 '!I9</f>
        <v>525.10835892000068</v>
      </c>
      <c r="I9" s="157"/>
      <c r="J9" s="72"/>
      <c r="K9" s="72"/>
      <c r="L9" s="157"/>
      <c r="M9" s="71"/>
      <c r="N9" s="71"/>
      <c r="O9" s="42"/>
    </row>
    <row r="10" spans="1:15">
      <c r="A10" s="253" t="s">
        <v>15</v>
      </c>
      <c r="B10" s="92"/>
      <c r="C10" s="38">
        <f>C4-C6-C7-C9</f>
        <v>19321.989369999981</v>
      </c>
      <c r="D10" s="38">
        <f t="shared" ref="D10:G10" si="0">D4-D6-D7-D9</f>
        <v>21060.968413299976</v>
      </c>
      <c r="E10" s="38">
        <f t="shared" si="0"/>
        <v>22956.455570496968</v>
      </c>
      <c r="F10" s="38">
        <f t="shared" si="0"/>
        <v>25022.53657184172</v>
      </c>
      <c r="G10" s="38">
        <f t="shared" si="0"/>
        <v>27274.564863307503</v>
      </c>
      <c r="I10" s="157"/>
      <c r="J10" s="41"/>
      <c r="K10" s="158"/>
      <c r="L10" s="157"/>
      <c r="M10" s="6"/>
      <c r="N10" s="159"/>
      <c r="O10" s="157"/>
    </row>
    <row r="11" spans="1:15">
      <c r="A11" s="92" t="s">
        <v>18</v>
      </c>
      <c r="B11" s="160"/>
      <c r="C11" s="80"/>
      <c r="D11" s="79"/>
      <c r="E11" s="79"/>
      <c r="F11" s="79"/>
      <c r="G11" s="79"/>
      <c r="I11" s="157"/>
      <c r="J11" s="41"/>
      <c r="K11" s="161"/>
      <c r="L11" s="157"/>
      <c r="M11" s="6"/>
      <c r="N11" s="159"/>
      <c r="O11" s="157"/>
    </row>
    <row r="12" spans="1:15">
      <c r="A12" s="92" t="s">
        <v>23</v>
      </c>
      <c r="B12" s="92"/>
      <c r="C12" s="83">
        <f>'FLUJO FLUJO NOSOTRAS'!E12-'FLUJO ANTERIOR 2 '!E12</f>
        <v>512.14440000000104</v>
      </c>
      <c r="D12" s="83">
        <f>'FLUJO FLUJO NOSOTRAS'!F12-'FLUJO ANTERIOR 2 '!F12</f>
        <v>558.23739600000044</v>
      </c>
      <c r="E12" s="83">
        <f>'FLUJO FLUJO NOSOTRAS'!G12-'FLUJO ANTERIOR 2 '!G12</f>
        <v>608.47876164000081</v>
      </c>
      <c r="F12" s="83">
        <f>'FLUJO FLUJO NOSOTRAS'!H12-'FLUJO ANTERIOR 2 '!H12</f>
        <v>663.24185018760181</v>
      </c>
      <c r="G12" s="83">
        <f>'FLUJO FLUJO NOSOTRAS'!I12-'FLUJO ANTERIOR 2 '!I12</f>
        <v>722.93361670448576</v>
      </c>
      <c r="H12" s="81"/>
      <c r="I12" s="81"/>
      <c r="J12" s="157"/>
      <c r="K12" s="157"/>
      <c r="L12" s="81"/>
      <c r="M12" s="6"/>
      <c r="N12" s="161"/>
      <c r="O12" s="157"/>
    </row>
    <row r="13" spans="1:15" ht="14.25" customHeight="1">
      <c r="A13" s="92" t="s">
        <v>70</v>
      </c>
      <c r="B13" s="92"/>
      <c r="C13" s="80">
        <f>'FLUJO FLUJO NOSOTRAS'!E13-'FLUJO ANTERIOR 2 '!E13</f>
        <v>0</v>
      </c>
      <c r="D13" s="80">
        <f>'FLUJO FLUJO NOSOTRAS'!F13-'FLUJO ANTERIOR 2 '!F13</f>
        <v>0</v>
      </c>
      <c r="E13" s="80">
        <f>'FLUJO FLUJO NOSOTRAS'!G13-'FLUJO ANTERIOR 2 '!G13</f>
        <v>0</v>
      </c>
      <c r="F13" s="80">
        <f>'FLUJO FLUJO NOSOTRAS'!H13-'FLUJO ANTERIOR 2 '!H13</f>
        <v>0</v>
      </c>
      <c r="G13" s="80">
        <f>'FLUJO FLUJO NOSOTRAS'!I13-'FLUJO ANTERIOR 2 '!I13</f>
        <v>0</v>
      </c>
      <c r="H13" s="81"/>
      <c r="I13" s="81"/>
      <c r="J13" s="157"/>
      <c r="K13" s="157"/>
      <c r="L13" s="81"/>
      <c r="M13" s="6"/>
      <c r="N13" s="162"/>
      <c r="O13" s="157"/>
    </row>
    <row r="14" spans="1:15">
      <c r="A14" s="92" t="s">
        <v>71</v>
      </c>
      <c r="B14" s="92"/>
      <c r="C14" s="80">
        <f>'FLUJO FLUJO NOSOTRAS'!E14-'FLUJO ANTERIOR 2 '!E14</f>
        <v>0</v>
      </c>
      <c r="D14" s="80">
        <f>'FLUJO FLUJO NOSOTRAS'!F14-'FLUJO ANTERIOR 2 '!F14</f>
        <v>0</v>
      </c>
      <c r="E14" s="80">
        <f>'FLUJO FLUJO NOSOTRAS'!G14-'FLUJO ANTERIOR 2 '!G14</f>
        <v>0</v>
      </c>
      <c r="F14" s="80">
        <f>'FLUJO FLUJO NOSOTRAS'!H14-'FLUJO ANTERIOR 2 '!H14</f>
        <v>0</v>
      </c>
      <c r="G14" s="80">
        <f>'FLUJO FLUJO NOSOTRAS'!I14-'FLUJO ANTERIOR 2 '!I14</f>
        <v>0</v>
      </c>
      <c r="H14" s="81"/>
      <c r="I14" s="163"/>
      <c r="J14" s="157"/>
      <c r="K14" s="157"/>
      <c r="L14" s="81"/>
      <c r="M14" s="157"/>
      <c r="N14" s="157"/>
      <c r="O14" s="157"/>
    </row>
    <row r="15" spans="1:15">
      <c r="A15" s="92" t="s">
        <v>24</v>
      </c>
      <c r="B15" s="92"/>
      <c r="C15" s="30">
        <f>'FLUJO FLUJO NOSOTRAS'!E15-'FLUJO ANTERIOR 2 '!E15</f>
        <v>9770</v>
      </c>
      <c r="D15" s="30">
        <f>'FLUJO FLUJO NOSOTRAS'!F15-'FLUJO ANTERIOR 2 '!F15</f>
        <v>9770</v>
      </c>
      <c r="E15" s="30">
        <f>'FLUJO FLUJO NOSOTRAS'!G15-'FLUJO ANTERIOR 2 '!G15</f>
        <v>9770</v>
      </c>
      <c r="F15" s="30">
        <f>'FLUJO FLUJO NOSOTRAS'!H15-'FLUJO ANTERIOR 2 '!H15</f>
        <v>9770</v>
      </c>
      <c r="G15" s="30">
        <f>'FLUJO FLUJO NOSOTRAS'!I15-'FLUJO ANTERIOR 2 '!I15</f>
        <v>9770</v>
      </c>
      <c r="H15" s="81"/>
      <c r="I15" s="81"/>
      <c r="J15" s="157"/>
      <c r="K15" s="157"/>
      <c r="L15" s="81"/>
      <c r="M15" s="157"/>
      <c r="N15" s="157"/>
      <c r="O15" s="157"/>
    </row>
    <row r="16" spans="1:15">
      <c r="A16" s="253" t="s">
        <v>28</v>
      </c>
      <c r="B16" s="92"/>
      <c r="C16" s="38">
        <f>C10-SUM(C12:C15)</f>
        <v>9039.8449699999801</v>
      </c>
      <c r="D16" s="39">
        <f>D10-SUM(D12:D15)</f>
        <v>10732.731017299975</v>
      </c>
      <c r="E16" s="39">
        <f>E10-SUM(E12:E15)</f>
        <v>12577.976808856967</v>
      </c>
      <c r="F16" s="39">
        <f>F10-SUM(F12:F15)</f>
        <v>14589.294721654118</v>
      </c>
      <c r="G16" s="39">
        <f>G10-SUM(G12:G15)</f>
        <v>16781.631246603018</v>
      </c>
      <c r="H16" s="84"/>
      <c r="I16" s="84"/>
      <c r="J16" s="8"/>
      <c r="K16" s="9"/>
      <c r="L16" s="84"/>
      <c r="M16" s="157"/>
      <c r="N16" s="41"/>
      <c r="O16" s="161"/>
    </row>
    <row r="17" spans="1:15">
      <c r="A17" s="253" t="s">
        <v>30</v>
      </c>
      <c r="B17" s="92"/>
      <c r="C17" s="83"/>
      <c r="D17" s="83"/>
      <c r="E17" s="83"/>
      <c r="F17" s="83"/>
      <c r="G17" s="83"/>
      <c r="H17" s="85"/>
      <c r="I17" s="84"/>
      <c r="J17" s="157"/>
      <c r="K17" s="157"/>
      <c r="L17" s="84"/>
      <c r="M17" s="157"/>
      <c r="N17" s="41"/>
      <c r="O17" s="45"/>
    </row>
    <row r="18" spans="1:15">
      <c r="A18" s="92" t="s">
        <v>32</v>
      </c>
      <c r="B18" s="164"/>
      <c r="C18" s="86">
        <f>'FLUJO FLUJO NOSOTRAS'!E18-'FLUJO ANTERIOR 2 '!E18</f>
        <v>4139.9999999999991</v>
      </c>
      <c r="D18" s="86">
        <f>'FLUJO FLUJO NOSOTRAS'!F18-'FLUJO ANTERIOR 2 '!F18</f>
        <v>3461.88</v>
      </c>
      <c r="E18" s="86">
        <f>'FLUJO FLUJO NOSOTRAS'!G18-'FLUJO ANTERIOR 2 '!G18</f>
        <v>2715.94</v>
      </c>
      <c r="F18" s="86">
        <f>'FLUJO FLUJO NOSOTRAS'!H18-'FLUJO ANTERIOR 2 '!H18</f>
        <v>1895.42</v>
      </c>
      <c r="G18" s="86">
        <f>'FLUJO FLUJO NOSOTRAS'!I18-'FLUJO ANTERIOR 2 '!I18</f>
        <v>992.83999999999992</v>
      </c>
      <c r="H18" s="85"/>
      <c r="I18" s="81"/>
      <c r="J18" s="81"/>
      <c r="K18" s="81"/>
      <c r="L18" s="81"/>
      <c r="M18" s="157"/>
      <c r="N18" s="157"/>
      <c r="O18" s="157"/>
    </row>
    <row r="19" spans="1:15">
      <c r="A19" s="253" t="s">
        <v>33</v>
      </c>
      <c r="B19" s="35"/>
      <c r="C19" s="40">
        <f>C16-C18</f>
        <v>4899.844969999981</v>
      </c>
      <c r="D19" s="40">
        <f t="shared" ref="D19:G19" si="1">D16-D18</f>
        <v>7270.851017299975</v>
      </c>
      <c r="E19" s="40">
        <f t="shared" si="1"/>
        <v>9862.0368088569667</v>
      </c>
      <c r="F19" s="40">
        <f t="shared" si="1"/>
        <v>12693.874721654118</v>
      </c>
      <c r="G19" s="40">
        <f t="shared" si="1"/>
        <v>15788.791246603017</v>
      </c>
      <c r="H19" s="85"/>
      <c r="I19" s="157"/>
      <c r="J19" s="157"/>
      <c r="K19" s="159"/>
      <c r="L19" s="157"/>
      <c r="M19" s="157"/>
      <c r="N19" s="157"/>
      <c r="O19" s="157"/>
    </row>
    <row r="20" spans="1:15">
      <c r="A20" s="92" t="s">
        <v>34</v>
      </c>
      <c r="B20" s="92"/>
      <c r="C20" s="83">
        <f>C19*0.15</f>
        <v>734.97674549999715</v>
      </c>
      <c r="D20" s="83">
        <f t="shared" ref="D20:G20" si="2">D19*0.15</f>
        <v>1090.6276525949961</v>
      </c>
      <c r="E20" s="83">
        <f t="shared" si="2"/>
        <v>1479.305521328545</v>
      </c>
      <c r="F20" s="83">
        <f t="shared" si="2"/>
        <v>1904.0812082481175</v>
      </c>
      <c r="G20" s="83">
        <f t="shared" si="2"/>
        <v>2368.3186869904525</v>
      </c>
      <c r="H20" s="85"/>
      <c r="I20" s="157"/>
      <c r="J20" s="157"/>
      <c r="K20" s="157"/>
      <c r="L20" s="157"/>
      <c r="M20" s="157"/>
      <c r="N20" s="157"/>
      <c r="O20" s="157"/>
    </row>
    <row r="21" spans="1:15">
      <c r="A21" s="87" t="s">
        <v>35</v>
      </c>
      <c r="B21" s="92"/>
      <c r="C21" s="40">
        <f>C19-C20</f>
        <v>4164.8682244999836</v>
      </c>
      <c r="D21" s="40">
        <f t="shared" ref="D21:G21" si="3">D19-D20</f>
        <v>6180.2233647049788</v>
      </c>
      <c r="E21" s="40">
        <f t="shared" si="3"/>
        <v>8382.7312875284224</v>
      </c>
      <c r="F21" s="40">
        <f t="shared" si="3"/>
        <v>10789.793513406001</v>
      </c>
      <c r="G21" s="40">
        <f t="shared" si="3"/>
        <v>13420.472559612565</v>
      </c>
      <c r="I21" s="157"/>
      <c r="J21" s="157"/>
      <c r="K21" s="157"/>
      <c r="L21" s="157"/>
      <c r="M21" s="157"/>
      <c r="N21" s="157"/>
      <c r="O21" s="157"/>
    </row>
    <row r="22" spans="1:15">
      <c r="A22" s="92" t="s">
        <v>36</v>
      </c>
      <c r="B22" s="92"/>
      <c r="C22" s="83">
        <f>C21*0.23</f>
        <v>957.9196916349963</v>
      </c>
      <c r="D22" s="83">
        <f>D21*0.23</f>
        <v>1421.4513738821452</v>
      </c>
      <c r="E22" s="83">
        <f>E21*0.23</f>
        <v>1928.0281961315372</v>
      </c>
      <c r="F22" s="83">
        <f>F21*0.23</f>
        <v>2481.6525080833803</v>
      </c>
      <c r="G22" s="83">
        <f>G21*0.23</f>
        <v>3086.7086887108899</v>
      </c>
      <c r="I22" s="157"/>
      <c r="J22" s="41"/>
      <c r="K22" s="41"/>
      <c r="L22" s="157"/>
      <c r="M22" s="157"/>
      <c r="N22" s="157"/>
      <c r="O22" s="157"/>
    </row>
    <row r="23" spans="1:15">
      <c r="A23" s="253" t="s">
        <v>37</v>
      </c>
      <c r="B23" s="92"/>
      <c r="C23" s="40">
        <f>C21-C22</f>
        <v>3206.9485328649871</v>
      </c>
      <c r="D23" s="40">
        <f>D21-D22</f>
        <v>4758.7719908228337</v>
      </c>
      <c r="E23" s="40">
        <f>E21-E22</f>
        <v>6454.7030913968847</v>
      </c>
      <c r="F23" s="40">
        <f>F21-F22</f>
        <v>8308.1410053226209</v>
      </c>
      <c r="G23" s="40">
        <f>G21-G22</f>
        <v>10333.763870901676</v>
      </c>
    </row>
    <row r="24" spans="1:15">
      <c r="A24" s="88" t="s">
        <v>38</v>
      </c>
      <c r="B24" s="89"/>
      <c r="C24" s="90"/>
      <c r="D24" s="90"/>
      <c r="E24" s="90"/>
      <c r="F24" s="90"/>
      <c r="G24" s="90"/>
    </row>
    <row r="25" spans="1:15">
      <c r="A25" s="88" t="s">
        <v>39</v>
      </c>
      <c r="B25" s="89"/>
      <c r="C25" s="91">
        <f>'FLUJO FLUJO NOSOTRAS'!E25-'FLUJO ANTERIOR 2 '!E25</f>
        <v>9770</v>
      </c>
      <c r="D25" s="91">
        <f>'FLUJO FLUJO NOSOTRAS'!F25-'FLUJO ANTERIOR 2 '!F25</f>
        <v>9770</v>
      </c>
      <c r="E25" s="91">
        <f>'FLUJO FLUJO NOSOTRAS'!G25-'FLUJO ANTERIOR 2 '!G25</f>
        <v>9770</v>
      </c>
      <c r="F25" s="91">
        <f>'FLUJO FLUJO NOSOTRAS'!H25-'FLUJO ANTERIOR 2 '!H25</f>
        <v>9770</v>
      </c>
      <c r="G25" s="91">
        <f>'FLUJO FLUJO NOSOTRAS'!I25-'FLUJO ANTERIOR 2 '!I25</f>
        <v>9770</v>
      </c>
    </row>
    <row r="26" spans="1:15">
      <c r="A26" s="88" t="s">
        <v>40</v>
      </c>
      <c r="B26" s="83">
        <f>'FLUJO FLUJO NOSOTRAS'!D26-'FLUJO ANTERIOR 2 '!D26</f>
        <v>-69000</v>
      </c>
      <c r="C26" s="92"/>
      <c r="D26" s="92"/>
      <c r="E26" s="92"/>
      <c r="F26" s="92"/>
      <c r="G26" s="92"/>
    </row>
    <row r="27" spans="1:15">
      <c r="A27" s="88" t="s">
        <v>41</v>
      </c>
      <c r="B27" s="83">
        <f>'FLUJO FLUJO NOSOTRAS'!D27-'FLUJO ANTERIOR 2 '!D27</f>
        <v>41400</v>
      </c>
      <c r="C27" s="92"/>
      <c r="D27" s="92"/>
      <c r="E27" s="92"/>
      <c r="F27" s="92"/>
      <c r="G27" s="92"/>
    </row>
    <row r="28" spans="1:15">
      <c r="A28" s="88" t="s">
        <v>42</v>
      </c>
      <c r="B28" s="92"/>
      <c r="C28" s="86">
        <f>'FLUJO FLUJO NOSOTRAS'!E28-'FLUJO ANTERIOR 2 '!E28</f>
        <v>-10921.220000000001</v>
      </c>
      <c r="D28" s="86">
        <f>'FLUJO FLUJO NOSOTRAS'!F28-'FLUJO ANTERIOR 2 '!F28</f>
        <v>-10921.220000000001</v>
      </c>
      <c r="E28" s="86">
        <f>'FLUJO FLUJO NOSOTRAS'!G28-'FLUJO ANTERIOR 2 '!G28</f>
        <v>-10921.220000000001</v>
      </c>
      <c r="F28" s="86">
        <f>'FLUJO FLUJO NOSOTRAS'!H28-'FLUJO ANTERIOR 2 '!H28</f>
        <v>-10921.220000000001</v>
      </c>
      <c r="G28" s="86">
        <f>'FLUJO FLUJO NOSOTRAS'!I28-'FLUJO ANTERIOR 2 '!I28</f>
        <v>-10921.220000000001</v>
      </c>
    </row>
    <row r="29" spans="1:15">
      <c r="A29" s="88" t="s">
        <v>43</v>
      </c>
      <c r="B29" s="83">
        <f>'FLUJO FLUJO NOSOTRAS'!D29-'FLUJO ANTERIOR 2 '!D29</f>
        <v>0</v>
      </c>
      <c r="C29" s="92"/>
      <c r="D29" s="92"/>
      <c r="E29" s="92"/>
      <c r="F29" s="92"/>
      <c r="G29" s="92"/>
    </row>
    <row r="30" spans="1:15">
      <c r="A30" s="88" t="s">
        <v>44</v>
      </c>
      <c r="B30" s="92"/>
      <c r="C30" s="92"/>
      <c r="D30" s="92"/>
      <c r="E30" s="92"/>
      <c r="F30" s="92"/>
      <c r="G30" s="83">
        <f>'FLUJO FLUJO NOSOTRAS'!I30-'FLUJO ANTERIOR 2 '!I30</f>
        <v>0</v>
      </c>
    </row>
    <row r="31" spans="1:15">
      <c r="A31" s="88" t="s">
        <v>45</v>
      </c>
      <c r="B31" s="92"/>
      <c r="C31" s="92"/>
      <c r="D31" s="92"/>
      <c r="E31" s="92"/>
      <c r="F31" s="92"/>
      <c r="G31" s="165">
        <f>'FLUJO FLUJO NOSOTRAS'!I31-'FLUJO ANTERIOR 2 '!I31</f>
        <v>16950</v>
      </c>
      <c r="H31" s="164"/>
      <c r="I31" s="164"/>
      <c r="J31" s="164"/>
      <c r="K31" s="164"/>
      <c r="L31" s="164"/>
    </row>
    <row r="32" spans="1:15">
      <c r="A32" s="93" t="s">
        <v>46</v>
      </c>
      <c r="B32" s="17">
        <f>SUM(B26:B31)</f>
        <v>-27600</v>
      </c>
      <c r="C32" s="17">
        <f>SUM(C23:C31)</f>
        <v>2055.728532864985</v>
      </c>
      <c r="D32" s="17">
        <f t="shared" ref="D32:F32" si="4">SUM(D23:D31)</f>
        <v>3607.5519908228325</v>
      </c>
      <c r="E32" s="17">
        <f>SUM(E23:E31)</f>
        <v>5303.4830913968835</v>
      </c>
      <c r="F32" s="17">
        <f t="shared" si="4"/>
        <v>7156.9210053226197</v>
      </c>
      <c r="G32" s="17">
        <f>SUM(G23:G31)</f>
        <v>26132.543870901674</v>
      </c>
    </row>
    <row r="33" spans="1:7">
      <c r="B33" s="94"/>
      <c r="C33" s="94"/>
      <c r="D33" s="94"/>
      <c r="E33" s="94"/>
      <c r="F33" s="94"/>
      <c r="G33" s="94"/>
    </row>
    <row r="35" spans="1:7">
      <c r="A35" s="35" t="s">
        <v>47</v>
      </c>
      <c r="B35" s="83">
        <f>NPV(K16,C32:G32)+B32</f>
        <v>16656.228491308997</v>
      </c>
      <c r="E35" s="77"/>
    </row>
    <row r="36" spans="1:7">
      <c r="A36" s="35" t="s">
        <v>48</v>
      </c>
      <c r="B36" s="252">
        <f>IRR(B32:G32)</f>
        <v>0.12266450914786288</v>
      </c>
    </row>
    <row r="37" spans="1:7">
      <c r="A37" s="35" t="s">
        <v>60</v>
      </c>
      <c r="B37" s="75">
        <v>0.1678</v>
      </c>
    </row>
    <row r="38" spans="1:7">
      <c r="A38" s="84"/>
      <c r="B38" s="84"/>
      <c r="C38" s="84"/>
      <c r="D38" s="84"/>
      <c r="E38" s="84"/>
      <c r="F38" s="84"/>
      <c r="G38" s="84"/>
    </row>
    <row r="39" spans="1:7">
      <c r="A39" s="96"/>
      <c r="B39" s="95"/>
      <c r="C39" s="95"/>
      <c r="D39" s="95"/>
      <c r="E39" s="95"/>
      <c r="F39" s="95"/>
      <c r="G39" s="95"/>
    </row>
    <row r="40" spans="1:7">
      <c r="A40" s="96"/>
      <c r="B40" s="54"/>
      <c r="C40" s="54"/>
      <c r="D40" s="54"/>
      <c r="E40" s="54"/>
      <c r="F40" s="54"/>
      <c r="G40" s="54"/>
    </row>
    <row r="41" spans="1:7">
      <c r="A41" s="96"/>
      <c r="B41" s="55"/>
      <c r="C41" s="55"/>
      <c r="D41" s="55"/>
      <c r="E41" s="55"/>
      <c r="F41" s="55"/>
      <c r="G41" s="55"/>
    </row>
    <row r="42" spans="1:7">
      <c r="A42" s="84"/>
      <c r="B42" s="166"/>
      <c r="C42" s="166"/>
      <c r="D42" s="166"/>
      <c r="E42" s="166"/>
      <c r="F42" s="166"/>
      <c r="G42" s="166"/>
    </row>
    <row r="43" spans="1:7">
      <c r="A43" s="84"/>
      <c r="B43" s="84"/>
      <c r="C43" s="84"/>
      <c r="D43" s="8"/>
      <c r="E43" s="95"/>
      <c r="F43" s="84"/>
      <c r="G43" s="84"/>
    </row>
    <row r="45" spans="1:7">
      <c r="B45" s="77"/>
    </row>
  </sheetData>
  <mergeCells count="3">
    <mergeCell ref="A1:G1"/>
    <mergeCell ref="J5:K5"/>
    <mergeCell ref="M5:N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7"/>
  <sheetViews>
    <sheetView topLeftCell="A30" workbookViewId="0">
      <selection activeCell="A37" sqref="A1:G37"/>
    </sheetView>
  </sheetViews>
  <sheetFormatPr baseColWidth="10" defaultColWidth="46.28515625" defaultRowHeight="14.25"/>
  <cols>
    <col min="1" max="1" width="47.140625" style="97" bestFit="1" customWidth="1"/>
    <col min="2" max="2" width="10.28515625" style="97" bestFit="1" customWidth="1"/>
    <col min="3" max="6" width="10.85546875" style="97" bestFit="1" customWidth="1"/>
    <col min="7" max="7" width="11.5703125" style="97" bestFit="1" customWidth="1"/>
    <col min="8" max="16384" width="46.28515625" style="97"/>
  </cols>
  <sheetData>
    <row r="1" spans="1:7" ht="15">
      <c r="A1" s="275" t="s">
        <v>166</v>
      </c>
      <c r="B1" s="275"/>
      <c r="C1" s="275"/>
      <c r="D1" s="275"/>
      <c r="E1" s="275"/>
      <c r="F1" s="275"/>
      <c r="G1" s="275"/>
    </row>
    <row r="3" spans="1:7" ht="15"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</row>
    <row r="4" spans="1:7">
      <c r="A4" s="126" t="s">
        <v>11</v>
      </c>
      <c r="B4" s="126"/>
      <c r="C4" s="103">
        <f>('FLUJO FLUJO NOSOTRAS'!E4-'FLUJO ANTERIOR 2 '!E4)*1.1</f>
        <v>27707.372549999985</v>
      </c>
      <c r="D4" s="101">
        <f>('FLUJO FLUJO NOSOTRAS'!F4-'FLUJO ANTERIOR 2 '!F4)*1.1</f>
        <v>30201.036079499972</v>
      </c>
      <c r="E4" s="101">
        <f>('FLUJO FLUJO NOSOTRAS'!G4-'FLUJO ANTERIOR 2 '!G4)*1.1</f>
        <v>32919.129326654969</v>
      </c>
      <c r="F4" s="101">
        <f>('FLUJO FLUJO NOSOTRAS'!H4-'FLUJO ANTERIOR 2 '!H4)*1.1</f>
        <v>35881.850966053942</v>
      </c>
      <c r="G4" s="101">
        <f>('FLUJO FLUJO NOSOTRAS'!I4-'FLUJO ANTERIOR 2 '!I4)*1.1</f>
        <v>39111.217552998838</v>
      </c>
    </row>
    <row r="5" spans="1:7">
      <c r="A5" s="126" t="s">
        <v>12</v>
      </c>
      <c r="B5" s="126"/>
      <c r="C5" s="103"/>
      <c r="D5" s="101"/>
      <c r="E5" s="101"/>
      <c r="F5" s="101"/>
      <c r="G5" s="101"/>
    </row>
    <row r="6" spans="1:7">
      <c r="A6" s="100" t="s">
        <v>66</v>
      </c>
      <c r="B6" s="126"/>
      <c r="C6" s="103">
        <f>('FLUJO FLUJO NOSOTRAS'!E6-'FLUJO ANTERIOR 2 '!E6)*0.9</f>
        <v>2434.6465200000052</v>
      </c>
      <c r="D6" s="101">
        <f>('FLUJO FLUJO NOSOTRAS'!F6-'FLUJO ANTERIOR 2 '!F6)*0.9</f>
        <v>2653.7647068000006</v>
      </c>
      <c r="E6" s="101">
        <f>('FLUJO FLUJO NOSOTRAS'!G6-'FLUJO ANTERIOR 2 '!G6)*0.9</f>
        <v>2892.6035304120001</v>
      </c>
      <c r="F6" s="101">
        <f>('FLUJO FLUJO NOSOTRAS'!H6-'FLUJO ANTERIOR 2 '!H6)*0.9</f>
        <v>3152.9378481490817</v>
      </c>
      <c r="G6" s="101">
        <f>('FLUJO FLUJO NOSOTRAS'!I6-'FLUJO ANTERIOR 2 '!I6)*0.9</f>
        <v>3436.7022544825059</v>
      </c>
    </row>
    <row r="7" spans="1:7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</row>
    <row r="8" spans="1:7">
      <c r="A8" s="100" t="s">
        <v>68</v>
      </c>
      <c r="B8" s="126"/>
      <c r="C8" s="103"/>
      <c r="D8" s="101"/>
      <c r="E8" s="101"/>
      <c r="F8" s="101"/>
      <c r="G8" s="101"/>
    </row>
    <row r="9" spans="1:7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</row>
    <row r="10" spans="1:7" ht="15">
      <c r="A10" s="253" t="s">
        <v>15</v>
      </c>
      <c r="B10" s="126"/>
      <c r="C10" s="114">
        <f>C4-C6-C7-C9</f>
        <v>24900.72602999998</v>
      </c>
      <c r="D10" s="114">
        <f t="shared" ref="D10:G10" si="0">D4-D6-D7-D9</f>
        <v>27141.791372699972</v>
      </c>
      <c r="E10" s="114">
        <f t="shared" si="0"/>
        <v>29584.552596242967</v>
      </c>
      <c r="F10" s="114">
        <f t="shared" si="0"/>
        <v>32247.162329904859</v>
      </c>
      <c r="G10" s="114">
        <f t="shared" si="0"/>
        <v>35149.406939596331</v>
      </c>
    </row>
    <row r="11" spans="1:7">
      <c r="A11" s="126" t="s">
        <v>18</v>
      </c>
      <c r="B11" s="171"/>
      <c r="C11" s="103"/>
      <c r="D11" s="101"/>
      <c r="E11" s="101"/>
      <c r="F11" s="101"/>
      <c r="G11" s="101"/>
    </row>
    <row r="12" spans="1:7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</row>
    <row r="13" spans="1:7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</row>
    <row r="14" spans="1:7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</row>
    <row r="15" spans="1:7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</row>
    <row r="16" spans="1:7" ht="15">
      <c r="A16" s="253" t="s">
        <v>28</v>
      </c>
      <c r="B16" s="126"/>
      <c r="C16" s="114">
        <f>C10-SUM(C12:C15)</f>
        <v>14618.581629999979</v>
      </c>
      <c r="D16" s="123">
        <f>D10-SUM(D12:D15)</f>
        <v>16813.553976699972</v>
      </c>
      <c r="E16" s="123">
        <f>E10-SUM(E12:E15)</f>
        <v>19206.073834602968</v>
      </c>
      <c r="F16" s="123">
        <f>F10-SUM(F12:F15)</f>
        <v>21813.920479717257</v>
      </c>
      <c r="G16" s="123">
        <f>G10-SUM(G12:G15)</f>
        <v>24656.473322891845</v>
      </c>
    </row>
    <row r="17" spans="1:7" ht="15">
      <c r="A17" s="253" t="s">
        <v>30</v>
      </c>
      <c r="B17" s="126"/>
      <c r="C17" s="117"/>
      <c r="D17" s="117"/>
      <c r="E17" s="117"/>
      <c r="F17" s="117"/>
      <c r="G17" s="117"/>
    </row>
    <row r="18" spans="1:7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</row>
    <row r="19" spans="1:7" ht="15">
      <c r="A19" s="253" t="s">
        <v>33</v>
      </c>
      <c r="B19" s="177"/>
      <c r="C19" s="125">
        <f>C16-C18</f>
        <v>10478.581629999979</v>
      </c>
      <c r="D19" s="125">
        <f t="shared" ref="D19:G19" si="1">D16-D18</f>
        <v>13351.673976699971</v>
      </c>
      <c r="E19" s="125">
        <f t="shared" si="1"/>
        <v>16490.13383460297</v>
      </c>
      <c r="F19" s="125">
        <f t="shared" si="1"/>
        <v>19918.500479717259</v>
      </c>
      <c r="G19" s="125">
        <f t="shared" si="1"/>
        <v>23663.633322891845</v>
      </c>
    </row>
    <row r="20" spans="1:7">
      <c r="A20" s="126" t="s">
        <v>34</v>
      </c>
      <c r="B20" s="126"/>
      <c r="C20" s="117">
        <f>C19*0.15</f>
        <v>1571.7872444999969</v>
      </c>
      <c r="D20" s="117">
        <f t="shared" ref="D20:G20" si="2">D19*0.15</f>
        <v>2002.7510965049955</v>
      </c>
      <c r="E20" s="117">
        <f t="shared" si="2"/>
        <v>2473.5200751904454</v>
      </c>
      <c r="F20" s="117">
        <f t="shared" si="2"/>
        <v>2987.7750719575888</v>
      </c>
      <c r="G20" s="117">
        <f t="shared" si="2"/>
        <v>3549.5449984337765</v>
      </c>
    </row>
    <row r="21" spans="1:7" ht="15">
      <c r="A21" s="87" t="s">
        <v>35</v>
      </c>
      <c r="B21" s="126"/>
      <c r="C21" s="125">
        <f>C19-C20</f>
        <v>8906.7943854999812</v>
      </c>
      <c r="D21" s="125">
        <f t="shared" ref="D21:G21" si="3">D19-D20</f>
        <v>11348.922880194976</v>
      </c>
      <c r="E21" s="125">
        <f t="shared" si="3"/>
        <v>14016.613759412525</v>
      </c>
      <c r="F21" s="125">
        <f t="shared" si="3"/>
        <v>16930.72540775967</v>
      </c>
      <c r="G21" s="125">
        <f t="shared" si="3"/>
        <v>20114.088324458069</v>
      </c>
    </row>
    <row r="22" spans="1:7">
      <c r="A22" s="126" t="s">
        <v>36</v>
      </c>
      <c r="B22" s="126"/>
      <c r="C22" s="117">
        <f>C21*0.23</f>
        <v>2048.5627086649956</v>
      </c>
      <c r="D22" s="117">
        <f>D21*0.23</f>
        <v>2610.2522624448447</v>
      </c>
      <c r="E22" s="117">
        <f>E21*0.23</f>
        <v>3223.8211646648811</v>
      </c>
      <c r="F22" s="117">
        <f>F21*0.23</f>
        <v>3894.0668437847244</v>
      </c>
      <c r="G22" s="117">
        <f>G21*0.23</f>
        <v>4626.2403146253564</v>
      </c>
    </row>
    <row r="23" spans="1:7" ht="15">
      <c r="A23" s="253" t="s">
        <v>37</v>
      </c>
      <c r="B23" s="126"/>
      <c r="C23" s="125">
        <f>C21-C22</f>
        <v>6858.2316768349856</v>
      </c>
      <c r="D23" s="125">
        <f>D21-D22</f>
        <v>8738.670617750131</v>
      </c>
      <c r="E23" s="125">
        <f>E21-E22</f>
        <v>10792.792594747643</v>
      </c>
      <c r="F23" s="125">
        <f>F21-F22</f>
        <v>13036.658563974946</v>
      </c>
      <c r="G23" s="125">
        <f>G21-G22</f>
        <v>15487.848009832713</v>
      </c>
    </row>
    <row r="24" spans="1:7">
      <c r="A24" s="88" t="s">
        <v>38</v>
      </c>
      <c r="B24" s="89"/>
      <c r="C24" s="90"/>
      <c r="D24" s="90"/>
      <c r="E24" s="90"/>
      <c r="F24" s="90"/>
      <c r="G24" s="90"/>
    </row>
    <row r="25" spans="1:7">
      <c r="A25" s="88" t="s">
        <v>39</v>
      </c>
      <c r="B25" s="89"/>
      <c r="C25" s="91">
        <f>'FLUJO FLUJO NOSOTRAS'!E25-'FLUJO ANTERIOR 2 '!E25</f>
        <v>9770</v>
      </c>
      <c r="D25" s="91">
        <f>'FLUJO FLUJO NOSOTRAS'!F25-'FLUJO ANTERIOR 2 '!F25</f>
        <v>9770</v>
      </c>
      <c r="E25" s="91">
        <f>'FLUJO FLUJO NOSOTRAS'!G25-'FLUJO ANTERIOR 2 '!G25</f>
        <v>9770</v>
      </c>
      <c r="F25" s="91">
        <f>'FLUJO FLUJO NOSOTRAS'!H25-'FLUJO ANTERIOR 2 '!H25</f>
        <v>9770</v>
      </c>
      <c r="G25" s="91">
        <f>'FLUJO FLUJO NOSOTRAS'!I25-'FLUJO ANTERIOR 2 '!I25</f>
        <v>9770</v>
      </c>
    </row>
    <row r="26" spans="1:7">
      <c r="A26" s="88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7">
      <c r="A27" s="88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7">
      <c r="A28" s="88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7">
      <c r="A29" s="88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7">
      <c r="A30" s="88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7">
      <c r="A31" s="88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</row>
    <row r="32" spans="1:7" ht="15">
      <c r="A32" s="93" t="s">
        <v>46</v>
      </c>
      <c r="B32" s="127">
        <f>SUM(B26:B31)</f>
        <v>-27600</v>
      </c>
      <c r="C32" s="127">
        <f>SUM(C23:C31)</f>
        <v>5707.0116768349835</v>
      </c>
      <c r="D32" s="127">
        <f t="shared" ref="D32:F32" si="4">SUM(D23:D31)</f>
        <v>7587.4506177501316</v>
      </c>
      <c r="E32" s="127">
        <f>SUM(E23:E31)</f>
        <v>9641.5725947476421</v>
      </c>
      <c r="F32" s="127">
        <f t="shared" si="4"/>
        <v>11885.438563974945</v>
      </c>
      <c r="G32" s="127">
        <f>SUM(G23:G31)</f>
        <v>31286.628009832712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38508.10146314041</v>
      </c>
      <c r="E35" s="98"/>
    </row>
    <row r="36" spans="1:7" ht="15">
      <c r="A36" s="177" t="s">
        <v>48</v>
      </c>
      <c r="B36" s="181">
        <f>IRR(B32:G32)</f>
        <v>0.27470061731719081</v>
      </c>
    </row>
    <row r="37" spans="1:7" ht="15">
      <c r="A37" s="177" t="s">
        <v>60</v>
      </c>
      <c r="B37" s="251">
        <v>0.1678</v>
      </c>
    </row>
  </sheetData>
  <mergeCells count="1">
    <mergeCell ref="A1:G1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O45"/>
  <sheetViews>
    <sheetView workbookViewId="0">
      <selection activeCell="D41" sqref="D41"/>
    </sheetView>
  </sheetViews>
  <sheetFormatPr baseColWidth="10" defaultRowHeight="14.25"/>
  <cols>
    <col min="1" max="1" width="45.85546875" style="97" customWidth="1"/>
    <col min="2" max="2" width="11.140625" style="97" customWidth="1"/>
    <col min="3" max="3" width="12.140625" style="97" bestFit="1" customWidth="1"/>
    <col min="4" max="4" width="12.42578125" style="97" customWidth="1"/>
    <col min="5" max="5" width="12.140625" style="97" customWidth="1"/>
    <col min="6" max="6" width="12.85546875" style="97" customWidth="1"/>
    <col min="7" max="7" width="11.7109375" style="97" bestFit="1" customWidth="1"/>
    <col min="8" max="9" width="11.42578125" style="97"/>
    <col min="10" max="10" width="18.85546875" style="97" bestFit="1" customWidth="1"/>
    <col min="11" max="11" width="15.42578125" style="97" customWidth="1"/>
    <col min="12" max="12" width="11.42578125" style="97"/>
    <col min="13" max="13" width="12.85546875" style="97" customWidth="1"/>
    <col min="14" max="14" width="26.140625" style="97" customWidth="1"/>
    <col min="15" max="16384" width="11.42578125" style="97"/>
  </cols>
  <sheetData>
    <row r="1" spans="1:15" ht="18">
      <c r="A1" s="258" t="s">
        <v>59</v>
      </c>
      <c r="B1" s="258"/>
      <c r="C1" s="258"/>
      <c r="D1" s="258"/>
      <c r="E1" s="258"/>
      <c r="F1" s="258"/>
      <c r="G1" s="258"/>
      <c r="I1" s="141"/>
      <c r="J1" s="141"/>
      <c r="K1" s="141"/>
      <c r="L1" s="141"/>
      <c r="M1" s="141"/>
      <c r="N1" s="141"/>
      <c r="O1" s="141"/>
    </row>
    <row r="2" spans="1:15">
      <c r="I2" s="141"/>
      <c r="J2" s="141"/>
      <c r="K2" s="141"/>
      <c r="L2" s="141"/>
      <c r="M2" s="141"/>
      <c r="N2" s="141"/>
      <c r="O2" s="141"/>
    </row>
    <row r="3" spans="1:15" ht="1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I3" s="167"/>
      <c r="J3" s="141"/>
      <c r="K3" s="141"/>
      <c r="L3" s="141"/>
      <c r="M3" s="141"/>
      <c r="N3" s="141"/>
      <c r="O3" s="141"/>
    </row>
    <row r="4" spans="1:15">
      <c r="A4" s="126" t="s">
        <v>11</v>
      </c>
      <c r="B4" s="126"/>
      <c r="C4" s="103">
        <f>'FLUJO FLUJO NOSOTRAS'!E4-'FLUJO ANTERIOR 2 '!E4</f>
        <v>25188.520499999984</v>
      </c>
      <c r="D4" s="101">
        <f>'FLUJO FLUJO NOSOTRAS'!F4-'FLUJO ANTERIOR 2 '!F4</f>
        <v>27455.487344999972</v>
      </c>
      <c r="E4" s="101">
        <f>'FLUJO FLUJO NOSOTRAS'!G4-'FLUJO ANTERIOR 2 '!G4</f>
        <v>29926.481206049968</v>
      </c>
      <c r="F4" s="101">
        <f>'FLUJO FLUJO NOSOTRAS'!H4-'FLUJO ANTERIOR 2 '!H4</f>
        <v>32619.86451459449</v>
      </c>
      <c r="G4" s="101">
        <f>'FLUJO FLUJO NOSOTRAS'!I4-'FLUJO ANTERIOR 2 '!I4</f>
        <v>35555.652320908033</v>
      </c>
      <c r="I4" s="141"/>
      <c r="J4" s="141"/>
      <c r="K4" s="141"/>
      <c r="L4" s="141"/>
      <c r="M4" s="141"/>
      <c r="N4" s="141"/>
      <c r="O4" s="141"/>
    </row>
    <row r="5" spans="1:15" ht="15" customHeight="1">
      <c r="A5" s="126" t="s">
        <v>12</v>
      </c>
      <c r="B5" s="126"/>
      <c r="C5" s="103"/>
      <c r="D5" s="101"/>
      <c r="E5" s="101"/>
      <c r="F5" s="101"/>
      <c r="G5" s="101"/>
      <c r="I5" s="141"/>
      <c r="J5" s="261"/>
      <c r="K5" s="261"/>
      <c r="L5" s="141"/>
      <c r="M5" s="260"/>
      <c r="N5" s="260"/>
      <c r="O5" s="137"/>
    </row>
    <row r="6" spans="1:15" ht="15" customHeight="1">
      <c r="A6" s="100" t="s">
        <v>66</v>
      </c>
      <c r="B6" s="126"/>
      <c r="C6" s="103">
        <f>'FLUJO FLUJO NOSOTRAS'!E6-'FLUJO ANTERIOR 2 '!E6</f>
        <v>2705.1628000000055</v>
      </c>
      <c r="D6" s="101">
        <f>'FLUJO FLUJO NOSOTRAS'!F6-'FLUJO ANTERIOR 2 '!F6</f>
        <v>2948.6274520000006</v>
      </c>
      <c r="E6" s="101">
        <f>'FLUJO FLUJO NOSOTRAS'!G6-'FLUJO ANTERIOR 2 '!G6</f>
        <v>3214.00392268</v>
      </c>
      <c r="F6" s="101">
        <f>'FLUJO FLUJO NOSOTRAS'!H6-'FLUJO ANTERIOR 2 '!H6</f>
        <v>3503.2642757212016</v>
      </c>
      <c r="G6" s="101">
        <f>'FLUJO FLUJO NOSOTRAS'!I6-'FLUJO ANTERIOR 2 '!I6</f>
        <v>3818.5580605361174</v>
      </c>
      <c r="I6" s="141"/>
      <c r="J6" s="168"/>
      <c r="K6" s="168"/>
      <c r="L6" s="141"/>
      <c r="M6" s="169"/>
      <c r="N6" s="169"/>
      <c r="O6" s="137"/>
    </row>
    <row r="7" spans="1:15" ht="15" customHeight="1">
      <c r="A7" s="100" t="s">
        <v>67</v>
      </c>
      <c r="B7" s="126"/>
      <c r="C7" s="103">
        <f>'FLUJO FLUJO NOSOTRAS'!E7-'FLUJO ANTERIOR 2 '!E7</f>
        <v>0</v>
      </c>
      <c r="D7" s="103">
        <f>'FLUJO FLUJO NOSOTRAS'!F7-'FLUJO ANTERIOR 2 '!F7</f>
        <v>0</v>
      </c>
      <c r="E7" s="103">
        <f>'FLUJO FLUJO NOSOTRAS'!G7-'FLUJO ANTERIOR 2 '!G7</f>
        <v>0</v>
      </c>
      <c r="F7" s="103">
        <f>'FLUJO FLUJO NOSOTRAS'!H7-'FLUJO ANTERIOR 2 '!H7</f>
        <v>0</v>
      </c>
      <c r="G7" s="103">
        <f>'FLUJO FLUJO NOSOTRAS'!I7-'FLUJO ANTERIOR 2 '!I7</f>
        <v>0</v>
      </c>
      <c r="I7" s="141"/>
      <c r="J7" s="168"/>
      <c r="K7" s="168"/>
      <c r="L7" s="141"/>
      <c r="M7" s="169"/>
      <c r="N7" s="169"/>
      <c r="O7" s="137"/>
    </row>
    <row r="8" spans="1:15" ht="15" customHeight="1">
      <c r="A8" s="100" t="s">
        <v>68</v>
      </c>
      <c r="B8" s="126"/>
      <c r="C8" s="103"/>
      <c r="D8" s="101"/>
      <c r="E8" s="101"/>
      <c r="F8" s="101"/>
      <c r="G8" s="101"/>
      <c r="I8" s="141"/>
      <c r="J8" s="168"/>
      <c r="K8" s="168"/>
      <c r="L8" s="141"/>
      <c r="M8" s="169"/>
      <c r="N8" s="169"/>
      <c r="O8" s="137"/>
    </row>
    <row r="9" spans="1:15" ht="15" customHeight="1">
      <c r="A9" s="100" t="s">
        <v>69</v>
      </c>
      <c r="B9" s="126"/>
      <c r="C9" s="103">
        <f>'FLUJO FLUJO NOSOTRAS'!E9-'FLUJO ANTERIOR 2 '!E9</f>
        <v>372</v>
      </c>
      <c r="D9" s="103">
        <f>'FLUJO FLUJO NOSOTRAS'!F9-'FLUJO ANTERIOR 2 '!F9</f>
        <v>405.47999999999956</v>
      </c>
      <c r="E9" s="103">
        <f>'FLUJO FLUJO NOSOTRAS'!G9-'FLUJO ANTERIOR 2 '!G9</f>
        <v>441.97320000000036</v>
      </c>
      <c r="F9" s="103">
        <f>'FLUJO FLUJO NOSOTRAS'!H9-'FLUJO ANTERIOR 2 '!H9</f>
        <v>481.75078800000119</v>
      </c>
      <c r="G9" s="103">
        <f>'FLUJO FLUJO NOSOTRAS'!I9-'FLUJO ANTERIOR 2 '!I9</f>
        <v>525.10835892000068</v>
      </c>
      <c r="I9" s="141"/>
      <c r="J9" s="168"/>
      <c r="K9" s="168"/>
      <c r="L9" s="141"/>
      <c r="M9" s="169"/>
      <c r="N9" s="169"/>
      <c r="O9" s="137"/>
    </row>
    <row r="10" spans="1:15" ht="15">
      <c r="A10" s="33" t="s">
        <v>15</v>
      </c>
      <c r="B10" s="126"/>
      <c r="C10" s="114">
        <f>C4-C6-C7-C9</f>
        <v>22111.357699999979</v>
      </c>
      <c r="D10" s="114">
        <f t="shared" ref="D10:G10" si="0">D4-D6-D7-D9</f>
        <v>24101.379892999972</v>
      </c>
      <c r="E10" s="114">
        <f t="shared" si="0"/>
        <v>26270.504083369968</v>
      </c>
      <c r="F10" s="114">
        <f t="shared" si="0"/>
        <v>28634.849450873287</v>
      </c>
      <c r="G10" s="114">
        <f t="shared" si="0"/>
        <v>31211.985901451917</v>
      </c>
      <c r="I10" s="141"/>
      <c r="J10" s="167"/>
      <c r="K10" s="170"/>
      <c r="L10" s="141"/>
      <c r="M10" s="118"/>
      <c r="N10" s="139"/>
      <c r="O10" s="141"/>
    </row>
    <row r="11" spans="1:15" ht="15">
      <c r="A11" s="126" t="s">
        <v>18</v>
      </c>
      <c r="B11" s="171"/>
      <c r="C11" s="103"/>
      <c r="D11" s="101"/>
      <c r="E11" s="101"/>
      <c r="F11" s="101"/>
      <c r="G11" s="101"/>
      <c r="I11" s="141"/>
      <c r="J11" s="167"/>
      <c r="K11" s="172"/>
      <c r="L11" s="141"/>
      <c r="M11" s="118"/>
      <c r="N11" s="139"/>
      <c r="O11" s="141"/>
    </row>
    <row r="12" spans="1:15" ht="15">
      <c r="A12" s="126" t="s">
        <v>23</v>
      </c>
      <c r="B12" s="126"/>
      <c r="C12" s="117">
        <f>'FLUJO FLUJO NOSOTRAS'!E12-'FLUJO ANTERIOR 2 '!E12</f>
        <v>512.14440000000104</v>
      </c>
      <c r="D12" s="117">
        <f>'FLUJO FLUJO NOSOTRAS'!F12-'FLUJO ANTERIOR 2 '!F12</f>
        <v>558.23739600000044</v>
      </c>
      <c r="E12" s="117">
        <f>'FLUJO FLUJO NOSOTRAS'!G12-'FLUJO ANTERIOR 2 '!G12</f>
        <v>608.47876164000081</v>
      </c>
      <c r="F12" s="117">
        <f>'FLUJO FLUJO NOSOTRAS'!H12-'FLUJO ANTERIOR 2 '!H12</f>
        <v>663.24185018760181</v>
      </c>
      <c r="G12" s="117">
        <f>'FLUJO FLUJO NOSOTRAS'!I12-'FLUJO ANTERIOR 2 '!I12</f>
        <v>722.93361670448576</v>
      </c>
      <c r="H12" s="111"/>
      <c r="I12" s="111"/>
      <c r="J12" s="141"/>
      <c r="K12" s="141"/>
      <c r="L12" s="111"/>
      <c r="M12" s="118"/>
      <c r="N12" s="172"/>
      <c r="O12" s="141"/>
    </row>
    <row r="13" spans="1:15" ht="14.25" customHeight="1">
      <c r="A13" s="126" t="s">
        <v>70</v>
      </c>
      <c r="B13" s="126"/>
      <c r="C13" s="103">
        <f>'FLUJO FLUJO NOSOTRAS'!E13-'FLUJO ANTERIOR 2 '!E13</f>
        <v>0</v>
      </c>
      <c r="D13" s="103">
        <f>'FLUJO FLUJO NOSOTRAS'!F13-'FLUJO ANTERIOR 2 '!F13</f>
        <v>0</v>
      </c>
      <c r="E13" s="103">
        <f>'FLUJO FLUJO NOSOTRAS'!G13-'FLUJO ANTERIOR 2 '!G13</f>
        <v>0</v>
      </c>
      <c r="F13" s="103">
        <f>'FLUJO FLUJO NOSOTRAS'!H13-'FLUJO ANTERIOR 2 '!H13</f>
        <v>0</v>
      </c>
      <c r="G13" s="103">
        <f>'FLUJO FLUJO NOSOTRAS'!I13-'FLUJO ANTERIOR 2 '!I13</f>
        <v>0</v>
      </c>
      <c r="H13" s="111"/>
      <c r="I13" s="111"/>
      <c r="J13" s="141"/>
      <c r="K13" s="141"/>
      <c r="L13" s="111"/>
      <c r="M13" s="118"/>
      <c r="N13" s="173"/>
      <c r="O13" s="141"/>
    </row>
    <row r="14" spans="1:15">
      <c r="A14" s="126" t="s">
        <v>71</v>
      </c>
      <c r="B14" s="126"/>
      <c r="C14" s="103">
        <f>'FLUJO FLUJO NOSOTRAS'!E14-'FLUJO ANTERIOR 2 '!E14</f>
        <v>0</v>
      </c>
      <c r="D14" s="103">
        <f>'FLUJO FLUJO NOSOTRAS'!F14-'FLUJO ANTERIOR 2 '!F14</f>
        <v>0</v>
      </c>
      <c r="E14" s="103">
        <f>'FLUJO FLUJO NOSOTRAS'!G14-'FLUJO ANTERIOR 2 '!G14</f>
        <v>0</v>
      </c>
      <c r="F14" s="103">
        <f>'FLUJO FLUJO NOSOTRAS'!H14-'FLUJO ANTERIOR 2 '!H14</f>
        <v>0</v>
      </c>
      <c r="G14" s="103">
        <f>'FLUJO FLUJO NOSOTRAS'!I14-'FLUJO ANTERIOR 2 '!I14</f>
        <v>0</v>
      </c>
      <c r="H14" s="111"/>
      <c r="I14" s="174"/>
      <c r="J14" s="141"/>
      <c r="K14" s="141"/>
      <c r="L14" s="111"/>
      <c r="M14" s="141"/>
      <c r="N14" s="141"/>
      <c r="O14" s="141"/>
    </row>
    <row r="15" spans="1:15">
      <c r="A15" s="126" t="s">
        <v>24</v>
      </c>
      <c r="B15" s="126"/>
      <c r="C15" s="175">
        <f>'FLUJO FLUJO NOSOTRAS'!E15-'FLUJO ANTERIOR 2 '!E15</f>
        <v>9770</v>
      </c>
      <c r="D15" s="175">
        <f>'FLUJO FLUJO NOSOTRAS'!F15-'FLUJO ANTERIOR 2 '!F15</f>
        <v>9770</v>
      </c>
      <c r="E15" s="175">
        <f>'FLUJO FLUJO NOSOTRAS'!G15-'FLUJO ANTERIOR 2 '!G15</f>
        <v>9770</v>
      </c>
      <c r="F15" s="175">
        <f>'FLUJO FLUJO NOSOTRAS'!H15-'FLUJO ANTERIOR 2 '!H15</f>
        <v>9770</v>
      </c>
      <c r="G15" s="175">
        <f>'FLUJO FLUJO NOSOTRAS'!I15-'FLUJO ANTERIOR 2 '!I15</f>
        <v>9770</v>
      </c>
      <c r="H15" s="111"/>
      <c r="I15" s="111"/>
      <c r="J15" s="141"/>
      <c r="K15" s="141"/>
      <c r="L15" s="111"/>
      <c r="M15" s="141"/>
      <c r="N15" s="141"/>
      <c r="O15" s="141"/>
    </row>
    <row r="16" spans="1:15" ht="15">
      <c r="A16" s="33" t="s">
        <v>28</v>
      </c>
      <c r="B16" s="126"/>
      <c r="C16" s="114">
        <f>C10-SUM(C12:C15)</f>
        <v>11829.213299999978</v>
      </c>
      <c r="D16" s="123">
        <f>D10-SUM(D12:D15)</f>
        <v>13773.142496999972</v>
      </c>
      <c r="E16" s="123">
        <f>E10-SUM(E12:E15)</f>
        <v>15892.025321729967</v>
      </c>
      <c r="F16" s="123">
        <f>F10-SUM(F12:F15)</f>
        <v>18201.607600685686</v>
      </c>
      <c r="G16" s="123">
        <f>G10-SUM(G12:G15)</f>
        <v>20719.052284747431</v>
      </c>
      <c r="H16" s="120"/>
      <c r="I16" s="120"/>
      <c r="J16" s="121"/>
      <c r="K16" s="122"/>
      <c r="L16" s="120"/>
      <c r="M16" s="141"/>
      <c r="N16" s="167"/>
      <c r="O16" s="172"/>
    </row>
    <row r="17" spans="1:15" ht="15">
      <c r="A17" s="33" t="s">
        <v>30</v>
      </c>
      <c r="B17" s="126"/>
      <c r="C17" s="117"/>
      <c r="D17" s="117"/>
      <c r="E17" s="117"/>
      <c r="F17" s="117"/>
      <c r="G17" s="117"/>
      <c r="H17" s="10"/>
      <c r="I17" s="120"/>
      <c r="J17" s="141"/>
      <c r="K17" s="141"/>
      <c r="L17" s="120"/>
      <c r="M17" s="141"/>
      <c r="N17" s="167"/>
      <c r="O17" s="176"/>
    </row>
    <row r="18" spans="1:15">
      <c r="A18" s="126" t="s">
        <v>32</v>
      </c>
      <c r="B18" s="146"/>
      <c r="C18" s="124">
        <f>'FLUJO FLUJO NOSOTRAS'!E18-'FLUJO ANTERIOR 2 '!E18</f>
        <v>4139.9999999999991</v>
      </c>
      <c r="D18" s="124">
        <f>'FLUJO FLUJO NOSOTRAS'!F18-'FLUJO ANTERIOR 2 '!F18</f>
        <v>3461.88</v>
      </c>
      <c r="E18" s="124">
        <f>'FLUJO FLUJO NOSOTRAS'!G18-'FLUJO ANTERIOR 2 '!G18</f>
        <v>2715.94</v>
      </c>
      <c r="F18" s="124">
        <f>'FLUJO FLUJO NOSOTRAS'!H18-'FLUJO ANTERIOR 2 '!H18</f>
        <v>1895.42</v>
      </c>
      <c r="G18" s="124">
        <f>'FLUJO FLUJO NOSOTRAS'!I18-'FLUJO ANTERIOR 2 '!I18</f>
        <v>992.83999999999992</v>
      </c>
      <c r="H18" s="10"/>
      <c r="I18" s="111"/>
      <c r="J18" s="111"/>
      <c r="K18" s="111"/>
      <c r="L18" s="111"/>
      <c r="M18" s="141"/>
      <c r="N18" s="141"/>
      <c r="O18" s="141"/>
    </row>
    <row r="19" spans="1:15" ht="15">
      <c r="A19" s="33" t="s">
        <v>33</v>
      </c>
      <c r="B19" s="177"/>
      <c r="C19" s="125">
        <f>C16-C18</f>
        <v>7689.2132999999785</v>
      </c>
      <c r="D19" s="125">
        <f t="shared" ref="D19:G19" si="1">D16-D18</f>
        <v>10311.262496999971</v>
      </c>
      <c r="E19" s="125">
        <f t="shared" si="1"/>
        <v>13176.085321729966</v>
      </c>
      <c r="F19" s="125">
        <f t="shared" si="1"/>
        <v>16306.187600685686</v>
      </c>
      <c r="G19" s="125">
        <f t="shared" si="1"/>
        <v>19726.212284747431</v>
      </c>
      <c r="H19" s="10"/>
      <c r="I19" s="141"/>
      <c r="J19" s="141"/>
      <c r="K19" s="139"/>
      <c r="L19" s="141"/>
      <c r="M19" s="141"/>
      <c r="N19" s="141"/>
      <c r="O19" s="141"/>
    </row>
    <row r="20" spans="1:15">
      <c r="A20" s="126" t="s">
        <v>34</v>
      </c>
      <c r="B20" s="126"/>
      <c r="C20" s="117">
        <f>C19*0.15</f>
        <v>1153.3819949999968</v>
      </c>
      <c r="D20" s="117">
        <f t="shared" ref="D20:G20" si="2">D19*0.15</f>
        <v>1546.6893745499956</v>
      </c>
      <c r="E20" s="117">
        <f t="shared" si="2"/>
        <v>1976.4127982594948</v>
      </c>
      <c r="F20" s="117">
        <f t="shared" si="2"/>
        <v>2445.9281401028529</v>
      </c>
      <c r="G20" s="117">
        <f t="shared" si="2"/>
        <v>2958.9318427121148</v>
      </c>
      <c r="H20" s="10"/>
      <c r="I20" s="141"/>
      <c r="J20" s="141"/>
      <c r="K20" s="141"/>
      <c r="L20" s="141"/>
      <c r="M20" s="141"/>
      <c r="N20" s="141"/>
      <c r="O20" s="141"/>
    </row>
    <row r="21" spans="1:15" ht="15">
      <c r="A21" s="11" t="s">
        <v>35</v>
      </c>
      <c r="B21" s="126"/>
      <c r="C21" s="125">
        <f>C19-C20</f>
        <v>6535.8313049999815</v>
      </c>
      <c r="D21" s="125">
        <f t="shared" ref="D21:G21" si="3">D19-D20</f>
        <v>8764.5731224499759</v>
      </c>
      <c r="E21" s="125">
        <f t="shared" si="3"/>
        <v>11199.672523470472</v>
      </c>
      <c r="F21" s="125">
        <f t="shared" si="3"/>
        <v>13860.259460582833</v>
      </c>
      <c r="G21" s="125">
        <f t="shared" si="3"/>
        <v>16767.280442035317</v>
      </c>
      <c r="I21" s="141"/>
      <c r="J21" s="141"/>
      <c r="K21" s="141"/>
      <c r="L21" s="141"/>
      <c r="M21" s="141"/>
      <c r="N21" s="141"/>
      <c r="O21" s="141"/>
    </row>
    <row r="22" spans="1:15" ht="15">
      <c r="A22" s="126" t="s">
        <v>36</v>
      </c>
      <c r="B22" s="126"/>
      <c r="C22" s="117">
        <f>C21*0.23</f>
        <v>1503.2412001499958</v>
      </c>
      <c r="D22" s="117">
        <f>D21*0.23</f>
        <v>2015.8518181634945</v>
      </c>
      <c r="E22" s="117">
        <f>E21*0.23</f>
        <v>2575.9246803982087</v>
      </c>
      <c r="F22" s="117">
        <f>F21*0.23</f>
        <v>3187.8596759340517</v>
      </c>
      <c r="G22" s="117">
        <f>G21*0.23</f>
        <v>3856.4745016681231</v>
      </c>
      <c r="I22" s="141"/>
      <c r="J22" s="167"/>
      <c r="K22" s="167"/>
      <c r="L22" s="141"/>
      <c r="M22" s="141"/>
      <c r="N22" s="141"/>
      <c r="O22" s="141"/>
    </row>
    <row r="23" spans="1:15" ht="15">
      <c r="A23" s="33" t="s">
        <v>37</v>
      </c>
      <c r="B23" s="126"/>
      <c r="C23" s="125">
        <f>C21-C22</f>
        <v>5032.5901048499854</v>
      </c>
      <c r="D23" s="125">
        <f>D21-D22</f>
        <v>6748.7213042864814</v>
      </c>
      <c r="E23" s="125">
        <f>E21-E22</f>
        <v>8623.7478430722622</v>
      </c>
      <c r="F23" s="125">
        <f>F21-F22</f>
        <v>10672.39978464878</v>
      </c>
      <c r="G23" s="125">
        <f>G21-G22</f>
        <v>12910.805940367194</v>
      </c>
    </row>
    <row r="24" spans="1:15">
      <c r="A24" s="12" t="s">
        <v>38</v>
      </c>
      <c r="B24" s="13"/>
      <c r="C24" s="14"/>
      <c r="D24" s="14"/>
      <c r="E24" s="14"/>
      <c r="F24" s="14"/>
      <c r="G24" s="14"/>
    </row>
    <row r="25" spans="1:15">
      <c r="A25" s="12" t="s">
        <v>39</v>
      </c>
      <c r="B25" s="13"/>
      <c r="C25" s="32">
        <f>'FLUJO FLUJO NOSOTRAS'!E25-'FLUJO ANTERIOR 2 '!E25</f>
        <v>9770</v>
      </c>
      <c r="D25" s="32">
        <f>'FLUJO FLUJO NOSOTRAS'!F25-'FLUJO ANTERIOR 2 '!F25</f>
        <v>9770</v>
      </c>
      <c r="E25" s="32">
        <f>'FLUJO FLUJO NOSOTRAS'!G25-'FLUJO ANTERIOR 2 '!G25</f>
        <v>9770</v>
      </c>
      <c r="F25" s="32">
        <f>'FLUJO FLUJO NOSOTRAS'!H25-'FLUJO ANTERIOR 2 '!H25</f>
        <v>9770</v>
      </c>
      <c r="G25" s="32">
        <f>'FLUJO FLUJO NOSOTRAS'!I25-'FLUJO ANTERIOR 2 '!I25</f>
        <v>9770</v>
      </c>
    </row>
    <row r="26" spans="1:15">
      <c r="A26" s="12" t="s">
        <v>40</v>
      </c>
      <c r="B26" s="117">
        <f>'FLUJO FLUJO NOSOTRAS'!D26-'FLUJO ANTERIOR 2 '!D26</f>
        <v>-69000</v>
      </c>
      <c r="C26" s="126"/>
      <c r="D26" s="126"/>
      <c r="E26" s="126"/>
      <c r="F26" s="126"/>
      <c r="G26" s="126"/>
    </row>
    <row r="27" spans="1:15">
      <c r="A27" s="12" t="s">
        <v>41</v>
      </c>
      <c r="B27" s="117">
        <f>'FLUJO FLUJO NOSOTRAS'!D27-'FLUJO ANTERIOR 2 '!D27</f>
        <v>41400</v>
      </c>
      <c r="C27" s="126"/>
      <c r="D27" s="126"/>
      <c r="E27" s="126"/>
      <c r="F27" s="126"/>
      <c r="G27" s="126"/>
    </row>
    <row r="28" spans="1:15">
      <c r="A28" s="12" t="s">
        <v>42</v>
      </c>
      <c r="B28" s="126"/>
      <c r="C28" s="124">
        <f>'FLUJO FLUJO NOSOTRAS'!E28-'FLUJO ANTERIOR 2 '!E28</f>
        <v>-10921.220000000001</v>
      </c>
      <c r="D28" s="124">
        <f>'FLUJO FLUJO NOSOTRAS'!F28-'FLUJO ANTERIOR 2 '!F28</f>
        <v>-10921.220000000001</v>
      </c>
      <c r="E28" s="124">
        <f>'FLUJO FLUJO NOSOTRAS'!G28-'FLUJO ANTERIOR 2 '!G28</f>
        <v>-10921.220000000001</v>
      </c>
      <c r="F28" s="124">
        <f>'FLUJO FLUJO NOSOTRAS'!H28-'FLUJO ANTERIOR 2 '!H28</f>
        <v>-10921.220000000001</v>
      </c>
      <c r="G28" s="124">
        <f>'FLUJO FLUJO NOSOTRAS'!I28-'FLUJO ANTERIOR 2 '!I28</f>
        <v>-10921.220000000001</v>
      </c>
    </row>
    <row r="29" spans="1:15">
      <c r="A29" s="12" t="s">
        <v>43</v>
      </c>
      <c r="B29" s="117">
        <f>'FLUJO FLUJO NOSOTRAS'!D29-'FLUJO ANTERIOR 2 '!D29</f>
        <v>0</v>
      </c>
      <c r="C29" s="126"/>
      <c r="D29" s="126"/>
      <c r="E29" s="126"/>
      <c r="F29" s="126"/>
      <c r="G29" s="126"/>
    </row>
    <row r="30" spans="1:15">
      <c r="A30" s="12" t="s">
        <v>44</v>
      </c>
      <c r="B30" s="126"/>
      <c r="C30" s="126"/>
      <c r="D30" s="126"/>
      <c r="E30" s="126"/>
      <c r="F30" s="126"/>
      <c r="G30" s="117">
        <f>'FLUJO FLUJO NOSOTRAS'!I30-'FLUJO ANTERIOR 2 '!I30</f>
        <v>0</v>
      </c>
    </row>
    <row r="31" spans="1:15">
      <c r="A31" s="12" t="s">
        <v>45</v>
      </c>
      <c r="B31" s="126"/>
      <c r="C31" s="126"/>
      <c r="D31" s="126"/>
      <c r="E31" s="126"/>
      <c r="F31" s="126"/>
      <c r="G31" s="145">
        <f>'FLUJO FLUJO NOSOTRAS'!I31-'FLUJO ANTERIOR 2 '!I31</f>
        <v>16950</v>
      </c>
      <c r="H31" s="146"/>
      <c r="I31" s="146"/>
      <c r="J31" s="146"/>
      <c r="K31" s="146"/>
      <c r="L31" s="146"/>
    </row>
    <row r="32" spans="1:15" ht="15">
      <c r="A32" s="16" t="s">
        <v>46</v>
      </c>
      <c r="B32" s="127">
        <f>SUM(B26:B31)</f>
        <v>-27600</v>
      </c>
      <c r="C32" s="127">
        <f>SUM(C23:C31)</f>
        <v>3881.3701048499843</v>
      </c>
      <c r="D32" s="127">
        <f t="shared" ref="D32:F32" si="4">SUM(D23:D31)</f>
        <v>5597.5013042864812</v>
      </c>
      <c r="E32" s="127">
        <f>SUM(E23:E31)</f>
        <v>7472.527843072261</v>
      </c>
      <c r="F32" s="127">
        <f t="shared" si="4"/>
        <v>9521.1797846487789</v>
      </c>
      <c r="G32" s="127">
        <f>SUM(G23:G31)</f>
        <v>28709.585940367193</v>
      </c>
    </row>
    <row r="33" spans="1:7">
      <c r="B33" s="128"/>
      <c r="C33" s="128"/>
      <c r="D33" s="128"/>
      <c r="E33" s="128"/>
      <c r="F33" s="128"/>
      <c r="G33" s="128"/>
    </row>
    <row r="35" spans="1:7" ht="15">
      <c r="A35" s="177" t="s">
        <v>47</v>
      </c>
      <c r="B35" s="117">
        <f>NPV(K16,C32:G32)+B32</f>
        <v>27582.164977224704</v>
      </c>
      <c r="E35" s="98"/>
    </row>
    <row r="36" spans="1:7" ht="15">
      <c r="A36" s="177" t="s">
        <v>48</v>
      </c>
      <c r="B36" s="181">
        <f>IRR(B32:G32)</f>
        <v>0.19970468252190682</v>
      </c>
    </row>
    <row r="37" spans="1:7" ht="15">
      <c r="A37" s="177" t="s">
        <v>60</v>
      </c>
      <c r="B37" s="181">
        <v>0.1678</v>
      </c>
    </row>
    <row r="38" spans="1:7">
      <c r="A38" s="120"/>
      <c r="B38" s="120"/>
      <c r="C38" s="120"/>
      <c r="D38" s="120"/>
      <c r="E38" s="120"/>
      <c r="F38" s="120"/>
      <c r="G38" s="120"/>
    </row>
    <row r="39" spans="1:7">
      <c r="A39" s="52"/>
      <c r="B39" s="129"/>
      <c r="C39" s="129"/>
      <c r="D39" s="129"/>
      <c r="E39" s="129"/>
      <c r="F39" s="129"/>
      <c r="G39" s="129"/>
    </row>
    <row r="40" spans="1:7" ht="15">
      <c r="A40" s="52"/>
      <c r="B40" s="178"/>
      <c r="C40" s="178"/>
      <c r="D40" s="178"/>
      <c r="E40" s="178"/>
      <c r="F40" s="178"/>
      <c r="G40" s="178"/>
    </row>
    <row r="41" spans="1:7" ht="15">
      <c r="A41" s="52"/>
      <c r="B41" s="179"/>
      <c r="C41" s="179"/>
      <c r="D41" s="179"/>
      <c r="E41" s="179"/>
      <c r="F41" s="179"/>
      <c r="G41" s="179"/>
    </row>
    <row r="42" spans="1:7">
      <c r="A42" s="120"/>
      <c r="B42" s="180"/>
      <c r="C42" s="180"/>
      <c r="D42" s="180"/>
      <c r="E42" s="180"/>
      <c r="F42" s="180"/>
      <c r="G42" s="180"/>
    </row>
    <row r="43" spans="1:7" ht="15">
      <c r="A43" s="120"/>
      <c r="B43" s="120"/>
      <c r="C43" s="120"/>
      <c r="D43" s="121"/>
      <c r="E43" s="129"/>
      <c r="F43" s="120"/>
      <c r="G43" s="120"/>
    </row>
    <row r="45" spans="1:7">
      <c r="B45" s="98"/>
    </row>
  </sheetData>
  <mergeCells count="3">
    <mergeCell ref="J5:K5"/>
    <mergeCell ref="M5:N5"/>
    <mergeCell ref="A1:G1"/>
  </mergeCells>
  <pageMargins left="0" right="0" top="0.35433070866141736" bottom="0.35433070866141736" header="0.31496062992125984" footer="0.31496062992125984"/>
  <pageSetup paperSize="9" scale="85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E11" sqref="E11"/>
    </sheetView>
  </sheetViews>
  <sheetFormatPr baseColWidth="10" defaultColWidth="28.140625" defaultRowHeight="15"/>
  <cols>
    <col min="1" max="16384" width="28.140625" style="185"/>
  </cols>
  <sheetData>
    <row r="2" spans="1:6" ht="15.75">
      <c r="A2" s="262" t="s">
        <v>49</v>
      </c>
      <c r="B2" s="262"/>
      <c r="C2" s="262"/>
      <c r="D2" s="262"/>
      <c r="E2" s="262"/>
    </row>
    <row r="3" spans="1:6" ht="15.75">
      <c r="A3" s="186"/>
      <c r="B3" s="186"/>
      <c r="C3" s="186"/>
      <c r="D3" s="186"/>
      <c r="E3" s="186"/>
    </row>
    <row r="4" spans="1:6" ht="15.75">
      <c r="A4" s="187" t="s">
        <v>60</v>
      </c>
      <c r="E4" s="188">
        <v>0.1678</v>
      </c>
    </row>
    <row r="5" spans="1:6" ht="15.75">
      <c r="A5" s="187"/>
      <c r="E5" s="188"/>
    </row>
    <row r="6" spans="1:6" ht="15.75">
      <c r="A6" s="189" t="s">
        <v>61</v>
      </c>
      <c r="B6" s="189" t="s">
        <v>62</v>
      </c>
      <c r="C6" s="189" t="s">
        <v>63</v>
      </c>
      <c r="D6" s="189" t="s">
        <v>64</v>
      </c>
      <c r="E6" s="189" t="s">
        <v>65</v>
      </c>
      <c r="F6" s="190"/>
    </row>
    <row r="7" spans="1:6">
      <c r="A7" s="191">
        <v>1</v>
      </c>
      <c r="B7" s="192">
        <f>-'FLUJO INCREMENTAL FINAL'!B32</f>
        <v>27600</v>
      </c>
      <c r="C7" s="192">
        <f>'FLUJO INCREMENTAL FINAL'!C32</f>
        <v>3881.3701048499843</v>
      </c>
      <c r="D7" s="192">
        <f>B7*E4</f>
        <v>4631.28</v>
      </c>
      <c r="E7" s="192">
        <f>C7-D7</f>
        <v>-749.90989515001547</v>
      </c>
      <c r="F7" s="193"/>
    </row>
    <row r="8" spans="1:6">
      <c r="A8" s="191">
        <v>2</v>
      </c>
      <c r="B8" s="192">
        <f>B7-E7</f>
        <v>28349.909895150016</v>
      </c>
      <c r="C8" s="192">
        <f>'FLUJO INCREMENTAL FINAL'!D32</f>
        <v>5597.5013042864812</v>
      </c>
      <c r="D8" s="192">
        <f>B8*E4</f>
        <v>4757.1148804061731</v>
      </c>
      <c r="E8" s="192">
        <f t="shared" ref="E8:E10" si="0">C8-D8</f>
        <v>840.38642388030803</v>
      </c>
      <c r="F8" s="193"/>
    </row>
    <row r="9" spans="1:6">
      <c r="A9" s="191">
        <v>3</v>
      </c>
      <c r="B9" s="192">
        <f>B8-E8</f>
        <v>27509.523471269709</v>
      </c>
      <c r="C9" s="192">
        <f>'FLUJO INCREMENTAL FINAL'!E32</f>
        <v>7472.527843072261</v>
      </c>
      <c r="D9" s="192">
        <f>B9*E4</f>
        <v>4616.0980384790573</v>
      </c>
      <c r="E9" s="192">
        <f t="shared" si="0"/>
        <v>2856.4298045932037</v>
      </c>
      <c r="F9" s="193"/>
    </row>
    <row r="10" spans="1:6">
      <c r="A10" s="191">
        <v>4</v>
      </c>
      <c r="B10" s="192">
        <f t="shared" ref="B10:B11" si="1">B9-E9</f>
        <v>24653.093666676505</v>
      </c>
      <c r="C10" s="192">
        <f>'FLUJO INCREMENTAL FINAL'!F32</f>
        <v>9521.1797846487789</v>
      </c>
      <c r="D10" s="192">
        <f>B10*E4</f>
        <v>4136.7891172683176</v>
      </c>
      <c r="E10" s="192">
        <f t="shared" si="0"/>
        <v>5384.3906673804613</v>
      </c>
      <c r="F10" s="193"/>
    </row>
    <row r="11" spans="1:6">
      <c r="A11" s="191">
        <v>5</v>
      </c>
      <c r="B11" s="192">
        <f t="shared" si="1"/>
        <v>19268.702999296045</v>
      </c>
      <c r="C11" s="192">
        <f>'FLUJO INCREMENTAL FINAL'!G32</f>
        <v>28709.585940367193</v>
      </c>
      <c r="D11" s="192">
        <f>B11*E4</f>
        <v>3233.2883632818766</v>
      </c>
      <c r="E11" s="192">
        <f>C11-D11</f>
        <v>25476.297577085315</v>
      </c>
      <c r="F11" s="193"/>
    </row>
    <row r="13" spans="1:6">
      <c r="A13" s="185" t="s">
        <v>144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M38"/>
  <sheetViews>
    <sheetView workbookViewId="0">
      <selection activeCell="B3" sqref="B3"/>
    </sheetView>
  </sheetViews>
  <sheetFormatPr baseColWidth="10" defaultRowHeight="14.25"/>
  <cols>
    <col min="1" max="1" width="11.42578125" style="97"/>
    <col min="2" max="2" width="25" style="97" bestFit="1" customWidth="1"/>
    <col min="3" max="3" width="10.140625" style="97" bestFit="1" customWidth="1"/>
    <col min="4" max="4" width="11.85546875" style="97" bestFit="1" customWidth="1"/>
    <col min="5" max="5" width="10.7109375" style="97" bestFit="1" customWidth="1"/>
    <col min="6" max="6" width="11.85546875" style="97" bestFit="1" customWidth="1"/>
    <col min="7" max="7" width="10.42578125" style="97" bestFit="1" customWidth="1"/>
    <col min="8" max="8" width="12.140625" style="97" bestFit="1" customWidth="1"/>
    <col min="9" max="9" width="10.85546875" style="97" bestFit="1" customWidth="1"/>
    <col min="10" max="11" width="12.140625" style="97" bestFit="1" customWidth="1"/>
    <col min="12" max="12" width="11.42578125" style="97" bestFit="1" customWidth="1"/>
    <col min="13" max="13" width="11.85546875" style="97" bestFit="1" customWidth="1"/>
    <col min="14" max="16384" width="11.42578125" style="97"/>
  </cols>
  <sheetData>
    <row r="2" spans="2:13" ht="15">
      <c r="B2" s="99" t="s">
        <v>75</v>
      </c>
    </row>
    <row r="3" spans="2:13" ht="45">
      <c r="B3" s="194" t="s">
        <v>76</v>
      </c>
      <c r="C3" s="194" t="s">
        <v>77</v>
      </c>
      <c r="D3" s="195" t="s">
        <v>78</v>
      </c>
      <c r="E3" s="194" t="s">
        <v>79</v>
      </c>
      <c r="F3" s="194" t="s">
        <v>80</v>
      </c>
      <c r="G3" s="196" t="s">
        <v>81</v>
      </c>
      <c r="H3" s="196" t="s">
        <v>82</v>
      </c>
      <c r="I3" s="196" t="s">
        <v>83</v>
      </c>
      <c r="J3" s="196" t="s">
        <v>84</v>
      </c>
      <c r="K3" s="196" t="s">
        <v>85</v>
      </c>
      <c r="L3" s="196" t="s">
        <v>86</v>
      </c>
    </row>
    <row r="4" spans="2:13">
      <c r="B4" s="100" t="s">
        <v>87</v>
      </c>
      <c r="C4" s="100">
        <v>1</v>
      </c>
      <c r="D4" s="197">
        <v>1000</v>
      </c>
      <c r="E4" s="197">
        <f>D4*C4</f>
        <v>1000</v>
      </c>
      <c r="F4" s="197">
        <f>E4*12</f>
        <v>12000</v>
      </c>
      <c r="G4" s="198">
        <f>(292/12)</f>
        <v>24.333333333333332</v>
      </c>
      <c r="H4" s="198">
        <f>(D4/12)*12</f>
        <v>1000</v>
      </c>
      <c r="I4" s="198">
        <f>(D4/12)</f>
        <v>83.333333333333329</v>
      </c>
      <c r="J4" s="199">
        <f>I4*11</f>
        <v>916.66666666666663</v>
      </c>
      <c r="K4" s="198">
        <f>(D4*11.15%)*12</f>
        <v>1338</v>
      </c>
      <c r="L4" s="200">
        <f>E4*9.35%*12</f>
        <v>1122</v>
      </c>
    </row>
    <row r="5" spans="2:13">
      <c r="B5" s="100" t="s">
        <v>88</v>
      </c>
      <c r="C5" s="100">
        <v>1</v>
      </c>
      <c r="D5" s="197">
        <v>1000</v>
      </c>
      <c r="E5" s="197">
        <f t="shared" ref="E5:E11" si="0">D5*C5</f>
        <v>1000</v>
      </c>
      <c r="F5" s="197">
        <f t="shared" ref="F5:F11" si="1">E5*12</f>
        <v>12000</v>
      </c>
      <c r="G5" s="198">
        <f t="shared" ref="G5:G11" si="2">(292/12)</f>
        <v>24.333333333333332</v>
      </c>
      <c r="H5" s="198">
        <f t="shared" ref="H5:H11" si="3">(D5/12)*12</f>
        <v>1000</v>
      </c>
      <c r="I5" s="198">
        <f t="shared" ref="I5:I11" si="4">(D5/12)</f>
        <v>83.333333333333329</v>
      </c>
      <c r="J5" s="199">
        <f t="shared" ref="J5:J11" si="5">I5*11</f>
        <v>916.66666666666663</v>
      </c>
      <c r="K5" s="198">
        <f t="shared" ref="K5:K11" si="6">(D5*11.15%)*12</f>
        <v>1338</v>
      </c>
      <c r="L5" s="200">
        <f t="shared" ref="L5:L11" si="7">E5*9.35%*12</f>
        <v>1122</v>
      </c>
    </row>
    <row r="6" spans="2:13">
      <c r="B6" s="100" t="s">
        <v>89</v>
      </c>
      <c r="C6" s="100">
        <v>1</v>
      </c>
      <c r="D6" s="197">
        <v>292</v>
      </c>
      <c r="E6" s="197">
        <f t="shared" si="0"/>
        <v>292</v>
      </c>
      <c r="F6" s="197">
        <f t="shared" si="1"/>
        <v>3504</v>
      </c>
      <c r="G6" s="198">
        <f t="shared" si="2"/>
        <v>24.333333333333332</v>
      </c>
      <c r="H6" s="198">
        <f t="shared" si="3"/>
        <v>292</v>
      </c>
      <c r="I6" s="198">
        <f t="shared" si="4"/>
        <v>24.333333333333332</v>
      </c>
      <c r="J6" s="199">
        <f>I6*11</f>
        <v>267.66666666666663</v>
      </c>
      <c r="K6" s="198">
        <f t="shared" si="6"/>
        <v>390.69600000000003</v>
      </c>
      <c r="L6" s="200">
        <f t="shared" si="7"/>
        <v>327.62400000000002</v>
      </c>
    </row>
    <row r="7" spans="2:13">
      <c r="B7" s="100" t="s">
        <v>90</v>
      </c>
      <c r="C7" s="100">
        <v>1</v>
      </c>
      <c r="D7" s="197">
        <v>292</v>
      </c>
      <c r="E7" s="197">
        <f t="shared" si="0"/>
        <v>292</v>
      </c>
      <c r="F7" s="197">
        <f t="shared" si="1"/>
        <v>3504</v>
      </c>
      <c r="G7" s="198">
        <f t="shared" si="2"/>
        <v>24.333333333333332</v>
      </c>
      <c r="H7" s="198">
        <f t="shared" si="3"/>
        <v>292</v>
      </c>
      <c r="I7" s="198">
        <f t="shared" si="4"/>
        <v>24.333333333333332</v>
      </c>
      <c r="J7" s="199">
        <f t="shared" si="5"/>
        <v>267.66666666666663</v>
      </c>
      <c r="K7" s="198">
        <f t="shared" si="6"/>
        <v>390.69600000000003</v>
      </c>
      <c r="L7" s="200">
        <f t="shared" si="7"/>
        <v>327.62400000000002</v>
      </c>
    </row>
    <row r="8" spans="2:13">
      <c r="B8" s="100" t="s">
        <v>91</v>
      </c>
      <c r="C8" s="100">
        <v>2</v>
      </c>
      <c r="D8" s="197">
        <v>292</v>
      </c>
      <c r="E8" s="197">
        <f t="shared" si="0"/>
        <v>584</v>
      </c>
      <c r="F8" s="197">
        <f t="shared" si="1"/>
        <v>7008</v>
      </c>
      <c r="G8" s="198">
        <f t="shared" si="2"/>
        <v>24.333333333333332</v>
      </c>
      <c r="H8" s="198">
        <f t="shared" si="3"/>
        <v>292</v>
      </c>
      <c r="I8" s="198">
        <f t="shared" si="4"/>
        <v>24.333333333333332</v>
      </c>
      <c r="J8" s="199">
        <f t="shared" si="5"/>
        <v>267.66666666666663</v>
      </c>
      <c r="K8" s="198">
        <f t="shared" si="6"/>
        <v>390.69600000000003</v>
      </c>
      <c r="L8" s="200">
        <f t="shared" si="7"/>
        <v>655.24800000000005</v>
      </c>
    </row>
    <row r="9" spans="2:13">
      <c r="B9" s="100" t="s">
        <v>92</v>
      </c>
      <c r="C9" s="100">
        <v>6</v>
      </c>
      <c r="D9" s="197">
        <v>300</v>
      </c>
      <c r="E9" s="197">
        <f t="shared" si="0"/>
        <v>1800</v>
      </c>
      <c r="F9" s="197">
        <f t="shared" si="1"/>
        <v>21600</v>
      </c>
      <c r="G9" s="198">
        <f t="shared" si="2"/>
        <v>24.333333333333332</v>
      </c>
      <c r="H9" s="198">
        <f t="shared" si="3"/>
        <v>300</v>
      </c>
      <c r="I9" s="198">
        <f t="shared" si="4"/>
        <v>25</v>
      </c>
      <c r="J9" s="199">
        <f t="shared" si="5"/>
        <v>275</v>
      </c>
      <c r="K9" s="198">
        <f t="shared" si="6"/>
        <v>401.40000000000003</v>
      </c>
      <c r="L9" s="200">
        <f t="shared" si="7"/>
        <v>2019.6000000000001</v>
      </c>
    </row>
    <row r="10" spans="2:13">
      <c r="B10" s="100" t="s">
        <v>93</v>
      </c>
      <c r="C10" s="100">
        <v>1</v>
      </c>
      <c r="D10" s="197">
        <v>292</v>
      </c>
      <c r="E10" s="197">
        <f t="shared" si="0"/>
        <v>292</v>
      </c>
      <c r="F10" s="197">
        <f t="shared" si="1"/>
        <v>3504</v>
      </c>
      <c r="G10" s="198">
        <f t="shared" si="2"/>
        <v>24.333333333333332</v>
      </c>
      <c r="H10" s="198">
        <f t="shared" si="3"/>
        <v>292</v>
      </c>
      <c r="I10" s="198">
        <f t="shared" si="4"/>
        <v>24.333333333333332</v>
      </c>
      <c r="J10" s="199">
        <f t="shared" si="5"/>
        <v>267.66666666666663</v>
      </c>
      <c r="K10" s="198">
        <f t="shared" si="6"/>
        <v>390.69600000000003</v>
      </c>
      <c r="L10" s="200">
        <f t="shared" si="7"/>
        <v>327.62400000000002</v>
      </c>
    </row>
    <row r="11" spans="2:13" ht="15" thickBot="1">
      <c r="B11" s="100" t="s">
        <v>94</v>
      </c>
      <c r="C11" s="100">
        <v>1</v>
      </c>
      <c r="D11" s="197">
        <v>292</v>
      </c>
      <c r="E11" s="197">
        <f t="shared" si="0"/>
        <v>292</v>
      </c>
      <c r="F11" s="197">
        <f t="shared" si="1"/>
        <v>3504</v>
      </c>
      <c r="G11" s="198">
        <f t="shared" si="2"/>
        <v>24.333333333333332</v>
      </c>
      <c r="H11" s="198">
        <f t="shared" si="3"/>
        <v>292</v>
      </c>
      <c r="I11" s="198">
        <f t="shared" si="4"/>
        <v>24.333333333333332</v>
      </c>
      <c r="J11" s="199">
        <f t="shared" si="5"/>
        <v>267.66666666666663</v>
      </c>
      <c r="K11" s="198">
        <f t="shared" si="6"/>
        <v>390.69600000000003</v>
      </c>
      <c r="L11" s="200">
        <f t="shared" si="7"/>
        <v>327.62400000000002</v>
      </c>
    </row>
    <row r="12" spans="2:13" ht="15.75" thickBot="1">
      <c r="B12" s="201" t="s">
        <v>95</v>
      </c>
      <c r="C12" s="202"/>
      <c r="D12" s="203">
        <f t="shared" ref="D12:L12" si="8">SUM(D4:D11)</f>
        <v>3760</v>
      </c>
      <c r="E12" s="203">
        <f t="shared" si="8"/>
        <v>5552</v>
      </c>
      <c r="F12" s="204">
        <f t="shared" si="8"/>
        <v>66624</v>
      </c>
      <c r="G12" s="205">
        <f t="shared" si="8"/>
        <v>194.66666666666669</v>
      </c>
      <c r="H12" s="205">
        <f t="shared" si="8"/>
        <v>3760</v>
      </c>
      <c r="I12" s="205">
        <f t="shared" si="8"/>
        <v>313.33333333333331</v>
      </c>
      <c r="J12" s="205">
        <f t="shared" si="8"/>
        <v>3446.6666666666661</v>
      </c>
      <c r="K12" s="205">
        <f t="shared" si="8"/>
        <v>5030.8799999999992</v>
      </c>
      <c r="L12" s="206">
        <f t="shared" si="8"/>
        <v>6229.3439999999991</v>
      </c>
      <c r="M12" s="207">
        <f>F12+J12+K12</f>
        <v>75101.546666666676</v>
      </c>
    </row>
    <row r="13" spans="2:13">
      <c r="E13" s="208"/>
      <c r="G13" s="209"/>
      <c r="H13" s="209"/>
      <c r="I13" s="209"/>
      <c r="J13" s="210"/>
      <c r="K13" s="209"/>
      <c r="L13" s="211"/>
    </row>
    <row r="14" spans="2:13">
      <c r="G14" s="209"/>
      <c r="H14" s="209"/>
      <c r="I14" s="209"/>
      <c r="J14" s="210"/>
      <c r="K14" s="209"/>
      <c r="L14" s="211"/>
    </row>
    <row r="15" spans="2:13" ht="15">
      <c r="B15" s="228" t="s">
        <v>96</v>
      </c>
      <c r="C15" s="182" t="s">
        <v>97</v>
      </c>
      <c r="D15" s="182" t="s">
        <v>80</v>
      </c>
      <c r="G15" s="209"/>
      <c r="H15" s="212"/>
      <c r="I15" s="209"/>
      <c r="J15" s="210"/>
      <c r="K15" s="212"/>
      <c r="L15" s="211"/>
    </row>
    <row r="16" spans="2:13" ht="15">
      <c r="B16" s="126" t="s">
        <v>98</v>
      </c>
      <c r="C16" s="213">
        <v>545</v>
      </c>
      <c r="D16" s="213">
        <f>C16*12</f>
        <v>6540</v>
      </c>
      <c r="G16" s="209"/>
      <c r="H16" s="212"/>
      <c r="I16" s="209"/>
      <c r="J16" s="210"/>
      <c r="K16" s="209"/>
      <c r="L16" s="211"/>
    </row>
    <row r="17" spans="2:12">
      <c r="B17" s="126" t="s">
        <v>99</v>
      </c>
      <c r="C17" s="213">
        <v>100</v>
      </c>
      <c r="D17" s="213">
        <f t="shared" ref="D17:D18" si="9">C17*12</f>
        <v>1200</v>
      </c>
      <c r="G17" s="209"/>
      <c r="H17" s="209"/>
      <c r="I17" s="209"/>
      <c r="J17" s="210"/>
      <c r="K17" s="209"/>
      <c r="L17" s="211"/>
    </row>
    <row r="18" spans="2:12">
      <c r="B18" s="126" t="s">
        <v>100</v>
      </c>
      <c r="C18" s="213">
        <v>130</v>
      </c>
      <c r="D18" s="213">
        <f t="shared" si="9"/>
        <v>1560</v>
      </c>
      <c r="G18" s="209"/>
      <c r="H18" s="209"/>
      <c r="I18" s="209"/>
      <c r="J18" s="210"/>
      <c r="K18" s="209"/>
      <c r="L18" s="211"/>
    </row>
    <row r="19" spans="2:12" ht="15">
      <c r="B19" s="263" t="s">
        <v>101</v>
      </c>
      <c r="C19" s="263"/>
      <c r="D19" s="213">
        <f>SUM(D16:D18)</f>
        <v>9300</v>
      </c>
      <c r="G19" s="209"/>
      <c r="H19" s="209"/>
      <c r="I19" s="209"/>
      <c r="J19" s="210"/>
      <c r="K19" s="209"/>
      <c r="L19" s="211"/>
    </row>
    <row r="20" spans="2:12" ht="15">
      <c r="B20" s="183"/>
      <c r="C20" s="183"/>
      <c r="D20" s="214"/>
      <c r="G20" s="209"/>
      <c r="H20" s="209"/>
      <c r="I20" s="209"/>
      <c r="J20" s="210"/>
      <c r="K20" s="209"/>
      <c r="L20" s="211"/>
    </row>
    <row r="21" spans="2:12" ht="15">
      <c r="B21" s="183"/>
      <c r="C21" s="183"/>
      <c r="D21" s="214"/>
      <c r="G21" s="209"/>
      <c r="H21" s="209"/>
      <c r="I21" s="209"/>
      <c r="J21" s="210"/>
      <c r="K21" s="209"/>
      <c r="L21" s="211"/>
    </row>
    <row r="22" spans="2:12" ht="15">
      <c r="B22" s="146"/>
      <c r="C22" s="227" t="s">
        <v>79</v>
      </c>
      <c r="D22" s="227" t="s">
        <v>80</v>
      </c>
      <c r="G22" s="212"/>
      <c r="H22" s="212"/>
      <c r="I22" s="215"/>
      <c r="J22" s="215"/>
      <c r="K22" s="212"/>
      <c r="L22" s="216"/>
    </row>
    <row r="23" spans="2:12" ht="15">
      <c r="B23" s="177" t="s">
        <v>71</v>
      </c>
      <c r="C23" s="213">
        <v>988</v>
      </c>
      <c r="D23" s="213">
        <f>C23*12</f>
        <v>11856</v>
      </c>
    </row>
    <row r="24" spans="2:12" ht="15">
      <c r="B24" s="121"/>
      <c r="C24" s="214"/>
      <c r="D24" s="214"/>
    </row>
    <row r="25" spans="2:12" ht="15">
      <c r="B25" s="121"/>
      <c r="C25" s="217"/>
      <c r="D25" s="217"/>
    </row>
    <row r="26" spans="2:12" ht="15">
      <c r="B26" s="120"/>
      <c r="C26" s="121"/>
      <c r="D26" s="121"/>
    </row>
    <row r="27" spans="2:12" ht="15">
      <c r="B27" s="121"/>
      <c r="C27" s="214"/>
      <c r="D27" s="214"/>
    </row>
    <row r="28" spans="2:12">
      <c r="B28" s="120"/>
      <c r="C28" s="120"/>
      <c r="D28" s="120"/>
    </row>
    <row r="31" spans="2:12" ht="15">
      <c r="B31" s="218"/>
      <c r="C31" s="219"/>
      <c r="D31" s="219"/>
      <c r="E31" s="167"/>
      <c r="F31" s="218"/>
    </row>
    <row r="32" spans="2:12">
      <c r="B32" s="220"/>
      <c r="C32" s="221"/>
      <c r="D32" s="221"/>
      <c r="E32" s="222"/>
      <c r="F32" s="223"/>
      <c r="H32" s="224"/>
    </row>
    <row r="33" spans="2:6">
      <c r="B33" s="220"/>
      <c r="C33" s="221"/>
      <c r="D33" s="221"/>
      <c r="E33" s="225"/>
      <c r="F33" s="221"/>
    </row>
    <row r="34" spans="2:6">
      <c r="B34" s="220"/>
      <c r="C34" s="221"/>
      <c r="D34" s="221"/>
      <c r="E34" s="222"/>
      <c r="F34" s="221"/>
    </row>
    <row r="35" spans="2:6">
      <c r="B35" s="226"/>
      <c r="C35" s="221"/>
      <c r="D35" s="221"/>
      <c r="E35" s="222"/>
      <c r="F35" s="221"/>
    </row>
    <row r="36" spans="2:6">
      <c r="B36" s="220"/>
      <c r="C36" s="221"/>
      <c r="D36" s="221"/>
      <c r="E36" s="222"/>
      <c r="F36" s="221"/>
    </row>
    <row r="37" spans="2:6">
      <c r="B37" s="141"/>
      <c r="C37" s="141"/>
      <c r="D37" s="141"/>
      <c r="E37" s="141"/>
    </row>
    <row r="38" spans="2:6">
      <c r="B38" s="141"/>
      <c r="C38" s="141"/>
      <c r="D38" s="141"/>
      <c r="E38" s="141"/>
    </row>
  </sheetData>
  <mergeCells count="1">
    <mergeCell ref="B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12"/>
  <sheetViews>
    <sheetView workbookViewId="0">
      <selection activeCell="B6" sqref="B6"/>
    </sheetView>
  </sheetViews>
  <sheetFormatPr baseColWidth="10" defaultRowHeight="14.25"/>
  <cols>
    <col min="1" max="1" width="22.85546875" style="97" bestFit="1" customWidth="1"/>
    <col min="2" max="2" width="34.7109375" style="97" bestFit="1" customWidth="1"/>
    <col min="3" max="3" width="11.85546875" style="97" bestFit="1" customWidth="1"/>
    <col min="4" max="4" width="9.140625" style="97" bestFit="1" customWidth="1"/>
    <col min="5" max="5" width="13" style="97" bestFit="1" customWidth="1"/>
    <col min="6" max="6" width="14.5703125" style="97" bestFit="1" customWidth="1"/>
    <col min="7" max="7" width="13.5703125" style="97" bestFit="1" customWidth="1"/>
    <col min="8" max="8" width="11.85546875" style="97" bestFit="1" customWidth="1"/>
    <col min="9" max="9" width="13" style="97" bestFit="1" customWidth="1"/>
    <col min="10" max="16384" width="11.42578125" style="97"/>
  </cols>
  <sheetData>
    <row r="2" spans="1:9">
      <c r="B2" s="264" t="s">
        <v>102</v>
      </c>
      <c r="C2" s="264"/>
      <c r="D2" s="264"/>
      <c r="E2" s="264"/>
      <c r="F2" s="264"/>
      <c r="G2" s="264"/>
      <c r="H2" s="264"/>
    </row>
    <row r="3" spans="1:9" ht="30.75" customHeight="1">
      <c r="B3" s="56" t="s">
        <v>103</v>
      </c>
      <c r="C3" s="56" t="s">
        <v>104</v>
      </c>
      <c r="D3" s="56" t="s">
        <v>105</v>
      </c>
      <c r="E3" s="56" t="s">
        <v>106</v>
      </c>
      <c r="F3" s="56" t="s">
        <v>107</v>
      </c>
      <c r="G3" s="57" t="s">
        <v>108</v>
      </c>
      <c r="H3" s="56" t="s">
        <v>109</v>
      </c>
      <c r="I3" s="58" t="s">
        <v>110</v>
      </c>
    </row>
    <row r="4" spans="1:9" ht="15" customHeight="1">
      <c r="A4" s="228" t="s">
        <v>111</v>
      </c>
      <c r="B4" s="229" t="s">
        <v>112</v>
      </c>
      <c r="C4" s="197">
        <v>30000</v>
      </c>
      <c r="D4" s="59">
        <v>5</v>
      </c>
      <c r="E4" s="60">
        <f t="shared" ref="E4:E9" si="0">C4/D4</f>
        <v>6000</v>
      </c>
      <c r="F4" s="59">
        <v>5</v>
      </c>
      <c r="G4" s="61">
        <f t="shared" ref="G4:G9" si="1">E4*F4</f>
        <v>30000</v>
      </c>
      <c r="H4" s="60">
        <v>0</v>
      </c>
      <c r="I4" s="197">
        <f>E4</f>
        <v>6000</v>
      </c>
    </row>
    <row r="5" spans="1:9" ht="15" customHeight="1">
      <c r="A5" s="265" t="s">
        <v>113</v>
      </c>
      <c r="B5" s="229" t="s">
        <v>114</v>
      </c>
      <c r="C5" s="197">
        <v>7500</v>
      </c>
      <c r="D5" s="184">
        <v>10</v>
      </c>
      <c r="E5" s="60">
        <f t="shared" si="0"/>
        <v>750</v>
      </c>
      <c r="F5" s="59">
        <v>5</v>
      </c>
      <c r="G5" s="61">
        <f t="shared" si="1"/>
        <v>3750</v>
      </c>
      <c r="H5" s="60">
        <f t="shared" ref="H5:H9" si="2">C5-G5</f>
        <v>3750</v>
      </c>
      <c r="I5" s="266">
        <f>SUM(E5:E9)</f>
        <v>3770</v>
      </c>
    </row>
    <row r="6" spans="1:9" ht="15">
      <c r="A6" s="265"/>
      <c r="B6" s="229" t="s">
        <v>115</v>
      </c>
      <c r="C6" s="197">
        <v>25000</v>
      </c>
      <c r="D6" s="184">
        <v>10</v>
      </c>
      <c r="E6" s="60">
        <f t="shared" si="0"/>
        <v>2500</v>
      </c>
      <c r="F6" s="59">
        <v>5</v>
      </c>
      <c r="G6" s="61">
        <f t="shared" si="1"/>
        <v>12500</v>
      </c>
      <c r="H6" s="60">
        <f t="shared" si="2"/>
        <v>12500</v>
      </c>
      <c r="I6" s="266"/>
    </row>
    <row r="7" spans="1:9" ht="15">
      <c r="A7" s="265"/>
      <c r="B7" s="229" t="s">
        <v>116</v>
      </c>
      <c r="C7" s="197">
        <v>1400</v>
      </c>
      <c r="D7" s="184">
        <v>10</v>
      </c>
      <c r="E7" s="60">
        <f t="shared" si="0"/>
        <v>140</v>
      </c>
      <c r="F7" s="59">
        <v>5</v>
      </c>
      <c r="G7" s="61">
        <f t="shared" si="1"/>
        <v>700</v>
      </c>
      <c r="H7" s="60">
        <f t="shared" si="2"/>
        <v>700</v>
      </c>
      <c r="I7" s="266"/>
    </row>
    <row r="8" spans="1:9" ht="15">
      <c r="A8" s="265"/>
      <c r="B8" s="229" t="s">
        <v>117</v>
      </c>
      <c r="C8" s="197">
        <v>900</v>
      </c>
      <c r="D8" s="184">
        <v>5</v>
      </c>
      <c r="E8" s="60">
        <f>C8/D8</f>
        <v>180</v>
      </c>
      <c r="F8" s="59">
        <v>5</v>
      </c>
      <c r="G8" s="61">
        <f t="shared" si="1"/>
        <v>900</v>
      </c>
      <c r="H8" s="60">
        <f>C8-G8</f>
        <v>0</v>
      </c>
      <c r="I8" s="266"/>
    </row>
    <row r="9" spans="1:9" ht="15">
      <c r="A9" s="265"/>
      <c r="B9" s="229" t="s">
        <v>118</v>
      </c>
      <c r="C9" s="197">
        <v>1000</v>
      </c>
      <c r="D9" s="184">
        <v>5</v>
      </c>
      <c r="E9" s="60">
        <f t="shared" si="0"/>
        <v>200</v>
      </c>
      <c r="F9" s="59">
        <v>5</v>
      </c>
      <c r="G9" s="61">
        <f t="shared" si="1"/>
        <v>1000</v>
      </c>
      <c r="H9" s="60">
        <f t="shared" si="2"/>
        <v>0</v>
      </c>
      <c r="I9" s="266"/>
    </row>
    <row r="10" spans="1:9" ht="15">
      <c r="A10" s="230"/>
      <c r="C10" s="267" t="s">
        <v>106</v>
      </c>
      <c r="D10" s="267"/>
      <c r="E10" s="197">
        <f>SUM(E4:E9)</f>
        <v>9770</v>
      </c>
      <c r="F10" s="267" t="s">
        <v>119</v>
      </c>
      <c r="G10" s="267"/>
      <c r="H10" s="197">
        <f>SUM(H4:H9)</f>
        <v>16950</v>
      </c>
      <c r="I10" s="231"/>
    </row>
    <row r="12" spans="1:9" ht="15">
      <c r="C12" s="232"/>
      <c r="D12" s="232"/>
      <c r="E12" s="233"/>
      <c r="F12" s="232"/>
      <c r="G12" s="232"/>
      <c r="H12" s="233"/>
    </row>
  </sheetData>
  <mergeCells count="5">
    <mergeCell ref="B2:H2"/>
    <mergeCell ref="A5:A9"/>
    <mergeCell ref="I5:I9"/>
    <mergeCell ref="C10:D10"/>
    <mergeCell ref="F10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H85"/>
  <sheetViews>
    <sheetView workbookViewId="0">
      <selection activeCell="L15" sqref="L15"/>
    </sheetView>
  </sheetViews>
  <sheetFormatPr baseColWidth="10" defaultRowHeight="14.25"/>
  <cols>
    <col min="1" max="1" width="11.42578125" style="97"/>
    <col min="2" max="2" width="24.42578125" style="97" customWidth="1"/>
    <col min="3" max="3" width="12.85546875" style="97" customWidth="1"/>
    <col min="4" max="4" width="12.5703125" style="97" customWidth="1"/>
    <col min="5" max="5" width="11.85546875" style="97" bestFit="1" customWidth="1"/>
    <col min="6" max="16384" width="11.42578125" style="97"/>
  </cols>
  <sheetData>
    <row r="3" spans="2:7">
      <c r="B3" s="62" t="s">
        <v>120</v>
      </c>
      <c r="C3" s="63">
        <f>SUM(C4:C7)</f>
        <v>69000</v>
      </c>
      <c r="D3" s="64"/>
      <c r="E3" s="64"/>
    </row>
    <row r="4" spans="2:7">
      <c r="B4" s="26" t="s">
        <v>121</v>
      </c>
      <c r="C4" s="65">
        <v>69000</v>
      </c>
      <c r="D4" s="64"/>
      <c r="E4" s="64"/>
    </row>
    <row r="5" spans="2:7">
      <c r="B5" s="26" t="s">
        <v>122</v>
      </c>
      <c r="C5" s="66">
        <v>0</v>
      </c>
      <c r="D5" s="67">
        <v>0</v>
      </c>
      <c r="E5" s="64"/>
    </row>
    <row r="6" spans="2:7">
      <c r="B6" s="26" t="s">
        <v>123</v>
      </c>
      <c r="C6" s="66">
        <v>0</v>
      </c>
      <c r="D6" s="67"/>
      <c r="E6" s="64"/>
    </row>
    <row r="7" spans="2:7">
      <c r="B7" s="26" t="s">
        <v>124</v>
      </c>
      <c r="C7" s="66">
        <v>0</v>
      </c>
      <c r="D7" s="67">
        <v>0</v>
      </c>
      <c r="E7" s="64"/>
    </row>
    <row r="8" spans="2:7">
      <c r="B8" s="268" t="s">
        <v>125</v>
      </c>
      <c r="C8" s="269"/>
      <c r="D8" s="68">
        <f>C3*60%</f>
        <v>41400</v>
      </c>
      <c r="E8" s="64"/>
    </row>
    <row r="9" spans="2:7">
      <c r="B9" s="64"/>
      <c r="C9" s="64"/>
      <c r="D9" s="64"/>
      <c r="E9" s="64"/>
      <c r="F9" s="64"/>
      <c r="G9" s="64"/>
    </row>
    <row r="10" spans="2:7">
      <c r="B10" s="69" t="s">
        <v>126</v>
      </c>
      <c r="C10" s="70">
        <v>0.1</v>
      </c>
      <c r="D10" s="64"/>
      <c r="E10" s="64"/>
      <c r="F10" s="64"/>
      <c r="G10" s="64"/>
    </row>
    <row r="11" spans="2:7" ht="15">
      <c r="B11" s="99" t="s">
        <v>127</v>
      </c>
      <c r="C11" s="234">
        <f>PMT(C10,5,-D14)</f>
        <v>10921.215704902461</v>
      </c>
      <c r="D11" s="64"/>
      <c r="E11" s="64"/>
      <c r="F11" s="64"/>
      <c r="G11" s="64"/>
    </row>
    <row r="12" spans="2:7" ht="15">
      <c r="B12" s="99"/>
      <c r="C12" s="234"/>
      <c r="D12" s="64"/>
      <c r="E12" s="64"/>
      <c r="F12" s="64"/>
      <c r="G12" s="64"/>
    </row>
    <row r="13" spans="2:7">
      <c r="B13" s="64"/>
      <c r="C13" s="25" t="s">
        <v>52</v>
      </c>
      <c r="D13" s="25" t="s">
        <v>53</v>
      </c>
      <c r="E13" s="25" t="s">
        <v>54</v>
      </c>
      <c r="F13" s="25" t="s">
        <v>55</v>
      </c>
      <c r="G13" s="25" t="s">
        <v>52</v>
      </c>
    </row>
    <row r="14" spans="2:7">
      <c r="B14" s="64"/>
      <c r="C14" s="26">
        <v>0</v>
      </c>
      <c r="D14" s="27">
        <f>D8</f>
        <v>41400</v>
      </c>
      <c r="E14" s="26"/>
      <c r="F14" s="26"/>
      <c r="G14" s="26"/>
    </row>
    <row r="15" spans="2:7">
      <c r="B15" s="64"/>
      <c r="C15" s="26">
        <v>1</v>
      </c>
      <c r="D15" s="27">
        <f>D14-E15</f>
        <v>34618.784295097539</v>
      </c>
      <c r="E15" s="27">
        <f>G15-F15</f>
        <v>6781.2157049024609</v>
      </c>
      <c r="F15" s="27">
        <f>D14*$C$10</f>
        <v>4140</v>
      </c>
      <c r="G15" s="27">
        <f>$C$11</f>
        <v>10921.215704902461</v>
      </c>
    </row>
    <row r="16" spans="2:7">
      <c r="B16" s="64"/>
      <c r="C16" s="26">
        <v>2</v>
      </c>
      <c r="D16" s="27">
        <f>D15-E16</f>
        <v>27159.447019704832</v>
      </c>
      <c r="E16" s="27">
        <f>G16-F16</f>
        <v>7459.3372753927069</v>
      </c>
      <c r="F16" s="27">
        <f>D15*$C$10</f>
        <v>3461.8784295097539</v>
      </c>
      <c r="G16" s="27">
        <f>$C$11</f>
        <v>10921.215704902461</v>
      </c>
    </row>
    <row r="17" spans="2:8">
      <c r="B17" s="64"/>
      <c r="C17" s="26">
        <v>3</v>
      </c>
      <c r="D17" s="27">
        <f>D16-E17</f>
        <v>18954.176016772857</v>
      </c>
      <c r="E17" s="27">
        <f>G17-F17</f>
        <v>8205.2710029319769</v>
      </c>
      <c r="F17" s="27">
        <f>D16*$C$10</f>
        <v>2715.9447019704835</v>
      </c>
      <c r="G17" s="27">
        <f>$C$11</f>
        <v>10921.215704902461</v>
      </c>
    </row>
    <row r="18" spans="2:8">
      <c r="B18" s="64"/>
      <c r="C18" s="26">
        <v>4</v>
      </c>
      <c r="D18" s="27">
        <f>D17-E18</f>
        <v>9928.3779135476816</v>
      </c>
      <c r="E18" s="27">
        <f>G18-F18</f>
        <v>9025.7981032251755</v>
      </c>
      <c r="F18" s="27">
        <f>D17*$C$10</f>
        <v>1895.4176016772858</v>
      </c>
      <c r="G18" s="27">
        <f>$C$11</f>
        <v>10921.215704902461</v>
      </c>
    </row>
    <row r="19" spans="2:8">
      <c r="B19" s="64"/>
      <c r="C19" s="28">
        <v>5</v>
      </c>
      <c r="D19" s="27">
        <f>D18-E19</f>
        <v>0</v>
      </c>
      <c r="E19" s="27">
        <f>G19-F19</f>
        <v>9928.3779135476925</v>
      </c>
      <c r="F19" s="27">
        <f>D18*$C$10</f>
        <v>992.83779135476823</v>
      </c>
      <c r="G19" s="27">
        <f>$C$11</f>
        <v>10921.215704902461</v>
      </c>
    </row>
    <row r="22" spans="2:8" ht="15">
      <c r="B22" s="99" t="s">
        <v>127</v>
      </c>
      <c r="C22" s="234">
        <f>PMT(C10/12,60,-D25)</f>
        <v>879.62765104650668</v>
      </c>
    </row>
    <row r="24" spans="2:8">
      <c r="C24" s="25" t="s">
        <v>52</v>
      </c>
      <c r="D24" s="25" t="s">
        <v>53</v>
      </c>
      <c r="E24" s="25" t="s">
        <v>54</v>
      </c>
      <c r="F24" s="25" t="s">
        <v>55</v>
      </c>
      <c r="G24" s="25" t="s">
        <v>52</v>
      </c>
    </row>
    <row r="25" spans="2:8">
      <c r="C25" s="26">
        <v>0</v>
      </c>
      <c r="D25" s="27">
        <f>D8</f>
        <v>41400</v>
      </c>
      <c r="E25" s="26"/>
      <c r="F25" s="26"/>
      <c r="G25" s="26"/>
    </row>
    <row r="26" spans="2:8">
      <c r="C26" s="26">
        <v>1</v>
      </c>
      <c r="D26" s="27">
        <f t="shared" ref="D26:D85" si="0">D25-E26</f>
        <v>40865.372348953497</v>
      </c>
      <c r="E26" s="27">
        <f t="shared" ref="E26:E85" si="1">G26-F26</f>
        <v>534.62765104650668</v>
      </c>
      <c r="F26" s="27">
        <f t="shared" ref="F26:F85" si="2">D25*($C$10/12)</f>
        <v>345</v>
      </c>
      <c r="G26" s="27">
        <f t="shared" ref="G26:G85" si="3">$C$22</f>
        <v>879.62765104650668</v>
      </c>
      <c r="H26" s="97">
        <f>G26*12</f>
        <v>10555.53181255808</v>
      </c>
    </row>
    <row r="27" spans="2:8">
      <c r="C27" s="26">
        <v>2</v>
      </c>
      <c r="D27" s="27">
        <f t="shared" si="0"/>
        <v>40326.289467481605</v>
      </c>
      <c r="E27" s="27">
        <f t="shared" si="1"/>
        <v>539.08288147189421</v>
      </c>
      <c r="F27" s="27">
        <f t="shared" si="2"/>
        <v>340.54476957461247</v>
      </c>
      <c r="G27" s="27">
        <f t="shared" si="3"/>
        <v>879.62765104650668</v>
      </c>
    </row>
    <row r="28" spans="2:8">
      <c r="C28" s="26">
        <v>3</v>
      </c>
      <c r="D28" s="27">
        <f t="shared" si="0"/>
        <v>39782.71422866411</v>
      </c>
      <c r="E28" s="27">
        <f t="shared" si="1"/>
        <v>543.5752388174933</v>
      </c>
      <c r="F28" s="27">
        <f t="shared" si="2"/>
        <v>336.05241222901338</v>
      </c>
      <c r="G28" s="27">
        <f t="shared" si="3"/>
        <v>879.62765104650668</v>
      </c>
    </row>
    <row r="29" spans="2:8">
      <c r="C29" s="26">
        <v>4</v>
      </c>
      <c r="D29" s="27">
        <f t="shared" si="0"/>
        <v>39234.609196189806</v>
      </c>
      <c r="E29" s="27">
        <f t="shared" si="1"/>
        <v>548.10503247430574</v>
      </c>
      <c r="F29" s="27">
        <f t="shared" si="2"/>
        <v>331.52261857220094</v>
      </c>
      <c r="G29" s="27">
        <f t="shared" si="3"/>
        <v>879.62765104650668</v>
      </c>
    </row>
    <row r="30" spans="2:8">
      <c r="C30" s="26">
        <v>5</v>
      </c>
      <c r="D30" s="27">
        <f t="shared" si="0"/>
        <v>38681.936621778215</v>
      </c>
      <c r="E30" s="27">
        <f t="shared" si="1"/>
        <v>552.67257441159165</v>
      </c>
      <c r="F30" s="27">
        <f t="shared" si="2"/>
        <v>326.95507663491503</v>
      </c>
      <c r="G30" s="27">
        <f t="shared" si="3"/>
        <v>879.62765104650668</v>
      </c>
    </row>
    <row r="31" spans="2:8">
      <c r="C31" s="26">
        <v>6</v>
      </c>
      <c r="D31" s="27">
        <f t="shared" si="0"/>
        <v>38124.658442579857</v>
      </c>
      <c r="E31" s="27">
        <f t="shared" si="1"/>
        <v>557.27817919835491</v>
      </c>
      <c r="F31" s="27">
        <f t="shared" si="2"/>
        <v>322.34947184815178</v>
      </c>
      <c r="G31" s="27">
        <f t="shared" si="3"/>
        <v>879.62765104650668</v>
      </c>
    </row>
    <row r="32" spans="2:8">
      <c r="C32" s="26">
        <v>7</v>
      </c>
      <c r="D32" s="27">
        <f t="shared" si="0"/>
        <v>37562.736278554847</v>
      </c>
      <c r="E32" s="27">
        <f t="shared" si="1"/>
        <v>561.92216402500787</v>
      </c>
      <c r="F32" s="27">
        <f t="shared" si="2"/>
        <v>317.70548702149881</v>
      </c>
      <c r="G32" s="27">
        <f t="shared" si="3"/>
        <v>879.62765104650668</v>
      </c>
    </row>
    <row r="33" spans="3:7">
      <c r="C33" s="26">
        <v>8</v>
      </c>
      <c r="D33" s="27">
        <f t="shared" si="0"/>
        <v>36996.131429829627</v>
      </c>
      <c r="E33" s="27">
        <f t="shared" si="1"/>
        <v>566.60484872521624</v>
      </c>
      <c r="F33" s="27">
        <f t="shared" si="2"/>
        <v>313.02280232129038</v>
      </c>
      <c r="G33" s="27">
        <f t="shared" si="3"/>
        <v>879.62765104650668</v>
      </c>
    </row>
    <row r="34" spans="3:7">
      <c r="C34" s="26">
        <v>9</v>
      </c>
      <c r="D34" s="27">
        <f t="shared" si="0"/>
        <v>36424.804874031703</v>
      </c>
      <c r="E34" s="27">
        <f t="shared" si="1"/>
        <v>571.3265557979264</v>
      </c>
      <c r="F34" s="27">
        <f t="shared" si="2"/>
        <v>308.30109524858022</v>
      </c>
      <c r="G34" s="27">
        <f t="shared" si="3"/>
        <v>879.62765104650668</v>
      </c>
    </row>
    <row r="35" spans="3:7">
      <c r="C35" s="26">
        <v>10</v>
      </c>
      <c r="D35" s="27">
        <f t="shared" si="0"/>
        <v>35848.717263602128</v>
      </c>
      <c r="E35" s="27">
        <f t="shared" si="1"/>
        <v>576.08761042957576</v>
      </c>
      <c r="F35" s="27">
        <f t="shared" si="2"/>
        <v>303.54004061693087</v>
      </c>
      <c r="G35" s="27">
        <f t="shared" si="3"/>
        <v>879.62765104650668</v>
      </c>
    </row>
    <row r="36" spans="3:7">
      <c r="C36" s="26">
        <v>11</v>
      </c>
      <c r="D36" s="27">
        <f t="shared" si="0"/>
        <v>35267.828923085639</v>
      </c>
      <c r="E36" s="27">
        <f t="shared" si="1"/>
        <v>580.88834051648894</v>
      </c>
      <c r="F36" s="27">
        <f t="shared" si="2"/>
        <v>298.73931053001775</v>
      </c>
      <c r="G36" s="27">
        <f t="shared" si="3"/>
        <v>879.62765104650668</v>
      </c>
    </row>
    <row r="37" spans="3:7">
      <c r="C37" s="26">
        <v>12</v>
      </c>
      <c r="D37" s="27">
        <f t="shared" si="0"/>
        <v>34682.099846398181</v>
      </c>
      <c r="E37" s="27">
        <f t="shared" si="1"/>
        <v>585.72907668745972</v>
      </c>
      <c r="F37" s="27">
        <f t="shared" si="2"/>
        <v>293.89857435904696</v>
      </c>
      <c r="G37" s="27">
        <f t="shared" si="3"/>
        <v>879.62765104650668</v>
      </c>
    </row>
    <row r="38" spans="3:7">
      <c r="C38" s="26">
        <v>13</v>
      </c>
      <c r="D38" s="27">
        <f t="shared" si="0"/>
        <v>34091.489694071657</v>
      </c>
      <c r="E38" s="27">
        <f t="shared" si="1"/>
        <v>590.61015232652187</v>
      </c>
      <c r="F38" s="27">
        <f t="shared" si="2"/>
        <v>289.01749871998481</v>
      </c>
      <c r="G38" s="27">
        <f t="shared" si="3"/>
        <v>879.62765104650668</v>
      </c>
    </row>
    <row r="39" spans="3:7">
      <c r="C39" s="26">
        <v>14</v>
      </c>
      <c r="D39" s="27">
        <f t="shared" si="0"/>
        <v>33495.957790475746</v>
      </c>
      <c r="E39" s="27">
        <f t="shared" si="1"/>
        <v>595.53190359590963</v>
      </c>
      <c r="F39" s="27">
        <f t="shared" si="2"/>
        <v>284.09574745059712</v>
      </c>
      <c r="G39" s="27">
        <f t="shared" si="3"/>
        <v>879.62765104650668</v>
      </c>
    </row>
    <row r="40" spans="3:7">
      <c r="C40" s="26">
        <v>15</v>
      </c>
      <c r="D40" s="27">
        <f t="shared" si="0"/>
        <v>32895.463121016539</v>
      </c>
      <c r="E40" s="27">
        <f t="shared" si="1"/>
        <v>600.49466945920881</v>
      </c>
      <c r="F40" s="27">
        <f t="shared" si="2"/>
        <v>279.13298158729788</v>
      </c>
      <c r="G40" s="27">
        <f t="shared" si="3"/>
        <v>879.62765104650668</v>
      </c>
    </row>
    <row r="41" spans="3:7">
      <c r="C41" s="26">
        <v>16</v>
      </c>
      <c r="D41" s="27">
        <f t="shared" si="0"/>
        <v>32289.964329311835</v>
      </c>
      <c r="E41" s="27">
        <f t="shared" si="1"/>
        <v>605.49879170470217</v>
      </c>
      <c r="F41" s="27">
        <f t="shared" si="2"/>
        <v>274.12885934180451</v>
      </c>
      <c r="G41" s="27">
        <f t="shared" si="3"/>
        <v>879.62765104650668</v>
      </c>
    </row>
    <row r="42" spans="3:7">
      <c r="C42" s="26">
        <v>17</v>
      </c>
      <c r="D42" s="27">
        <f t="shared" si="0"/>
        <v>31679.419714342926</v>
      </c>
      <c r="E42" s="27">
        <f t="shared" si="1"/>
        <v>610.54461496890804</v>
      </c>
      <c r="F42" s="27">
        <f t="shared" si="2"/>
        <v>269.08303607759865</v>
      </c>
      <c r="G42" s="27">
        <f t="shared" si="3"/>
        <v>879.62765104650668</v>
      </c>
    </row>
    <row r="43" spans="3:7">
      <c r="C43" s="26">
        <v>18</v>
      </c>
      <c r="D43" s="27">
        <f t="shared" si="0"/>
        <v>31063.787227582612</v>
      </c>
      <c r="E43" s="27">
        <f t="shared" si="1"/>
        <v>615.63248676031571</v>
      </c>
      <c r="F43" s="27">
        <f t="shared" si="2"/>
        <v>263.99516428619103</v>
      </c>
      <c r="G43" s="27">
        <f t="shared" si="3"/>
        <v>879.62765104650668</v>
      </c>
    </row>
    <row r="44" spans="3:7">
      <c r="C44" s="26">
        <v>19</v>
      </c>
      <c r="D44" s="27">
        <f t="shared" si="0"/>
        <v>30443.024470099295</v>
      </c>
      <c r="E44" s="27">
        <f t="shared" si="1"/>
        <v>620.76275748331818</v>
      </c>
      <c r="F44" s="27">
        <f t="shared" si="2"/>
        <v>258.86489356318845</v>
      </c>
      <c r="G44" s="27">
        <f t="shared" si="3"/>
        <v>879.62765104650668</v>
      </c>
    </row>
    <row r="45" spans="3:7">
      <c r="C45" s="26">
        <v>20</v>
      </c>
      <c r="D45" s="27">
        <f t="shared" si="0"/>
        <v>29817.088689636948</v>
      </c>
      <c r="E45" s="27">
        <f t="shared" si="1"/>
        <v>625.93578046234586</v>
      </c>
      <c r="F45" s="27">
        <f t="shared" si="2"/>
        <v>253.6918705841608</v>
      </c>
      <c r="G45" s="27">
        <f t="shared" si="3"/>
        <v>879.62765104650668</v>
      </c>
    </row>
    <row r="46" spans="3:7">
      <c r="C46" s="26">
        <v>21</v>
      </c>
      <c r="D46" s="27">
        <f t="shared" si="0"/>
        <v>29185.936777670751</v>
      </c>
      <c r="E46" s="27">
        <f t="shared" si="1"/>
        <v>631.15191196619878</v>
      </c>
      <c r="F46" s="27">
        <f t="shared" si="2"/>
        <v>248.4757390803079</v>
      </c>
      <c r="G46" s="27">
        <f t="shared" si="3"/>
        <v>879.62765104650668</v>
      </c>
    </row>
    <row r="47" spans="3:7">
      <c r="C47" s="26">
        <v>22</v>
      </c>
      <c r="D47" s="27">
        <f t="shared" si="0"/>
        <v>28549.525266438166</v>
      </c>
      <c r="E47" s="27">
        <f t="shared" si="1"/>
        <v>636.41151123258373</v>
      </c>
      <c r="F47" s="27">
        <f t="shared" si="2"/>
        <v>243.21613981392292</v>
      </c>
      <c r="G47" s="27">
        <f t="shared" si="3"/>
        <v>879.62765104650668</v>
      </c>
    </row>
    <row r="48" spans="3:7">
      <c r="C48" s="26">
        <v>23</v>
      </c>
      <c r="D48" s="27">
        <f t="shared" si="0"/>
        <v>27907.810325945309</v>
      </c>
      <c r="E48" s="27">
        <f t="shared" si="1"/>
        <v>641.71494049285525</v>
      </c>
      <c r="F48" s="27">
        <f t="shared" si="2"/>
        <v>237.91271055365138</v>
      </c>
      <c r="G48" s="27">
        <f t="shared" si="3"/>
        <v>879.62765104650668</v>
      </c>
    </row>
    <row r="49" spans="3:7">
      <c r="C49" s="26">
        <v>24</v>
      </c>
      <c r="D49" s="27">
        <f t="shared" si="0"/>
        <v>27260.747760948347</v>
      </c>
      <c r="E49" s="27">
        <f t="shared" si="1"/>
        <v>647.06256499696246</v>
      </c>
      <c r="F49" s="27">
        <f t="shared" si="2"/>
        <v>232.56508604954425</v>
      </c>
      <c r="G49" s="27">
        <f t="shared" si="3"/>
        <v>879.62765104650668</v>
      </c>
    </row>
    <row r="50" spans="3:7">
      <c r="C50" s="26">
        <v>25</v>
      </c>
      <c r="D50" s="27">
        <f t="shared" si="0"/>
        <v>26608.293007909742</v>
      </c>
      <c r="E50" s="27">
        <f t="shared" si="1"/>
        <v>652.45475303860383</v>
      </c>
      <c r="F50" s="27">
        <f t="shared" si="2"/>
        <v>227.17289800790289</v>
      </c>
      <c r="G50" s="27">
        <f t="shared" si="3"/>
        <v>879.62765104650668</v>
      </c>
    </row>
    <row r="51" spans="3:7">
      <c r="C51" s="26">
        <v>26</v>
      </c>
      <c r="D51" s="27">
        <f t="shared" si="0"/>
        <v>25950.401131929149</v>
      </c>
      <c r="E51" s="27">
        <f t="shared" si="1"/>
        <v>657.8918759805922</v>
      </c>
      <c r="F51" s="27">
        <f t="shared" si="2"/>
        <v>221.73577506591451</v>
      </c>
      <c r="G51" s="27">
        <f t="shared" si="3"/>
        <v>879.62765104650668</v>
      </c>
    </row>
    <row r="52" spans="3:7">
      <c r="C52" s="26">
        <v>27</v>
      </c>
      <c r="D52" s="27">
        <f t="shared" si="0"/>
        <v>25287.026823648717</v>
      </c>
      <c r="E52" s="27">
        <f t="shared" si="1"/>
        <v>663.37430828043045</v>
      </c>
      <c r="F52" s="27">
        <f t="shared" si="2"/>
        <v>216.25334276607623</v>
      </c>
      <c r="G52" s="27">
        <f t="shared" si="3"/>
        <v>879.62765104650668</v>
      </c>
    </row>
    <row r="53" spans="3:7">
      <c r="C53" s="26">
        <v>28</v>
      </c>
      <c r="D53" s="27">
        <f t="shared" si="0"/>
        <v>24618.124396132618</v>
      </c>
      <c r="E53" s="27">
        <f t="shared" si="1"/>
        <v>668.90242751610072</v>
      </c>
      <c r="F53" s="27">
        <f t="shared" si="2"/>
        <v>210.72522353040597</v>
      </c>
      <c r="G53" s="27">
        <f t="shared" si="3"/>
        <v>879.62765104650668</v>
      </c>
    </row>
    <row r="54" spans="3:7">
      <c r="C54" s="26">
        <v>29</v>
      </c>
      <c r="D54" s="27">
        <f t="shared" si="0"/>
        <v>23943.647781720549</v>
      </c>
      <c r="E54" s="27">
        <f t="shared" si="1"/>
        <v>674.47661441206822</v>
      </c>
      <c r="F54" s="27">
        <f t="shared" si="2"/>
        <v>205.15103663443847</v>
      </c>
      <c r="G54" s="27">
        <f t="shared" si="3"/>
        <v>879.62765104650668</v>
      </c>
    </row>
    <row r="55" spans="3:7">
      <c r="C55" s="26">
        <v>30</v>
      </c>
      <c r="D55" s="27">
        <f t="shared" si="0"/>
        <v>23263.550528855045</v>
      </c>
      <c r="E55" s="27">
        <f t="shared" si="1"/>
        <v>680.09725286550213</v>
      </c>
      <c r="F55" s="27">
        <f t="shared" si="2"/>
        <v>199.53039818100456</v>
      </c>
      <c r="G55" s="27">
        <f t="shared" si="3"/>
        <v>879.62765104650668</v>
      </c>
    </row>
    <row r="56" spans="3:7">
      <c r="C56" s="26">
        <v>31</v>
      </c>
      <c r="D56" s="27">
        <f t="shared" si="0"/>
        <v>22577.785798882331</v>
      </c>
      <c r="E56" s="27">
        <f t="shared" si="1"/>
        <v>685.76472997271458</v>
      </c>
      <c r="F56" s="27">
        <f t="shared" si="2"/>
        <v>193.86292107379205</v>
      </c>
      <c r="G56" s="27">
        <f t="shared" si="3"/>
        <v>879.62765104650668</v>
      </c>
    </row>
    <row r="57" spans="3:7">
      <c r="C57" s="26">
        <v>32</v>
      </c>
      <c r="D57" s="27">
        <f t="shared" si="0"/>
        <v>21886.306362826512</v>
      </c>
      <c r="E57" s="27">
        <f t="shared" si="1"/>
        <v>691.47943605582054</v>
      </c>
      <c r="F57" s="27">
        <f t="shared" si="2"/>
        <v>188.14821499068609</v>
      </c>
      <c r="G57" s="27">
        <f t="shared" si="3"/>
        <v>879.62765104650668</v>
      </c>
    </row>
    <row r="58" spans="3:7">
      <c r="C58" s="26">
        <v>33</v>
      </c>
      <c r="D58" s="27">
        <f t="shared" si="0"/>
        <v>21189.064598136894</v>
      </c>
      <c r="E58" s="27">
        <f t="shared" si="1"/>
        <v>697.24176468961912</v>
      </c>
      <c r="F58" s="27">
        <f t="shared" si="2"/>
        <v>182.3858863568876</v>
      </c>
      <c r="G58" s="27">
        <f t="shared" si="3"/>
        <v>879.62765104650668</v>
      </c>
    </row>
    <row r="59" spans="3:7">
      <c r="C59" s="26">
        <v>34</v>
      </c>
      <c r="D59" s="27">
        <f t="shared" si="0"/>
        <v>20486.012485408195</v>
      </c>
      <c r="E59" s="27">
        <f t="shared" si="1"/>
        <v>703.05211272869929</v>
      </c>
      <c r="F59" s="27">
        <f t="shared" si="2"/>
        <v>176.57553831780746</v>
      </c>
      <c r="G59" s="27">
        <f t="shared" si="3"/>
        <v>879.62765104650668</v>
      </c>
    </row>
    <row r="60" spans="3:7">
      <c r="C60" s="26">
        <v>35</v>
      </c>
      <c r="D60" s="27">
        <f t="shared" si="0"/>
        <v>19777.101605073425</v>
      </c>
      <c r="E60" s="27">
        <f t="shared" si="1"/>
        <v>708.91088033477172</v>
      </c>
      <c r="F60" s="27">
        <f t="shared" si="2"/>
        <v>170.71677071173497</v>
      </c>
      <c r="G60" s="27">
        <f t="shared" si="3"/>
        <v>879.62765104650668</v>
      </c>
    </row>
    <row r="61" spans="3:7">
      <c r="C61" s="26">
        <v>36</v>
      </c>
      <c r="D61" s="27">
        <f t="shared" si="0"/>
        <v>19062.283134069196</v>
      </c>
      <c r="E61" s="27">
        <f t="shared" si="1"/>
        <v>714.81847100422817</v>
      </c>
      <c r="F61" s="27">
        <f t="shared" si="2"/>
        <v>164.80918004227854</v>
      </c>
      <c r="G61" s="27">
        <f t="shared" si="3"/>
        <v>879.62765104650668</v>
      </c>
    </row>
    <row r="62" spans="3:7">
      <c r="C62" s="26">
        <v>37</v>
      </c>
      <c r="D62" s="27">
        <f t="shared" si="0"/>
        <v>18341.507842473264</v>
      </c>
      <c r="E62" s="27">
        <f t="shared" si="1"/>
        <v>720.77529159593007</v>
      </c>
      <c r="F62" s="27">
        <f t="shared" si="2"/>
        <v>158.85235945057661</v>
      </c>
      <c r="G62" s="27">
        <f t="shared" si="3"/>
        <v>879.62765104650668</v>
      </c>
    </row>
    <row r="63" spans="3:7">
      <c r="C63" s="26">
        <v>38</v>
      </c>
      <c r="D63" s="27">
        <f t="shared" si="0"/>
        <v>17614.726090114033</v>
      </c>
      <c r="E63" s="27">
        <f t="shared" si="1"/>
        <v>726.78175235922947</v>
      </c>
      <c r="F63" s="27">
        <f t="shared" si="2"/>
        <v>152.84589868727718</v>
      </c>
      <c r="G63" s="27">
        <f t="shared" si="3"/>
        <v>879.62765104650668</v>
      </c>
    </row>
    <row r="64" spans="3:7">
      <c r="C64" s="26">
        <v>39</v>
      </c>
      <c r="D64" s="27">
        <f t="shared" si="0"/>
        <v>16881.88782315181</v>
      </c>
      <c r="E64" s="27">
        <f t="shared" si="1"/>
        <v>732.83826696222309</v>
      </c>
      <c r="F64" s="27">
        <f t="shared" si="2"/>
        <v>146.7893840842836</v>
      </c>
      <c r="G64" s="27">
        <f t="shared" si="3"/>
        <v>879.62765104650668</v>
      </c>
    </row>
    <row r="65" spans="3:7">
      <c r="C65" s="26">
        <v>40</v>
      </c>
      <c r="D65" s="27">
        <f t="shared" si="0"/>
        <v>16142.942570631569</v>
      </c>
      <c r="E65" s="27">
        <f t="shared" si="1"/>
        <v>738.94525252024164</v>
      </c>
      <c r="F65" s="27">
        <f t="shared" si="2"/>
        <v>140.68239852626508</v>
      </c>
      <c r="G65" s="27">
        <f t="shared" si="3"/>
        <v>879.62765104650668</v>
      </c>
    </row>
    <row r="66" spans="3:7">
      <c r="C66" s="26">
        <v>41</v>
      </c>
      <c r="D66" s="27">
        <f t="shared" si="0"/>
        <v>15397.839441006992</v>
      </c>
      <c r="E66" s="27">
        <f t="shared" si="1"/>
        <v>745.10312962457692</v>
      </c>
      <c r="F66" s="27">
        <f t="shared" si="2"/>
        <v>134.52452142192973</v>
      </c>
      <c r="G66" s="27">
        <f t="shared" si="3"/>
        <v>879.62765104650668</v>
      </c>
    </row>
    <row r="67" spans="3:7">
      <c r="C67" s="26">
        <v>42</v>
      </c>
      <c r="D67" s="27">
        <f t="shared" si="0"/>
        <v>14646.527118635544</v>
      </c>
      <c r="E67" s="27">
        <f t="shared" si="1"/>
        <v>751.31232237144843</v>
      </c>
      <c r="F67" s="27">
        <f t="shared" si="2"/>
        <v>128.31532867505825</v>
      </c>
      <c r="G67" s="27">
        <f t="shared" si="3"/>
        <v>879.62765104650668</v>
      </c>
    </row>
    <row r="68" spans="3:7">
      <c r="C68" s="26">
        <v>43</v>
      </c>
      <c r="D68" s="27">
        <f t="shared" si="0"/>
        <v>13888.953860244334</v>
      </c>
      <c r="E68" s="27">
        <f t="shared" si="1"/>
        <v>757.57325839121052</v>
      </c>
      <c r="F68" s="27">
        <f t="shared" si="2"/>
        <v>122.0543926552962</v>
      </c>
      <c r="G68" s="27">
        <f t="shared" si="3"/>
        <v>879.62765104650668</v>
      </c>
    </row>
    <row r="69" spans="3:7">
      <c r="C69" s="26">
        <v>44</v>
      </c>
      <c r="D69" s="27">
        <f t="shared" si="0"/>
        <v>13125.06749136653</v>
      </c>
      <c r="E69" s="27">
        <f t="shared" si="1"/>
        <v>763.88636887780387</v>
      </c>
      <c r="F69" s="27">
        <f t="shared" si="2"/>
        <v>115.74128216870278</v>
      </c>
      <c r="G69" s="27">
        <f t="shared" si="3"/>
        <v>879.62765104650668</v>
      </c>
    </row>
    <row r="70" spans="3:7">
      <c r="C70" s="26">
        <v>45</v>
      </c>
      <c r="D70" s="27">
        <f t="shared" si="0"/>
        <v>12354.815402748078</v>
      </c>
      <c r="E70" s="27">
        <f t="shared" si="1"/>
        <v>770.25208861845226</v>
      </c>
      <c r="F70" s="27">
        <f t="shared" si="2"/>
        <v>109.37556242805441</v>
      </c>
      <c r="G70" s="27">
        <f t="shared" si="3"/>
        <v>879.62765104650668</v>
      </c>
    </row>
    <row r="71" spans="3:7">
      <c r="C71" s="26">
        <v>46</v>
      </c>
      <c r="D71" s="27">
        <f t="shared" si="0"/>
        <v>11578.144546724472</v>
      </c>
      <c r="E71" s="27">
        <f t="shared" si="1"/>
        <v>776.67085602360601</v>
      </c>
      <c r="F71" s="27">
        <f t="shared" si="2"/>
        <v>102.95679502290065</v>
      </c>
      <c r="G71" s="27">
        <f t="shared" si="3"/>
        <v>879.62765104650668</v>
      </c>
    </row>
    <row r="72" spans="3:7">
      <c r="C72" s="26">
        <v>47</v>
      </c>
      <c r="D72" s="27">
        <f t="shared" si="0"/>
        <v>10795.001433567337</v>
      </c>
      <c r="E72" s="27">
        <f t="shared" si="1"/>
        <v>783.1431131571361</v>
      </c>
      <c r="F72" s="27">
        <f t="shared" si="2"/>
        <v>96.4845378893706</v>
      </c>
      <c r="G72" s="27">
        <f t="shared" si="3"/>
        <v>879.62765104650668</v>
      </c>
    </row>
    <row r="73" spans="3:7">
      <c r="C73" s="26">
        <v>48</v>
      </c>
      <c r="D73" s="27">
        <f t="shared" si="0"/>
        <v>10005.332127800559</v>
      </c>
      <c r="E73" s="27">
        <f t="shared" si="1"/>
        <v>789.66930576677885</v>
      </c>
      <c r="F73" s="27">
        <f t="shared" si="2"/>
        <v>89.958345279727808</v>
      </c>
      <c r="G73" s="27">
        <f t="shared" si="3"/>
        <v>879.62765104650668</v>
      </c>
    </row>
    <row r="74" spans="3:7">
      <c r="C74" s="26">
        <v>49</v>
      </c>
      <c r="D74" s="27">
        <f t="shared" si="0"/>
        <v>9209.082244485724</v>
      </c>
      <c r="E74" s="27">
        <f t="shared" si="1"/>
        <v>796.24988331483542</v>
      </c>
      <c r="F74" s="27">
        <f t="shared" si="2"/>
        <v>83.377767731671327</v>
      </c>
      <c r="G74" s="27">
        <f t="shared" si="3"/>
        <v>879.62765104650668</v>
      </c>
    </row>
    <row r="75" spans="3:7">
      <c r="C75" s="26">
        <v>50</v>
      </c>
      <c r="D75" s="27">
        <f t="shared" si="0"/>
        <v>8406.1969454765986</v>
      </c>
      <c r="E75" s="27">
        <f t="shared" si="1"/>
        <v>802.88529900912567</v>
      </c>
      <c r="F75" s="27">
        <f t="shared" si="2"/>
        <v>76.742352037381039</v>
      </c>
      <c r="G75" s="27">
        <f t="shared" si="3"/>
        <v>879.62765104650668</v>
      </c>
    </row>
    <row r="76" spans="3:7">
      <c r="C76" s="26">
        <v>51</v>
      </c>
      <c r="D76" s="27">
        <f t="shared" si="0"/>
        <v>7596.6209356423969</v>
      </c>
      <c r="E76" s="27">
        <f t="shared" si="1"/>
        <v>809.57600983420173</v>
      </c>
      <c r="F76" s="27">
        <f t="shared" si="2"/>
        <v>70.051641212304986</v>
      </c>
      <c r="G76" s="27">
        <f t="shared" si="3"/>
        <v>879.62765104650668</v>
      </c>
    </row>
    <row r="77" spans="3:7">
      <c r="C77" s="26">
        <v>52</v>
      </c>
      <c r="D77" s="27">
        <f t="shared" si="0"/>
        <v>6780.298459059577</v>
      </c>
      <c r="E77" s="27">
        <f t="shared" si="1"/>
        <v>816.32247658282006</v>
      </c>
      <c r="F77" s="27">
        <f t="shared" si="2"/>
        <v>63.30517446368664</v>
      </c>
      <c r="G77" s="27">
        <f t="shared" si="3"/>
        <v>879.62765104650668</v>
      </c>
    </row>
    <row r="78" spans="3:7">
      <c r="C78" s="26">
        <v>53</v>
      </c>
      <c r="D78" s="27">
        <f t="shared" si="0"/>
        <v>5957.1732951719005</v>
      </c>
      <c r="E78" s="27">
        <f t="shared" si="1"/>
        <v>823.12516388767688</v>
      </c>
      <c r="F78" s="27">
        <f t="shared" si="2"/>
        <v>56.502487158829808</v>
      </c>
      <c r="G78" s="27">
        <f t="shared" si="3"/>
        <v>879.62765104650668</v>
      </c>
    </row>
    <row r="79" spans="3:7">
      <c r="C79" s="26">
        <v>54</v>
      </c>
      <c r="D79" s="27">
        <f t="shared" si="0"/>
        <v>5127.188754918493</v>
      </c>
      <c r="E79" s="27">
        <f t="shared" si="1"/>
        <v>829.98454025340754</v>
      </c>
      <c r="F79" s="27">
        <f t="shared" si="2"/>
        <v>49.643110793099169</v>
      </c>
      <c r="G79" s="27">
        <f t="shared" si="3"/>
        <v>879.62765104650668</v>
      </c>
    </row>
    <row r="80" spans="3:7">
      <c r="C80" s="26">
        <v>55</v>
      </c>
      <c r="D80" s="27">
        <f t="shared" si="0"/>
        <v>4290.2876768296401</v>
      </c>
      <c r="E80" s="27">
        <f t="shared" si="1"/>
        <v>836.90107808885261</v>
      </c>
      <c r="F80" s="27">
        <f t="shared" si="2"/>
        <v>42.726572957654106</v>
      </c>
      <c r="G80" s="27">
        <f t="shared" si="3"/>
        <v>879.62765104650668</v>
      </c>
    </row>
    <row r="81" spans="3:7">
      <c r="C81" s="26">
        <v>56</v>
      </c>
      <c r="D81" s="27">
        <f t="shared" si="0"/>
        <v>3446.412423090047</v>
      </c>
      <c r="E81" s="27">
        <f t="shared" si="1"/>
        <v>843.87525373959306</v>
      </c>
      <c r="F81" s="27">
        <f t="shared" si="2"/>
        <v>35.752397306913664</v>
      </c>
      <c r="G81" s="27">
        <f t="shared" si="3"/>
        <v>879.62765104650668</v>
      </c>
    </row>
    <row r="82" spans="3:7">
      <c r="C82" s="26">
        <v>57</v>
      </c>
      <c r="D82" s="27">
        <f t="shared" si="0"/>
        <v>2595.5048755692906</v>
      </c>
      <c r="E82" s="27">
        <f t="shared" si="1"/>
        <v>850.90754752075634</v>
      </c>
      <c r="F82" s="27">
        <f t="shared" si="2"/>
        <v>28.720103525750392</v>
      </c>
      <c r="G82" s="27">
        <f t="shared" si="3"/>
        <v>879.62765104650668</v>
      </c>
    </row>
    <row r="83" spans="3:7">
      <c r="C83" s="26">
        <v>58</v>
      </c>
      <c r="D83" s="27">
        <f t="shared" si="0"/>
        <v>1737.5064318191946</v>
      </c>
      <c r="E83" s="27">
        <f t="shared" si="1"/>
        <v>857.99844375009593</v>
      </c>
      <c r="F83" s="27">
        <f t="shared" si="2"/>
        <v>21.629207296410755</v>
      </c>
      <c r="G83" s="27">
        <f t="shared" si="3"/>
        <v>879.62765104650668</v>
      </c>
    </row>
    <row r="84" spans="3:7">
      <c r="C84" s="26">
        <v>59</v>
      </c>
      <c r="D84" s="27">
        <f t="shared" si="0"/>
        <v>872.35800103784788</v>
      </c>
      <c r="E84" s="27">
        <f t="shared" si="1"/>
        <v>865.14843078134675</v>
      </c>
      <c r="F84" s="27">
        <f t="shared" si="2"/>
        <v>14.479220265159954</v>
      </c>
      <c r="G84" s="27">
        <f t="shared" si="3"/>
        <v>879.62765104650668</v>
      </c>
    </row>
    <row r="85" spans="3:7">
      <c r="C85" s="26">
        <v>60</v>
      </c>
      <c r="D85" s="27">
        <f t="shared" si="0"/>
        <v>-1.0118128557223827E-11</v>
      </c>
      <c r="E85" s="27">
        <f t="shared" si="1"/>
        <v>872.358001037858</v>
      </c>
      <c r="F85" s="27">
        <f t="shared" si="2"/>
        <v>7.2696500086487319</v>
      </c>
      <c r="G85" s="27">
        <f t="shared" si="3"/>
        <v>879.62765104650668</v>
      </c>
    </row>
  </sheetData>
  <mergeCells count="1">
    <mergeCell ref="B8:C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16" sqref="A16"/>
    </sheetView>
  </sheetViews>
  <sheetFormatPr baseColWidth="10" defaultColWidth="13.140625" defaultRowHeight="14.25"/>
  <cols>
    <col min="1" max="1" width="13.140625" style="97"/>
    <col min="2" max="2" width="47.28515625" style="97" customWidth="1"/>
    <col min="3" max="16384" width="13.140625" style="97"/>
  </cols>
  <sheetData>
    <row r="1" spans="1:7" ht="18">
      <c r="A1" s="270" t="s">
        <v>147</v>
      </c>
      <c r="B1" s="270"/>
      <c r="C1" s="270"/>
      <c r="D1" s="270"/>
      <c r="E1" s="270"/>
      <c r="F1" s="270"/>
      <c r="G1" s="270"/>
    </row>
    <row r="3" spans="1:7" ht="15">
      <c r="A3" s="182" t="s">
        <v>132</v>
      </c>
      <c r="B3" s="182" t="s">
        <v>133</v>
      </c>
      <c r="C3" s="182" t="s">
        <v>134</v>
      </c>
      <c r="D3" s="182" t="s">
        <v>48</v>
      </c>
      <c r="E3" s="182" t="s">
        <v>47</v>
      </c>
      <c r="F3" s="182" t="s">
        <v>60</v>
      </c>
      <c r="G3" s="182" t="s">
        <v>135</v>
      </c>
    </row>
    <row r="4" spans="1:7" ht="15">
      <c r="A4" s="182">
        <v>1</v>
      </c>
      <c r="B4" s="235" t="s">
        <v>136</v>
      </c>
      <c r="C4" s="236">
        <v>0.1</v>
      </c>
      <c r="D4" s="238">
        <v>0.1923</v>
      </c>
      <c r="E4" s="237">
        <v>26522.55</v>
      </c>
      <c r="F4" s="238">
        <v>0.1678</v>
      </c>
      <c r="G4" s="184" t="s">
        <v>137</v>
      </c>
    </row>
    <row r="5" spans="1:7" ht="15">
      <c r="A5" s="182">
        <v>2</v>
      </c>
      <c r="B5" s="235" t="s">
        <v>140</v>
      </c>
      <c r="C5" s="236">
        <v>0.1</v>
      </c>
      <c r="D5" s="238">
        <v>0.13020000000000001</v>
      </c>
      <c r="E5" s="237">
        <v>17715.84</v>
      </c>
      <c r="F5" s="238">
        <v>0.1678</v>
      </c>
      <c r="G5" s="184" t="s">
        <v>143</v>
      </c>
    </row>
    <row r="6" spans="1:7" ht="15">
      <c r="A6" s="182">
        <v>3</v>
      </c>
      <c r="B6" s="235" t="s">
        <v>138</v>
      </c>
      <c r="C6" s="236">
        <v>0.1</v>
      </c>
      <c r="D6" s="238">
        <v>0.1227</v>
      </c>
      <c r="E6" s="237">
        <v>16656.23</v>
      </c>
      <c r="F6" s="238">
        <v>0.1678</v>
      </c>
      <c r="G6" s="184" t="s">
        <v>143</v>
      </c>
    </row>
    <row r="7" spans="1:7" ht="15">
      <c r="A7" s="182">
        <v>4</v>
      </c>
      <c r="B7" s="235" t="s">
        <v>141</v>
      </c>
      <c r="C7" s="236">
        <v>0.1</v>
      </c>
      <c r="D7" s="238">
        <v>0.20710000000000001</v>
      </c>
      <c r="E7" s="237">
        <v>28641.78</v>
      </c>
      <c r="F7" s="238">
        <v>0.1678</v>
      </c>
      <c r="G7" s="184" t="s">
        <v>137</v>
      </c>
    </row>
    <row r="8" spans="1:7" ht="15">
      <c r="A8" s="182">
        <v>5</v>
      </c>
      <c r="B8" s="235" t="s">
        <v>139</v>
      </c>
      <c r="C8" s="236">
        <v>0.1</v>
      </c>
      <c r="D8" s="238">
        <v>0.26750000000000002</v>
      </c>
      <c r="E8" s="237">
        <v>37448.49</v>
      </c>
      <c r="F8" s="238">
        <v>0.1678</v>
      </c>
      <c r="G8" s="184" t="s">
        <v>137</v>
      </c>
    </row>
    <row r="9" spans="1:7" ht="15">
      <c r="A9" s="182">
        <v>6</v>
      </c>
      <c r="B9" s="235" t="s">
        <v>142</v>
      </c>
      <c r="C9" s="236">
        <v>0.1</v>
      </c>
      <c r="D9" s="238">
        <v>0.2747</v>
      </c>
      <c r="E9" s="237">
        <v>38508.1</v>
      </c>
      <c r="F9" s="238">
        <v>0.1678</v>
      </c>
      <c r="G9" s="184" t="s">
        <v>137</v>
      </c>
    </row>
    <row r="18" spans="8:9">
      <c r="H18" s="97" t="s">
        <v>168</v>
      </c>
      <c r="I18" s="97" t="s">
        <v>147</v>
      </c>
    </row>
    <row r="19" spans="8:9">
      <c r="H19" s="97" t="s">
        <v>169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V38"/>
  <sheetViews>
    <sheetView workbookViewId="0">
      <selection activeCell="F19" sqref="F19"/>
    </sheetView>
  </sheetViews>
  <sheetFormatPr baseColWidth="10" defaultRowHeight="14.25"/>
  <cols>
    <col min="1" max="1" width="14.140625" style="97" customWidth="1"/>
    <col min="2" max="2" width="13.85546875" style="97" customWidth="1"/>
    <col min="3" max="3" width="12" style="97" customWidth="1"/>
    <col min="4" max="4" width="11" style="97" customWidth="1"/>
    <col min="5" max="5" width="18.140625" style="97" customWidth="1"/>
    <col min="6" max="6" width="12.28515625" style="97" bestFit="1" customWidth="1"/>
    <col min="7" max="16384" width="11.42578125" style="97"/>
  </cols>
  <sheetData>
    <row r="2" spans="1:22">
      <c r="V2" s="97" t="s">
        <v>171</v>
      </c>
    </row>
    <row r="3" spans="1:22" ht="15">
      <c r="A3" s="99" t="s">
        <v>146</v>
      </c>
      <c r="B3" s="99"/>
      <c r="C3" s="99"/>
      <c r="D3" s="99"/>
    </row>
    <row r="4" spans="1:22" ht="15">
      <c r="A4" s="239" t="s">
        <v>128</v>
      </c>
      <c r="B4" s="240" t="s">
        <v>47</v>
      </c>
      <c r="C4" s="240" t="s">
        <v>48</v>
      </c>
      <c r="D4" s="240" t="s">
        <v>60</v>
      </c>
      <c r="E4" s="240" t="s">
        <v>129</v>
      </c>
    </row>
    <row r="5" spans="1:22">
      <c r="A5" s="241">
        <v>0.3</v>
      </c>
      <c r="B5" s="237">
        <v>57181.14</v>
      </c>
      <c r="C5" s="242">
        <v>0.39929999999999999</v>
      </c>
      <c r="D5" s="242">
        <v>0.1678</v>
      </c>
      <c r="E5" s="184" t="s">
        <v>130</v>
      </c>
    </row>
    <row r="6" spans="1:22">
      <c r="A6" s="241">
        <v>0.2</v>
      </c>
      <c r="B6" s="243">
        <v>47314.82</v>
      </c>
      <c r="C6" s="242">
        <v>0.33389999999999997</v>
      </c>
      <c r="D6" s="242">
        <v>0.1678</v>
      </c>
      <c r="E6" s="184" t="s">
        <v>130</v>
      </c>
    </row>
    <row r="7" spans="1:22">
      <c r="A7" s="241">
        <v>0.1</v>
      </c>
      <c r="B7" s="197">
        <v>37448.49</v>
      </c>
      <c r="C7" s="242">
        <v>0.26750000000000002</v>
      </c>
      <c r="D7" s="242">
        <v>0.1678</v>
      </c>
      <c r="E7" s="184" t="s">
        <v>130</v>
      </c>
    </row>
    <row r="8" spans="1:22">
      <c r="A8" s="241">
        <v>-0.1</v>
      </c>
      <c r="B8" s="237">
        <v>17715.84</v>
      </c>
      <c r="C8" s="242">
        <v>0.13020000000000001</v>
      </c>
      <c r="D8" s="242">
        <v>0.1678</v>
      </c>
      <c r="E8" s="184" t="s">
        <v>131</v>
      </c>
    </row>
    <row r="9" spans="1:22">
      <c r="A9" s="241">
        <v>-0.2</v>
      </c>
      <c r="B9" s="237">
        <v>7849.51</v>
      </c>
      <c r="C9" s="242">
        <v>5.8700000000000002E-2</v>
      </c>
      <c r="D9" s="242">
        <v>0.1678</v>
      </c>
      <c r="E9" s="184" t="s">
        <v>131</v>
      </c>
    </row>
    <row r="10" spans="1:22">
      <c r="A10" s="241">
        <v>-0.3</v>
      </c>
      <c r="B10" s="237">
        <v>-2016.81</v>
      </c>
      <c r="C10" s="242">
        <v>-1.54E-2</v>
      </c>
      <c r="D10" s="242">
        <v>0.1678</v>
      </c>
      <c r="E10" s="184" t="s">
        <v>131</v>
      </c>
      <c r="I10" s="98"/>
    </row>
    <row r="11" spans="1:22">
      <c r="J11" s="98"/>
    </row>
    <row r="13" spans="1:22" ht="15">
      <c r="A13" s="99" t="s">
        <v>145</v>
      </c>
      <c r="B13" s="99"/>
      <c r="C13" s="99"/>
      <c r="D13" s="99"/>
    </row>
    <row r="14" spans="1:22" ht="15">
      <c r="A14" s="244" t="s">
        <v>128</v>
      </c>
      <c r="B14" s="240" t="s">
        <v>47</v>
      </c>
      <c r="C14" s="240" t="s">
        <v>48</v>
      </c>
      <c r="D14" s="240" t="s">
        <v>60</v>
      </c>
      <c r="E14" s="240" t="s">
        <v>129</v>
      </c>
    </row>
    <row r="15" spans="1:22">
      <c r="A15" s="241">
        <v>-0.05</v>
      </c>
      <c r="B15" s="237">
        <v>28111.97</v>
      </c>
      <c r="C15" s="242">
        <v>0.2034</v>
      </c>
      <c r="D15" s="242">
        <v>0.1678</v>
      </c>
      <c r="E15" s="184" t="s">
        <v>130</v>
      </c>
    </row>
    <row r="16" spans="1:22">
      <c r="A16" s="241">
        <v>0.35</v>
      </c>
      <c r="B16" s="237">
        <v>17515.87</v>
      </c>
      <c r="C16" s="242">
        <v>0.17380000000000001</v>
      </c>
      <c r="D16" s="242">
        <v>0.1678</v>
      </c>
      <c r="E16" s="184" t="s">
        <v>130</v>
      </c>
    </row>
    <row r="17" spans="1:5">
      <c r="A17" s="241">
        <v>0.45</v>
      </c>
      <c r="B17" s="237">
        <v>20694.7</v>
      </c>
      <c r="C17" s="242">
        <v>0.1701</v>
      </c>
      <c r="D17" s="242">
        <v>0.1678</v>
      </c>
      <c r="E17" s="184" t="s">
        <v>130</v>
      </c>
    </row>
    <row r="18" spans="1:5">
      <c r="A18" s="241">
        <v>0.55000000000000004</v>
      </c>
      <c r="B18" s="237">
        <v>21754.31</v>
      </c>
      <c r="C18" s="242">
        <v>0.15890000000000001</v>
      </c>
      <c r="D18" s="242">
        <v>0.1678</v>
      </c>
      <c r="E18" s="184" t="s">
        <v>131</v>
      </c>
    </row>
    <row r="19" spans="1:5">
      <c r="A19" s="241">
        <v>0.65</v>
      </c>
      <c r="B19" s="237">
        <v>23343.72</v>
      </c>
      <c r="C19" s="242">
        <v>0.15140000000000001</v>
      </c>
      <c r="D19" s="242">
        <v>0.1678</v>
      </c>
      <c r="E19" s="184" t="s">
        <v>131</v>
      </c>
    </row>
    <row r="20" spans="1:5">
      <c r="A20" s="241">
        <v>0.95</v>
      </c>
      <c r="B20" s="237">
        <v>23873.53</v>
      </c>
      <c r="C20" s="242">
        <v>0.1288</v>
      </c>
      <c r="D20" s="242">
        <v>0.1678</v>
      </c>
      <c r="E20" s="184" t="s">
        <v>131</v>
      </c>
    </row>
    <row r="23" spans="1:5" ht="15">
      <c r="A23" s="245" t="s">
        <v>170</v>
      </c>
      <c r="B23" s="246" t="s">
        <v>48</v>
      </c>
    </row>
    <row r="24" spans="1:5">
      <c r="A24" s="247">
        <v>0.3</v>
      </c>
      <c r="B24" s="248">
        <v>0.39929999999999999</v>
      </c>
    </row>
    <row r="25" spans="1:5">
      <c r="A25" s="247">
        <v>0.2</v>
      </c>
      <c r="B25" s="248">
        <v>0.33389999999999997</v>
      </c>
    </row>
    <row r="26" spans="1:5">
      <c r="A26" s="247">
        <v>0.1</v>
      </c>
      <c r="B26" s="248">
        <v>0.26750000000000002</v>
      </c>
    </row>
    <row r="27" spans="1:5">
      <c r="A27" s="247">
        <v>-0.1</v>
      </c>
      <c r="B27" s="248">
        <v>0.13020000000000001</v>
      </c>
    </row>
    <row r="28" spans="1:5">
      <c r="A28" s="247">
        <v>-0.2</v>
      </c>
      <c r="B28" s="248">
        <v>5.8700000000000002E-2</v>
      </c>
    </row>
    <row r="29" spans="1:5">
      <c r="A29" s="247">
        <v>-0.3</v>
      </c>
      <c r="B29" s="248">
        <v>-1.54E-2</v>
      </c>
    </row>
    <row r="30" spans="1:5">
      <c r="A30" s="249"/>
      <c r="B30" s="249"/>
    </row>
    <row r="31" spans="1:5">
      <c r="A31" s="249"/>
      <c r="B31" s="249"/>
    </row>
    <row r="32" spans="1:5" ht="15">
      <c r="A32" s="250" t="s">
        <v>128</v>
      </c>
      <c r="B32" s="246" t="s">
        <v>48</v>
      </c>
    </row>
    <row r="33" spans="1:2">
      <c r="A33" s="247">
        <v>-0.05</v>
      </c>
      <c r="B33" s="248">
        <v>0.2034</v>
      </c>
    </row>
    <row r="34" spans="1:2">
      <c r="A34" s="247">
        <v>0.35</v>
      </c>
      <c r="B34" s="248">
        <v>0.17380000000000001</v>
      </c>
    </row>
    <row r="35" spans="1:2">
      <c r="A35" s="247">
        <v>0.45</v>
      </c>
      <c r="B35" s="248">
        <v>0.1701</v>
      </c>
    </row>
    <row r="36" spans="1:2">
      <c r="A36" s="247">
        <v>0.55000000000000004</v>
      </c>
      <c r="B36" s="248">
        <v>0.15890000000000001</v>
      </c>
    </row>
    <row r="37" spans="1:2">
      <c r="A37" s="247">
        <v>0.65</v>
      </c>
      <c r="B37" s="248">
        <v>0.15140000000000001</v>
      </c>
    </row>
    <row r="38" spans="1:2">
      <c r="A38" s="247">
        <v>0.95</v>
      </c>
      <c r="B38" s="248">
        <v>0.1288</v>
      </c>
    </row>
  </sheetData>
  <sortState ref="A15:A19">
    <sortCondition ref="A1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FLUJO FLUJO NOSOTRAS</vt:lpstr>
      <vt:lpstr>FLUJO ANTERIOR 2 </vt:lpstr>
      <vt:lpstr>FLUJO INCREMENTAL FINAL</vt:lpstr>
      <vt:lpstr>PAYBACK</vt:lpstr>
      <vt:lpstr>GASTOS</vt:lpstr>
      <vt:lpstr>DEPRECIACION</vt:lpstr>
      <vt:lpstr>AMORTIZACION 69000</vt:lpstr>
      <vt:lpstr>analisis de ESCENARIOS 2</vt:lpstr>
      <vt:lpstr>analisis de escenario</vt:lpstr>
      <vt:lpstr>ING 0,05</vt:lpstr>
      <vt:lpstr>ING 0,10</vt:lpstr>
      <vt:lpstr>ING 0,20</vt:lpstr>
      <vt:lpstr>ING 0,30</vt:lpstr>
      <vt:lpstr>ING -0,05</vt:lpstr>
      <vt:lpstr>ING -0,10</vt:lpstr>
      <vt:lpstr>ING -0,20</vt:lpstr>
      <vt:lpstr>ING -0,30</vt:lpstr>
      <vt:lpstr>COSTOS 0,25</vt:lpstr>
      <vt:lpstr>COSTOS 0,35</vt:lpstr>
      <vt:lpstr>COSTOS 0,45</vt:lpstr>
      <vt:lpstr>COSTOS 0,55</vt:lpstr>
      <vt:lpstr>COSTOS 0,65</vt:lpstr>
      <vt:lpstr>COSTOS 0,95</vt:lpstr>
      <vt:lpstr>COSTOS -0,05</vt:lpstr>
      <vt:lpstr>COSTOS -0,10</vt:lpstr>
      <vt:lpstr> COSTOS 0,10</vt:lpstr>
      <vt:lpstr>COST 0,10 ING -0,10</vt:lpstr>
      <vt:lpstr>COSTOS -0,10 ING 0,10</vt:lpstr>
      <vt:lpstr>Hoja1</vt:lpstr>
      <vt:lpstr>Hoja2</vt:lpstr>
    </vt:vector>
  </TitlesOfParts>
  <Company>PERSONAL 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CUADRAS</dc:creator>
  <cp:lastModifiedBy>SAMUEL</cp:lastModifiedBy>
  <cp:lastPrinted>2012-02-17T23:41:25Z</cp:lastPrinted>
  <dcterms:created xsi:type="dcterms:W3CDTF">2012-02-14T22:02:00Z</dcterms:created>
  <dcterms:modified xsi:type="dcterms:W3CDTF">2012-02-29T16:15:18Z</dcterms:modified>
</cp:coreProperties>
</file>