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540" windowWidth="10515" windowHeight="4260"/>
  </bookViews>
  <sheets>
    <sheet name="INVERSIONES" sheetId="17" r:id="rId1"/>
    <sheet name="GASTOS" sheetId="19" r:id="rId2"/>
    <sheet name="VALOR DE DESECHO" sheetId="18" r:id="rId3"/>
    <sheet name="CAPITAL DE TRABAJO" sheetId="20" r:id="rId4"/>
    <sheet name="INGRESOS" sheetId="21" r:id="rId5"/>
    <sheet name="PRESTAMO" sheetId="22" r:id="rId6"/>
    <sheet name="ESTADO DE RESULTADOS" sheetId="4" r:id="rId7"/>
    <sheet name="CAPM" sheetId="2" r:id="rId8"/>
    <sheet name="FLUJO DE CAJA PROYECTADOS" sheetId="1" r:id="rId9"/>
    <sheet name="BALANCE GENERAL" sheetId="5" r:id="rId10"/>
    <sheet name="PAYBACK" sheetId="6" r:id="rId11"/>
    <sheet name="PUNTO DE EQUILIBRIO" sheetId="26" r:id="rId12"/>
    <sheet name="ANALISIS DE SENSIBILIDAD" sheetId="25" r:id="rId13"/>
    <sheet name="FLUJO CONSERVADOR" sheetId="23" r:id="rId14"/>
    <sheet name="FLUJO PESIMISTA" sheetId="24" r:id="rId15"/>
  </sheets>
  <externalReferences>
    <externalReference r:id="rId16"/>
    <externalReference r:id="rId17"/>
  </externalReferences>
  <calcPr calcId="145621"/>
</workbook>
</file>

<file path=xl/calcChain.xml><?xml version="1.0" encoding="utf-8"?>
<calcChain xmlns="http://schemas.openxmlformats.org/spreadsheetml/2006/main">
  <c r="B6" i="6" l="1"/>
  <c r="D29" i="1"/>
  <c r="E29" i="1" s="1"/>
  <c r="C29" i="1"/>
  <c r="B29" i="1"/>
  <c r="B30" i="1" s="1"/>
  <c r="D5" i="22"/>
  <c r="C5" i="22"/>
  <c r="B5" i="22"/>
  <c r="B6" i="22"/>
  <c r="E5" i="22"/>
  <c r="C6" i="22" s="1"/>
  <c r="B7" i="20"/>
  <c r="D30" i="1" l="1"/>
  <c r="E30" i="1" s="1"/>
  <c r="B31" i="1"/>
  <c r="C30" i="1"/>
  <c r="D6" i="22"/>
  <c r="E6" i="22" s="1"/>
  <c r="C7" i="22" s="1"/>
  <c r="B7" i="22"/>
  <c r="D8" i="4"/>
  <c r="B8" i="4"/>
  <c r="D7" i="1"/>
  <c r="C8" i="4" s="1"/>
  <c r="E7" i="1"/>
  <c r="F7" i="1"/>
  <c r="E8" i="4" s="1"/>
  <c r="G7" i="1"/>
  <c r="F8" i="4" s="1"/>
  <c r="H7" i="1"/>
  <c r="G8" i="4" s="1"/>
  <c r="I7" i="1"/>
  <c r="H8" i="4" s="1"/>
  <c r="J7" i="1"/>
  <c r="I8" i="4" s="1"/>
  <c r="K7" i="1"/>
  <c r="J8" i="4" s="1"/>
  <c r="L7" i="1"/>
  <c r="K8" i="4" s="1"/>
  <c r="C7" i="1"/>
  <c r="E31" i="1" l="1"/>
  <c r="C31" i="1"/>
  <c r="D31" i="1"/>
  <c r="B32" i="1"/>
  <c r="D7" i="22"/>
  <c r="E7" i="22" s="1"/>
  <c r="C8" i="22" s="1"/>
  <c r="B8" i="22"/>
  <c r="H26" i="2"/>
  <c r="E32" i="1" l="1"/>
  <c r="C32" i="1"/>
  <c r="D32" i="1"/>
  <c r="D8" i="22"/>
  <c r="E8" i="22" s="1"/>
  <c r="D8" i="26"/>
  <c r="G8" i="26" s="1"/>
  <c r="G7" i="26"/>
  <c r="D9" i="26" l="1"/>
  <c r="G9" i="26" s="1"/>
  <c r="G6" i="26"/>
  <c r="C6" i="1" l="1"/>
  <c r="C6" i="24" l="1"/>
  <c r="C12" i="24" s="1"/>
  <c r="B23" i="24"/>
  <c r="C6" i="23"/>
  <c r="C12" i="23" s="1"/>
  <c r="C20" i="1"/>
  <c r="B23" i="23"/>
  <c r="B52" i="1"/>
  <c r="C38" i="1"/>
  <c r="D38" i="1" s="1"/>
  <c r="D45" i="2"/>
  <c r="D46" i="2" s="1"/>
  <c r="H20" i="2"/>
  <c r="H19" i="2"/>
  <c r="B6" i="21"/>
  <c r="C6" i="21" s="1"/>
  <c r="D6" i="21" s="1"/>
  <c r="E6" i="21" s="1"/>
  <c r="F6" i="21" s="1"/>
  <c r="G6" i="21" s="1"/>
  <c r="H6" i="21" s="1"/>
  <c r="I6" i="21" s="1"/>
  <c r="J6" i="21" s="1"/>
  <c r="K6" i="21" s="1"/>
  <c r="C5" i="21"/>
  <c r="D5" i="21" s="1"/>
  <c r="B5" i="21"/>
  <c r="B7" i="21" s="1"/>
  <c r="C8" i="20"/>
  <c r="D8" i="20"/>
  <c r="E8" i="20"/>
  <c r="F8" i="20"/>
  <c r="G8" i="20"/>
  <c r="H8" i="20"/>
  <c r="I8" i="20"/>
  <c r="J8" i="20"/>
  <c r="K8" i="20"/>
  <c r="L8" i="20"/>
  <c r="M8" i="20"/>
  <c r="B8" i="20"/>
  <c r="C7" i="20"/>
  <c r="C6" i="20" s="1"/>
  <c r="D7" i="20"/>
  <c r="E7" i="20"/>
  <c r="F7" i="20"/>
  <c r="F6" i="20" s="1"/>
  <c r="F9" i="20" s="1"/>
  <c r="G7" i="20"/>
  <c r="G6" i="20" s="1"/>
  <c r="H7" i="20"/>
  <c r="H6" i="20" s="1"/>
  <c r="H9" i="20" s="1"/>
  <c r="I7" i="20"/>
  <c r="J7" i="20"/>
  <c r="K7" i="20"/>
  <c r="K6" i="20" s="1"/>
  <c r="L7" i="20"/>
  <c r="L6" i="20" s="1"/>
  <c r="L9" i="20" s="1"/>
  <c r="M7" i="20"/>
  <c r="D5" i="20"/>
  <c r="E5" i="20"/>
  <c r="F5" i="20"/>
  <c r="G5" i="20"/>
  <c r="H5" i="20"/>
  <c r="I5" i="20"/>
  <c r="J5" i="20"/>
  <c r="K5" i="20"/>
  <c r="L5" i="20"/>
  <c r="M5" i="20"/>
  <c r="C5" i="20"/>
  <c r="M6" i="20"/>
  <c r="I6" i="20"/>
  <c r="I9" i="20" s="1"/>
  <c r="E6" i="20"/>
  <c r="D6" i="20"/>
  <c r="M9" i="20"/>
  <c r="L29" i="19"/>
  <c r="K29" i="19"/>
  <c r="J29" i="19"/>
  <c r="I29" i="19"/>
  <c r="H29" i="19"/>
  <c r="G29" i="19"/>
  <c r="F29" i="19"/>
  <c r="E29" i="19"/>
  <c r="D29" i="19"/>
  <c r="C29" i="19"/>
  <c r="E36" i="19"/>
  <c r="F36" i="19"/>
  <c r="G36" i="19"/>
  <c r="G37" i="19" s="1"/>
  <c r="H36" i="19"/>
  <c r="I36" i="19"/>
  <c r="J36" i="19"/>
  <c r="K36" i="19"/>
  <c r="L36" i="19"/>
  <c r="L37" i="19" s="1"/>
  <c r="M36" i="19"/>
  <c r="E35" i="19"/>
  <c r="F35" i="19"/>
  <c r="G35" i="19"/>
  <c r="H35" i="19"/>
  <c r="I35" i="19"/>
  <c r="J35" i="19"/>
  <c r="J37" i="19" s="1"/>
  <c r="K35" i="19"/>
  <c r="L35" i="19"/>
  <c r="M35" i="19"/>
  <c r="D35" i="19"/>
  <c r="D36" i="19"/>
  <c r="I37" i="19"/>
  <c r="C37" i="19"/>
  <c r="K37" i="19"/>
  <c r="H37" i="19"/>
  <c r="F37" i="19"/>
  <c r="G23" i="19"/>
  <c r="F23" i="19"/>
  <c r="E23" i="19"/>
  <c r="D23" i="19"/>
  <c r="C23" i="19"/>
  <c r="H22" i="19"/>
  <c r="I22" i="19" s="1"/>
  <c r="H21" i="19"/>
  <c r="I21" i="19" s="1"/>
  <c r="H20" i="19"/>
  <c r="H23" i="19" s="1"/>
  <c r="D13" i="19"/>
  <c r="E13" i="19" s="1"/>
  <c r="F13" i="19" s="1"/>
  <c r="G13" i="19" s="1"/>
  <c r="H13" i="19" s="1"/>
  <c r="I13" i="19" s="1"/>
  <c r="J13" i="19" s="1"/>
  <c r="K13" i="19" s="1"/>
  <c r="L13" i="19" s="1"/>
  <c r="L9" i="19"/>
  <c r="H9" i="19"/>
  <c r="D9" i="19"/>
  <c r="I9" i="19"/>
  <c r="E9" i="19"/>
  <c r="J9" i="19"/>
  <c r="F9" i="19"/>
  <c r="K9" i="19"/>
  <c r="G9" i="19"/>
  <c r="C9" i="19"/>
  <c r="E8" i="19"/>
  <c r="F8" i="19" s="1"/>
  <c r="G8" i="19" s="1"/>
  <c r="H8" i="19" s="1"/>
  <c r="I8" i="19" s="1"/>
  <c r="J8" i="19" s="1"/>
  <c r="K8" i="19" s="1"/>
  <c r="L8" i="19" s="1"/>
  <c r="D8" i="19"/>
  <c r="D7" i="19"/>
  <c r="E7" i="19" s="1"/>
  <c r="D6" i="19"/>
  <c r="C6" i="19"/>
  <c r="C17" i="19" s="1"/>
  <c r="D9" i="18"/>
  <c r="F9" i="18" s="1"/>
  <c r="G9" i="18" s="1"/>
  <c r="F8" i="18"/>
  <c r="G8" i="18" s="1"/>
  <c r="D8" i="18"/>
  <c r="D7" i="18"/>
  <c r="F7" i="18" s="1"/>
  <c r="G7" i="18" s="1"/>
  <c r="F6" i="18"/>
  <c r="G6" i="18" s="1"/>
  <c r="D6" i="18"/>
  <c r="D10" i="18" s="1"/>
  <c r="F5" i="18"/>
  <c r="B5" i="18"/>
  <c r="C41" i="17"/>
  <c r="B41" i="17"/>
  <c r="D40" i="17"/>
  <c r="D39" i="17"/>
  <c r="D41" i="17" s="1"/>
  <c r="C35" i="17"/>
  <c r="B35" i="17"/>
  <c r="D34" i="17"/>
  <c r="D33" i="17"/>
  <c r="D35" i="17" s="1"/>
  <c r="C29" i="17"/>
  <c r="B29" i="17"/>
  <c r="D28" i="17"/>
  <c r="D27" i="17"/>
  <c r="D26" i="17"/>
  <c r="D29" i="17" s="1"/>
  <c r="D25" i="17"/>
  <c r="C21" i="17"/>
  <c r="B21" i="17"/>
  <c r="D20" i="17"/>
  <c r="D19" i="17"/>
  <c r="D21" i="17" s="1"/>
  <c r="D18" i="17"/>
  <c r="D17" i="17"/>
  <c r="B13" i="17"/>
  <c r="B6" i="17"/>
  <c r="G5" i="18" l="1"/>
  <c r="G10" i="18" s="1"/>
  <c r="D9" i="20"/>
  <c r="J6" i="20"/>
  <c r="J9" i="20" s="1"/>
  <c r="D6" i="24"/>
  <c r="E6" i="24" s="1"/>
  <c r="D12" i="24"/>
  <c r="C14" i="24"/>
  <c r="C13" i="24"/>
  <c r="C15" i="24" s="1"/>
  <c r="C23" i="24" s="1"/>
  <c r="C14" i="23"/>
  <c r="C13" i="23"/>
  <c r="D6" i="23"/>
  <c r="C43" i="1"/>
  <c r="C45" i="1" s="1"/>
  <c r="D43" i="1"/>
  <c r="E38" i="1"/>
  <c r="D47" i="2"/>
  <c r="F9" i="2" s="1"/>
  <c r="H21" i="2" s="1"/>
  <c r="H16" i="2" s="1"/>
  <c r="D7" i="21"/>
  <c r="E5" i="21"/>
  <c r="C7" i="21"/>
  <c r="B6" i="20"/>
  <c r="B9" i="20" s="1"/>
  <c r="B10" i="20" s="1"/>
  <c r="K9" i="20"/>
  <c r="C9" i="20"/>
  <c r="E9" i="20"/>
  <c r="G9" i="20"/>
  <c r="M37" i="19"/>
  <c r="E37" i="19"/>
  <c r="D37" i="19"/>
  <c r="I23" i="19"/>
  <c r="I20" i="19"/>
  <c r="D17" i="19"/>
  <c r="F7" i="19"/>
  <c r="E6" i="19"/>
  <c r="E17" i="19" s="1"/>
  <c r="D13" i="24" l="1"/>
  <c r="D14" i="24"/>
  <c r="E12" i="24"/>
  <c r="F6" i="24"/>
  <c r="C15" i="23"/>
  <c r="C23" i="23" s="1"/>
  <c r="E6" i="23"/>
  <c r="D12" i="23"/>
  <c r="C44" i="1"/>
  <c r="C46" i="1" s="1"/>
  <c r="C52" i="1" s="1"/>
  <c r="F38" i="1"/>
  <c r="E43" i="1"/>
  <c r="D44" i="1"/>
  <c r="D45" i="1"/>
  <c r="M22" i="2"/>
  <c r="F5" i="21"/>
  <c r="E7" i="21"/>
  <c r="C10" i="20"/>
  <c r="D10" i="20" s="1"/>
  <c r="E10" i="20" s="1"/>
  <c r="F10" i="20" s="1"/>
  <c r="G10" i="20" s="1"/>
  <c r="H10" i="20" s="1"/>
  <c r="I10" i="20" s="1"/>
  <c r="J10" i="20" s="1"/>
  <c r="K10" i="20" s="1"/>
  <c r="L10" i="20" s="1"/>
  <c r="M10" i="20" s="1"/>
  <c r="F6" i="19"/>
  <c r="F17" i="19" s="1"/>
  <c r="G7" i="19"/>
  <c r="D15" i="24" l="1"/>
  <c r="D23" i="24" s="1"/>
  <c r="F12" i="24"/>
  <c r="G6" i="24"/>
  <c r="E14" i="24"/>
  <c r="E13" i="24"/>
  <c r="E15" i="24" s="1"/>
  <c r="E23" i="24" s="1"/>
  <c r="D14" i="23"/>
  <c r="D13" i="23"/>
  <c r="F6" i="23"/>
  <c r="E12" i="23"/>
  <c r="D46" i="1"/>
  <c r="D52" i="1" s="1"/>
  <c r="E45" i="1"/>
  <c r="E44" i="1"/>
  <c r="F43" i="1"/>
  <c r="G38" i="1"/>
  <c r="F7" i="21"/>
  <c r="G5" i="21"/>
  <c r="G6" i="19"/>
  <c r="G17" i="19" s="1"/>
  <c r="H7" i="19"/>
  <c r="D15" i="23" l="1"/>
  <c r="D23" i="23" s="1"/>
  <c r="H6" i="24"/>
  <c r="G12" i="24"/>
  <c r="F14" i="24"/>
  <c r="F13" i="24"/>
  <c r="F15" i="24" s="1"/>
  <c r="F23" i="24" s="1"/>
  <c r="E13" i="23"/>
  <c r="E14" i="23"/>
  <c r="F12" i="23"/>
  <c r="G6" i="23"/>
  <c r="E46" i="1"/>
  <c r="E52" i="1" s="1"/>
  <c r="H38" i="1"/>
  <c r="G43" i="1"/>
  <c r="F45" i="1"/>
  <c r="F44" i="1"/>
  <c r="H5" i="21"/>
  <c r="G7" i="21"/>
  <c r="I7" i="19"/>
  <c r="H6" i="19"/>
  <c r="H17" i="19" s="1"/>
  <c r="G13" i="24" l="1"/>
  <c r="G14" i="24"/>
  <c r="H12" i="24"/>
  <c r="I6" i="24"/>
  <c r="E15" i="23"/>
  <c r="E23" i="23" s="1"/>
  <c r="F13" i="23"/>
  <c r="F14" i="23"/>
  <c r="G12" i="23"/>
  <c r="H6" i="23"/>
  <c r="F46" i="1"/>
  <c r="F52" i="1" s="1"/>
  <c r="G44" i="1"/>
  <c r="G45" i="1"/>
  <c r="H43" i="1"/>
  <c r="I38" i="1"/>
  <c r="I5" i="21"/>
  <c r="H7" i="21"/>
  <c r="I6" i="19"/>
  <c r="I17" i="19" s="1"/>
  <c r="J7" i="19"/>
  <c r="G15" i="24" l="1"/>
  <c r="G23" i="24" s="1"/>
  <c r="H13" i="24"/>
  <c r="H14" i="24"/>
  <c r="I12" i="24"/>
  <c r="J6" i="24"/>
  <c r="F15" i="23"/>
  <c r="F23" i="23" s="1"/>
  <c r="I6" i="23"/>
  <c r="H12" i="23"/>
  <c r="G14" i="23"/>
  <c r="G13" i="23"/>
  <c r="G46" i="1"/>
  <c r="G52" i="1" s="1"/>
  <c r="H44" i="1"/>
  <c r="H45" i="1"/>
  <c r="J38" i="1"/>
  <c r="I43" i="1"/>
  <c r="J5" i="21"/>
  <c r="I7" i="21"/>
  <c r="J6" i="19"/>
  <c r="J17" i="19" s="1"/>
  <c r="K7" i="19"/>
  <c r="G15" i="23" l="1"/>
  <c r="G23" i="23" s="1"/>
  <c r="H46" i="1"/>
  <c r="H52" i="1" s="1"/>
  <c r="H15" i="24"/>
  <c r="H23" i="24" s="1"/>
  <c r="J12" i="24"/>
  <c r="K6" i="24"/>
  <c r="I14" i="24"/>
  <c r="I13" i="24"/>
  <c r="I15" i="24" s="1"/>
  <c r="I23" i="24" s="1"/>
  <c r="H14" i="23"/>
  <c r="H13" i="23"/>
  <c r="I12" i="23"/>
  <c r="J6" i="23"/>
  <c r="J43" i="1"/>
  <c r="K38" i="1"/>
  <c r="I45" i="1"/>
  <c r="I44" i="1"/>
  <c r="J7" i="21"/>
  <c r="K5" i="21"/>
  <c r="K7" i="21" s="1"/>
  <c r="L7" i="19"/>
  <c r="L6" i="19" s="1"/>
  <c r="L17" i="19" s="1"/>
  <c r="K6" i="19"/>
  <c r="K17" i="19" s="1"/>
  <c r="I46" i="1" l="1"/>
  <c r="I52" i="1" s="1"/>
  <c r="J14" i="24"/>
  <c r="J13" i="24"/>
  <c r="L6" i="24"/>
  <c r="L12" i="24" s="1"/>
  <c r="K12" i="24"/>
  <c r="H15" i="23"/>
  <c r="H23" i="23" s="1"/>
  <c r="J12" i="23"/>
  <c r="K6" i="23"/>
  <c r="I13" i="23"/>
  <c r="I14" i="23"/>
  <c r="L38" i="1"/>
  <c r="L43" i="1" s="1"/>
  <c r="K43" i="1"/>
  <c r="J45" i="1"/>
  <c r="J44" i="1"/>
  <c r="J15" i="24" l="1"/>
  <c r="J23" i="24" s="1"/>
  <c r="J46" i="1"/>
  <c r="J52" i="1" s="1"/>
  <c r="K13" i="24"/>
  <c r="K14" i="24"/>
  <c r="L13" i="24"/>
  <c r="L14" i="24"/>
  <c r="I15" i="23"/>
  <c r="I23" i="23" s="1"/>
  <c r="K12" i="23"/>
  <c r="L6" i="23"/>
  <c r="L12" i="23" s="1"/>
  <c r="J14" i="23"/>
  <c r="J13" i="23"/>
  <c r="J15" i="23" s="1"/>
  <c r="J23" i="23" s="1"/>
  <c r="K44" i="1"/>
  <c r="K45" i="1"/>
  <c r="L44" i="1"/>
  <c r="L45" i="1"/>
  <c r="K15" i="24" l="1"/>
  <c r="K23" i="24" s="1"/>
  <c r="B24" i="24" s="1"/>
  <c r="L15" i="24"/>
  <c r="L23" i="24" s="1"/>
  <c r="E24" i="24" s="1"/>
  <c r="L14" i="23"/>
  <c r="L13" i="23"/>
  <c r="L15" i="23" s="1"/>
  <c r="L23" i="23" s="1"/>
  <c r="K14" i="23"/>
  <c r="K13" i="23"/>
  <c r="K15" i="23" s="1"/>
  <c r="K23" i="23" s="1"/>
  <c r="K46" i="1"/>
  <c r="K52" i="1" s="1"/>
  <c r="L46" i="1"/>
  <c r="L52" i="1" s="1"/>
  <c r="E24" i="23" l="1"/>
  <c r="B24" i="23"/>
  <c r="B53" i="1"/>
  <c r="E53" i="1"/>
  <c r="B7" i="4" l="1"/>
  <c r="C7" i="4" s="1"/>
  <c r="C11" i="1"/>
  <c r="D6" i="1"/>
  <c r="E6" i="1" s="1"/>
  <c r="F6" i="1" s="1"/>
  <c r="G6" i="1" s="1"/>
  <c r="H6" i="1" s="1"/>
  <c r="I6" i="1" s="1"/>
  <c r="J6" i="1" s="1"/>
  <c r="K6" i="1" s="1"/>
  <c r="L6" i="1" s="1"/>
  <c r="D7" i="4" l="1"/>
  <c r="B13" i="4"/>
  <c r="D18" i="5"/>
  <c r="B18" i="5"/>
  <c r="D20" i="1" l="1"/>
  <c r="D11" i="1"/>
  <c r="C21" i="5"/>
  <c r="E7" i="4"/>
  <c r="B14" i="4"/>
  <c r="C13" i="4" s="1"/>
  <c r="C15" i="4" s="1"/>
  <c r="B15" i="4"/>
  <c r="C14" i="4" l="1"/>
  <c r="D13" i="4" s="1"/>
  <c r="D14" i="4" s="1"/>
  <c r="E13" i="4" s="1"/>
  <c r="B16" i="4"/>
  <c r="M21" i="4" s="1"/>
  <c r="F7" i="4"/>
  <c r="D12" i="1"/>
  <c r="D13" i="1" s="1"/>
  <c r="G12" i="1"/>
  <c r="H12" i="1"/>
  <c r="I12" i="1"/>
  <c r="I13" i="1" s="1"/>
  <c r="J12" i="1"/>
  <c r="J14" i="1" s="1"/>
  <c r="K12" i="1"/>
  <c r="L12" i="1"/>
  <c r="C12" i="1"/>
  <c r="C14" i="1" s="1"/>
  <c r="B23" i="1"/>
  <c r="B7" i="6" s="1"/>
  <c r="C16" i="4" l="1"/>
  <c r="M22" i="4" s="1"/>
  <c r="D15" i="4"/>
  <c r="D16" i="4" s="1"/>
  <c r="M23" i="4" s="1"/>
  <c r="F13" i="4"/>
  <c r="G7" i="4"/>
  <c r="E14" i="4"/>
  <c r="E15" i="4"/>
  <c r="C13" i="1"/>
  <c r="C15" i="1" s="1"/>
  <c r="C23" i="1" s="1"/>
  <c r="C6" i="6" s="1"/>
  <c r="I14" i="1"/>
  <c r="I15" i="1" s="1"/>
  <c r="I23" i="1" s="1"/>
  <c r="I6" i="6" s="1"/>
  <c r="L13" i="1"/>
  <c r="H13" i="1"/>
  <c r="L14" i="1"/>
  <c r="H14" i="1"/>
  <c r="D14" i="1"/>
  <c r="D15" i="1" s="1"/>
  <c r="D23" i="1" s="1"/>
  <c r="D6" i="6" s="1"/>
  <c r="K13" i="1"/>
  <c r="G13" i="1"/>
  <c r="K14" i="1"/>
  <c r="G14" i="1"/>
  <c r="J13" i="1"/>
  <c r="J15" i="1" s="1"/>
  <c r="J23" i="1" s="1"/>
  <c r="J6" i="6" s="1"/>
  <c r="C10" i="6" l="1"/>
  <c r="C7" i="6"/>
  <c r="D7" i="6" s="1"/>
  <c r="E11" i="1"/>
  <c r="E12" i="1" s="1"/>
  <c r="E13" i="1" s="1"/>
  <c r="E16" i="4"/>
  <c r="M24" i="4" s="1"/>
  <c r="F15" i="4"/>
  <c r="F14" i="4"/>
  <c r="G13" i="4"/>
  <c r="H7" i="4"/>
  <c r="H15" i="1"/>
  <c r="H23" i="1" s="1"/>
  <c r="H6" i="6" s="1"/>
  <c r="G15" i="1"/>
  <c r="G23" i="1" s="1"/>
  <c r="G6" i="6" s="1"/>
  <c r="L15" i="1"/>
  <c r="L23" i="1" s="1"/>
  <c r="L6" i="6" s="1"/>
  <c r="K15" i="1"/>
  <c r="K23" i="1" s="1"/>
  <c r="K6" i="6" s="1"/>
  <c r="E20" i="1" l="1"/>
  <c r="F20" i="1"/>
  <c r="F11" i="1"/>
  <c r="F12" i="1" s="1"/>
  <c r="F14" i="1" s="1"/>
  <c r="E14" i="1"/>
  <c r="E15" i="1" s="1"/>
  <c r="F16" i="4"/>
  <c r="M25" i="4" s="1"/>
  <c r="I7" i="4"/>
  <c r="H13" i="4"/>
  <c r="G15" i="4"/>
  <c r="G14" i="4"/>
  <c r="G16" i="4" l="1"/>
  <c r="M26" i="4" s="1"/>
  <c r="E23" i="1"/>
  <c r="F13" i="1"/>
  <c r="F15" i="1" s="1"/>
  <c r="F23" i="1" s="1"/>
  <c r="F6" i="6" s="1"/>
  <c r="H14" i="4"/>
  <c r="H15" i="4"/>
  <c r="I13" i="4"/>
  <c r="J7" i="4"/>
  <c r="E6" i="6" l="1"/>
  <c r="E7" i="6" s="1"/>
  <c r="F7" i="6" s="1"/>
  <c r="G7" i="6" s="1"/>
  <c r="H7" i="6" s="1"/>
  <c r="I7" i="6" s="1"/>
  <c r="J7" i="6" s="1"/>
  <c r="K7" i="6" s="1"/>
  <c r="L7" i="6" s="1"/>
  <c r="B24" i="1"/>
  <c r="E24" i="1"/>
  <c r="H16" i="4"/>
  <c r="M27" i="4" s="1"/>
  <c r="J13" i="4"/>
  <c r="K7" i="4"/>
  <c r="K13" i="4" s="1"/>
  <c r="I14" i="4"/>
  <c r="I15" i="4"/>
  <c r="I16" i="4" l="1"/>
  <c r="M28" i="4" s="1"/>
  <c r="K15" i="4"/>
  <c r="K14" i="4"/>
  <c r="J14" i="4"/>
  <c r="J15" i="4"/>
  <c r="J16" i="4" l="1"/>
  <c r="M29" i="4" s="1"/>
  <c r="K16" i="4"/>
  <c r="M30" i="4" s="1"/>
</calcChain>
</file>

<file path=xl/comments1.xml><?xml version="1.0" encoding="utf-8"?>
<comments xmlns="http://schemas.openxmlformats.org/spreadsheetml/2006/main">
  <authors>
    <author>FIEC</author>
  </authors>
  <commentList>
    <comment ref="F7" authorId="0">
      <text>
        <r>
          <rPr>
            <b/>
            <sz val="8"/>
            <color indexed="81"/>
            <rFont val="Tahoma"/>
            <family val="2"/>
          </rPr>
          <t>FIEC:</t>
        </r>
        <r>
          <rPr>
            <sz val="8"/>
            <color indexed="81"/>
            <rFont val="Tahoma"/>
            <family val="2"/>
          </rPr>
          <t xml:space="preserve">
Bonos del Tesoro EE.UU. Al 16 de Abr. Del 2012
</t>
        </r>
      </text>
    </comment>
  </commentList>
</comments>
</file>

<file path=xl/sharedStrings.xml><?xml version="1.0" encoding="utf-8"?>
<sst xmlns="http://schemas.openxmlformats.org/spreadsheetml/2006/main" count="467" uniqueCount="270">
  <si>
    <t>DETALLE</t>
  </si>
  <si>
    <t>AÑO 0</t>
  </si>
  <si>
    <t>AÑO 1</t>
  </si>
  <si>
    <t>AÑO 2</t>
  </si>
  <si>
    <t>AÑO 3</t>
  </si>
  <si>
    <t>AÑO 4</t>
  </si>
  <si>
    <t>AÑO 5</t>
  </si>
  <si>
    <t>AÑO 6</t>
  </si>
  <si>
    <t>AÑO 7</t>
  </si>
  <si>
    <t>AÑO 8</t>
  </si>
  <si>
    <t>AÑO 9</t>
  </si>
  <si>
    <t>AÑO 10</t>
  </si>
  <si>
    <t>Ingresos Estimados</t>
  </si>
  <si>
    <t>Gastos de Administración</t>
  </si>
  <si>
    <t>Gastos de Mantenimiento</t>
  </si>
  <si>
    <t>Amortización Intangible</t>
  </si>
  <si>
    <t>Depreciación</t>
  </si>
  <si>
    <t>Utilidad antes de Impuesto</t>
  </si>
  <si>
    <t>Impuesto a la Renta</t>
  </si>
  <si>
    <t>15% Participación de Trabajadores</t>
  </si>
  <si>
    <t>Utilidad Neta</t>
  </si>
  <si>
    <t>Intereses</t>
  </si>
  <si>
    <t xml:space="preserve">Inversión </t>
  </si>
  <si>
    <t>Prestamo</t>
  </si>
  <si>
    <t>Capital de Trabajo</t>
  </si>
  <si>
    <t>Valor de Desecho</t>
  </si>
  <si>
    <t>Flujo Neto del Proyecto</t>
  </si>
  <si>
    <t>VAN</t>
  </si>
  <si>
    <t>TIR</t>
  </si>
  <si>
    <t>Amortización de la Deuda</t>
  </si>
  <si>
    <t>Amortización Intangible(+)</t>
  </si>
  <si>
    <t>Depreciación (+)</t>
  </si>
  <si>
    <t>ACTIVOS</t>
  </si>
  <si>
    <t>Activo Corriente</t>
  </si>
  <si>
    <t>Caja-Bancos</t>
  </si>
  <si>
    <t>Activos Diferidos</t>
  </si>
  <si>
    <t>Gastos Pre-Operacionales</t>
  </si>
  <si>
    <t>(-) Amortización Acumulada</t>
  </si>
  <si>
    <t>Activos Fijos</t>
  </si>
  <si>
    <t>PASIVOS</t>
  </si>
  <si>
    <t>Estructura del Estacionamiento</t>
  </si>
  <si>
    <t>Muebles de Oficina</t>
  </si>
  <si>
    <t>Equipos</t>
  </si>
  <si>
    <t>Eq. De Oficina</t>
  </si>
  <si>
    <t>Eq. De Computación</t>
  </si>
  <si>
    <t>(-) Depreciación Acumulada</t>
  </si>
  <si>
    <t>TOTAL ACTIVOS</t>
  </si>
  <si>
    <t>TOTAL PASIVOS Y CC</t>
  </si>
  <si>
    <t>Obligaciones Bancarias</t>
  </si>
  <si>
    <t>Deuda a Largo Plazo</t>
  </si>
  <si>
    <t>CAPITAL CONTABLE</t>
  </si>
  <si>
    <t>Capital Social</t>
  </si>
  <si>
    <t>Periodo</t>
  </si>
  <si>
    <t>Cuota</t>
  </si>
  <si>
    <t>Interés</t>
  </si>
  <si>
    <t>Amortización</t>
  </si>
  <si>
    <t>Capital Vivo</t>
  </si>
  <si>
    <t>FLUJO DE CAJA PROYECTADO</t>
  </si>
  <si>
    <t>ESTADO DE PERDIDAS Y GANANCIAS PROYECTADO</t>
  </si>
  <si>
    <t>UTILIDADES NETAS</t>
  </si>
  <si>
    <t>AÑOS</t>
  </si>
  <si>
    <t>ANEXO No 7</t>
  </si>
  <si>
    <t>BALANCE GENERAL AL FINAL DEL PRIMER AÑO</t>
  </si>
  <si>
    <t>Recuperación del capital</t>
  </si>
  <si>
    <t>ANEXO No 8</t>
  </si>
  <si>
    <t>PAYBACK O RECUPERACION DE LA INVERSION</t>
  </si>
  <si>
    <t>VARIACION</t>
  </si>
  <si>
    <t>ANEXO No 9</t>
  </si>
  <si>
    <t>Re</t>
  </si>
  <si>
    <t>Rd</t>
  </si>
  <si>
    <t>Rf</t>
  </si>
  <si>
    <t>Rm</t>
  </si>
  <si>
    <t>Beta</t>
  </si>
  <si>
    <t>Riesgo País</t>
  </si>
  <si>
    <t>EDIFICACIÓN</t>
  </si>
  <si>
    <t>Costo Total</t>
  </si>
  <si>
    <t>Estructura de Estacionamiento</t>
  </si>
  <si>
    <t>Gasto de Importación</t>
  </si>
  <si>
    <t>Gasto de Transporte</t>
  </si>
  <si>
    <t>Materiales de Construcción</t>
  </si>
  <si>
    <t>Mano de Obra de Construcción</t>
  </si>
  <si>
    <t>Garantía de alquiler</t>
  </si>
  <si>
    <t>Gastos de Constitución</t>
  </si>
  <si>
    <t>Total de Gastos Pre-Operacionales</t>
  </si>
  <si>
    <t>EQUIPOS</t>
  </si>
  <si>
    <t>Precio Unitario</t>
  </si>
  <si>
    <t>Cantidad</t>
  </si>
  <si>
    <t>Precio Total</t>
  </si>
  <si>
    <t>Generador de Energía</t>
  </si>
  <si>
    <t>Equipos de Seguridad</t>
  </si>
  <si>
    <t>Lámparas</t>
  </si>
  <si>
    <t>Sistema contra incendios</t>
  </si>
  <si>
    <t>Total de Equipos</t>
  </si>
  <si>
    <t>MUEBLES Y ENSERES</t>
  </si>
  <si>
    <t>Escritorio</t>
  </si>
  <si>
    <t>Sillón Ejecutivo</t>
  </si>
  <si>
    <t>Sillas</t>
  </si>
  <si>
    <t>Archivadores</t>
  </si>
  <si>
    <t>Total de Muebles y Enseres</t>
  </si>
  <si>
    <t>EQUIPOS DE OFICINA</t>
  </si>
  <si>
    <t>Caja Registradora</t>
  </si>
  <si>
    <t>Teléfonos</t>
  </si>
  <si>
    <t>Total de Equipos de Oficina</t>
  </si>
  <si>
    <t>EQUIPOS DE COMPUTACION</t>
  </si>
  <si>
    <t>Computadoras</t>
  </si>
  <si>
    <t>Impresoras</t>
  </si>
  <si>
    <t>Total de Equipos de Comp.</t>
  </si>
  <si>
    <t>ACTIVO</t>
  </si>
  <si>
    <t>Valor de Compra</t>
  </si>
  <si>
    <t>Vida Contable</t>
  </si>
  <si>
    <t>Depreciación Anual</t>
  </si>
  <si>
    <t>Años de Depreciación</t>
  </si>
  <si>
    <t>Depreciación Acumulada</t>
  </si>
  <si>
    <t>Valor en Libros</t>
  </si>
  <si>
    <t>Edificación</t>
  </si>
  <si>
    <t>TOTAL</t>
  </si>
  <si>
    <t>VALOR DE DESECHO</t>
  </si>
  <si>
    <t>GASTOS DE ADMINISTRACION</t>
  </si>
  <si>
    <t>Sueldos y Salarios</t>
  </si>
  <si>
    <t xml:space="preserve"> Administrador</t>
  </si>
  <si>
    <t>Operarios</t>
  </si>
  <si>
    <t>Servicios Básicos</t>
  </si>
  <si>
    <t>Energía eléctrica</t>
  </si>
  <si>
    <t>Agua potable</t>
  </si>
  <si>
    <t>Telefonía</t>
  </si>
  <si>
    <t>Gastos de Seguridad</t>
  </si>
  <si>
    <t>Gastos de Seguro</t>
  </si>
  <si>
    <t>Alquiler del Terreno</t>
  </si>
  <si>
    <t>Suministros y Materiales</t>
  </si>
  <si>
    <t>hora extra</t>
    <phoneticPr fontId="2" type="noConversion"/>
  </si>
  <si>
    <t>tasa patronal</t>
    <phoneticPr fontId="2" type="noConversion"/>
  </si>
  <si>
    <t>Administrador</t>
    <phoneticPr fontId="2" type="noConversion"/>
  </si>
  <si>
    <t xml:space="preserve">operario 1 </t>
    <phoneticPr fontId="2" type="noConversion"/>
  </si>
  <si>
    <t>operario 2</t>
    <phoneticPr fontId="2" type="noConversion"/>
  </si>
  <si>
    <t>suma total</t>
    <phoneticPr fontId="2" type="noConversion"/>
  </si>
  <si>
    <t>sueldo anual</t>
  </si>
  <si>
    <t>decimo 3er</t>
  </si>
  <si>
    <t>decimo 4to</t>
  </si>
  <si>
    <t>vacaciones</t>
  </si>
  <si>
    <t>TOTALES</t>
  </si>
  <si>
    <t>GASTOS DE AMORTIZACION</t>
  </si>
  <si>
    <t>Costo</t>
  </si>
  <si>
    <t>Año 1</t>
  </si>
  <si>
    <t>Año 2</t>
  </si>
  <si>
    <t>Año 3</t>
  </si>
  <si>
    <t>Año 4</t>
  </si>
  <si>
    <t>Año 5</t>
  </si>
  <si>
    <t>Año 6</t>
  </si>
  <si>
    <t>Año 7</t>
  </si>
  <si>
    <t>Año 8</t>
  </si>
  <si>
    <t>Año 9</t>
  </si>
  <si>
    <t>Año 10</t>
  </si>
  <si>
    <t>Gasto de Constitución</t>
  </si>
  <si>
    <t>Gasto Pre-Operacional</t>
  </si>
  <si>
    <t>GASTOS DE MANTENIMIENTO</t>
  </si>
  <si>
    <t>Mantenimiento del  Estacionamiento</t>
  </si>
  <si>
    <t>METODO DE DEFICIT ACUMULADO MAXIMO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</si>
  <si>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</si>
  <si>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</si>
  <si>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</si>
  <si>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</si>
  <si>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</si>
  <si>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</si>
  <si>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</si>
  <si>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</si>
  <si>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</si>
  <si>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</si>
  <si>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</si>
  <si>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</si>
  <si>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INGRESOS </t>
  </si>
  <si>
    <t>EGRESOS</t>
  </si>
  <si>
    <t>G. Administrativos</t>
  </si>
  <si>
    <t>G. Mantenimiento</t>
  </si>
  <si>
    <t>SALDO MENSUAL</t>
  </si>
  <si>
    <t>SALDO ACUMULADO</t>
  </si>
  <si>
    <t>INGRESOS ESTIMADOS</t>
  </si>
  <si>
    <t>INGRESOS ($)</t>
  </si>
  <si>
    <t>Alquiler por Hora o Fracción</t>
  </si>
  <si>
    <t>Por Paquete Mensual</t>
  </si>
  <si>
    <t>Total de Ingresos</t>
  </si>
  <si>
    <t>FINANCIAMIENTO</t>
  </si>
  <si>
    <t>DE LA INVERSION</t>
  </si>
  <si>
    <t>TMAR</t>
  </si>
  <si>
    <t>ke=</t>
  </si>
  <si>
    <t>Rentabilidad exigida Capital propio</t>
  </si>
  <si>
    <t>rf=</t>
  </si>
  <si>
    <t xml:space="preserve">Tasa Libre de riesgo </t>
  </si>
  <si>
    <t>http://www.portfoliopersonal.com/Tasa_Interes/hTB_TIR.asp</t>
  </si>
  <si>
    <t>rm=</t>
  </si>
  <si>
    <t xml:space="preserve">Tasa de rentabilidad del mercado </t>
    <phoneticPr fontId="0" type="noConversion"/>
  </si>
  <si>
    <t>http://www.invertia.com/mercados/bolsa/indices/portada.asp?idtel=IB017SP500</t>
  </si>
  <si>
    <t>Riesgo  pais</t>
  </si>
  <si>
    <t>http://www.bce.fin.ec/resumen_ticker.php?ticker_value=riesgo_pais</t>
  </si>
  <si>
    <t>B=</t>
  </si>
  <si>
    <t xml:space="preserve">Beta </t>
  </si>
  <si>
    <t>http://www.reuters.com/finance/stocks/financialHighlights?symbol=TKAG.DE</t>
  </si>
  <si>
    <t xml:space="preserve">Riesgo País </t>
  </si>
  <si>
    <t>Fecha</t>
  </si>
  <si>
    <t xml:space="preserve">Valor </t>
  </si>
  <si>
    <t>Abril-09-2012</t>
  </si>
  <si>
    <t>tmar = CAPM</t>
  </si>
  <si>
    <t>Re = rf + b (rm –  rf )+Rp</t>
  </si>
  <si>
    <t>Abril-08-2012</t>
  </si>
  <si>
    <t>capm</t>
  </si>
  <si>
    <t>ESTRUCTURA DE CAPITAL</t>
  </si>
  <si>
    <t>Abril-07-2012</t>
  </si>
  <si>
    <t xml:space="preserve">CAPITAL </t>
  </si>
  <si>
    <t>Abril-06-2012</t>
  </si>
  <si>
    <t>DEUDA</t>
  </si>
  <si>
    <t>Abril-05-2012</t>
  </si>
  <si>
    <t>BCE</t>
  </si>
  <si>
    <t>Abril-04-2012</t>
  </si>
  <si>
    <t>Abril-03-2012</t>
  </si>
  <si>
    <t>Abril-02-2012</t>
  </si>
  <si>
    <t xml:space="preserve">Tasa Fiscal </t>
  </si>
  <si>
    <t>CAPM</t>
  </si>
  <si>
    <t>Abril-01-2012</t>
  </si>
  <si>
    <t>Marzo-31-2012</t>
  </si>
  <si>
    <t>Marzo-30-2012</t>
  </si>
  <si>
    <t>Marzo-29-2012</t>
  </si>
  <si>
    <t>WACC</t>
  </si>
  <si>
    <t>ccpp</t>
  </si>
  <si>
    <t>Marzo-28-2012</t>
  </si>
  <si>
    <t>Marzo-27-2012</t>
  </si>
  <si>
    <t>Marzo-26-2012</t>
  </si>
  <si>
    <t>Marzo-23-2012</t>
  </si>
  <si>
    <t>Marzo-22-2012</t>
  </si>
  <si>
    <t>Marzo-21-2012</t>
  </si>
  <si>
    <t>Marzo-20-2012</t>
  </si>
  <si>
    <t>Marzo-19-2012</t>
  </si>
  <si>
    <t>Marzo-16-2012</t>
  </si>
  <si>
    <t>Marzo-15-2012</t>
  </si>
  <si>
    <t>Marzo-14-2012</t>
  </si>
  <si>
    <t>Marzo-13-2012</t>
  </si>
  <si>
    <t>Marzo-12-2012</t>
  </si>
  <si>
    <t>Marzo-09-2012</t>
  </si>
  <si>
    <t>Marzo-08-2012</t>
  </si>
  <si>
    <t>Marzo-07-2012</t>
  </si>
  <si>
    <t>Marzo-06-2012</t>
  </si>
  <si>
    <t>Marzo-05-2012</t>
  </si>
  <si>
    <t xml:space="preserve">Maximo </t>
  </si>
  <si>
    <t xml:space="preserve">Minimo </t>
  </si>
  <si>
    <t xml:space="preserve">Promedio </t>
  </si>
  <si>
    <t xml:space="preserve">Puntos Bases </t>
  </si>
  <si>
    <t>FLUJO DE CAJA DEL INVERSIONISTA</t>
  </si>
  <si>
    <t>ANEXO No 10</t>
  </si>
  <si>
    <t>=</t>
  </si>
  <si>
    <t>TIEMPO DE RECUPERACION CAPITAL</t>
  </si>
  <si>
    <t>ANEXO No 11</t>
  </si>
  <si>
    <t>ANEXO No 13</t>
  </si>
  <si>
    <t>FLUJO DE CAJA PROYECTADO CONSERVADOR</t>
  </si>
  <si>
    <t>FLUJO DE CAJA PROYECTADO PESIMISTA</t>
  </si>
  <si>
    <t>ANALISIS DE SENSIBLIDAD RESPECTO A INGRESOS</t>
  </si>
  <si>
    <t>%</t>
  </si>
  <si>
    <t>RESULTADO</t>
  </si>
  <si>
    <t>FACTIBLE</t>
  </si>
  <si>
    <t>ANEXO No 12</t>
  </si>
  <si>
    <t>Punto de Equilibrio %</t>
  </si>
  <si>
    <t>Punto de Equilibrio $</t>
  </si>
  <si>
    <t>Descripción</t>
  </si>
  <si>
    <t>Mensual</t>
  </si>
  <si>
    <t>Costo Fijo</t>
  </si>
  <si>
    <t>Costo Variable</t>
  </si>
  <si>
    <t>Ventas</t>
  </si>
  <si>
    <t>P.E</t>
  </si>
  <si>
    <t xml:space="preserve">2 año </t>
    <phoneticPr fontId="41" type="noConversion"/>
  </si>
  <si>
    <t>No Factible</t>
  </si>
  <si>
    <t>PRESTAMO BANCARIO 11.83%</t>
  </si>
  <si>
    <t>ANEXO No 3</t>
  </si>
  <si>
    <t>ANEXO No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</si>
</sst>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&quot;$&quot;#,##0.00"/>
    <numFmt numFmtId="165" formatCode="[$$-300A]\ #,##0.00_ ;[Red]\-[$$-300A]\ #,##0.00\ "/>
    <numFmt numFmtId="166" formatCode="&quot;$&quot;\ #,##0.00_);[Red]\(&quot;$&quot;\ #,##0.00\)"/>
    <numFmt numFmtId="167" formatCode="&quot;$&quot;\ #,##0;[Red]&quot;$&quot;\ \-#,##0"/>
    <numFmt numFmtId="168" formatCode="[$$-300A]\ #,##0.00"/>
  </numFmts>
  <fonts count="48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 Narrow"/>
      <family val="2"/>
    </font>
    <font>
      <b/>
      <sz val="11"/>
      <color theme="0"/>
      <name val="Arial Narrow"/>
      <family val="2"/>
    </font>
    <font>
      <b/>
      <sz val="12"/>
      <color theme="3"/>
      <name val="Arial Narrow"/>
      <family val="2"/>
    </font>
    <font>
      <sz val="10"/>
      <color indexed="9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7.5"/>
      <color rgb="FF820024"/>
      <name val="Verdana"/>
      <family val="2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indexed="8"/>
      <name val="Calibri"/>
      <family val="2"/>
      <scheme val="minor"/>
    </font>
    <font>
      <b/>
      <sz val="11"/>
      <color rgb="FF3399FF"/>
      <name val="Calibri"/>
      <family val="2"/>
      <scheme val="minor"/>
    </font>
    <font>
      <b/>
      <sz val="9"/>
      <color indexed="8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820024"/>
      <name val="Verdana"/>
      <family val="2"/>
    </font>
    <font>
      <b/>
      <sz val="10"/>
      <color rgb="FF820024"/>
      <name val="Verdan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56"/>
      <name val="Arial"/>
      <family val="2"/>
    </font>
    <font>
      <sz val="12"/>
      <color indexed="8"/>
      <name val="Arial"/>
      <family val="2"/>
    </font>
    <font>
      <sz val="12"/>
      <color indexed="56"/>
      <name val="Arial"/>
      <family val="2"/>
    </font>
    <font>
      <b/>
      <sz val="12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9"/>
      <name val="Calibri"/>
      <family val="3"/>
      <charset val="134"/>
      <scheme val="minor"/>
    </font>
    <font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b/>
      <i/>
      <sz val="10"/>
      <name val="Calibri"/>
      <family val="2"/>
      <scheme val="minor"/>
    </font>
    <font>
      <b/>
      <sz val="10"/>
      <name val="Calibri"/>
      <family val="2"/>
    </font>
    <font>
      <sz val="9"/>
      <color rgb="FF000000"/>
      <name val="Century Schoolbook"/>
      <family val="1"/>
    </font>
    <font>
      <b/>
      <sz val="11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FF66CC"/>
      </left>
      <right style="double">
        <color rgb="FFFF66CC"/>
      </right>
      <top style="double">
        <color rgb="FFFF66CC"/>
      </top>
      <bottom/>
      <diagonal/>
    </border>
    <border>
      <left style="double">
        <color rgb="FFFF66CC"/>
      </left>
      <right style="double">
        <color rgb="FFFF66CC"/>
      </right>
      <top/>
      <bottom/>
      <diagonal/>
    </border>
    <border>
      <left style="double">
        <color theme="6" tint="-0.249977111117893"/>
      </left>
      <right/>
      <top style="double">
        <color theme="6" tint="-0.249977111117893"/>
      </top>
      <bottom style="double">
        <color theme="6" tint="-0.249977111117893"/>
      </bottom>
      <diagonal/>
    </border>
    <border>
      <left/>
      <right style="double">
        <color theme="6" tint="-0.249977111117893"/>
      </right>
      <top style="double">
        <color theme="6" tint="-0.249977111117893"/>
      </top>
      <bottom style="double">
        <color theme="6" tint="-0.249977111117893"/>
      </bottom>
      <diagonal/>
    </border>
    <border>
      <left style="double">
        <color theme="6" tint="-0.249977111117893"/>
      </left>
      <right/>
      <top/>
      <bottom/>
      <diagonal/>
    </border>
    <border>
      <left style="double">
        <color theme="6" tint="-0.249977111117893"/>
      </left>
      <right style="double">
        <color theme="6" tint="-0.249977111117893"/>
      </right>
      <top/>
      <bottom/>
      <diagonal/>
    </border>
    <border>
      <left style="double">
        <color rgb="FFFF66CC"/>
      </left>
      <right style="thin">
        <color indexed="64"/>
      </right>
      <top style="double">
        <color rgb="FFFF66CC"/>
      </top>
      <bottom style="double">
        <color rgb="FFFF66CC"/>
      </bottom>
      <diagonal/>
    </border>
    <border>
      <left style="thin">
        <color indexed="64"/>
      </left>
      <right style="double">
        <color rgb="FFFF66CC"/>
      </right>
      <top style="double">
        <color rgb="FFFF66CC"/>
      </top>
      <bottom style="double">
        <color rgb="FFFF66CC"/>
      </bottom>
      <diagonal/>
    </border>
    <border>
      <left style="double">
        <color theme="6" tint="-0.249977111117893"/>
      </left>
      <right style="double">
        <color theme="6" tint="-0.249977111117893"/>
      </right>
      <top style="double">
        <color theme="6" tint="-0.249977111117893"/>
      </top>
      <bottom style="double">
        <color theme="6" tint="-0.249977111117893"/>
      </bottom>
      <diagonal/>
    </border>
    <border>
      <left style="double">
        <color rgb="FFFF66CC"/>
      </left>
      <right style="double">
        <color rgb="FFFF66CC"/>
      </right>
      <top style="double">
        <color rgb="FFFF66CC"/>
      </top>
      <bottom style="double">
        <color rgb="FFFF66CC"/>
      </bottom>
      <diagonal/>
    </border>
    <border>
      <left/>
      <right style="double">
        <color rgb="FFFF66CC"/>
      </right>
      <top style="double">
        <color rgb="FFFF66CC"/>
      </top>
      <bottom style="double">
        <color rgb="FFFF66CC"/>
      </bottom>
      <diagonal/>
    </border>
    <border>
      <left style="double">
        <color rgb="FFFF66CC"/>
      </left>
      <right style="double">
        <color rgb="FFFF66CC"/>
      </right>
      <top/>
      <bottom style="double">
        <color rgb="FFFF66CC"/>
      </bottom>
      <diagonal/>
    </border>
    <border>
      <left/>
      <right style="double">
        <color rgb="FFFF66CC"/>
      </right>
      <top/>
      <bottom style="double">
        <color rgb="FFFF66CC"/>
      </bottom>
      <diagonal/>
    </border>
    <border>
      <left style="double">
        <color theme="6" tint="-0.249977111117893"/>
      </left>
      <right/>
      <top/>
      <bottom style="double">
        <color theme="6" tint="-0.249977111117893"/>
      </bottom>
      <diagonal/>
    </border>
    <border>
      <left style="double">
        <color theme="6" tint="-0.249977111117893"/>
      </left>
      <right style="thin">
        <color indexed="64"/>
      </right>
      <top style="double">
        <color theme="6" tint="-0.249977111117893"/>
      </top>
      <bottom/>
      <diagonal/>
    </border>
    <border>
      <left style="thin">
        <color indexed="64"/>
      </left>
      <right style="double">
        <color theme="6" tint="-0.249977111117893"/>
      </right>
      <top style="double">
        <color theme="6" tint="-0.249977111117893"/>
      </top>
      <bottom/>
      <diagonal/>
    </border>
    <border>
      <left style="double">
        <color theme="6" tint="-0.249977111117893"/>
      </left>
      <right style="double">
        <color theme="6" tint="-0.249977111117893"/>
      </right>
      <top style="double">
        <color theme="6" tint="-0.249977111117893"/>
      </top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39" fillId="0" borderId="0"/>
  </cellStyleXfs>
  <cellXfs count="25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/>
    <xf numFmtId="0" fontId="1" fillId="0" borderId="0" xfId="0" applyFont="1" applyFill="1" applyBorder="1"/>
    <xf numFmtId="0" fontId="2" fillId="0" borderId="0" xfId="0" applyFont="1" applyFill="1" applyBorder="1"/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/>
    <xf numFmtId="164" fontId="2" fillId="0" borderId="2" xfId="0" applyNumberFormat="1" applyFont="1" applyFill="1" applyBorder="1" applyAlignment="1">
      <alignment horizontal="center" vertical="center"/>
    </xf>
    <xf numFmtId="0" fontId="0" fillId="0" borderId="2" xfId="0" applyBorder="1"/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vertical="center"/>
    </xf>
    <xf numFmtId="2" fontId="8" fillId="0" borderId="1" xfId="1" applyNumberFormat="1" applyFont="1" applyBorder="1" applyAlignment="1"/>
    <xf numFmtId="0" fontId="9" fillId="5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vertical="center"/>
    </xf>
    <xf numFmtId="165" fontId="10" fillId="6" borderId="1" xfId="0" applyNumberFormat="1" applyFont="1" applyFill="1" applyBorder="1" applyAlignment="1"/>
    <xf numFmtId="9" fontId="10" fillId="6" borderId="1" xfId="1" applyNumberFormat="1" applyFont="1" applyFill="1" applyBorder="1" applyAlignment="1"/>
    <xf numFmtId="164" fontId="2" fillId="4" borderId="1" xfId="0" applyNumberFormat="1" applyFont="1" applyFill="1" applyBorder="1" applyAlignment="1">
      <alignment vertical="center"/>
    </xf>
    <xf numFmtId="0" fontId="1" fillId="0" borderId="1" xfId="1" applyNumberFormat="1" applyFont="1" applyBorder="1" applyAlignment="1"/>
    <xf numFmtId="0" fontId="1" fillId="2" borderId="1" xfId="0" applyNumberFormat="1" applyFont="1" applyFill="1" applyBorder="1" applyAlignment="1">
      <alignment vertical="center"/>
    </xf>
    <xf numFmtId="0" fontId="1" fillId="3" borderId="1" xfId="0" applyNumberFormat="1" applyFont="1" applyFill="1" applyBorder="1" applyAlignment="1">
      <alignment vertical="center"/>
    </xf>
    <xf numFmtId="2" fontId="1" fillId="0" borderId="1" xfId="1" applyNumberFormat="1" applyFont="1" applyBorder="1" applyAlignment="1"/>
    <xf numFmtId="2" fontId="2" fillId="2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2" fontId="1" fillId="0" borderId="0" xfId="1" applyNumberFormat="1" applyFont="1" applyFill="1" applyBorder="1" applyAlignment="1"/>
    <xf numFmtId="2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2" fontId="1" fillId="0" borderId="4" xfId="0" applyNumberFormat="1" applyFont="1" applyFill="1" applyBorder="1" applyAlignment="1">
      <alignment vertical="center"/>
    </xf>
    <xf numFmtId="0" fontId="7" fillId="0" borderId="0" xfId="0" applyFont="1"/>
    <xf numFmtId="0" fontId="2" fillId="0" borderId="1" xfId="0" applyFont="1" applyFill="1" applyBorder="1" applyAlignment="1">
      <alignment horizontal="center" vertical="center"/>
    </xf>
    <xf numFmtId="164" fontId="1" fillId="0" borderId="1" xfId="0" applyNumberFormat="1" applyFont="1" applyBorder="1"/>
    <xf numFmtId="0" fontId="2" fillId="0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7" fillId="0" borderId="0" xfId="0" applyFont="1" applyFill="1" applyBorder="1"/>
    <xf numFmtId="2" fontId="7" fillId="0" borderId="0" xfId="0" applyNumberFormat="1" applyFont="1" applyFill="1" applyBorder="1" applyAlignment="1">
      <alignment horizontal="right"/>
    </xf>
    <xf numFmtId="2" fontId="7" fillId="0" borderId="0" xfId="0" applyNumberFormat="1" applyFont="1" applyFill="1" applyBorder="1"/>
    <xf numFmtId="2" fontId="7" fillId="0" borderId="2" xfId="0" applyNumberFormat="1" applyFont="1" applyFill="1" applyBorder="1"/>
    <xf numFmtId="164" fontId="6" fillId="0" borderId="0" xfId="0" applyNumberFormat="1" applyFont="1" applyFill="1" applyBorder="1"/>
    <xf numFmtId="2" fontId="7" fillId="0" borderId="0" xfId="0" applyNumberFormat="1" applyFont="1"/>
    <xf numFmtId="0" fontId="7" fillId="0" borderId="2" xfId="0" applyFont="1" applyBorder="1"/>
    <xf numFmtId="164" fontId="6" fillId="0" borderId="0" xfId="0" applyNumberFormat="1" applyFont="1"/>
    <xf numFmtId="2" fontId="0" fillId="0" borderId="1" xfId="0" applyNumberFormat="1" applyBorder="1"/>
    <xf numFmtId="0" fontId="6" fillId="0" borderId="1" xfId="0" applyFont="1" applyBorder="1"/>
    <xf numFmtId="0" fontId="0" fillId="0" borderId="0" xfId="0" applyFill="1" applyBorder="1" applyAlignment="1"/>
    <xf numFmtId="0" fontId="12" fillId="0" borderId="0" xfId="0" applyFont="1" applyFill="1" applyBorder="1" applyAlignment="1">
      <alignment vertical="top" wrapText="1"/>
    </xf>
    <xf numFmtId="0" fontId="2" fillId="8" borderId="1" xfId="0" applyFont="1" applyFill="1" applyBorder="1" applyAlignment="1">
      <alignment horizontal="center" vertical="center"/>
    </xf>
    <xf numFmtId="164" fontId="2" fillId="7" borderId="3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/>
    <xf numFmtId="0" fontId="2" fillId="8" borderId="3" xfId="0" applyFont="1" applyFill="1" applyBorder="1" applyAlignment="1">
      <alignment horizontal="left" vertical="center" wrapText="1"/>
    </xf>
    <xf numFmtId="164" fontId="2" fillId="8" borderId="3" xfId="0" applyNumberFormat="1" applyFont="1" applyFill="1" applyBorder="1" applyAlignment="1">
      <alignment horizontal="right" vertical="center"/>
    </xf>
    <xf numFmtId="0" fontId="2" fillId="8" borderId="1" xfId="0" applyFont="1" applyFill="1" applyBorder="1"/>
    <xf numFmtId="164" fontId="2" fillId="8" borderId="1" xfId="0" applyNumberFormat="1" applyFont="1" applyFill="1" applyBorder="1"/>
    <xf numFmtId="0" fontId="2" fillId="8" borderId="1" xfId="0" applyNumberFormat="1" applyFont="1" applyFill="1" applyBorder="1"/>
    <xf numFmtId="164" fontId="2" fillId="8" borderId="3" xfId="0" applyNumberFormat="1" applyFont="1" applyFill="1" applyBorder="1" applyAlignment="1">
      <alignment vertical="center"/>
    </xf>
    <xf numFmtId="0" fontId="2" fillId="8" borderId="3" xfId="0" applyFont="1" applyFill="1" applyBorder="1" applyAlignment="1">
      <alignment vertical="center"/>
    </xf>
    <xf numFmtId="164" fontId="2" fillId="8" borderId="3" xfId="0" applyNumberFormat="1" applyFont="1" applyFill="1" applyBorder="1"/>
    <xf numFmtId="0" fontId="2" fillId="8" borderId="3" xfId="0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/>
    <xf numFmtId="0" fontId="1" fillId="0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2" fontId="1" fillId="0" borderId="1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5" fillId="0" borderId="6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1" fillId="0" borderId="10" xfId="0" applyFont="1" applyBorder="1"/>
    <xf numFmtId="0" fontId="15" fillId="0" borderId="3" xfId="0" applyFont="1" applyFill="1" applyBorder="1" applyAlignment="1">
      <alignment horizontal="left" vertical="center"/>
    </xf>
    <xf numFmtId="2" fontId="1" fillId="0" borderId="1" xfId="0" applyNumberFormat="1" applyFont="1" applyFill="1" applyBorder="1"/>
    <xf numFmtId="0" fontId="15" fillId="0" borderId="1" xfId="0" applyFont="1" applyBorder="1" applyAlignment="1">
      <alignment horizontal="left" vertical="center"/>
    </xf>
    <xf numFmtId="0" fontId="1" fillId="0" borderId="5" xfId="0" applyFont="1" applyBorder="1"/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" fillId="0" borderId="0" xfId="0" applyFont="1" applyBorder="1"/>
    <xf numFmtId="0" fontId="2" fillId="8" borderId="1" xfId="0" applyFont="1" applyFill="1" applyBorder="1" applyAlignment="1">
      <alignment horizontal="center"/>
    </xf>
    <xf numFmtId="164" fontId="1" fillId="8" borderId="1" xfId="0" applyNumberFormat="1" applyFont="1" applyFill="1" applyBorder="1"/>
    <xf numFmtId="0" fontId="1" fillId="0" borderId="1" xfId="0" applyFont="1" applyBorder="1" applyAlignment="1">
      <alignment horizontal="center" vertical="center" wrapText="1"/>
    </xf>
    <xf numFmtId="164" fontId="2" fillId="8" borderId="1" xfId="0" applyNumberFormat="1" applyFont="1" applyFill="1" applyBorder="1" applyAlignment="1">
      <alignment horizontal="right" vertical="center"/>
    </xf>
    <xf numFmtId="0" fontId="0" fillId="0" borderId="0" xfId="0" applyBorder="1"/>
    <xf numFmtId="0" fontId="6" fillId="8" borderId="1" xfId="0" applyFont="1" applyFill="1" applyBorder="1" applyAlignment="1">
      <alignment horizontal="center" vertical="center"/>
    </xf>
    <xf numFmtId="0" fontId="6" fillId="8" borderId="1" xfId="0" applyFont="1" applyFill="1" applyBorder="1"/>
    <xf numFmtId="2" fontId="7" fillId="0" borderId="1" xfId="0" applyNumberFormat="1" applyFont="1" applyBorder="1"/>
    <xf numFmtId="0" fontId="6" fillId="8" borderId="6" xfId="0" applyFont="1" applyFill="1" applyBorder="1"/>
    <xf numFmtId="2" fontId="7" fillId="0" borderId="6" xfId="0" applyNumberFormat="1" applyFont="1" applyBorder="1"/>
    <xf numFmtId="0" fontId="7" fillId="8" borderId="6" xfId="0" applyFont="1" applyFill="1" applyBorder="1" applyAlignment="1">
      <alignment horizontal="right"/>
    </xf>
    <xf numFmtId="2" fontId="7" fillId="0" borderId="7" xfId="0" applyNumberFormat="1" applyFont="1" applyBorder="1"/>
    <xf numFmtId="0" fontId="7" fillId="8" borderId="3" xfId="0" applyFont="1" applyFill="1" applyBorder="1" applyAlignment="1">
      <alignment horizontal="right"/>
    </xf>
    <xf numFmtId="2" fontId="7" fillId="0" borderId="14" xfId="0" applyNumberFormat="1" applyFont="1" applyBorder="1"/>
    <xf numFmtId="2" fontId="7" fillId="0" borderId="3" xfId="0" applyNumberFormat="1" applyFont="1" applyBorder="1"/>
    <xf numFmtId="0" fontId="6" fillId="8" borderId="3" xfId="0" applyFont="1" applyFill="1" applyBorder="1"/>
    <xf numFmtId="164" fontId="6" fillId="0" borderId="1" xfId="0" applyNumberFormat="1" applyFont="1" applyBorder="1"/>
    <xf numFmtId="0" fontId="7" fillId="0" borderId="1" xfId="0" applyFont="1" applyBorder="1"/>
    <xf numFmtId="164" fontId="6" fillId="8" borderId="1" xfId="0" applyNumberFormat="1" applyFont="1" applyFill="1" applyBorder="1"/>
    <xf numFmtId="0" fontId="0" fillId="0" borderId="0" xfId="0" applyAlignment="1">
      <alignment horizontal="center"/>
    </xf>
    <xf numFmtId="10" fontId="0" fillId="0" borderId="0" xfId="0" applyNumberFormat="1"/>
    <xf numFmtId="0" fontId="6" fillId="2" borderId="0" xfId="0" applyFont="1" applyFill="1"/>
    <xf numFmtId="0" fontId="8" fillId="0" borderId="0" xfId="0" applyFont="1" applyBorder="1" applyAlignment="1">
      <alignment horizontal="center"/>
    </xf>
    <xf numFmtId="2" fontId="8" fillId="0" borderId="0" xfId="1" applyNumberFormat="1" applyFont="1" applyBorder="1" applyAlignment="1"/>
    <xf numFmtId="0" fontId="9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2" fontId="8" fillId="0" borderId="0" xfId="1" applyNumberFormat="1" applyFont="1" applyFill="1" applyBorder="1" applyAlignment="1"/>
    <xf numFmtId="164" fontId="8" fillId="0" borderId="0" xfId="1" applyNumberFormat="1" applyFont="1" applyFill="1" applyBorder="1" applyAlignment="1"/>
    <xf numFmtId="0" fontId="0" fillId="11" borderId="0" xfId="0" applyFill="1"/>
    <xf numFmtId="0" fontId="17" fillId="11" borderId="0" xfId="3" applyFill="1"/>
    <xf numFmtId="0" fontId="14" fillId="11" borderId="0" xfId="0" applyFont="1" applyFill="1" applyAlignment="1">
      <alignment horizontal="right"/>
    </xf>
    <xf numFmtId="9" fontId="14" fillId="11" borderId="0" xfId="0" applyNumberFormat="1" applyFont="1" applyFill="1"/>
    <xf numFmtId="10" fontId="0" fillId="11" borderId="15" xfId="2" applyNumberFormat="1" applyFont="1" applyFill="1" applyBorder="1" applyAlignment="1"/>
    <xf numFmtId="0" fontId="13" fillId="11" borderId="0" xfId="0" applyFont="1" applyFill="1"/>
    <xf numFmtId="10" fontId="0" fillId="11" borderId="16" xfId="2" applyNumberFormat="1" applyFont="1" applyFill="1" applyBorder="1" applyAlignment="1"/>
    <xf numFmtId="0" fontId="0" fillId="11" borderId="0" xfId="0" applyFill="1" applyAlignment="1">
      <alignment horizontal="left"/>
    </xf>
    <xf numFmtId="0" fontId="15" fillId="0" borderId="0" xfId="0" applyFont="1"/>
    <xf numFmtId="10" fontId="0" fillId="11" borderId="0" xfId="0" applyNumberFormat="1" applyFill="1"/>
    <xf numFmtId="0" fontId="0" fillId="11" borderId="0" xfId="0" applyFill="1" applyBorder="1"/>
    <xf numFmtId="0" fontId="14" fillId="11" borderId="1" xfId="0" applyFont="1" applyFill="1" applyBorder="1" applyAlignment="1">
      <alignment horizontal="center" vertical="center"/>
    </xf>
    <xf numFmtId="0" fontId="18" fillId="12" borderId="1" xfId="0" applyFont="1" applyFill="1" applyBorder="1" applyAlignment="1">
      <alignment vertical="center" wrapText="1"/>
    </xf>
    <xf numFmtId="0" fontId="18" fillId="12" borderId="1" xfId="0" applyFont="1" applyFill="1" applyBorder="1" applyAlignment="1">
      <alignment horizontal="right" vertical="center" wrapText="1"/>
    </xf>
    <xf numFmtId="0" fontId="19" fillId="11" borderId="0" xfId="0" applyFont="1" applyFill="1" applyAlignment="1">
      <alignment vertical="center"/>
    </xf>
    <xf numFmtId="0" fontId="20" fillId="11" borderId="19" xfId="0" applyFont="1" applyFill="1" applyBorder="1" applyAlignment="1">
      <alignment horizontal="left" vertical="center"/>
    </xf>
    <xf numFmtId="10" fontId="21" fillId="11" borderId="20" xfId="0" applyNumberFormat="1" applyFont="1" applyFill="1" applyBorder="1"/>
    <xf numFmtId="0" fontId="14" fillId="11" borderId="0" xfId="0" applyFont="1" applyFill="1"/>
    <xf numFmtId="10" fontId="22" fillId="11" borderId="23" xfId="2" applyNumberFormat="1" applyFont="1" applyFill="1" applyBorder="1" applyAlignment="1"/>
    <xf numFmtId="0" fontId="0" fillId="11" borderId="24" xfId="0" applyFill="1" applyBorder="1"/>
    <xf numFmtId="9" fontId="0" fillId="11" borderId="25" xfId="0" applyNumberFormat="1" applyFill="1" applyBorder="1"/>
    <xf numFmtId="0" fontId="0" fillId="11" borderId="26" xfId="0" applyFill="1" applyBorder="1"/>
    <xf numFmtId="9" fontId="0" fillId="11" borderId="27" xfId="0" applyNumberFormat="1" applyFill="1" applyBorder="1"/>
    <xf numFmtId="2" fontId="22" fillId="11" borderId="23" xfId="2" applyNumberFormat="1" applyFont="1" applyFill="1" applyBorder="1" applyAlignment="1"/>
    <xf numFmtId="10" fontId="22" fillId="11" borderId="20" xfId="2" applyNumberFormat="1" applyFont="1" applyFill="1" applyBorder="1" applyAlignment="1"/>
    <xf numFmtId="0" fontId="23" fillId="11" borderId="28" xfId="0" applyFont="1" applyFill="1" applyBorder="1"/>
    <xf numFmtId="9" fontId="22" fillId="11" borderId="23" xfId="0" applyNumberFormat="1" applyFont="1" applyFill="1" applyBorder="1"/>
    <xf numFmtId="0" fontId="24" fillId="11" borderId="17" xfId="0" applyFont="1" applyFill="1" applyBorder="1" applyAlignment="1">
      <alignment horizontal="left" vertical="center"/>
    </xf>
    <xf numFmtId="10" fontId="25" fillId="11" borderId="23" xfId="0" applyNumberFormat="1" applyFont="1" applyFill="1" applyBorder="1"/>
    <xf numFmtId="0" fontId="26" fillId="11" borderId="24" xfId="0" applyFont="1" applyFill="1" applyBorder="1"/>
    <xf numFmtId="10" fontId="14" fillId="11" borderId="24" xfId="2" applyNumberFormat="1" applyFont="1" applyFill="1" applyBorder="1" applyAlignment="1"/>
    <xf numFmtId="0" fontId="27" fillId="11" borderId="0" xfId="0" applyFont="1" applyFill="1" applyBorder="1" applyAlignment="1">
      <alignment horizontal="left" vertical="center" indent="2"/>
    </xf>
    <xf numFmtId="9" fontId="27" fillId="11" borderId="0" xfId="0" applyNumberFormat="1" applyFont="1" applyFill="1" applyBorder="1" applyAlignment="1">
      <alignment horizontal="center" vertical="center"/>
    </xf>
    <xf numFmtId="9" fontId="0" fillId="11" borderId="0" xfId="2" applyFont="1" applyFill="1" applyAlignment="1"/>
    <xf numFmtId="9" fontId="0" fillId="11" borderId="0" xfId="0" applyNumberFormat="1" applyFill="1"/>
    <xf numFmtId="2" fontId="27" fillId="11" borderId="0" xfId="0" applyNumberFormat="1" applyFont="1" applyFill="1" applyBorder="1" applyAlignment="1">
      <alignment horizontal="center" vertical="center"/>
    </xf>
    <xf numFmtId="3" fontId="27" fillId="11" borderId="0" xfId="0" applyNumberFormat="1" applyFont="1" applyFill="1" applyBorder="1" applyAlignment="1">
      <alignment horizontal="center" vertical="center"/>
    </xf>
    <xf numFmtId="0" fontId="28" fillId="11" borderId="0" xfId="0" applyFont="1" applyFill="1" applyBorder="1" applyAlignment="1">
      <alignment horizontal="left" vertical="center" indent="2"/>
    </xf>
    <xf numFmtId="0" fontId="27" fillId="11" borderId="0" xfId="0" applyFont="1" applyFill="1" applyBorder="1" applyAlignment="1">
      <alignment horizontal="center" vertical="center"/>
    </xf>
    <xf numFmtId="0" fontId="29" fillId="2" borderId="11" xfId="0" applyFont="1" applyFill="1" applyBorder="1"/>
    <xf numFmtId="0" fontId="29" fillId="2" borderId="3" xfId="0" applyFont="1" applyFill="1" applyBorder="1"/>
    <xf numFmtId="0" fontId="29" fillId="3" borderId="6" xfId="0" applyFont="1" applyFill="1" applyBorder="1"/>
    <xf numFmtId="0" fontId="29" fillId="3" borderId="1" xfId="0" applyFont="1" applyFill="1" applyBorder="1"/>
    <xf numFmtId="0" fontId="29" fillId="13" borderId="1" xfId="0" applyFont="1" applyFill="1" applyBorder="1"/>
    <xf numFmtId="0" fontId="30" fillId="13" borderId="3" xfId="0" applyFont="1" applyFill="1" applyBorder="1"/>
    <xf numFmtId="0" fontId="1" fillId="0" borderId="1" xfId="0" applyFont="1" applyFill="1" applyBorder="1" applyAlignment="1">
      <alignment vertical="center"/>
    </xf>
    <xf numFmtId="9" fontId="0" fillId="0" borderId="1" xfId="0" applyNumberFormat="1" applyBorder="1"/>
    <xf numFmtId="0" fontId="6" fillId="0" borderId="6" xfId="0" applyFont="1" applyBorder="1"/>
    <xf numFmtId="2" fontId="0" fillId="0" borderId="6" xfId="0" applyNumberFormat="1" applyBorder="1"/>
    <xf numFmtId="0" fontId="6" fillId="0" borderId="8" xfId="0" applyFont="1" applyFill="1" applyBorder="1"/>
    <xf numFmtId="2" fontId="6" fillId="0" borderId="8" xfId="0" applyNumberFormat="1" applyFont="1" applyFill="1" applyBorder="1"/>
    <xf numFmtId="0" fontId="35" fillId="0" borderId="1" xfId="0" applyFont="1" applyBorder="1" applyAlignment="1">
      <alignment horizontal="center"/>
    </xf>
    <xf numFmtId="9" fontId="0" fillId="0" borderId="0" xfId="0" applyNumberFormat="1" applyFill="1" applyBorder="1" applyAlignment="1"/>
    <xf numFmtId="0" fontId="36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left"/>
    </xf>
    <xf numFmtId="9" fontId="34" fillId="0" borderId="0" xfId="0" applyNumberFormat="1" applyFont="1" applyFill="1" applyBorder="1" applyAlignment="1">
      <alignment horizontal="center"/>
    </xf>
    <xf numFmtId="4" fontId="34" fillId="0" borderId="0" xfId="0" applyNumberFormat="1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166" fontId="34" fillId="0" borderId="0" xfId="0" applyNumberFormat="1" applyFont="1" applyFill="1" applyBorder="1" applyAlignment="1">
      <alignment horizontal="center"/>
    </xf>
    <xf numFmtId="165" fontId="0" fillId="0" borderId="0" xfId="0" applyNumberFormat="1" applyFill="1" applyBorder="1" applyAlignment="1"/>
    <xf numFmtId="0" fontId="11" fillId="0" borderId="0" xfId="0" applyFont="1" applyFill="1" applyBorder="1" applyAlignment="1">
      <alignment horizontal="right"/>
    </xf>
    <xf numFmtId="9" fontId="11" fillId="0" borderId="0" xfId="0" applyNumberFormat="1" applyFont="1" applyFill="1" applyBorder="1" applyAlignment="1">
      <alignment horizontal="right"/>
    </xf>
    <xf numFmtId="0" fontId="38" fillId="0" borderId="0" xfId="0" applyFont="1" applyFill="1" applyBorder="1" applyAlignment="1">
      <alignment horizontal="left"/>
    </xf>
    <xf numFmtId="0" fontId="34" fillId="0" borderId="1" xfId="0" applyNumberFormat="1" applyFont="1" applyBorder="1" applyAlignment="1">
      <alignment horizontal="center" vertical="center"/>
    </xf>
    <xf numFmtId="9" fontId="34" fillId="0" borderId="1" xfId="0" applyNumberFormat="1" applyFont="1" applyBorder="1" applyAlignment="1">
      <alignment horizontal="center" vertical="center"/>
    </xf>
    <xf numFmtId="9" fontId="16" fillId="0" borderId="1" xfId="0" applyNumberFormat="1" applyFont="1" applyBorder="1" applyAlignment="1">
      <alignment horizontal="center" vertical="center"/>
    </xf>
    <xf numFmtId="0" fontId="7" fillId="11" borderId="0" xfId="0" applyFont="1" applyFill="1"/>
    <xf numFmtId="0" fontId="40" fillId="11" borderId="23" xfId="4" applyFont="1" applyFill="1" applyBorder="1" applyAlignment="1">
      <alignment horizontal="center"/>
    </xf>
    <xf numFmtId="0" fontId="40" fillId="11" borderId="18" xfId="4" applyFont="1" applyFill="1" applyBorder="1" applyAlignment="1">
      <alignment horizontal="center"/>
    </xf>
    <xf numFmtId="0" fontId="39" fillId="11" borderId="20" xfId="4" applyFont="1" applyFill="1" applyBorder="1"/>
    <xf numFmtId="167" fontId="39" fillId="11" borderId="31" xfId="4" applyNumberFormat="1" applyFont="1" applyFill="1" applyBorder="1"/>
    <xf numFmtId="167" fontId="39" fillId="11" borderId="20" xfId="4" applyNumberFormat="1" applyFont="1" applyFill="1" applyBorder="1"/>
    <xf numFmtId="0" fontId="40" fillId="11" borderId="23" xfId="4" applyFont="1" applyFill="1" applyBorder="1"/>
    <xf numFmtId="10" fontId="40" fillId="3" borderId="23" xfId="2" applyNumberFormat="1" applyFont="1" applyFill="1" applyBorder="1"/>
    <xf numFmtId="168" fontId="40" fillId="3" borderId="23" xfId="2" applyNumberFormat="1" applyFont="1" applyFill="1" applyBorder="1"/>
    <xf numFmtId="0" fontId="33" fillId="0" borderId="0" xfId="0" applyFont="1" applyFill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12" fillId="0" borderId="0" xfId="0" applyFont="1"/>
    <xf numFmtId="0" fontId="46" fillId="0" borderId="0" xfId="0" applyFont="1" applyAlignment="1">
      <alignment horizontal="right" readingOrder="1"/>
    </xf>
    <xf numFmtId="0" fontId="1" fillId="0" borderId="1" xfId="1" applyNumberFormat="1" applyFont="1" applyBorder="1" applyAlignment="1">
      <alignment vertical="center"/>
    </xf>
    <xf numFmtId="2" fontId="1" fillId="0" borderId="1" xfId="1" applyNumberFormat="1" applyFont="1" applyBorder="1" applyAlignment="1">
      <alignment vertical="center"/>
    </xf>
    <xf numFmtId="165" fontId="10" fillId="6" borderId="1" xfId="0" applyNumberFormat="1" applyFont="1" applyFill="1" applyBorder="1" applyAlignment="1">
      <alignment vertical="center"/>
    </xf>
    <xf numFmtId="9" fontId="10" fillId="6" borderId="1" xfId="1" applyNumberFormat="1" applyFont="1" applyFill="1" applyBorder="1" applyAlignment="1">
      <alignment vertical="center"/>
    </xf>
    <xf numFmtId="0" fontId="45" fillId="11" borderId="1" xfId="0" applyFont="1" applyFill="1" applyBorder="1" applyAlignment="1">
      <alignment horizontal="center"/>
    </xf>
    <xf numFmtId="0" fontId="44" fillId="11" borderId="1" xfId="0" applyFont="1" applyFill="1" applyBorder="1" applyAlignment="1">
      <alignment horizontal="center"/>
    </xf>
    <xf numFmtId="165" fontId="0" fillId="0" borderId="1" xfId="0" applyNumberFormat="1" applyFill="1" applyBorder="1" applyAlignment="1"/>
    <xf numFmtId="9" fontId="0" fillId="0" borderId="1" xfId="0" applyNumberFormat="1" applyFill="1" applyBorder="1" applyAlignment="1"/>
    <xf numFmtId="10" fontId="42" fillId="0" borderId="1" xfId="0" applyNumberFormat="1" applyFont="1" applyFill="1" applyBorder="1" applyAlignment="1"/>
    <xf numFmtId="0" fontId="2" fillId="10" borderId="6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0" borderId="7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0" fillId="11" borderId="17" xfId="0" applyFont="1" applyFill="1" applyBorder="1" applyAlignment="1">
      <alignment horizontal="center" vertical="center"/>
    </xf>
    <xf numFmtId="0" fontId="20" fillId="11" borderId="18" xfId="0" applyFont="1" applyFill="1" applyBorder="1" applyAlignment="1">
      <alignment horizontal="center" vertical="center"/>
    </xf>
    <xf numFmtId="0" fontId="0" fillId="11" borderId="21" xfId="0" applyFill="1" applyBorder="1" applyAlignment="1">
      <alignment horizontal="center"/>
    </xf>
    <xf numFmtId="0" fontId="0" fillId="11" borderId="22" xfId="0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14" fillId="11" borderId="0" xfId="0" applyFont="1" applyFill="1" applyAlignment="1">
      <alignment horizontal="center"/>
    </xf>
    <xf numFmtId="0" fontId="0" fillId="11" borderId="0" xfId="0" applyFill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6" fillId="7" borderId="0" xfId="0" applyFont="1" applyFill="1" applyAlignment="1">
      <alignment horizontal="center"/>
    </xf>
    <xf numFmtId="0" fontId="6" fillId="7" borderId="1" xfId="0" applyFont="1" applyFill="1" applyBorder="1" applyAlignment="1">
      <alignment horizontal="center" vertical="center"/>
    </xf>
    <xf numFmtId="0" fontId="40" fillId="3" borderId="29" xfId="4" applyFont="1" applyFill="1" applyBorder="1" applyAlignment="1">
      <alignment horizontal="center"/>
    </xf>
    <xf numFmtId="0" fontId="40" fillId="3" borderId="30" xfId="4" applyFont="1" applyFill="1" applyBorder="1" applyAlignment="1">
      <alignment horizontal="center"/>
    </xf>
    <xf numFmtId="0" fontId="33" fillId="0" borderId="4" xfId="0" applyFont="1" applyBorder="1" applyAlignment="1">
      <alignment horizontal="center"/>
    </xf>
    <xf numFmtId="0" fontId="33" fillId="0" borderId="0" xfId="0" applyFont="1" applyFill="1" applyBorder="1" applyAlignment="1">
      <alignment horizontal="center" vertical="center" wrapText="1" shrinkToFit="1"/>
    </xf>
    <xf numFmtId="0" fontId="33" fillId="3" borderId="1" xfId="0" applyFont="1" applyFill="1" applyBorder="1" applyAlignment="1">
      <alignment horizontal="center" vertical="center" wrapText="1" shrinkToFit="1"/>
    </xf>
    <xf numFmtId="0" fontId="33" fillId="3" borderId="1" xfId="0" applyFont="1" applyFill="1" applyBorder="1"/>
  </cellXfs>
  <cellStyles count="5">
    <cellStyle name="Hipervínculo" xfId="3" builtinId="8"/>
    <cellStyle name="Millares" xfId="1" builtinId="3"/>
    <cellStyle name="Normal" xfId="0" builtinId="0"/>
    <cellStyle name="Normal 3" xfId="4"/>
    <cellStyle name="Porcentaje" xfId="2" builtinId="5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n-US"/>
              <a:t>Análisis Sensibilidad respecto a Ingresos</a:t>
            </a:r>
          </a:p>
          <a:p>
            <a:pPr>
              <a:defRPr lang="es-ES"/>
            </a:pP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'[2]Gráficos '!$C$5</c:f>
              <c:strCache>
                <c:ptCount val="1"/>
                <c:pt idx="0">
                  <c:v>VAN</c:v>
                </c:pt>
              </c:strCache>
            </c:strRef>
          </c:tx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rgbClr val="FF66CC"/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  <c:marker>
            <c:spPr>
              <a:ln w="6350">
                <a:headEnd type="oval"/>
                <a:tailEnd type="oval"/>
              </a:ln>
            </c:spPr>
          </c:marker>
          <c:cat>
            <c:numRef>
              <c:f>'[2]Gráficos '!$D$6:$D$11</c:f>
              <c:numCache>
                <c:formatCode>General</c:formatCode>
                <c:ptCount val="6"/>
                <c:pt idx="0">
                  <c:v>0.80596811560877002</c:v>
                </c:pt>
                <c:pt idx="1">
                  <c:v>0.66015392470837897</c:v>
                </c:pt>
                <c:pt idx="2">
                  <c:v>0.51868587074551997</c:v>
                </c:pt>
                <c:pt idx="3">
                  <c:v>0.381199469794896</c:v>
                </c:pt>
                <c:pt idx="4">
                  <c:v>0.24560271758126601</c:v>
                </c:pt>
                <c:pt idx="5">
                  <c:v>0.106367338669569</c:v>
                </c:pt>
              </c:numCache>
            </c:numRef>
          </c:cat>
          <c:val>
            <c:numRef>
              <c:f>'[2]Gráficos '!$C$6:$C$11</c:f>
              <c:numCache>
                <c:formatCode>General</c:formatCode>
                <c:ptCount val="6"/>
                <c:pt idx="0">
                  <c:v>279102.801701697</c:v>
                </c:pt>
                <c:pt idx="1">
                  <c:v>216900.92718756001</c:v>
                </c:pt>
                <c:pt idx="2">
                  <c:v>154699.052673422</c:v>
                </c:pt>
                <c:pt idx="3">
                  <c:v>92497.1781592849</c:v>
                </c:pt>
                <c:pt idx="4">
                  <c:v>30295.3036451476</c:v>
                </c:pt>
                <c:pt idx="5">
                  <c:v>-31906.570868989798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345664"/>
        <c:axId val="201384704"/>
      </c:lineChart>
      <c:catAx>
        <c:axId val="20134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201384704"/>
        <c:crosses val="autoZero"/>
        <c:auto val="1"/>
        <c:lblAlgn val="ctr"/>
        <c:lblOffset val="100"/>
        <c:noMultiLvlLbl val="0"/>
      </c:catAx>
      <c:valAx>
        <c:axId val="201384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2013456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s-MX"/>
        </a:p>
      </c:txPr>
    </c:legend>
    <c:plotVisOnly val="1"/>
    <c:dispBlanksAs val="gap"/>
    <c:showDLblsOverMax val="0"/>
  </c:chart>
  <c:spPr>
    <a:gradFill rotWithShape="1">
      <a:gsLst>
        <a:gs pos="0">
          <a:schemeClr val="dk1">
            <a:tint val="50000"/>
            <a:satMod val="300000"/>
          </a:schemeClr>
        </a:gs>
        <a:gs pos="35000">
          <a:schemeClr val="dk1">
            <a:tint val="37000"/>
            <a:satMod val="300000"/>
          </a:schemeClr>
        </a:gs>
        <a:gs pos="100000">
          <a:schemeClr val="dk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dk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247650</xdr:colOff>
      <xdr:row>2</xdr:row>
      <xdr:rowOff>23812</xdr:rowOff>
    </xdr:from>
    <xdr:ext cx="3067050" cy="347663"/>
    <xdr:sp macro="" textlink="">
      <xdr:nvSpPr>
        <xdr:cNvPr id="8" name="1 CuadroTexto"/>
        <xdr:cNvSpPr txBox="1"/>
      </xdr:nvSpPr>
      <xdr:spPr>
        <a:xfrm>
          <a:off x="1714500" y="8215312"/>
          <a:ext cx="3067050" cy="347663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400" b="1" i="0">
              <a:latin typeface="Cambria Math"/>
            </a:rPr>
            <a:t>𝒓𝒆=𝒓𝒇+𝑩(𝒓𝒎−𝒓𝒇)+𝒓𝒇𝒆𝒄𝒖.</a:t>
          </a:r>
          <a:endParaRPr lang="es-ES" sz="1400" b="1" i="1"/>
        </a:p>
        <a:p>
          <a:endParaRPr lang="es-E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3</xdr:row>
      <xdr:rowOff>9525</xdr:rowOff>
    </xdr:from>
    <xdr:to>
      <xdr:col>14</xdr:col>
      <xdr:colOff>314325</xdr:colOff>
      <xdr:row>17</xdr:row>
      <xdr:rowOff>147638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Copia%20de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Copia%20de%20ESTUDIO%20FINANCIERO%20H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RSIONES"/>
      <sheetName val="GASTOS"/>
      <sheetName val="VALOR DE DESECHO"/>
      <sheetName val="CAPITAL DE TRABAJO"/>
      <sheetName val="INGRESOS"/>
      <sheetName val="PRESTAMO"/>
      <sheetName val="ESTADO DE RESULTADOS"/>
      <sheetName val="BALANCE GENERAL"/>
      <sheetName val="CAPM"/>
      <sheetName val="FLUJO DE CAJA PROYECTADOS"/>
      <sheetName val="PAYBACK"/>
      <sheetName val="ANALISIS DE SENSIBILIDAD"/>
      <sheetName val="FLUJO CONSERVADOR"/>
      <sheetName val="FLUJO PESIMISTA"/>
      <sheetName val="EQUILIBRIO"/>
    </sheetNames>
    <sheetDataSet>
      <sheetData sheetId="0"/>
      <sheetData sheetId="1">
        <row r="5">
          <cell r="B5">
            <v>19425.599999999999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C6">
            <v>156780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rs. Inicial"/>
      <sheetName val="desglose"/>
      <sheetName val="DEMANDA"/>
      <sheetName val="Proyección de Ingresos "/>
      <sheetName val="Proyección de Egresos "/>
      <sheetName val="Capital de trabajo "/>
      <sheetName val="Sueldos y salarios"/>
      <sheetName val="Gastos Administrativos"/>
      <sheetName val="Sumin. de Of. y Limp."/>
      <sheetName val="Gasto de publicidad"/>
      <sheetName val="Materia Prima"/>
      <sheetName val="Depreciacion"/>
      <sheetName val="Amortizacion"/>
      <sheetName val="P&amp;G"/>
      <sheetName val="Flujo de Caja "/>
      <sheetName val="TMAR"/>
      <sheetName val="PAYBACK"/>
      <sheetName val="Analisis Escenarios "/>
      <sheetName val="Gráficos "/>
      <sheetName val="Punto de Equilibrio "/>
      <sheetName val="Hoja3"/>
      <sheetName val="Hoja4"/>
      <sheetName val="Hoja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5">
          <cell r="C5" t="str">
            <v>VAN</v>
          </cell>
        </row>
        <row r="6">
          <cell r="C6">
            <v>279102.801701697</v>
          </cell>
          <cell r="D6">
            <v>0.80596811560877002</v>
          </cell>
        </row>
        <row r="7">
          <cell r="C7">
            <v>216900.92718756001</v>
          </cell>
          <cell r="D7">
            <v>0.66015392470837897</v>
          </cell>
        </row>
        <row r="8">
          <cell r="C8">
            <v>154699.052673422</v>
          </cell>
          <cell r="D8">
            <v>0.51868587074551997</v>
          </cell>
        </row>
        <row r="9">
          <cell r="C9">
            <v>92497.1781592849</v>
          </cell>
          <cell r="D9">
            <v>0.381199469794896</v>
          </cell>
        </row>
        <row r="10">
          <cell r="C10">
            <v>30295.3036451476</v>
          </cell>
          <cell r="D10">
            <v>0.24560271758126601</v>
          </cell>
        </row>
        <row r="11">
          <cell r="C11">
            <v>-31906.570868989798</v>
          </cell>
          <cell r="D11">
            <v>0.106367338669569</v>
          </cell>
        </row>
      </sheetData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ce.fin.ec/resumen_ticker.php?ticker_value=riesgo_pais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://www.invertia.com/mercados/bolsa/indices/portada.asp?idtel=IB017SP500" TargetMode="External"/><Relationship Id="rId1" Type="http://schemas.openxmlformats.org/officeDocument/2006/relationships/hyperlink" Target="http://www.portfoliopersonal.com/Tasa_Interes/hTB_TIR.asp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hyperlink" Target="http://www.reuters.com/finance/stocks/financialHighlights?symbol=TKAG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4:D41"/>
  <sheetViews>
    <sheetView tabSelected="1" workbookViewId="0">
      <selection activeCell="E31" sqref="E31"/>
    </sheetView>
  </sheetViews>
  <sheetFormatPr baseColWidth="10" defaultColWidth="11" defaultRowHeight="15"/>
  <cols>
    <col min="1" max="1" width="33.5703125" customWidth="1"/>
    <col min="2" max="2" width="22.7109375" customWidth="1"/>
  </cols>
  <sheetData>
    <row r="4" spans="1:4">
      <c r="A4" s="223" t="s">
        <v>74</v>
      </c>
      <c r="B4" s="224"/>
    </row>
    <row r="5" spans="1:4">
      <c r="A5" s="60"/>
      <c r="B5" s="57" t="s">
        <v>75</v>
      </c>
    </row>
    <row r="6" spans="1:4">
      <c r="A6" s="61" t="s">
        <v>76</v>
      </c>
      <c r="B6" s="62">
        <f>50000+(5000*10+4000)*0.225</f>
        <v>62150</v>
      </c>
    </row>
    <row r="7" spans="1:4">
      <c r="A7" s="61" t="s">
        <v>77</v>
      </c>
      <c r="B7" s="62">
        <v>1000</v>
      </c>
    </row>
    <row r="8" spans="1:4">
      <c r="A8" s="61" t="s">
        <v>78</v>
      </c>
      <c r="B8" s="62">
        <v>4000</v>
      </c>
    </row>
    <row r="9" spans="1:4">
      <c r="A9" s="61" t="s">
        <v>79</v>
      </c>
      <c r="B9" s="62">
        <v>10000</v>
      </c>
    </row>
    <row r="10" spans="1:4">
      <c r="A10" s="61" t="s">
        <v>80</v>
      </c>
      <c r="B10" s="62">
        <v>10000</v>
      </c>
    </row>
    <row r="11" spans="1:4">
      <c r="A11" s="61" t="s">
        <v>81</v>
      </c>
      <c r="B11" s="62">
        <v>3000</v>
      </c>
    </row>
    <row r="12" spans="1:4">
      <c r="A12" s="61" t="s">
        <v>82</v>
      </c>
      <c r="B12" s="63">
        <v>1500</v>
      </c>
    </row>
    <row r="13" spans="1:4" ht="35.25" customHeight="1">
      <c r="A13" s="64" t="s">
        <v>83</v>
      </c>
      <c r="B13" s="65">
        <f>SUM(B6:B12)</f>
        <v>91650</v>
      </c>
    </row>
    <row r="15" spans="1:4">
      <c r="A15" s="225" t="s">
        <v>84</v>
      </c>
      <c r="B15" s="226"/>
      <c r="C15" s="226"/>
      <c r="D15" s="226"/>
    </row>
    <row r="16" spans="1:4">
      <c r="A16" s="60"/>
      <c r="B16" s="57" t="s">
        <v>85</v>
      </c>
      <c r="C16" s="57" t="s">
        <v>86</v>
      </c>
      <c r="D16" s="57" t="s">
        <v>87</v>
      </c>
    </row>
    <row r="17" spans="1:4">
      <c r="A17" s="61" t="s">
        <v>88</v>
      </c>
      <c r="B17" s="62">
        <v>6000</v>
      </c>
      <c r="C17" s="61">
        <v>1</v>
      </c>
      <c r="D17" s="62">
        <f>B17*C17</f>
        <v>6000</v>
      </c>
    </row>
    <row r="18" spans="1:4">
      <c r="A18" s="61" t="s">
        <v>89</v>
      </c>
      <c r="B18" s="62">
        <v>1000</v>
      </c>
      <c r="C18" s="61">
        <v>1</v>
      </c>
      <c r="D18" s="62">
        <f>B18*C18</f>
        <v>1000</v>
      </c>
    </row>
    <row r="19" spans="1:4">
      <c r="A19" s="61" t="s">
        <v>90</v>
      </c>
      <c r="B19" s="62">
        <v>50</v>
      </c>
      <c r="C19" s="61">
        <v>10</v>
      </c>
      <c r="D19" s="62">
        <f>B19*C19</f>
        <v>500</v>
      </c>
    </row>
    <row r="20" spans="1:4">
      <c r="A20" s="61" t="s">
        <v>91</v>
      </c>
      <c r="B20" s="62">
        <v>1300</v>
      </c>
      <c r="C20" s="61">
        <v>1</v>
      </c>
      <c r="D20" s="62">
        <f>B20*C20</f>
        <v>1300</v>
      </c>
    </row>
    <row r="21" spans="1:4">
      <c r="A21" s="66" t="s">
        <v>92</v>
      </c>
      <c r="B21" s="67">
        <f>SUM(B17:B20)</f>
        <v>8350</v>
      </c>
      <c r="C21" s="68">
        <f>SUM(C17:C20)</f>
        <v>13</v>
      </c>
      <c r="D21" s="67">
        <f>SUM(D17:D20)</f>
        <v>8800</v>
      </c>
    </row>
    <row r="23" spans="1:4">
      <c r="A23" s="227" t="s">
        <v>93</v>
      </c>
      <c r="B23" s="228"/>
      <c r="C23" s="228"/>
      <c r="D23" s="229"/>
    </row>
    <row r="24" spans="1:4">
      <c r="A24" s="60"/>
      <c r="B24" s="57" t="s">
        <v>85</v>
      </c>
      <c r="C24" s="57" t="s">
        <v>86</v>
      </c>
      <c r="D24" s="57" t="s">
        <v>87</v>
      </c>
    </row>
    <row r="25" spans="1:4">
      <c r="A25" s="61" t="s">
        <v>94</v>
      </c>
      <c r="B25" s="61">
        <v>80</v>
      </c>
      <c r="C25" s="61">
        <v>1</v>
      </c>
      <c r="D25" s="61">
        <f>B25*C25</f>
        <v>80</v>
      </c>
    </row>
    <row r="26" spans="1:4">
      <c r="A26" s="61" t="s">
        <v>95</v>
      </c>
      <c r="B26" s="61">
        <v>40</v>
      </c>
      <c r="C26" s="61">
        <v>2</v>
      </c>
      <c r="D26" s="61">
        <f t="shared" ref="D26:D28" si="0">B26*C26</f>
        <v>80</v>
      </c>
    </row>
    <row r="27" spans="1:4">
      <c r="A27" s="61" t="s">
        <v>96</v>
      </c>
      <c r="B27" s="61">
        <v>9</v>
      </c>
      <c r="C27" s="61">
        <v>3</v>
      </c>
      <c r="D27" s="61">
        <f t="shared" si="0"/>
        <v>27</v>
      </c>
    </row>
    <row r="28" spans="1:4">
      <c r="A28" s="61" t="s">
        <v>97</v>
      </c>
      <c r="B28" s="61">
        <v>15</v>
      </c>
      <c r="C28" s="61">
        <v>2</v>
      </c>
      <c r="D28" s="61">
        <f t="shared" si="0"/>
        <v>30</v>
      </c>
    </row>
    <row r="29" spans="1:4">
      <c r="A29" s="64" t="s">
        <v>98</v>
      </c>
      <c r="B29" s="69">
        <f>SUM(B25:B28)</f>
        <v>144</v>
      </c>
      <c r="C29" s="70">
        <f>SUM(C25:C28)</f>
        <v>8</v>
      </c>
      <c r="D29" s="69">
        <f>SUM(D25:D28)</f>
        <v>217</v>
      </c>
    </row>
    <row r="31" spans="1:4">
      <c r="A31" s="221" t="s">
        <v>99</v>
      </c>
      <c r="B31" s="222"/>
      <c r="C31" s="222"/>
      <c r="D31" s="222"/>
    </row>
    <row r="32" spans="1:4">
      <c r="A32" s="60"/>
      <c r="B32" s="57" t="s">
        <v>85</v>
      </c>
      <c r="C32" s="57" t="s">
        <v>86</v>
      </c>
      <c r="D32" s="57" t="s">
        <v>87</v>
      </c>
    </row>
    <row r="33" spans="1:4">
      <c r="A33" s="61" t="s">
        <v>100</v>
      </c>
      <c r="B33" s="61">
        <v>150</v>
      </c>
      <c r="C33" s="61">
        <v>1</v>
      </c>
      <c r="D33" s="61">
        <f>B33*C33</f>
        <v>150</v>
      </c>
    </row>
    <row r="34" spans="1:4">
      <c r="A34" s="61" t="s">
        <v>101</v>
      </c>
      <c r="B34" s="61">
        <v>50</v>
      </c>
      <c r="C34" s="61">
        <v>1</v>
      </c>
      <c r="D34" s="61">
        <f>B34*C34</f>
        <v>50</v>
      </c>
    </row>
    <row r="35" spans="1:4">
      <c r="A35" s="64" t="s">
        <v>102</v>
      </c>
      <c r="B35" s="71">
        <f>SUM(B33:B34)</f>
        <v>200</v>
      </c>
      <c r="C35" s="72">
        <f>SUM(C33:C34)</f>
        <v>2</v>
      </c>
      <c r="D35" s="71">
        <f>SUM(D33:D34)</f>
        <v>200</v>
      </c>
    </row>
    <row r="37" spans="1:4">
      <c r="A37" s="221" t="s">
        <v>103</v>
      </c>
      <c r="B37" s="222"/>
      <c r="C37" s="222"/>
      <c r="D37" s="222"/>
    </row>
    <row r="38" spans="1:4">
      <c r="A38" s="60"/>
      <c r="B38" s="57" t="s">
        <v>85</v>
      </c>
      <c r="C38" s="57" t="s">
        <v>86</v>
      </c>
      <c r="D38" s="57" t="s">
        <v>87</v>
      </c>
    </row>
    <row r="39" spans="1:4">
      <c r="A39" s="61" t="s">
        <v>104</v>
      </c>
      <c r="B39" s="61">
        <v>400</v>
      </c>
      <c r="C39" s="61">
        <v>1</v>
      </c>
      <c r="D39" s="61">
        <f>B39*C39</f>
        <v>400</v>
      </c>
    </row>
    <row r="40" spans="1:4">
      <c r="A40" s="61" t="s">
        <v>105</v>
      </c>
      <c r="B40" s="61">
        <v>180</v>
      </c>
      <c r="C40" s="61">
        <v>1</v>
      </c>
      <c r="D40" s="61">
        <f>B40*C40</f>
        <v>180</v>
      </c>
    </row>
    <row r="41" spans="1:4">
      <c r="A41" s="64" t="s">
        <v>106</v>
      </c>
      <c r="B41" s="71">
        <f>SUM(B39:B40)</f>
        <v>580</v>
      </c>
      <c r="C41" s="72">
        <f>SUM(C39:C40)</f>
        <v>2</v>
      </c>
      <c r="D41" s="71">
        <f>SUM(D39:D40)</f>
        <v>580</v>
      </c>
    </row>
  </sheetData>
  <mergeCells count="5">
    <mergeCell ref="A37:D37"/>
    <mergeCell ref="A4:B4"/>
    <mergeCell ref="A15:D15"/>
    <mergeCell ref="A23:D23"/>
    <mergeCell ref="A31:D31"/>
  </mergeCells>
  <phoneticPr fontId="4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21"/>
  <sheetViews>
    <sheetView showGridLines="0" workbookViewId="0">
      <selection activeCell="D14" sqref="D14"/>
    </sheetView>
  </sheetViews>
  <sheetFormatPr baseColWidth="10" defaultColWidth="11" defaultRowHeight="15"/>
  <cols>
    <col min="1" max="1" width="25.7109375" customWidth="1"/>
    <col min="3" max="3" width="22.42578125" customWidth="1"/>
    <col min="4" max="4" width="12.42578125" bestFit="1" customWidth="1"/>
  </cols>
  <sheetData>
    <row r="2" spans="1:4" ht="15.75">
      <c r="A2" s="236" t="s">
        <v>64</v>
      </c>
      <c r="B2" s="236"/>
      <c r="C2" s="236"/>
      <c r="D2" s="236"/>
    </row>
    <row r="3" spans="1:4" ht="15.75" thickBot="1">
      <c r="A3" s="235"/>
      <c r="B3" s="235"/>
      <c r="C3" s="235"/>
      <c r="D3" s="235"/>
    </row>
    <row r="4" spans="1:4">
      <c r="A4" s="250" t="s">
        <v>62</v>
      </c>
      <c r="B4" s="250"/>
      <c r="C4" s="250"/>
      <c r="D4" s="250"/>
    </row>
    <row r="5" spans="1:4" ht="15.75" thickBot="1">
      <c r="A5" s="12" t="s">
        <v>32</v>
      </c>
      <c r="B5" s="13"/>
      <c r="C5" s="14" t="s">
        <v>39</v>
      </c>
      <c r="D5" s="15"/>
    </row>
    <row r="6" spans="1:4">
      <c r="A6" s="8" t="s">
        <v>33</v>
      </c>
      <c r="B6" s="11"/>
      <c r="C6" s="11" t="s">
        <v>49</v>
      </c>
    </row>
    <row r="7" spans="1:4">
      <c r="A7" s="16" t="s">
        <v>34</v>
      </c>
      <c r="B7" s="46">
        <v>34693.517371776361</v>
      </c>
      <c r="C7" s="17" t="s">
        <v>48</v>
      </c>
      <c r="D7" s="50">
        <v>39512.180371776354</v>
      </c>
    </row>
    <row r="8" spans="1:4">
      <c r="A8" s="8" t="s">
        <v>38</v>
      </c>
      <c r="B8" s="45"/>
      <c r="C8" s="10"/>
      <c r="D8" s="40"/>
    </row>
    <row r="9" spans="1:4">
      <c r="A9" s="17" t="s">
        <v>40</v>
      </c>
      <c r="B9" s="45">
        <v>62150</v>
      </c>
      <c r="C9" s="10"/>
      <c r="D9" s="40"/>
    </row>
    <row r="10" spans="1:4">
      <c r="A10" s="17" t="s">
        <v>41</v>
      </c>
      <c r="B10" s="47">
        <v>217</v>
      </c>
      <c r="C10" s="10"/>
      <c r="D10" s="40"/>
    </row>
    <row r="11" spans="1:4">
      <c r="A11" s="17" t="s">
        <v>42</v>
      </c>
      <c r="B11" s="47">
        <v>8800</v>
      </c>
      <c r="C11" s="10"/>
      <c r="D11" s="40"/>
    </row>
    <row r="12" spans="1:4" ht="15.75" thickBot="1">
      <c r="A12" s="17" t="s">
        <v>43</v>
      </c>
      <c r="B12" s="47">
        <v>200</v>
      </c>
      <c r="C12" s="12" t="s">
        <v>50</v>
      </c>
      <c r="D12" s="51"/>
    </row>
    <row r="13" spans="1:4">
      <c r="A13" s="17" t="s">
        <v>44</v>
      </c>
      <c r="B13" s="47">
        <v>580</v>
      </c>
      <c r="C13" s="11" t="s">
        <v>51</v>
      </c>
      <c r="D13" s="50">
        <v>51447</v>
      </c>
    </row>
    <row r="14" spans="1:4" ht="16.5" customHeight="1">
      <c r="A14" s="17" t="s">
        <v>45</v>
      </c>
      <c r="B14" s="47">
        <v>-3601.0333333333301</v>
      </c>
      <c r="C14" s="11" t="s">
        <v>20</v>
      </c>
      <c r="D14" s="50">
        <v>38630.303666666674</v>
      </c>
    </row>
    <row r="15" spans="1:4">
      <c r="A15" s="8" t="s">
        <v>35</v>
      </c>
      <c r="B15" s="45"/>
      <c r="C15" s="10"/>
      <c r="D15" s="40"/>
    </row>
    <row r="16" spans="1:4">
      <c r="A16" s="16" t="s">
        <v>36</v>
      </c>
      <c r="B16" s="47">
        <v>29500</v>
      </c>
      <c r="C16" s="10"/>
      <c r="D16" s="40"/>
    </row>
    <row r="17" spans="1:4" ht="15.75" thickBot="1">
      <c r="A17" s="18" t="s">
        <v>37</v>
      </c>
      <c r="B17" s="48">
        <v>-2950</v>
      </c>
      <c r="C17" s="13"/>
      <c r="D17" s="51"/>
    </row>
    <row r="18" spans="1:4">
      <c r="A18" s="11" t="s">
        <v>46</v>
      </c>
      <c r="B18" s="49">
        <f>SUM(B6:B17)</f>
        <v>129589.48403844304</v>
      </c>
      <c r="C18" s="11" t="s">
        <v>47</v>
      </c>
      <c r="D18" s="52">
        <f>SUM(D6:D17)</f>
        <v>129589.48403844303</v>
      </c>
    </row>
    <row r="19" spans="1:4">
      <c r="A19" s="9"/>
      <c r="B19" s="9"/>
      <c r="C19" s="9"/>
    </row>
    <row r="21" spans="1:4">
      <c r="C21">
        <f>B18-D18</f>
        <v>0</v>
      </c>
    </row>
  </sheetData>
  <mergeCells count="3">
    <mergeCell ref="A4:D4"/>
    <mergeCell ref="A3:D3"/>
    <mergeCell ref="A2:D2"/>
  </mergeCells>
  <phoneticPr fontId="4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L10"/>
  <sheetViews>
    <sheetView showGridLines="0" workbookViewId="0">
      <selection activeCell="H10" sqref="H10"/>
    </sheetView>
  </sheetViews>
  <sheetFormatPr baseColWidth="10" defaultColWidth="11" defaultRowHeight="15"/>
  <cols>
    <col min="1" max="1" width="23.7109375" customWidth="1"/>
    <col min="2" max="2" width="12" customWidth="1"/>
  </cols>
  <sheetData>
    <row r="2" spans="1:12" ht="15.75">
      <c r="A2" s="236" t="s">
        <v>248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</row>
    <row r="3" spans="1:12" ht="15.75" thickBot="1">
      <c r="A3" s="235"/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</row>
    <row r="4" spans="1:12">
      <c r="A4" s="231" t="s">
        <v>65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</row>
    <row r="5" spans="1:12">
      <c r="B5" s="44" t="s">
        <v>1</v>
      </c>
      <c r="C5" s="44" t="s">
        <v>2</v>
      </c>
      <c r="D5" s="44" t="s">
        <v>3</v>
      </c>
      <c r="E5" s="44" t="s">
        <v>4</v>
      </c>
      <c r="F5" s="44" t="s">
        <v>5</v>
      </c>
      <c r="G5" s="44" t="s">
        <v>6</v>
      </c>
      <c r="H5" s="44" t="s">
        <v>7</v>
      </c>
      <c r="I5" s="44" t="s">
        <v>8</v>
      </c>
      <c r="J5" s="44" t="s">
        <v>9</v>
      </c>
      <c r="K5" s="44" t="s">
        <v>10</v>
      </c>
      <c r="L5" s="44" t="s">
        <v>11</v>
      </c>
    </row>
    <row r="6" spans="1:12">
      <c r="A6" s="54" t="s">
        <v>26</v>
      </c>
      <c r="B6" s="53">
        <f>'FLUJO DE CAJA PROYECTADOS'!B23</f>
        <v>-58195.8</v>
      </c>
      <c r="C6" s="53">
        <f>'FLUJO DE CAJA PROYECTADOS'!C23</f>
        <v>34693.517371776361</v>
      </c>
      <c r="D6" s="53">
        <f>'FLUJO DE CAJA PROYECTADOS'!D23</f>
        <v>42627.304394875857</v>
      </c>
      <c r="E6" s="53">
        <f>'FLUJO DE CAJA PROYECTADOS'!E23</f>
        <v>51572.040042862107</v>
      </c>
      <c r="F6" s="53">
        <f>'FLUJO DE CAJA PROYECTADOS'!F23</f>
        <v>60553.704922075267</v>
      </c>
      <c r="G6" s="53">
        <f>'FLUJO DE CAJA PROYECTADOS'!G23</f>
        <v>86825.849868533376</v>
      </c>
      <c r="H6" s="53">
        <f>'FLUJO DE CAJA PROYECTADOS'!H23</f>
        <v>98388.32662205337</v>
      </c>
      <c r="I6" s="53">
        <f>'FLUJO DE CAJA PROYECTADOS'!I23</f>
        <v>111107.05105092539</v>
      </c>
      <c r="J6" s="53">
        <f>'FLUJO DE CAJA PROYECTADOS'!J23</f>
        <v>125097.6479226846</v>
      </c>
      <c r="K6" s="53">
        <f>'FLUJO DE CAJA PROYECTADOS'!K23</f>
        <v>140487.30448161974</v>
      </c>
      <c r="L6" s="53">
        <f>'FLUJO DE CAJA PROYECTADOS'!L23</f>
        <v>201454.72669644837</v>
      </c>
    </row>
    <row r="7" spans="1:12">
      <c r="A7" s="179" t="s">
        <v>63</v>
      </c>
      <c r="B7" s="180">
        <f>B6</f>
        <v>-58195.8</v>
      </c>
      <c r="C7" s="53">
        <f>B7+C6</f>
        <v>-23502.282628223642</v>
      </c>
      <c r="D7" s="53">
        <f t="shared" ref="D7:L7" si="0">C7+D6</f>
        <v>19125.021766652215</v>
      </c>
      <c r="E7" s="53">
        <f t="shared" si="0"/>
        <v>70697.061809514329</v>
      </c>
      <c r="F7" s="53">
        <f t="shared" si="0"/>
        <v>131250.7667315896</v>
      </c>
      <c r="G7" s="53">
        <f t="shared" si="0"/>
        <v>218076.61660012297</v>
      </c>
      <c r="H7" s="53">
        <f t="shared" si="0"/>
        <v>316464.94322217634</v>
      </c>
      <c r="I7" s="53">
        <f t="shared" si="0"/>
        <v>427571.99427310174</v>
      </c>
      <c r="J7" s="53">
        <f t="shared" si="0"/>
        <v>552669.64219578635</v>
      </c>
      <c r="K7" s="53">
        <f t="shared" si="0"/>
        <v>693156.94667740609</v>
      </c>
      <c r="L7" s="53">
        <f t="shared" si="0"/>
        <v>894611.67337385449</v>
      </c>
    </row>
    <row r="8" spans="1:12">
      <c r="A8" s="181"/>
      <c r="B8" s="182"/>
    </row>
    <row r="10" spans="1:12">
      <c r="A10" s="251" t="s">
        <v>247</v>
      </c>
      <c r="B10" s="251"/>
      <c r="C10" s="53">
        <f>NPER(0.1788,C6:L6,B6)</f>
        <v>2.1676143011079123</v>
      </c>
      <c r="D10" s="123" t="s">
        <v>246</v>
      </c>
      <c r="E10" t="s">
        <v>265</v>
      </c>
    </row>
  </sheetData>
  <mergeCells count="4">
    <mergeCell ref="A4:L4"/>
    <mergeCell ref="A3:L3"/>
    <mergeCell ref="A2:L2"/>
    <mergeCell ref="A10:B10"/>
  </mergeCells>
  <phoneticPr fontId="41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3:G10"/>
  <sheetViews>
    <sheetView workbookViewId="0">
      <selection activeCell="C22" sqref="C22"/>
    </sheetView>
  </sheetViews>
  <sheetFormatPr baseColWidth="10" defaultColWidth="11" defaultRowHeight="15"/>
  <cols>
    <col min="3" max="3" width="16.85546875" customWidth="1"/>
    <col min="4" max="4" width="12.42578125" customWidth="1"/>
    <col min="5" max="5" width="3.28515625" customWidth="1"/>
    <col min="6" max="6" width="16.85546875" customWidth="1"/>
    <col min="7" max="7" width="12.42578125" customWidth="1"/>
  </cols>
  <sheetData>
    <row r="3" spans="3:7" ht="15.75" thickBot="1"/>
    <row r="4" spans="3:7" ht="16.5" thickTop="1" thickBot="1">
      <c r="C4" s="252" t="s">
        <v>257</v>
      </c>
      <c r="D4" s="253"/>
      <c r="E4" s="199"/>
      <c r="F4" s="252" t="s">
        <v>258</v>
      </c>
      <c r="G4" s="253"/>
    </row>
    <row r="5" spans="3:7" ht="16.5" thickTop="1" thickBot="1">
      <c r="C5" s="200" t="s">
        <v>259</v>
      </c>
      <c r="D5" s="201" t="s">
        <v>260</v>
      </c>
      <c r="E5" s="199"/>
      <c r="F5" s="200" t="s">
        <v>259</v>
      </c>
      <c r="G5" s="201" t="s">
        <v>260</v>
      </c>
    </row>
    <row r="6" spans="3:7" ht="15.75" thickTop="1">
      <c r="C6" s="202" t="s">
        <v>261</v>
      </c>
      <c r="D6" s="203">
        <v>80986</v>
      </c>
      <c r="E6" s="199"/>
      <c r="F6" s="202" t="s">
        <v>261</v>
      </c>
      <c r="G6" s="203">
        <f>+D6</f>
        <v>80986</v>
      </c>
    </row>
    <row r="7" spans="3:7">
      <c r="C7" s="202" t="s">
        <v>262</v>
      </c>
      <c r="D7" s="204">
        <v>0</v>
      </c>
      <c r="E7" s="199"/>
      <c r="F7" s="202" t="s">
        <v>262</v>
      </c>
      <c r="G7" s="204">
        <f>+D7</f>
        <v>0</v>
      </c>
    </row>
    <row r="8" spans="3:7" ht="15.75" thickBot="1">
      <c r="C8" s="202" t="s">
        <v>263</v>
      </c>
      <c r="D8" s="204">
        <f>'[1]FLUJO DE CAJA PROYECTADOS'!C6</f>
        <v>156780</v>
      </c>
      <c r="E8" s="199"/>
      <c r="F8" s="202" t="s">
        <v>263</v>
      </c>
      <c r="G8" s="204">
        <f>+D8</f>
        <v>156780</v>
      </c>
    </row>
    <row r="9" spans="3:7" ht="16.5" thickTop="1" thickBot="1">
      <c r="C9" s="205" t="s">
        <v>264</v>
      </c>
      <c r="D9" s="206">
        <f>D6/(D8-D7)</f>
        <v>0.51655823446868221</v>
      </c>
      <c r="E9" s="199"/>
      <c r="F9" s="205" t="s">
        <v>264</v>
      </c>
      <c r="G9" s="207">
        <f>G8*D9</f>
        <v>80986</v>
      </c>
    </row>
    <row r="10" spans="3:7" ht="15.75" thickTop="1"/>
  </sheetData>
  <mergeCells count="2">
    <mergeCell ref="C4:D4"/>
    <mergeCell ref="F4:G4"/>
  </mergeCells>
  <phoneticPr fontId="4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Q27"/>
  <sheetViews>
    <sheetView showGridLines="0" workbookViewId="0">
      <selection activeCell="B4" sqref="B4:G10"/>
    </sheetView>
  </sheetViews>
  <sheetFormatPr baseColWidth="10" defaultColWidth="11" defaultRowHeight="15"/>
  <cols>
    <col min="1" max="1" width="12.85546875" customWidth="1"/>
    <col min="2" max="2" width="14.140625" customWidth="1"/>
    <col min="3" max="3" width="14.42578125" customWidth="1"/>
    <col min="4" max="5" width="15.7109375" customWidth="1"/>
    <col min="6" max="6" width="14.7109375" customWidth="1"/>
    <col min="7" max="7" width="15.7109375" customWidth="1"/>
    <col min="8" max="8" width="14.85546875" customWidth="1"/>
    <col min="9" max="9" width="12.42578125" customWidth="1"/>
    <col min="10" max="10" width="13.42578125" customWidth="1"/>
    <col min="11" max="11" width="14.5703125" customWidth="1"/>
  </cols>
  <sheetData>
    <row r="2" spans="1:17" ht="15.75">
      <c r="A2" s="185"/>
      <c r="B2" s="254" t="s">
        <v>252</v>
      </c>
      <c r="C2" s="254"/>
      <c r="D2" s="254"/>
      <c r="E2" s="254"/>
      <c r="F2" s="254"/>
      <c r="G2" s="254"/>
      <c r="H2" s="193"/>
      <c r="I2" s="193"/>
      <c r="J2" s="185"/>
      <c r="K2" s="185"/>
      <c r="L2" s="193"/>
      <c r="M2" s="193"/>
      <c r="N2" s="193"/>
      <c r="O2" s="193"/>
      <c r="P2" s="193"/>
      <c r="Q2" s="193"/>
    </row>
    <row r="3" spans="1:17" ht="15.75">
      <c r="A3" s="185"/>
      <c r="H3" s="194"/>
      <c r="I3" s="194"/>
      <c r="J3" s="185"/>
      <c r="K3" s="185"/>
      <c r="L3" s="193"/>
      <c r="M3" s="193"/>
      <c r="N3" s="194"/>
      <c r="O3" s="194"/>
      <c r="P3" s="194"/>
      <c r="Q3" s="194"/>
    </row>
    <row r="4" spans="1:17" ht="17.25" customHeight="1">
      <c r="A4" s="186"/>
      <c r="B4" s="256" t="s">
        <v>66</v>
      </c>
      <c r="C4" s="216" t="s">
        <v>253</v>
      </c>
      <c r="D4" s="217" t="s">
        <v>27</v>
      </c>
      <c r="E4" s="217" t="s">
        <v>28</v>
      </c>
      <c r="F4" s="217" t="s">
        <v>182</v>
      </c>
      <c r="G4" s="217" t="s">
        <v>254</v>
      </c>
      <c r="H4" s="56"/>
      <c r="I4" s="56"/>
      <c r="J4" s="186"/>
      <c r="K4" s="186"/>
      <c r="L4" s="55"/>
      <c r="M4" s="56"/>
      <c r="N4" s="56"/>
      <c r="O4" s="56"/>
      <c r="P4" s="56"/>
      <c r="Q4" s="56"/>
    </row>
    <row r="5" spans="1:17" ht="17.25" customHeight="1">
      <c r="A5" s="186"/>
      <c r="B5" s="257"/>
      <c r="C5" s="196">
        <v>0</v>
      </c>
      <c r="D5" s="218">
        <v>279102.801701697</v>
      </c>
      <c r="E5" s="219">
        <v>0.80596811560877002</v>
      </c>
      <c r="F5" s="220">
        <v>0.17879999999999999</v>
      </c>
      <c r="G5" s="183" t="s">
        <v>255</v>
      </c>
      <c r="H5" s="56"/>
      <c r="I5" s="56"/>
      <c r="J5" s="186"/>
      <c r="K5" s="186"/>
      <c r="L5" s="55"/>
      <c r="M5" s="56"/>
      <c r="N5" s="56"/>
      <c r="O5" s="56"/>
      <c r="P5" s="56"/>
      <c r="Q5" s="56"/>
    </row>
    <row r="6" spans="1:17" ht="17.25" customHeight="1">
      <c r="A6" s="186"/>
      <c r="B6" s="257"/>
      <c r="C6" s="197">
        <v>-0.1</v>
      </c>
      <c r="D6" s="218">
        <v>216900.92718756001</v>
      </c>
      <c r="E6" s="219">
        <v>0.66015392470837897</v>
      </c>
      <c r="F6" s="220">
        <v>0.17879999999999999</v>
      </c>
      <c r="G6" s="183" t="s">
        <v>255</v>
      </c>
      <c r="H6" s="56"/>
      <c r="I6" s="56"/>
      <c r="J6" s="186"/>
      <c r="K6" s="186"/>
      <c r="L6" s="55"/>
      <c r="M6" s="56"/>
      <c r="N6" s="56"/>
      <c r="O6" s="56"/>
      <c r="P6" s="56"/>
      <c r="Q6" s="56"/>
    </row>
    <row r="7" spans="1:17" ht="15.75">
      <c r="A7" s="195"/>
      <c r="B7" s="257"/>
      <c r="C7" s="197">
        <v>-0.2</v>
      </c>
      <c r="D7" s="218">
        <v>154699.052673422</v>
      </c>
      <c r="E7" s="219">
        <v>0.51868587074551997</v>
      </c>
      <c r="F7" s="220">
        <v>0.17879999999999999</v>
      </c>
      <c r="G7" s="183" t="s">
        <v>255</v>
      </c>
      <c r="H7" s="184"/>
      <c r="I7" s="55"/>
      <c r="J7" s="195"/>
      <c r="K7" s="195"/>
      <c r="L7" s="55"/>
      <c r="M7" s="55"/>
      <c r="N7" s="55"/>
      <c r="O7" s="55"/>
      <c r="P7" s="55"/>
      <c r="Q7" s="55"/>
    </row>
    <row r="8" spans="1:17" ht="15.75">
      <c r="A8" s="186"/>
      <c r="B8" s="257"/>
      <c r="C8" s="198">
        <v>-0.3</v>
      </c>
      <c r="D8" s="218">
        <v>92497.1781592849</v>
      </c>
      <c r="E8" s="219">
        <v>0.381199469794896</v>
      </c>
      <c r="F8" s="220">
        <v>0.17879999999999999</v>
      </c>
      <c r="G8" s="183" t="s">
        <v>255</v>
      </c>
      <c r="H8" s="55"/>
      <c r="I8" s="55"/>
      <c r="J8" s="186"/>
      <c r="K8" s="186"/>
      <c r="L8" s="55"/>
      <c r="M8" s="55"/>
      <c r="N8" s="55"/>
      <c r="O8" s="55"/>
      <c r="P8" s="55"/>
      <c r="Q8" s="55"/>
    </row>
    <row r="9" spans="1:17" ht="15.75">
      <c r="A9" s="195"/>
      <c r="B9" s="257"/>
      <c r="C9" s="197">
        <v>-0.4</v>
      </c>
      <c r="D9" s="218">
        <v>30295.3036451476</v>
      </c>
      <c r="E9" s="219">
        <v>0.24560271758126601</v>
      </c>
      <c r="F9" s="220">
        <v>0.17879999999999999</v>
      </c>
      <c r="G9" s="183" t="s">
        <v>255</v>
      </c>
      <c r="H9" s="55"/>
      <c r="I9" s="55"/>
      <c r="J9" s="195"/>
      <c r="K9" s="195"/>
      <c r="L9" s="55"/>
      <c r="M9" s="55"/>
      <c r="N9" s="55"/>
      <c r="O9" s="55"/>
      <c r="P9" s="55"/>
      <c r="Q9" s="55"/>
    </row>
    <row r="10" spans="1:17" ht="15.75">
      <c r="B10" s="257"/>
      <c r="C10" s="198">
        <v>-0.5</v>
      </c>
      <c r="D10" s="218">
        <v>-31906.570868989798</v>
      </c>
      <c r="E10" s="219">
        <v>0.106367338669569</v>
      </c>
      <c r="F10" s="220">
        <v>0.17879999999999999</v>
      </c>
      <c r="G10" s="209" t="s">
        <v>266</v>
      </c>
    </row>
    <row r="12" spans="1:17">
      <c r="B12" s="194"/>
      <c r="C12" s="194"/>
      <c r="D12" s="194"/>
      <c r="E12" s="194"/>
    </row>
    <row r="13" spans="1:17">
      <c r="B13" s="56"/>
      <c r="C13" s="56"/>
      <c r="D13" s="56"/>
      <c r="E13" s="56"/>
      <c r="F13" s="56"/>
      <c r="G13" s="56"/>
    </row>
    <row r="15" spans="1:17" ht="15.75" customHeight="1"/>
    <row r="20" spans="2:11">
      <c r="B20" s="56"/>
      <c r="C20" s="56"/>
      <c r="D20" s="56"/>
      <c r="E20" s="56"/>
    </row>
    <row r="21" spans="2:11" ht="15.75">
      <c r="B21" s="255"/>
      <c r="C21" s="208"/>
      <c r="D21" s="208"/>
      <c r="E21" s="208"/>
      <c r="F21" s="208"/>
      <c r="G21" s="208"/>
      <c r="H21" s="55"/>
      <c r="I21" s="55"/>
      <c r="J21" s="55"/>
      <c r="K21" s="55"/>
    </row>
    <row r="22" spans="2:11" ht="15.75">
      <c r="B22" s="255"/>
      <c r="C22" s="187"/>
      <c r="D22" s="188"/>
      <c r="E22" s="188"/>
      <c r="F22" s="187"/>
      <c r="G22" s="189"/>
      <c r="H22" s="55"/>
      <c r="I22" s="55"/>
      <c r="J22" s="55"/>
      <c r="K22" s="55"/>
    </row>
    <row r="23" spans="2:11" ht="15.75">
      <c r="B23" s="255"/>
      <c r="C23" s="187"/>
      <c r="D23" s="190"/>
      <c r="E23" s="190"/>
      <c r="F23" s="187"/>
      <c r="G23" s="189"/>
      <c r="H23" s="55"/>
      <c r="I23" s="55"/>
      <c r="J23" s="55"/>
      <c r="K23" s="55"/>
    </row>
    <row r="24" spans="2:11" ht="15.75">
      <c r="B24" s="255"/>
      <c r="C24" s="187"/>
      <c r="D24" s="188"/>
      <c r="E24" s="188"/>
      <c r="F24" s="187"/>
      <c r="G24" s="189"/>
      <c r="H24" s="192"/>
      <c r="I24" s="192"/>
      <c r="J24" s="192"/>
      <c r="K24" s="192"/>
    </row>
    <row r="25" spans="2:11" ht="15.75">
      <c r="B25" s="255"/>
      <c r="C25" s="187"/>
      <c r="D25" s="188"/>
      <c r="E25" s="188"/>
      <c r="F25" s="187"/>
      <c r="G25" s="189"/>
      <c r="H25" s="184"/>
      <c r="I25" s="184"/>
      <c r="J25" s="184"/>
      <c r="K25" s="9"/>
    </row>
    <row r="26" spans="2:11" ht="15.75">
      <c r="B26" s="255"/>
      <c r="C26" s="187"/>
      <c r="D26" s="191"/>
      <c r="E26" s="191"/>
      <c r="F26" s="187"/>
      <c r="G26" s="189"/>
    </row>
    <row r="27" spans="2:11" ht="15.75">
      <c r="B27" s="255"/>
      <c r="C27" s="187"/>
      <c r="D27" s="188"/>
      <c r="E27" s="188"/>
      <c r="F27" s="187"/>
      <c r="G27" s="189"/>
    </row>
  </sheetData>
  <mergeCells count="3">
    <mergeCell ref="B2:G2"/>
    <mergeCell ref="B21:B27"/>
    <mergeCell ref="B4:B10"/>
  </mergeCells>
  <phoneticPr fontId="41" type="noConversion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L25"/>
  <sheetViews>
    <sheetView showGridLines="0" topLeftCell="A5" workbookViewId="0">
      <selection activeCell="I29" sqref="I29"/>
    </sheetView>
  </sheetViews>
  <sheetFormatPr baseColWidth="10" defaultColWidth="11" defaultRowHeight="15"/>
  <cols>
    <col min="1" max="1" width="22.7109375" customWidth="1"/>
    <col min="2" max="2" width="12.7109375" customWidth="1"/>
  </cols>
  <sheetData>
    <row r="2" spans="1:12" ht="15.75">
      <c r="A2" s="236" t="s">
        <v>256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</row>
    <row r="3" spans="1:12" ht="15.75" thickBot="1">
      <c r="A3" s="235"/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</row>
    <row r="4" spans="1:12">
      <c r="A4" s="231" t="s">
        <v>250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</row>
    <row r="5" spans="1:12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</row>
    <row r="6" spans="1:12">
      <c r="A6" s="4" t="s">
        <v>12</v>
      </c>
      <c r="B6" s="27"/>
      <c r="C6" s="30">
        <f>((70*17*12)+(25*38*12*12.5))*(1-0.2)</f>
        <v>125424</v>
      </c>
      <c r="D6" s="23">
        <f t="shared" ref="D6:L6" si="0">C6*1.1</f>
        <v>137966.40000000002</v>
      </c>
      <c r="E6" s="23">
        <f t="shared" si="0"/>
        <v>151763.04000000004</v>
      </c>
      <c r="F6" s="23">
        <f t="shared" si="0"/>
        <v>166939.34400000004</v>
      </c>
      <c r="G6" s="23">
        <f t="shared" si="0"/>
        <v>183633.27840000007</v>
      </c>
      <c r="H6" s="23">
        <f t="shared" si="0"/>
        <v>201996.60624000008</v>
      </c>
      <c r="I6" s="23">
        <f t="shared" si="0"/>
        <v>222196.26686400012</v>
      </c>
      <c r="J6" s="23">
        <f t="shared" si="0"/>
        <v>244415.89355040016</v>
      </c>
      <c r="K6" s="23">
        <f t="shared" si="0"/>
        <v>268857.48290544021</v>
      </c>
      <c r="L6" s="23">
        <f t="shared" si="0"/>
        <v>295743.23119598423</v>
      </c>
    </row>
    <row r="7" spans="1:12">
      <c r="A7" s="4" t="s">
        <v>13</v>
      </c>
      <c r="B7" s="20"/>
      <c r="C7" s="23">
        <v>-66265.600000000006</v>
      </c>
      <c r="D7" s="23">
        <v>-69408.160000000003</v>
      </c>
      <c r="E7" s="23">
        <v>-72864.97600000001</v>
      </c>
      <c r="F7" s="23">
        <v>-76667.473600000012</v>
      </c>
      <c r="G7" s="23">
        <v>-80850.220960000021</v>
      </c>
      <c r="H7" s="23">
        <v>-85451.243056000021</v>
      </c>
      <c r="I7" s="23">
        <v>-90512.367361600016</v>
      </c>
      <c r="J7" s="23">
        <v>-96079.604097760035</v>
      </c>
      <c r="K7" s="23">
        <v>-102203.56450753604</v>
      </c>
      <c r="L7" s="23">
        <v>-108939.92095828966</v>
      </c>
    </row>
    <row r="8" spans="1:12">
      <c r="A8" s="4" t="s">
        <v>14</v>
      </c>
      <c r="B8" s="20"/>
      <c r="C8" s="23">
        <v>-14720</v>
      </c>
      <c r="D8" s="23">
        <v>-14720</v>
      </c>
      <c r="E8" s="23">
        <v>-14720</v>
      </c>
      <c r="F8" s="23">
        <v>-14720</v>
      </c>
      <c r="G8" s="23">
        <v>-14720</v>
      </c>
      <c r="H8" s="23">
        <v>-14720</v>
      </c>
      <c r="I8" s="23">
        <v>-14720</v>
      </c>
      <c r="J8" s="23">
        <v>-14720</v>
      </c>
      <c r="K8" s="23">
        <v>-14720</v>
      </c>
      <c r="L8" s="23">
        <v>-14720</v>
      </c>
    </row>
    <row r="9" spans="1:12">
      <c r="A9" s="4" t="s">
        <v>15</v>
      </c>
      <c r="B9" s="20"/>
      <c r="C9" s="23">
        <v>-2950</v>
      </c>
      <c r="D9" s="23">
        <v>-2950</v>
      </c>
      <c r="E9" s="23">
        <v>-2950</v>
      </c>
      <c r="F9" s="23">
        <v>-2950</v>
      </c>
      <c r="G9" s="23">
        <v>-2950</v>
      </c>
      <c r="H9" s="23">
        <v>-2950</v>
      </c>
      <c r="I9" s="23">
        <v>-2950</v>
      </c>
      <c r="J9" s="23">
        <v>-2950</v>
      </c>
      <c r="K9" s="23">
        <v>-2950</v>
      </c>
      <c r="L9" s="23">
        <v>-2950</v>
      </c>
    </row>
    <row r="10" spans="1:12">
      <c r="A10" s="4" t="s">
        <v>16</v>
      </c>
      <c r="B10" s="20"/>
      <c r="C10" s="23">
        <v>-3601.0333333333301</v>
      </c>
      <c r="D10" s="23">
        <v>-3601.0333333333301</v>
      </c>
      <c r="E10" s="23">
        <v>-3601.0333333333301</v>
      </c>
      <c r="F10" s="23">
        <v>-3601.0333333333301</v>
      </c>
      <c r="G10" s="23">
        <v>-3601.0333333333301</v>
      </c>
      <c r="H10" s="23">
        <v>-3601.0333333333301</v>
      </c>
      <c r="I10" s="23">
        <v>-3601.0333333333301</v>
      </c>
      <c r="J10" s="23">
        <v>-3601.0333333333301</v>
      </c>
      <c r="K10" s="23">
        <v>-3601.0333333333301</v>
      </c>
      <c r="L10" s="23">
        <v>-3601.0333333333301</v>
      </c>
    </row>
    <row r="11" spans="1:12">
      <c r="A11" s="4" t="s">
        <v>21</v>
      </c>
      <c r="B11" s="20"/>
      <c r="C11" s="23">
        <v>-5915</v>
      </c>
      <c r="D11" s="23">
        <v>-4674.2909379811426</v>
      </c>
      <c r="E11" s="23">
        <v>-3286.8059939254545</v>
      </c>
      <c r="F11" s="23">
        <v>-1735.1815809879786</v>
      </c>
      <c r="G11" s="20"/>
      <c r="H11" s="20"/>
      <c r="I11" s="20"/>
      <c r="J11" s="20"/>
      <c r="K11" s="20"/>
      <c r="L11" s="20"/>
    </row>
    <row r="12" spans="1:12">
      <c r="A12" s="5" t="s">
        <v>17</v>
      </c>
      <c r="B12" s="28"/>
      <c r="C12" s="31">
        <f>SUM(C6:C11)</f>
        <v>31972.366666666661</v>
      </c>
      <c r="D12" s="31">
        <f t="shared" ref="D12:L12" si="1">SUM(D6:D11)</f>
        <v>42612.915728685548</v>
      </c>
      <c r="E12" s="31">
        <f t="shared" si="1"/>
        <v>54340.224672741242</v>
      </c>
      <c r="F12" s="31">
        <f t="shared" si="1"/>
        <v>67265.655485678726</v>
      </c>
      <c r="G12" s="31">
        <f t="shared" si="1"/>
        <v>81512.024106666722</v>
      </c>
      <c r="H12" s="31">
        <f t="shared" si="1"/>
        <v>95274.329850666734</v>
      </c>
      <c r="I12" s="31">
        <f t="shared" si="1"/>
        <v>110412.86616906678</v>
      </c>
      <c r="J12" s="31">
        <f t="shared" si="1"/>
        <v>127065.25611930678</v>
      </c>
      <c r="K12" s="31">
        <f t="shared" si="1"/>
        <v>145382.88506457084</v>
      </c>
      <c r="L12" s="31">
        <f t="shared" si="1"/>
        <v>165532.27690436126</v>
      </c>
    </row>
    <row r="13" spans="1:12">
      <c r="A13" s="4" t="s">
        <v>18</v>
      </c>
      <c r="B13" s="20"/>
      <c r="C13" s="23">
        <f>-C12*0.24</f>
        <v>-7673.3679999999986</v>
      </c>
      <c r="D13" s="23">
        <f>-D12*0.23</f>
        <v>-9800.9706175976771</v>
      </c>
      <c r="E13" s="23">
        <f>-E12*0.22</f>
        <v>-11954.849428003074</v>
      </c>
      <c r="F13" s="23">
        <f t="shared" ref="F13:L13" si="2">-F12*0.22</f>
        <v>-14798.444206849319</v>
      </c>
      <c r="G13" s="23">
        <f t="shared" si="2"/>
        <v>-17932.645303466677</v>
      </c>
      <c r="H13" s="23">
        <f t="shared" si="2"/>
        <v>-20960.352567146681</v>
      </c>
      <c r="I13" s="23">
        <f t="shared" si="2"/>
        <v>-24290.830557194691</v>
      </c>
      <c r="J13" s="23">
        <f t="shared" si="2"/>
        <v>-27954.356346247492</v>
      </c>
      <c r="K13" s="23">
        <f t="shared" si="2"/>
        <v>-31984.234714205584</v>
      </c>
      <c r="L13" s="23">
        <f t="shared" si="2"/>
        <v>-36417.100918959477</v>
      </c>
    </row>
    <row r="14" spans="1:12" ht="24">
      <c r="A14" s="6" t="s">
        <v>19</v>
      </c>
      <c r="B14" s="20"/>
      <c r="C14" s="23">
        <f>-C12*0.15</f>
        <v>-4795.8549999999987</v>
      </c>
      <c r="D14" s="23">
        <f t="shared" ref="D14:L14" si="3">-D12*0.15</f>
        <v>-6391.9373593028322</v>
      </c>
      <c r="E14" s="23">
        <f t="shared" si="3"/>
        <v>-8151.0337009111863</v>
      </c>
      <c r="F14" s="23">
        <f t="shared" si="3"/>
        <v>-10089.848322851809</v>
      </c>
      <c r="G14" s="23">
        <f t="shared" si="3"/>
        <v>-12226.803616000008</v>
      </c>
      <c r="H14" s="23">
        <f t="shared" si="3"/>
        <v>-14291.149477600009</v>
      </c>
      <c r="I14" s="23">
        <f t="shared" si="3"/>
        <v>-16561.929925360015</v>
      </c>
      <c r="J14" s="23">
        <f t="shared" si="3"/>
        <v>-19059.788417896016</v>
      </c>
      <c r="K14" s="23">
        <f t="shared" si="3"/>
        <v>-21807.432759685627</v>
      </c>
      <c r="L14" s="23">
        <f t="shared" si="3"/>
        <v>-24829.841535654188</v>
      </c>
    </row>
    <row r="15" spans="1:12">
      <c r="A15" s="7" t="s">
        <v>20</v>
      </c>
      <c r="B15" s="29"/>
      <c r="C15" s="32">
        <f>SUM(C12:C14)</f>
        <v>19503.143666666663</v>
      </c>
      <c r="D15" s="32">
        <f t="shared" ref="D15:L15" si="4">SUM(D12:D14)</f>
        <v>26420.00775178504</v>
      </c>
      <c r="E15" s="32">
        <f t="shared" si="4"/>
        <v>34234.341543826988</v>
      </c>
      <c r="F15" s="32">
        <f t="shared" si="4"/>
        <v>42377.362955977595</v>
      </c>
      <c r="G15" s="32">
        <f t="shared" si="4"/>
        <v>51352.57518720004</v>
      </c>
      <c r="H15" s="32">
        <f t="shared" si="4"/>
        <v>60022.827805920046</v>
      </c>
      <c r="I15" s="32">
        <f t="shared" si="4"/>
        <v>69560.105686512077</v>
      </c>
      <c r="J15" s="32">
        <f t="shared" si="4"/>
        <v>80051.111355163273</v>
      </c>
      <c r="K15" s="32">
        <f t="shared" si="4"/>
        <v>91591.217590679633</v>
      </c>
      <c r="L15" s="32">
        <f t="shared" si="4"/>
        <v>104285.33444974761</v>
      </c>
    </row>
    <row r="16" spans="1:12">
      <c r="A16" s="4" t="s">
        <v>31</v>
      </c>
      <c r="B16" s="20"/>
      <c r="C16" s="23">
        <v>3601.0333333333333</v>
      </c>
      <c r="D16" s="23">
        <v>3601.0333333333333</v>
      </c>
      <c r="E16" s="23">
        <v>3601.0333333333333</v>
      </c>
      <c r="F16" s="23">
        <v>3601.0333333333333</v>
      </c>
      <c r="G16" s="23">
        <v>3601.0333333333333</v>
      </c>
      <c r="H16" s="23">
        <v>3601.0333333333333</v>
      </c>
      <c r="I16" s="23">
        <v>3601.0333333333333</v>
      </c>
      <c r="J16" s="23">
        <v>3601.0333333333333</v>
      </c>
      <c r="K16" s="23">
        <v>3601.0333333333333</v>
      </c>
      <c r="L16" s="23">
        <v>3601.0333333333333</v>
      </c>
    </row>
    <row r="17" spans="1:12">
      <c r="A17" s="4" t="s">
        <v>30</v>
      </c>
      <c r="B17" s="20"/>
      <c r="C17" s="23">
        <v>2950</v>
      </c>
      <c r="D17" s="23">
        <v>2950</v>
      </c>
      <c r="E17" s="23">
        <v>2950</v>
      </c>
      <c r="F17" s="23">
        <v>2950</v>
      </c>
      <c r="G17" s="23">
        <v>2950</v>
      </c>
      <c r="H17" s="23">
        <v>2950</v>
      </c>
      <c r="I17" s="23">
        <v>2950</v>
      </c>
      <c r="J17" s="23">
        <v>2950</v>
      </c>
      <c r="K17" s="23">
        <v>2950</v>
      </c>
      <c r="L17" s="23">
        <v>2950</v>
      </c>
    </row>
    <row r="18" spans="1:12">
      <c r="A18" s="4" t="s">
        <v>22</v>
      </c>
      <c r="B18" s="23">
        <v>-101447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</row>
    <row r="19" spans="1:12">
      <c r="A19" s="4" t="s">
        <v>23</v>
      </c>
      <c r="B19" s="23">
        <v>50000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</row>
    <row r="20" spans="1:12">
      <c r="A20" s="4" t="s">
        <v>29</v>
      </c>
      <c r="B20" s="20"/>
      <c r="C20" s="23">
        <v>-10487.819628223644</v>
      </c>
      <c r="D20" s="23">
        <v>-11728.528690242503</v>
      </c>
      <c r="E20" s="23">
        <v>-13116.013634298191</v>
      </c>
      <c r="F20" s="23">
        <v>-14667.638047235667</v>
      </c>
      <c r="G20" s="20"/>
      <c r="H20" s="20"/>
      <c r="I20" s="20"/>
      <c r="J20" s="20"/>
      <c r="K20" s="20"/>
      <c r="L20" s="20"/>
    </row>
    <row r="21" spans="1:12">
      <c r="A21" s="4" t="s">
        <v>24</v>
      </c>
      <c r="B21" s="23">
        <v>-6748.8000000000011</v>
      </c>
      <c r="C21" s="20"/>
      <c r="D21" s="20"/>
      <c r="E21" s="20"/>
      <c r="F21" s="20"/>
      <c r="G21" s="20"/>
      <c r="H21" s="20"/>
      <c r="I21" s="20"/>
      <c r="J21" s="20"/>
      <c r="K21" s="20"/>
      <c r="L21" s="23">
        <v>6748.8</v>
      </c>
    </row>
    <row r="22" spans="1:12">
      <c r="A22" s="4" t="s">
        <v>25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3">
        <v>37290</v>
      </c>
    </row>
    <row r="23" spans="1:12">
      <c r="A23" s="26" t="s">
        <v>26</v>
      </c>
      <c r="B23" s="26">
        <f>SUM(B15:B22)</f>
        <v>-58195.8</v>
      </c>
      <c r="C23" s="26">
        <f>SUM(C15:C22)</f>
        <v>15566.357371776352</v>
      </c>
      <c r="D23" s="26">
        <f t="shared" ref="D23:L23" si="5">SUM(D15:D22)</f>
        <v>21242.512394875866</v>
      </c>
      <c r="E23" s="26">
        <f t="shared" si="5"/>
        <v>27669.361242862127</v>
      </c>
      <c r="F23" s="26">
        <f t="shared" si="5"/>
        <v>34260.758242075259</v>
      </c>
      <c r="G23" s="26">
        <f t="shared" si="5"/>
        <v>57903.608520533373</v>
      </c>
      <c r="H23" s="26">
        <f t="shared" si="5"/>
        <v>66573.861139253378</v>
      </c>
      <c r="I23" s="26">
        <f t="shared" si="5"/>
        <v>76111.139019845417</v>
      </c>
      <c r="J23" s="26">
        <f t="shared" si="5"/>
        <v>86602.144688496614</v>
      </c>
      <c r="K23" s="26">
        <f t="shared" si="5"/>
        <v>98142.250924012973</v>
      </c>
      <c r="L23" s="26">
        <f t="shared" si="5"/>
        <v>154875.16778308095</v>
      </c>
    </row>
    <row r="24" spans="1:12" ht="15.75">
      <c r="A24" s="4" t="s">
        <v>27</v>
      </c>
      <c r="B24" s="24">
        <f>NPV(17.88%,C23:L23)+B23</f>
        <v>154699.05267342238</v>
      </c>
      <c r="C24" s="2"/>
      <c r="D24" s="4" t="s">
        <v>28</v>
      </c>
      <c r="E24" s="25">
        <f>IRR(B23:L23)</f>
        <v>0.51868587074552019</v>
      </c>
      <c r="F24" s="2"/>
      <c r="G24" s="2"/>
      <c r="H24" s="2"/>
      <c r="I24" s="2"/>
      <c r="J24" s="2"/>
      <c r="K24" s="2"/>
      <c r="L24" s="2"/>
    </row>
    <row r="25" spans="1:12">
      <c r="A25" s="177" t="s">
        <v>66</v>
      </c>
      <c r="B25" s="178">
        <v>-0.2</v>
      </c>
    </row>
  </sheetData>
  <mergeCells count="3">
    <mergeCell ref="A2:L2"/>
    <mergeCell ref="A3:L3"/>
    <mergeCell ref="A4:L4"/>
  </mergeCells>
  <phoneticPr fontId="4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L25"/>
  <sheetViews>
    <sheetView showGridLines="0" topLeftCell="A4" workbookViewId="0">
      <selection activeCell="G27" sqref="G27"/>
    </sheetView>
  </sheetViews>
  <sheetFormatPr baseColWidth="10" defaultColWidth="11" defaultRowHeight="15"/>
  <cols>
    <col min="1" max="1" width="22.140625" customWidth="1"/>
    <col min="2" max="2" width="12.42578125" customWidth="1"/>
  </cols>
  <sheetData>
    <row r="2" spans="1:12" ht="15.75">
      <c r="A2" s="236" t="s">
        <v>249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</row>
    <row r="3" spans="1:12" ht="15.75" thickBot="1">
      <c r="A3" s="235"/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</row>
    <row r="4" spans="1:12">
      <c r="A4" s="231" t="s">
        <v>251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</row>
    <row r="5" spans="1:12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</row>
    <row r="6" spans="1:12">
      <c r="A6" s="4" t="s">
        <v>12</v>
      </c>
      <c r="B6" s="27"/>
      <c r="C6" s="30">
        <f>((70*17*12)+(25*38*12*12.5))*(1-0.4)</f>
        <v>94068</v>
      </c>
      <c r="D6" s="23">
        <f t="shared" ref="D6:L6" si="0">C6*1.1</f>
        <v>103474.8</v>
      </c>
      <c r="E6" s="23">
        <f t="shared" si="0"/>
        <v>113822.28000000001</v>
      </c>
      <c r="F6" s="23">
        <f t="shared" si="0"/>
        <v>125204.50800000003</v>
      </c>
      <c r="G6" s="23">
        <f t="shared" si="0"/>
        <v>137724.95880000005</v>
      </c>
      <c r="H6" s="23">
        <f t="shared" si="0"/>
        <v>151497.45468000008</v>
      </c>
      <c r="I6" s="23">
        <f t="shared" si="0"/>
        <v>166647.20014800009</v>
      </c>
      <c r="J6" s="23">
        <f t="shared" si="0"/>
        <v>183311.92016280012</v>
      </c>
      <c r="K6" s="23">
        <f t="shared" si="0"/>
        <v>201643.11217908014</v>
      </c>
      <c r="L6" s="23">
        <f t="shared" si="0"/>
        <v>221807.42339698816</v>
      </c>
    </row>
    <row r="7" spans="1:12">
      <c r="A7" s="4" t="s">
        <v>13</v>
      </c>
      <c r="B7" s="20"/>
      <c r="C7" s="23">
        <v>-66265.600000000006</v>
      </c>
      <c r="D7" s="23">
        <v>-69408.160000000003</v>
      </c>
      <c r="E7" s="23">
        <v>-72864.97600000001</v>
      </c>
      <c r="F7" s="23">
        <v>-76667.473600000012</v>
      </c>
      <c r="G7" s="23">
        <v>-80850.220960000021</v>
      </c>
      <c r="H7" s="23">
        <v>-85451.243056000021</v>
      </c>
      <c r="I7" s="23">
        <v>-90512.367361600016</v>
      </c>
      <c r="J7" s="23">
        <v>-96079.604097760035</v>
      </c>
      <c r="K7" s="23">
        <v>-102203.56450753604</v>
      </c>
      <c r="L7" s="23">
        <v>-108939.92095828966</v>
      </c>
    </row>
    <row r="8" spans="1:12">
      <c r="A8" s="4" t="s">
        <v>14</v>
      </c>
      <c r="B8" s="20"/>
      <c r="C8" s="23">
        <v>-14720</v>
      </c>
      <c r="D8" s="23">
        <v>-14720</v>
      </c>
      <c r="E8" s="23">
        <v>-14720</v>
      </c>
      <c r="F8" s="23">
        <v>-14720</v>
      </c>
      <c r="G8" s="23">
        <v>-14720</v>
      </c>
      <c r="H8" s="23">
        <v>-14720</v>
      </c>
      <c r="I8" s="23">
        <v>-14720</v>
      </c>
      <c r="J8" s="23">
        <v>-14720</v>
      </c>
      <c r="K8" s="23">
        <v>-14720</v>
      </c>
      <c r="L8" s="23">
        <v>-14720</v>
      </c>
    </row>
    <row r="9" spans="1:12">
      <c r="A9" s="4" t="s">
        <v>15</v>
      </c>
      <c r="B9" s="20"/>
      <c r="C9" s="23">
        <v>-2950</v>
      </c>
      <c r="D9" s="23">
        <v>-2950</v>
      </c>
      <c r="E9" s="23">
        <v>-2950</v>
      </c>
      <c r="F9" s="23">
        <v>-2950</v>
      </c>
      <c r="G9" s="23">
        <v>-2950</v>
      </c>
      <c r="H9" s="23">
        <v>-2950</v>
      </c>
      <c r="I9" s="23">
        <v>-2950</v>
      </c>
      <c r="J9" s="23">
        <v>-2950</v>
      </c>
      <c r="K9" s="23">
        <v>-2950</v>
      </c>
      <c r="L9" s="23">
        <v>-2950</v>
      </c>
    </row>
    <row r="10" spans="1:12">
      <c r="A10" s="4" t="s">
        <v>16</v>
      </c>
      <c r="B10" s="20"/>
      <c r="C10" s="23">
        <v>-3601.0333333333301</v>
      </c>
      <c r="D10" s="23">
        <v>-3601.0333333333301</v>
      </c>
      <c r="E10" s="23">
        <v>-3601.0333333333301</v>
      </c>
      <c r="F10" s="23">
        <v>-3601.0333333333301</v>
      </c>
      <c r="G10" s="23">
        <v>-3601.0333333333301</v>
      </c>
      <c r="H10" s="23">
        <v>-3601.0333333333301</v>
      </c>
      <c r="I10" s="23">
        <v>-3601.0333333333301</v>
      </c>
      <c r="J10" s="23">
        <v>-3601.0333333333301</v>
      </c>
      <c r="K10" s="23">
        <v>-3601.0333333333301</v>
      </c>
      <c r="L10" s="23">
        <v>-3601.0333333333301</v>
      </c>
    </row>
    <row r="11" spans="1:12">
      <c r="A11" s="4" t="s">
        <v>21</v>
      </c>
      <c r="B11" s="20"/>
      <c r="C11" s="23">
        <v>-5915</v>
      </c>
      <c r="D11" s="23">
        <v>-4674.2909379811426</v>
      </c>
      <c r="E11" s="23">
        <v>-3286.8059939254545</v>
      </c>
      <c r="F11" s="23">
        <v>-1735.1815809879786</v>
      </c>
      <c r="G11" s="20"/>
      <c r="H11" s="20"/>
      <c r="I11" s="20"/>
      <c r="J11" s="20"/>
      <c r="K11" s="20"/>
      <c r="L11" s="20"/>
    </row>
    <row r="12" spans="1:12">
      <c r="A12" s="5" t="s">
        <v>17</v>
      </c>
      <c r="B12" s="28"/>
      <c r="C12" s="31">
        <f>SUM(C6:C11)</f>
        <v>616.36666666666406</v>
      </c>
      <c r="D12" s="31">
        <f t="shared" ref="D12:L12" si="1">SUM(D6:D11)</f>
        <v>8121.3157286855276</v>
      </c>
      <c r="E12" s="31">
        <f t="shared" si="1"/>
        <v>16399.464672741218</v>
      </c>
      <c r="F12" s="31">
        <f t="shared" si="1"/>
        <v>25530.819485678712</v>
      </c>
      <c r="G12" s="31">
        <f t="shared" si="1"/>
        <v>35603.704506666698</v>
      </c>
      <c r="H12" s="31">
        <f t="shared" si="1"/>
        <v>44775.178290666729</v>
      </c>
      <c r="I12" s="31">
        <f t="shared" si="1"/>
        <v>54863.799453066742</v>
      </c>
      <c r="J12" s="31">
        <f t="shared" si="1"/>
        <v>65961.282731706757</v>
      </c>
      <c r="K12" s="31">
        <f t="shared" si="1"/>
        <v>78168.514338210778</v>
      </c>
      <c r="L12" s="31">
        <f t="shared" si="1"/>
        <v>91596.469105365177</v>
      </c>
    </row>
    <row r="13" spans="1:12">
      <c r="A13" s="4" t="s">
        <v>18</v>
      </c>
      <c r="B13" s="20"/>
      <c r="C13" s="23">
        <f>-C12*0.24</f>
        <v>-147.92799999999937</v>
      </c>
      <c r="D13" s="23">
        <f>-D12*0.23</f>
        <v>-1867.9026175976715</v>
      </c>
      <c r="E13" s="23">
        <f>-E12*0.22</f>
        <v>-3607.8822280030681</v>
      </c>
      <c r="F13" s="23">
        <f t="shared" ref="F13:L13" si="2">-F12*0.22</f>
        <v>-5616.7802868493163</v>
      </c>
      <c r="G13" s="23">
        <f t="shared" si="2"/>
        <v>-7832.8149914666737</v>
      </c>
      <c r="H13" s="23">
        <f t="shared" si="2"/>
        <v>-9850.5392239466801</v>
      </c>
      <c r="I13" s="23">
        <f t="shared" si="2"/>
        <v>-12070.035879674684</v>
      </c>
      <c r="J13" s="23">
        <f t="shared" si="2"/>
        <v>-14511.482200975486</v>
      </c>
      <c r="K13" s="23">
        <f t="shared" si="2"/>
        <v>-17197.073154406371</v>
      </c>
      <c r="L13" s="23">
        <f t="shared" si="2"/>
        <v>-20151.22320318034</v>
      </c>
    </row>
    <row r="14" spans="1:12" ht="26.25" customHeight="1">
      <c r="A14" s="6" t="s">
        <v>19</v>
      </c>
      <c r="B14" s="20"/>
      <c r="C14" s="23">
        <f>-C12*0.15</f>
        <v>-92.4549999999996</v>
      </c>
      <c r="D14" s="23">
        <f t="shared" ref="D14:L14" si="3">-D12*0.15</f>
        <v>-1218.197359302829</v>
      </c>
      <c r="E14" s="23">
        <f t="shared" si="3"/>
        <v>-2459.9197009111826</v>
      </c>
      <c r="F14" s="23">
        <f t="shared" si="3"/>
        <v>-3829.6229228518068</v>
      </c>
      <c r="G14" s="23">
        <f t="shared" si="3"/>
        <v>-5340.5556760000045</v>
      </c>
      <c r="H14" s="23">
        <f t="shared" si="3"/>
        <v>-6716.2767436000095</v>
      </c>
      <c r="I14" s="23">
        <f t="shared" si="3"/>
        <v>-8229.5699179600106</v>
      </c>
      <c r="J14" s="23">
        <f t="shared" si="3"/>
        <v>-9894.1924097560131</v>
      </c>
      <c r="K14" s="23">
        <f t="shared" si="3"/>
        <v>-11725.277150731616</v>
      </c>
      <c r="L14" s="23">
        <f t="shared" si="3"/>
        <v>-13739.470365804777</v>
      </c>
    </row>
    <row r="15" spans="1:12">
      <c r="A15" s="7" t="s">
        <v>20</v>
      </c>
      <c r="B15" s="29"/>
      <c r="C15" s="32">
        <f>SUM(C12:C14)</f>
        <v>375.9836666666651</v>
      </c>
      <c r="D15" s="32">
        <f t="shared" ref="D15:L15" si="4">SUM(D12:D14)</f>
        <v>5035.2157517850274</v>
      </c>
      <c r="E15" s="32">
        <f t="shared" si="4"/>
        <v>10331.662743826966</v>
      </c>
      <c r="F15" s="32">
        <f t="shared" si="4"/>
        <v>16084.41627597759</v>
      </c>
      <c r="G15" s="32">
        <f t="shared" si="4"/>
        <v>22430.333839200022</v>
      </c>
      <c r="H15" s="32">
        <f t="shared" si="4"/>
        <v>28208.362323120036</v>
      </c>
      <c r="I15" s="32">
        <f t="shared" si="4"/>
        <v>34564.193655432049</v>
      </c>
      <c r="J15" s="32">
        <f t="shared" si="4"/>
        <v>41555.608120975259</v>
      </c>
      <c r="K15" s="32">
        <f t="shared" si="4"/>
        <v>49246.16403307279</v>
      </c>
      <c r="L15" s="32">
        <f t="shared" si="4"/>
        <v>57705.775536380053</v>
      </c>
    </row>
    <row r="16" spans="1:12">
      <c r="A16" s="4" t="s">
        <v>31</v>
      </c>
      <c r="B16" s="20"/>
      <c r="C16" s="23">
        <v>3601.0333333333333</v>
      </c>
      <c r="D16" s="23">
        <v>3601.0333333333333</v>
      </c>
      <c r="E16" s="23">
        <v>3601.0333333333333</v>
      </c>
      <c r="F16" s="23">
        <v>3601.0333333333333</v>
      </c>
      <c r="G16" s="23">
        <v>3601.0333333333333</v>
      </c>
      <c r="H16" s="23">
        <v>3601.0333333333333</v>
      </c>
      <c r="I16" s="23">
        <v>3601.0333333333333</v>
      </c>
      <c r="J16" s="23">
        <v>3601.0333333333333</v>
      </c>
      <c r="K16" s="23">
        <v>3601.0333333333333</v>
      </c>
      <c r="L16" s="23">
        <v>3601.0333333333333</v>
      </c>
    </row>
    <row r="17" spans="1:12">
      <c r="A17" s="4" t="s">
        <v>30</v>
      </c>
      <c r="B17" s="20"/>
      <c r="C17" s="23">
        <v>2950</v>
      </c>
      <c r="D17" s="23">
        <v>2950</v>
      </c>
      <c r="E17" s="23">
        <v>2950</v>
      </c>
      <c r="F17" s="23">
        <v>2950</v>
      </c>
      <c r="G17" s="23">
        <v>2950</v>
      </c>
      <c r="H17" s="23">
        <v>2950</v>
      </c>
      <c r="I17" s="23">
        <v>2950</v>
      </c>
      <c r="J17" s="23">
        <v>2950</v>
      </c>
      <c r="K17" s="23">
        <v>2950</v>
      </c>
      <c r="L17" s="23">
        <v>2950</v>
      </c>
    </row>
    <row r="18" spans="1:12">
      <c r="A18" s="4" t="s">
        <v>22</v>
      </c>
      <c r="B18" s="23">
        <v>-101447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</row>
    <row r="19" spans="1:12">
      <c r="A19" s="4" t="s">
        <v>23</v>
      </c>
      <c r="B19" s="23">
        <v>50000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</row>
    <row r="20" spans="1:12">
      <c r="A20" s="4" t="s">
        <v>29</v>
      </c>
      <c r="B20" s="20"/>
      <c r="C20" s="23">
        <v>-10487.819628223644</v>
      </c>
      <c r="D20" s="23">
        <v>-11728.528690242503</v>
      </c>
      <c r="E20" s="23">
        <v>-13116.013634298191</v>
      </c>
      <c r="F20" s="23">
        <v>-14667.638047235667</v>
      </c>
      <c r="G20" s="20"/>
      <c r="H20" s="20"/>
      <c r="I20" s="20"/>
      <c r="J20" s="20"/>
      <c r="K20" s="20"/>
      <c r="L20" s="20"/>
    </row>
    <row r="21" spans="1:12">
      <c r="A21" s="4" t="s">
        <v>24</v>
      </c>
      <c r="B21" s="23">
        <v>-6748.8000000000011</v>
      </c>
      <c r="C21" s="20"/>
      <c r="D21" s="20"/>
      <c r="E21" s="20"/>
      <c r="F21" s="20"/>
      <c r="G21" s="20"/>
      <c r="H21" s="20"/>
      <c r="I21" s="20"/>
      <c r="J21" s="20"/>
      <c r="K21" s="20"/>
      <c r="L21" s="23">
        <v>6748.8</v>
      </c>
    </row>
    <row r="22" spans="1:12">
      <c r="A22" s="4" t="s">
        <v>25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3">
        <v>37290</v>
      </c>
    </row>
    <row r="23" spans="1:12">
      <c r="A23" s="26" t="s">
        <v>26</v>
      </c>
      <c r="B23" s="26">
        <f>SUM(B15:B22)</f>
        <v>-58195.8</v>
      </c>
      <c r="C23" s="26">
        <f>SUM(C15:C22)</f>
        <v>-3560.802628223646</v>
      </c>
      <c r="D23" s="26">
        <f t="shared" ref="D23:L23" si="5">SUM(D15:D22)</f>
        <v>-142.27960512414211</v>
      </c>
      <c r="E23" s="26">
        <f t="shared" si="5"/>
        <v>3766.6824428621057</v>
      </c>
      <c r="F23" s="26">
        <f t="shared" si="5"/>
        <v>7967.811562075256</v>
      </c>
      <c r="G23" s="26">
        <f t="shared" si="5"/>
        <v>28981.367172533355</v>
      </c>
      <c r="H23" s="26">
        <f t="shared" si="5"/>
        <v>34759.395656453373</v>
      </c>
      <c r="I23" s="26">
        <f t="shared" si="5"/>
        <v>41115.226988765382</v>
      </c>
      <c r="J23" s="26">
        <f t="shared" si="5"/>
        <v>48106.641454308592</v>
      </c>
      <c r="K23" s="26">
        <f t="shared" si="5"/>
        <v>55797.197366406122</v>
      </c>
      <c r="L23" s="26">
        <f t="shared" si="5"/>
        <v>108295.60886971338</v>
      </c>
    </row>
    <row r="24" spans="1:12" ht="15.75">
      <c r="A24" s="4" t="s">
        <v>27</v>
      </c>
      <c r="B24" s="24">
        <f>NPV(17.88%,C23:L23)+B23</f>
        <v>30295.303645147578</v>
      </c>
      <c r="C24" s="2"/>
      <c r="D24" s="4" t="s">
        <v>28</v>
      </c>
      <c r="E24" s="25">
        <f>IRR(B23:L23)</f>
        <v>0.24560271758126606</v>
      </c>
      <c r="F24" s="2"/>
      <c r="G24" s="2"/>
      <c r="H24" s="2"/>
      <c r="I24" s="2"/>
      <c r="J24" s="2"/>
      <c r="K24" s="2"/>
      <c r="L24" s="2"/>
    </row>
    <row r="25" spans="1:12">
      <c r="A25" s="177" t="s">
        <v>66</v>
      </c>
      <c r="B25" s="178">
        <v>-0.4</v>
      </c>
    </row>
  </sheetData>
  <mergeCells count="3">
    <mergeCell ref="A2:L2"/>
    <mergeCell ref="A3:L3"/>
    <mergeCell ref="A4:L4"/>
  </mergeCells>
  <phoneticPr fontId="4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M37"/>
  <sheetViews>
    <sheetView showGridLines="0" zoomScaleNormal="100" workbookViewId="0">
      <selection activeCell="B2" sqref="B2:L3"/>
    </sheetView>
  </sheetViews>
  <sheetFormatPr baseColWidth="10" defaultColWidth="11" defaultRowHeight="15"/>
  <cols>
    <col min="2" max="2" width="21.85546875" customWidth="1"/>
    <col min="3" max="3" width="12.42578125" customWidth="1"/>
    <col min="8" max="8" width="12" customWidth="1"/>
  </cols>
  <sheetData>
    <row r="2" spans="2:12" ht="15.75">
      <c r="B2" s="236" t="s">
        <v>268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</row>
    <row r="3" spans="2:12" ht="15.75" thickBot="1"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</row>
    <row r="4" spans="2:12">
      <c r="B4" s="230" t="s">
        <v>117</v>
      </c>
      <c r="C4" s="230"/>
      <c r="D4" s="230"/>
      <c r="E4" s="230"/>
      <c r="F4" s="230"/>
      <c r="G4" s="230"/>
      <c r="H4" s="230"/>
      <c r="I4" s="230"/>
      <c r="J4" s="230"/>
      <c r="K4" s="230"/>
      <c r="L4" s="230"/>
    </row>
    <row r="5" spans="2:12">
      <c r="B5" s="79" t="s">
        <v>0</v>
      </c>
      <c r="C5" s="79" t="s">
        <v>2</v>
      </c>
      <c r="D5" s="79" t="s">
        <v>3</v>
      </c>
      <c r="E5" s="79" t="s">
        <v>4</v>
      </c>
      <c r="F5" s="80" t="s">
        <v>5</v>
      </c>
      <c r="G5" s="79" t="s">
        <v>6</v>
      </c>
      <c r="H5" s="80" t="s">
        <v>7</v>
      </c>
      <c r="I5" s="79" t="s">
        <v>8</v>
      </c>
      <c r="J5" s="80" t="s">
        <v>9</v>
      </c>
      <c r="K5" s="79" t="s">
        <v>10</v>
      </c>
      <c r="L5" s="79" t="s">
        <v>11</v>
      </c>
    </row>
    <row r="6" spans="2:12">
      <c r="B6" s="81" t="s">
        <v>118</v>
      </c>
      <c r="C6" s="82">
        <f>SUM(C7:C8)</f>
        <v>19425.599999999999</v>
      </c>
      <c r="D6" s="82">
        <f t="shared" ref="D6:L6" si="0">SUM(D7:D8)</f>
        <v>21368.16</v>
      </c>
      <c r="E6" s="82">
        <f t="shared" si="0"/>
        <v>23504.976000000002</v>
      </c>
      <c r="F6" s="82">
        <f t="shared" si="0"/>
        <v>25855.473600000005</v>
      </c>
      <c r="G6" s="82">
        <f t="shared" si="0"/>
        <v>28441.020960000009</v>
      </c>
      <c r="H6" s="82">
        <f t="shared" si="0"/>
        <v>31285.123056000011</v>
      </c>
      <c r="I6" s="82">
        <f t="shared" si="0"/>
        <v>34413.635361600012</v>
      </c>
      <c r="J6" s="82">
        <f t="shared" si="0"/>
        <v>37854.998897760022</v>
      </c>
      <c r="K6" s="82">
        <f t="shared" si="0"/>
        <v>41640.498787536024</v>
      </c>
      <c r="L6" s="82">
        <f t="shared" si="0"/>
        <v>45804.548666289636</v>
      </c>
    </row>
    <row r="7" spans="2:12">
      <c r="B7" s="83" t="s">
        <v>119</v>
      </c>
      <c r="C7" s="84">
        <v>9202.7999999999993</v>
      </c>
      <c r="D7" s="85">
        <f>C7*1.1</f>
        <v>10123.08</v>
      </c>
      <c r="E7" s="85">
        <f t="shared" ref="E7:L8" si="1">D7*1.1</f>
        <v>11135.388000000001</v>
      </c>
      <c r="F7" s="85">
        <f t="shared" si="1"/>
        <v>12248.926800000001</v>
      </c>
      <c r="G7" s="85">
        <f t="shared" si="1"/>
        <v>13473.819480000002</v>
      </c>
      <c r="H7" s="85">
        <f t="shared" si="1"/>
        <v>14821.201428000004</v>
      </c>
      <c r="I7" s="85">
        <f t="shared" si="1"/>
        <v>16303.321570800006</v>
      </c>
      <c r="J7" s="85">
        <f t="shared" si="1"/>
        <v>17933.65372788001</v>
      </c>
      <c r="K7" s="85">
        <f t="shared" si="1"/>
        <v>19727.019100668011</v>
      </c>
      <c r="L7" s="85">
        <f t="shared" si="1"/>
        <v>21699.721010734815</v>
      </c>
    </row>
    <row r="8" spans="2:12">
      <c r="B8" s="86" t="s">
        <v>120</v>
      </c>
      <c r="C8" s="84">
        <v>10222.799999999999</v>
      </c>
      <c r="D8" s="85">
        <f>C8*1.1</f>
        <v>11245.08</v>
      </c>
      <c r="E8" s="85">
        <f t="shared" si="1"/>
        <v>12369.588000000002</v>
      </c>
      <c r="F8" s="85">
        <f t="shared" si="1"/>
        <v>13606.546800000004</v>
      </c>
      <c r="G8" s="85">
        <f t="shared" si="1"/>
        <v>14967.201480000005</v>
      </c>
      <c r="H8" s="85">
        <f t="shared" si="1"/>
        <v>16463.921628000007</v>
      </c>
      <c r="I8" s="85">
        <f t="shared" si="1"/>
        <v>18110.31379080001</v>
      </c>
      <c r="J8" s="85">
        <f t="shared" si="1"/>
        <v>19921.345169880013</v>
      </c>
      <c r="K8" s="85">
        <f t="shared" si="1"/>
        <v>21913.479686868017</v>
      </c>
      <c r="L8" s="85">
        <f t="shared" si="1"/>
        <v>24104.827655554822</v>
      </c>
    </row>
    <row r="9" spans="2:12">
      <c r="B9" s="87" t="s">
        <v>121</v>
      </c>
      <c r="C9" s="88">
        <f>SUM(C10:C12)</f>
        <v>11040</v>
      </c>
      <c r="D9" s="88">
        <f t="shared" ref="D9:L9" si="2">SUM(D10:D12)</f>
        <v>11040</v>
      </c>
      <c r="E9" s="88">
        <f t="shared" si="2"/>
        <v>11040</v>
      </c>
      <c r="F9" s="88">
        <f t="shared" si="2"/>
        <v>11040</v>
      </c>
      <c r="G9" s="88">
        <f t="shared" si="2"/>
        <v>11040</v>
      </c>
      <c r="H9" s="89">
        <f t="shared" si="2"/>
        <v>11040</v>
      </c>
      <c r="I9" s="88">
        <f t="shared" si="2"/>
        <v>11040</v>
      </c>
      <c r="J9" s="90">
        <f t="shared" si="2"/>
        <v>11040</v>
      </c>
      <c r="K9" s="88">
        <f t="shared" si="2"/>
        <v>11040</v>
      </c>
      <c r="L9" s="88">
        <f t="shared" si="2"/>
        <v>11040</v>
      </c>
    </row>
    <row r="10" spans="2:12">
      <c r="B10" s="91" t="s">
        <v>122</v>
      </c>
      <c r="C10" s="92">
        <v>9600</v>
      </c>
      <c r="D10" s="92">
        <v>9600</v>
      </c>
      <c r="E10" s="92">
        <v>9600</v>
      </c>
      <c r="F10" s="92">
        <v>9600</v>
      </c>
      <c r="G10" s="92">
        <v>9600</v>
      </c>
      <c r="H10" s="92">
        <v>9600</v>
      </c>
      <c r="I10" s="92">
        <v>9600</v>
      </c>
      <c r="J10" s="92">
        <v>9600</v>
      </c>
      <c r="K10" s="92">
        <v>9600</v>
      </c>
      <c r="L10" s="92">
        <v>9600</v>
      </c>
    </row>
    <row r="11" spans="2:12">
      <c r="B11" s="93" t="s">
        <v>123</v>
      </c>
      <c r="C11" s="92">
        <v>840</v>
      </c>
      <c r="D11" s="92">
        <v>840</v>
      </c>
      <c r="E11" s="92">
        <v>840</v>
      </c>
      <c r="F11" s="92">
        <v>840</v>
      </c>
      <c r="G11" s="92">
        <v>840</v>
      </c>
      <c r="H11" s="92">
        <v>840</v>
      </c>
      <c r="I11" s="92">
        <v>840</v>
      </c>
      <c r="J11" s="92">
        <v>840</v>
      </c>
      <c r="K11" s="92">
        <v>840</v>
      </c>
      <c r="L11" s="92">
        <v>840</v>
      </c>
    </row>
    <row r="12" spans="2:12">
      <c r="B12" s="94" t="s">
        <v>124</v>
      </c>
      <c r="C12" s="95">
        <v>600</v>
      </c>
      <c r="D12" s="95">
        <v>600</v>
      </c>
      <c r="E12" s="95">
        <v>600</v>
      </c>
      <c r="F12" s="95">
        <v>600</v>
      </c>
      <c r="G12" s="95">
        <v>600</v>
      </c>
      <c r="H12" s="95">
        <v>600</v>
      </c>
      <c r="I12" s="95">
        <v>600</v>
      </c>
      <c r="J12" s="95">
        <v>600</v>
      </c>
      <c r="K12" s="95">
        <v>600</v>
      </c>
      <c r="L12" s="95">
        <v>600</v>
      </c>
    </row>
    <row r="13" spans="2:12">
      <c r="B13" s="96" t="s">
        <v>125</v>
      </c>
      <c r="C13" s="74">
        <v>12000</v>
      </c>
      <c r="D13" s="74">
        <f>C13*1.1</f>
        <v>13200.000000000002</v>
      </c>
      <c r="E13" s="74">
        <f t="shared" ref="E13:L13" si="3">D13*1.1</f>
        <v>14520.000000000004</v>
      </c>
      <c r="F13" s="97">
        <f t="shared" si="3"/>
        <v>15972.000000000005</v>
      </c>
      <c r="G13" s="97">
        <f t="shared" si="3"/>
        <v>17569.200000000008</v>
      </c>
      <c r="H13" s="97">
        <f t="shared" si="3"/>
        <v>19326.12000000001</v>
      </c>
      <c r="I13" s="97">
        <f t="shared" si="3"/>
        <v>21258.732000000011</v>
      </c>
      <c r="J13" s="97">
        <f t="shared" si="3"/>
        <v>23384.605200000013</v>
      </c>
      <c r="K13" s="97">
        <f t="shared" si="3"/>
        <v>25723.065720000017</v>
      </c>
      <c r="L13" s="62">
        <f t="shared" si="3"/>
        <v>28295.372292000022</v>
      </c>
    </row>
    <row r="14" spans="2:12">
      <c r="B14" s="98" t="s">
        <v>126</v>
      </c>
      <c r="C14" s="61">
        <v>1000</v>
      </c>
      <c r="D14" s="61">
        <v>1000</v>
      </c>
      <c r="E14" s="61">
        <v>1000</v>
      </c>
      <c r="F14" s="99">
        <v>1000</v>
      </c>
      <c r="G14" s="61">
        <v>1000</v>
      </c>
      <c r="H14" s="99">
        <v>1000</v>
      </c>
      <c r="I14" s="61">
        <v>1000</v>
      </c>
      <c r="J14" s="99">
        <v>1000</v>
      </c>
      <c r="K14" s="61">
        <v>1000</v>
      </c>
      <c r="L14" s="61">
        <v>1000</v>
      </c>
    </row>
    <row r="15" spans="2:12">
      <c r="B15" s="98" t="s">
        <v>127</v>
      </c>
      <c r="C15" s="61">
        <v>18000</v>
      </c>
      <c r="D15" s="61">
        <v>18000</v>
      </c>
      <c r="E15" s="61">
        <v>18000</v>
      </c>
      <c r="F15" s="61">
        <v>18000</v>
      </c>
      <c r="G15" s="61">
        <v>18000</v>
      </c>
      <c r="H15" s="61">
        <v>18000</v>
      </c>
      <c r="I15" s="61">
        <v>18000</v>
      </c>
      <c r="J15" s="61">
        <v>18000</v>
      </c>
      <c r="K15" s="61">
        <v>18000</v>
      </c>
      <c r="L15" s="61">
        <v>18000</v>
      </c>
    </row>
    <row r="16" spans="2:12">
      <c r="B16" s="4" t="s">
        <v>128</v>
      </c>
      <c r="C16" s="88">
        <v>4800</v>
      </c>
      <c r="D16" s="88">
        <v>4800</v>
      </c>
      <c r="E16" s="88">
        <v>4800</v>
      </c>
      <c r="F16" s="88">
        <v>4800</v>
      </c>
      <c r="G16" s="88">
        <v>4800</v>
      </c>
      <c r="H16" s="88">
        <v>4800</v>
      </c>
      <c r="I16" s="88">
        <v>4800</v>
      </c>
      <c r="J16" s="88">
        <v>4800</v>
      </c>
      <c r="K16" s="88">
        <v>4800</v>
      </c>
      <c r="L16" s="88">
        <v>4800</v>
      </c>
    </row>
    <row r="17" spans="2:12">
      <c r="B17" s="57" t="s">
        <v>115</v>
      </c>
      <c r="C17" s="67">
        <f>C6+C9+C13+C14+C15+C16</f>
        <v>66265.600000000006</v>
      </c>
      <c r="D17" s="67">
        <f t="shared" ref="D17:L17" si="4">D6+D9+D13+D14+D15+D16</f>
        <v>69408.160000000003</v>
      </c>
      <c r="E17" s="67">
        <f t="shared" si="4"/>
        <v>72864.97600000001</v>
      </c>
      <c r="F17" s="67">
        <f t="shared" si="4"/>
        <v>76667.473600000012</v>
      </c>
      <c r="G17" s="67">
        <f t="shared" si="4"/>
        <v>80850.220960000021</v>
      </c>
      <c r="H17" s="67">
        <f t="shared" si="4"/>
        <v>85451.243056000021</v>
      </c>
      <c r="I17" s="67">
        <f t="shared" si="4"/>
        <v>90512.367361600016</v>
      </c>
      <c r="J17" s="67">
        <f t="shared" si="4"/>
        <v>96079.604097760035</v>
      </c>
      <c r="K17" s="67">
        <f t="shared" si="4"/>
        <v>102203.56450753604</v>
      </c>
      <c r="L17" s="67">
        <f t="shared" si="4"/>
        <v>108939.92095828966</v>
      </c>
    </row>
    <row r="19" spans="2:12">
      <c r="B19" s="59"/>
      <c r="C19" s="100" t="s">
        <v>135</v>
      </c>
      <c r="D19" s="100" t="s">
        <v>129</v>
      </c>
      <c r="E19" s="100" t="s">
        <v>136</v>
      </c>
      <c r="F19" s="100" t="s">
        <v>137</v>
      </c>
      <c r="G19" s="100" t="s">
        <v>138</v>
      </c>
      <c r="H19" s="100" t="s">
        <v>130</v>
      </c>
      <c r="I19" s="100" t="s">
        <v>139</v>
      </c>
    </row>
    <row r="20" spans="2:12">
      <c r="B20" s="101" t="s">
        <v>131</v>
      </c>
      <c r="C20" s="59">
        <v>7200</v>
      </c>
      <c r="D20" s="59"/>
      <c r="E20" s="59">
        <v>600</v>
      </c>
      <c r="F20" s="59">
        <v>300</v>
      </c>
      <c r="G20" s="59">
        <v>300</v>
      </c>
      <c r="H20" s="59">
        <f>C20*11.15%</f>
        <v>802.80000000000007</v>
      </c>
      <c r="I20" s="59">
        <f>SUM(C20:H20)</f>
        <v>9202.7999999999993</v>
      </c>
    </row>
    <row r="21" spans="2:12">
      <c r="B21" s="101" t="s">
        <v>132</v>
      </c>
      <c r="C21" s="59">
        <v>3600</v>
      </c>
      <c r="D21" s="59">
        <v>360</v>
      </c>
      <c r="E21" s="59">
        <v>300</v>
      </c>
      <c r="F21" s="59">
        <v>300</v>
      </c>
      <c r="G21" s="59">
        <v>150</v>
      </c>
      <c r="H21" s="59">
        <f t="shared" ref="H21:H22" si="5">C21*11.15%</f>
        <v>401.40000000000003</v>
      </c>
      <c r="I21" s="59">
        <f t="shared" ref="I21:I22" si="6">SUM(C21:H21)</f>
        <v>5111.3999999999996</v>
      </c>
    </row>
    <row r="22" spans="2:12">
      <c r="B22" s="101" t="s">
        <v>133</v>
      </c>
      <c r="C22" s="59">
        <v>3600</v>
      </c>
      <c r="D22" s="59">
        <v>360</v>
      </c>
      <c r="E22" s="59">
        <v>300</v>
      </c>
      <c r="F22" s="59">
        <v>300</v>
      </c>
      <c r="G22" s="59">
        <v>150</v>
      </c>
      <c r="H22" s="59">
        <f t="shared" si="5"/>
        <v>401.40000000000003</v>
      </c>
      <c r="I22" s="59">
        <f t="shared" si="6"/>
        <v>5111.3999999999996</v>
      </c>
    </row>
    <row r="23" spans="2:12">
      <c r="B23" s="102" t="s">
        <v>134</v>
      </c>
      <c r="C23" s="59">
        <f>SUM(C20:C22)</f>
        <v>14400</v>
      </c>
      <c r="D23" s="59">
        <f>SUM(D20:D22)</f>
        <v>720</v>
      </c>
      <c r="E23" s="59">
        <f t="shared" ref="E23:H23" si="7">SUM(E20:E22)</f>
        <v>1200</v>
      </c>
      <c r="F23" s="59">
        <f t="shared" si="7"/>
        <v>900</v>
      </c>
      <c r="G23" s="59">
        <f t="shared" si="7"/>
        <v>600</v>
      </c>
      <c r="H23" s="59">
        <f t="shared" si="7"/>
        <v>1605.6000000000001</v>
      </c>
      <c r="I23" s="59">
        <f>SUM(C23:H23)</f>
        <v>19425.599999999999</v>
      </c>
    </row>
    <row r="26" spans="2:12">
      <c r="B26" s="232" t="s">
        <v>154</v>
      </c>
      <c r="C26" s="233"/>
      <c r="D26" s="233"/>
      <c r="E26" s="233"/>
      <c r="F26" s="233"/>
      <c r="G26" s="233"/>
      <c r="H26" s="233"/>
      <c r="I26" s="233"/>
      <c r="J26" s="233"/>
      <c r="K26" s="233"/>
      <c r="L26" s="234"/>
    </row>
    <row r="27" spans="2:12">
      <c r="B27" s="57" t="s">
        <v>0</v>
      </c>
      <c r="C27" s="57" t="s">
        <v>2</v>
      </c>
      <c r="D27" s="57" t="s">
        <v>3</v>
      </c>
      <c r="E27" s="57" t="s">
        <v>4</v>
      </c>
      <c r="F27" s="57" t="s">
        <v>5</v>
      </c>
      <c r="G27" s="57" t="s">
        <v>6</v>
      </c>
      <c r="H27" s="57" t="s">
        <v>7</v>
      </c>
      <c r="I27" s="57" t="s">
        <v>8</v>
      </c>
      <c r="J27" s="57" t="s">
        <v>9</v>
      </c>
      <c r="K27" s="57" t="s">
        <v>10</v>
      </c>
      <c r="L27" s="57" t="s">
        <v>11</v>
      </c>
    </row>
    <row r="28" spans="2:12" ht="24">
      <c r="B28" s="106" t="s">
        <v>155</v>
      </c>
      <c r="C28" s="88">
        <v>14720</v>
      </c>
      <c r="D28" s="88">
        <v>14720</v>
      </c>
      <c r="E28" s="88">
        <v>14720</v>
      </c>
      <c r="F28" s="88">
        <v>14720</v>
      </c>
      <c r="G28" s="88">
        <v>14720</v>
      </c>
      <c r="H28" s="88">
        <v>14720</v>
      </c>
      <c r="I28" s="88">
        <v>14720</v>
      </c>
      <c r="J28" s="88">
        <v>14720</v>
      </c>
      <c r="K28" s="88">
        <v>14720</v>
      </c>
      <c r="L28" s="88">
        <v>14720</v>
      </c>
    </row>
    <row r="29" spans="2:12">
      <c r="B29" s="57" t="s">
        <v>115</v>
      </c>
      <c r="C29" s="107">
        <f>C28</f>
        <v>14720</v>
      </c>
      <c r="D29" s="107">
        <f t="shared" ref="D29:L29" si="8">D28</f>
        <v>14720</v>
      </c>
      <c r="E29" s="107">
        <f t="shared" si="8"/>
        <v>14720</v>
      </c>
      <c r="F29" s="107">
        <f t="shared" si="8"/>
        <v>14720</v>
      </c>
      <c r="G29" s="107">
        <f t="shared" si="8"/>
        <v>14720</v>
      </c>
      <c r="H29" s="107">
        <f t="shared" si="8"/>
        <v>14720</v>
      </c>
      <c r="I29" s="107">
        <f t="shared" si="8"/>
        <v>14720</v>
      </c>
      <c r="J29" s="107">
        <f t="shared" si="8"/>
        <v>14720</v>
      </c>
      <c r="K29" s="107">
        <f t="shared" si="8"/>
        <v>14720</v>
      </c>
      <c r="L29" s="107">
        <f t="shared" si="8"/>
        <v>14720</v>
      </c>
    </row>
    <row r="33" spans="2:13">
      <c r="B33" s="231" t="s">
        <v>140</v>
      </c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</row>
    <row r="34" spans="2:13">
      <c r="B34" s="103"/>
      <c r="C34" s="57" t="s">
        <v>141</v>
      </c>
      <c r="D34" s="57" t="s">
        <v>142</v>
      </c>
      <c r="E34" s="57" t="s">
        <v>143</v>
      </c>
      <c r="F34" s="57" t="s">
        <v>144</v>
      </c>
      <c r="G34" s="57" t="s">
        <v>145</v>
      </c>
      <c r="H34" s="57" t="s">
        <v>146</v>
      </c>
      <c r="I34" s="57" t="s">
        <v>147</v>
      </c>
      <c r="J34" s="57" t="s">
        <v>148</v>
      </c>
      <c r="K34" s="57" t="s">
        <v>149</v>
      </c>
      <c r="L34" s="57" t="s">
        <v>150</v>
      </c>
      <c r="M34" s="57" t="s">
        <v>151</v>
      </c>
    </row>
    <row r="35" spans="2:13">
      <c r="B35" s="61" t="s">
        <v>152</v>
      </c>
      <c r="C35" s="62">
        <v>1500</v>
      </c>
      <c r="D35" s="62">
        <f>$C$35/10</f>
        <v>150</v>
      </c>
      <c r="E35" s="62">
        <f t="shared" ref="E35:M35" si="9">$C$35/10</f>
        <v>150</v>
      </c>
      <c r="F35" s="62">
        <f t="shared" si="9"/>
        <v>150</v>
      </c>
      <c r="G35" s="62">
        <f t="shared" si="9"/>
        <v>150</v>
      </c>
      <c r="H35" s="62">
        <f t="shared" si="9"/>
        <v>150</v>
      </c>
      <c r="I35" s="62">
        <f t="shared" si="9"/>
        <v>150</v>
      </c>
      <c r="J35" s="62">
        <f t="shared" si="9"/>
        <v>150</v>
      </c>
      <c r="K35" s="62">
        <f t="shared" si="9"/>
        <v>150</v>
      </c>
      <c r="L35" s="62">
        <f t="shared" si="9"/>
        <v>150</v>
      </c>
      <c r="M35" s="62">
        <f t="shared" si="9"/>
        <v>150</v>
      </c>
    </row>
    <row r="36" spans="2:13">
      <c r="B36" s="61" t="s">
        <v>153</v>
      </c>
      <c r="C36" s="62">
        <v>28000</v>
      </c>
      <c r="D36" s="62">
        <f>$C$36/10</f>
        <v>2800</v>
      </c>
      <c r="E36" s="62">
        <f t="shared" ref="E36:M36" si="10">$C$36/10</f>
        <v>2800</v>
      </c>
      <c r="F36" s="62">
        <f t="shared" si="10"/>
        <v>2800</v>
      </c>
      <c r="G36" s="62">
        <f t="shared" si="10"/>
        <v>2800</v>
      </c>
      <c r="H36" s="62">
        <f t="shared" si="10"/>
        <v>2800</v>
      </c>
      <c r="I36" s="62">
        <f t="shared" si="10"/>
        <v>2800</v>
      </c>
      <c r="J36" s="62">
        <f t="shared" si="10"/>
        <v>2800</v>
      </c>
      <c r="K36" s="62">
        <f t="shared" si="10"/>
        <v>2800</v>
      </c>
      <c r="L36" s="62">
        <f t="shared" si="10"/>
        <v>2800</v>
      </c>
      <c r="M36" s="62">
        <f t="shared" si="10"/>
        <v>2800</v>
      </c>
    </row>
    <row r="37" spans="2:13">
      <c r="B37" s="104" t="s">
        <v>115</v>
      </c>
      <c r="C37" s="105">
        <f t="shared" ref="C37:M37" si="11">SUM(C35:C36)</f>
        <v>29500</v>
      </c>
      <c r="D37" s="67">
        <f t="shared" si="11"/>
        <v>2950</v>
      </c>
      <c r="E37" s="67">
        <f t="shared" si="11"/>
        <v>2950</v>
      </c>
      <c r="F37" s="67">
        <f t="shared" si="11"/>
        <v>2950</v>
      </c>
      <c r="G37" s="67">
        <f t="shared" si="11"/>
        <v>2950</v>
      </c>
      <c r="H37" s="67">
        <f t="shared" si="11"/>
        <v>2950</v>
      </c>
      <c r="I37" s="67">
        <f t="shared" si="11"/>
        <v>2950</v>
      </c>
      <c r="J37" s="67">
        <f t="shared" si="11"/>
        <v>2950</v>
      </c>
      <c r="K37" s="67">
        <f t="shared" si="11"/>
        <v>2950</v>
      </c>
      <c r="L37" s="67">
        <f t="shared" si="11"/>
        <v>2950</v>
      </c>
      <c r="M37" s="67">
        <f t="shared" si="11"/>
        <v>2950</v>
      </c>
    </row>
  </sheetData>
  <mergeCells count="5">
    <mergeCell ref="B4:L4"/>
    <mergeCell ref="B33:M33"/>
    <mergeCell ref="B26:L26"/>
    <mergeCell ref="B3:L3"/>
    <mergeCell ref="B2:L2"/>
  </mergeCells>
  <phoneticPr fontId="4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4:G10"/>
  <sheetViews>
    <sheetView workbookViewId="0">
      <selection activeCell="I20" sqref="I20"/>
    </sheetView>
  </sheetViews>
  <sheetFormatPr baseColWidth="10" defaultColWidth="11" defaultRowHeight="15"/>
  <cols>
    <col min="1" max="1" width="23.140625" customWidth="1"/>
    <col min="4" max="4" width="11.42578125" customWidth="1"/>
  </cols>
  <sheetData>
    <row r="4" spans="1:7" ht="36">
      <c r="A4" s="73" t="s">
        <v>107</v>
      </c>
      <c r="B4" s="73" t="s">
        <v>108</v>
      </c>
      <c r="C4" s="73" t="s">
        <v>109</v>
      </c>
      <c r="D4" s="73" t="s">
        <v>110</v>
      </c>
      <c r="E4" s="73" t="s">
        <v>111</v>
      </c>
      <c r="F4" s="73" t="s">
        <v>112</v>
      </c>
      <c r="G4" s="73" t="s">
        <v>113</v>
      </c>
    </row>
    <row r="5" spans="1:7">
      <c r="A5" s="74" t="s">
        <v>114</v>
      </c>
      <c r="B5" s="62">
        <f>50000+(5000*10+4000)*0.225</f>
        <v>62150</v>
      </c>
      <c r="C5" s="75">
        <v>15</v>
      </c>
      <c r="D5" s="76">
        <v>2486</v>
      </c>
      <c r="E5" s="75">
        <v>10</v>
      </c>
      <c r="F5" s="77">
        <f>D5*E5</f>
        <v>24860</v>
      </c>
      <c r="G5" s="76">
        <f>B5-F5</f>
        <v>37290</v>
      </c>
    </row>
    <row r="6" spans="1:7">
      <c r="A6" s="74" t="s">
        <v>41</v>
      </c>
      <c r="B6" s="76">
        <v>217</v>
      </c>
      <c r="C6" s="75">
        <v>10</v>
      </c>
      <c r="D6" s="76">
        <f>B6/C6</f>
        <v>21.7</v>
      </c>
      <c r="E6" s="75">
        <v>10</v>
      </c>
      <c r="F6" s="77">
        <f>D6*E6</f>
        <v>217</v>
      </c>
      <c r="G6" s="76">
        <f>B6-F6</f>
        <v>0</v>
      </c>
    </row>
    <row r="7" spans="1:7">
      <c r="A7" s="74" t="s">
        <v>42</v>
      </c>
      <c r="B7" s="76">
        <v>8800</v>
      </c>
      <c r="C7" s="75">
        <v>10</v>
      </c>
      <c r="D7" s="76">
        <f>B7/C7</f>
        <v>880</v>
      </c>
      <c r="E7" s="75">
        <v>10</v>
      </c>
      <c r="F7" s="77">
        <f>D7*E7</f>
        <v>8800</v>
      </c>
      <c r="G7" s="76">
        <f>B7-F7</f>
        <v>0</v>
      </c>
    </row>
    <row r="8" spans="1:7">
      <c r="A8" s="74" t="s">
        <v>43</v>
      </c>
      <c r="B8" s="76">
        <v>200</v>
      </c>
      <c r="C8" s="75">
        <v>10</v>
      </c>
      <c r="D8" s="76">
        <f>B8/C8</f>
        <v>20</v>
      </c>
      <c r="E8" s="75">
        <v>10</v>
      </c>
      <c r="F8" s="77">
        <f>D8*E8</f>
        <v>200</v>
      </c>
      <c r="G8" s="76">
        <f>B8-F8</f>
        <v>0</v>
      </c>
    </row>
    <row r="9" spans="1:7">
      <c r="A9" s="74" t="s">
        <v>44</v>
      </c>
      <c r="B9" s="76">
        <v>580</v>
      </c>
      <c r="C9" s="75">
        <v>3</v>
      </c>
      <c r="D9" s="76">
        <f>B9/C9</f>
        <v>193.33333333333334</v>
      </c>
      <c r="E9" s="75">
        <v>3</v>
      </c>
      <c r="F9" s="77">
        <f>D9*E9</f>
        <v>580</v>
      </c>
      <c r="G9" s="76">
        <f>B9-F9</f>
        <v>0</v>
      </c>
    </row>
    <row r="10" spans="1:7">
      <c r="A10" s="78" t="s">
        <v>115</v>
      </c>
      <c r="B10" s="1"/>
      <c r="C10" s="1"/>
      <c r="D10" s="67">
        <f>SUM(D5:D9)</f>
        <v>3601.0333333333333</v>
      </c>
      <c r="E10" s="238" t="s">
        <v>116</v>
      </c>
      <c r="F10" s="238"/>
      <c r="G10" s="67">
        <f>SUM(G5:G9)</f>
        <v>37290</v>
      </c>
    </row>
  </sheetData>
  <mergeCells count="1">
    <mergeCell ref="E10:F10"/>
  </mergeCells>
  <phoneticPr fontId="4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6"/>
  <sheetViews>
    <sheetView workbookViewId="0">
      <selection activeCell="I14" sqref="I14"/>
    </sheetView>
  </sheetViews>
  <sheetFormatPr baseColWidth="10" defaultColWidth="11" defaultRowHeight="15"/>
  <cols>
    <col min="1" max="1" width="24" customWidth="1"/>
  </cols>
  <sheetData>
    <row r="1" spans="1:13" ht="15.75">
      <c r="A1" s="236" t="s">
        <v>269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</row>
    <row r="2" spans="1:13" ht="15.75" thickBot="1">
      <c r="A2" s="235"/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</row>
    <row r="3" spans="1:13">
      <c r="A3" s="231" t="s">
        <v>156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</row>
    <row r="4" spans="1:13">
      <c r="A4" s="108"/>
      <c r="B4" s="109" t="s">
        <v>157</v>
      </c>
      <c r="C4" s="109" t="s">
        <v>158</v>
      </c>
      <c r="D4" s="109" t="s">
        <v>159</v>
      </c>
      <c r="E4" s="109" t="s">
        <v>160</v>
      </c>
      <c r="F4" s="109" t="s">
        <v>161</v>
      </c>
      <c r="G4" s="109" t="s">
        <v>162</v>
      </c>
      <c r="H4" s="109" t="s">
        <v>163</v>
      </c>
      <c r="I4" s="109" t="s">
        <v>164</v>
      </c>
      <c r="J4" s="109" t="s">
        <v>165</v>
      </c>
      <c r="K4" s="109" t="s">
        <v>166</v>
      </c>
      <c r="L4" s="109" t="s">
        <v>167</v>
      </c>
      <c r="M4" s="109" t="s">
        <v>168</v>
      </c>
    </row>
    <row r="5" spans="1:13">
      <c r="A5" s="110" t="s">
        <v>169</v>
      </c>
      <c r="B5" s="111"/>
      <c r="C5" s="111">
        <f>$B$14/12</f>
        <v>13065</v>
      </c>
      <c r="D5" s="111">
        <f t="shared" ref="D5:M5" si="0">$B$14/12</f>
        <v>13065</v>
      </c>
      <c r="E5" s="111">
        <f t="shared" si="0"/>
        <v>13065</v>
      </c>
      <c r="F5" s="111">
        <f t="shared" si="0"/>
        <v>13065</v>
      </c>
      <c r="G5" s="111">
        <f t="shared" si="0"/>
        <v>13065</v>
      </c>
      <c r="H5" s="111">
        <f t="shared" si="0"/>
        <v>13065</v>
      </c>
      <c r="I5" s="111">
        <f t="shared" si="0"/>
        <v>13065</v>
      </c>
      <c r="J5" s="111">
        <f t="shared" si="0"/>
        <v>13065</v>
      </c>
      <c r="K5" s="111">
        <f t="shared" si="0"/>
        <v>13065</v>
      </c>
      <c r="L5" s="111">
        <f t="shared" si="0"/>
        <v>13065</v>
      </c>
      <c r="M5" s="111">
        <f t="shared" si="0"/>
        <v>13065</v>
      </c>
    </row>
    <row r="6" spans="1:13">
      <c r="A6" s="112" t="s">
        <v>170</v>
      </c>
      <c r="B6" s="113">
        <f>SUM(B7:B8)</f>
        <v>6748.8000000000011</v>
      </c>
      <c r="C6" s="113">
        <f t="shared" ref="C6:M6" si="1">SUM(C7:C8)</f>
        <v>6748.8000000000011</v>
      </c>
      <c r="D6" s="113">
        <f t="shared" si="1"/>
        <v>6748.8000000000011</v>
      </c>
      <c r="E6" s="113">
        <f t="shared" si="1"/>
        <v>6748.8000000000011</v>
      </c>
      <c r="F6" s="113">
        <f t="shared" si="1"/>
        <v>6748.8000000000011</v>
      </c>
      <c r="G6" s="113">
        <f t="shared" si="1"/>
        <v>6748.8000000000011</v>
      </c>
      <c r="H6" s="113">
        <f t="shared" si="1"/>
        <v>6748.8000000000011</v>
      </c>
      <c r="I6" s="113">
        <f t="shared" si="1"/>
        <v>6748.8000000000011</v>
      </c>
      <c r="J6" s="113">
        <f t="shared" si="1"/>
        <v>6748.8000000000011</v>
      </c>
      <c r="K6" s="113">
        <f t="shared" si="1"/>
        <v>6748.8000000000011</v>
      </c>
      <c r="L6" s="113">
        <f t="shared" si="1"/>
        <v>6748.8000000000011</v>
      </c>
      <c r="M6" s="113">
        <f t="shared" si="1"/>
        <v>6748.8000000000011</v>
      </c>
    </row>
    <row r="7" spans="1:13">
      <c r="A7" s="114" t="s">
        <v>171</v>
      </c>
      <c r="B7" s="115">
        <f>$B$15/12</f>
        <v>5522.1333333333341</v>
      </c>
      <c r="C7" s="115">
        <f t="shared" ref="C7:M7" si="2">$B$15/12</f>
        <v>5522.1333333333341</v>
      </c>
      <c r="D7" s="115">
        <f t="shared" si="2"/>
        <v>5522.1333333333341</v>
      </c>
      <c r="E7" s="115">
        <f t="shared" si="2"/>
        <v>5522.1333333333341</v>
      </c>
      <c r="F7" s="115">
        <f t="shared" si="2"/>
        <v>5522.1333333333341</v>
      </c>
      <c r="G7" s="115">
        <f t="shared" si="2"/>
        <v>5522.1333333333341</v>
      </c>
      <c r="H7" s="115">
        <f t="shared" si="2"/>
        <v>5522.1333333333341</v>
      </c>
      <c r="I7" s="115">
        <f t="shared" si="2"/>
        <v>5522.1333333333341</v>
      </c>
      <c r="J7" s="115">
        <f t="shared" si="2"/>
        <v>5522.1333333333341</v>
      </c>
      <c r="K7" s="115">
        <f t="shared" si="2"/>
        <v>5522.1333333333341</v>
      </c>
      <c r="L7" s="115">
        <f t="shared" si="2"/>
        <v>5522.1333333333341</v>
      </c>
      <c r="M7" s="113">
        <f t="shared" si="2"/>
        <v>5522.1333333333341</v>
      </c>
    </row>
    <row r="8" spans="1:13">
      <c r="A8" s="116" t="s">
        <v>172</v>
      </c>
      <c r="B8" s="117">
        <f>$B$16/12</f>
        <v>1226.6666666666667</v>
      </c>
      <c r="C8" s="117">
        <f t="shared" ref="C8:M8" si="3">$B$16/12</f>
        <v>1226.6666666666667</v>
      </c>
      <c r="D8" s="117">
        <f t="shared" si="3"/>
        <v>1226.6666666666667</v>
      </c>
      <c r="E8" s="117">
        <f t="shared" si="3"/>
        <v>1226.6666666666667</v>
      </c>
      <c r="F8" s="117">
        <f t="shared" si="3"/>
        <v>1226.6666666666667</v>
      </c>
      <c r="G8" s="117">
        <f t="shared" si="3"/>
        <v>1226.6666666666667</v>
      </c>
      <c r="H8" s="117">
        <f t="shared" si="3"/>
        <v>1226.6666666666667</v>
      </c>
      <c r="I8" s="117">
        <f t="shared" si="3"/>
        <v>1226.6666666666667</v>
      </c>
      <c r="J8" s="117">
        <f t="shared" si="3"/>
        <v>1226.6666666666667</v>
      </c>
      <c r="K8" s="117">
        <f t="shared" si="3"/>
        <v>1226.6666666666667</v>
      </c>
      <c r="L8" s="117">
        <f t="shared" si="3"/>
        <v>1226.6666666666667</v>
      </c>
      <c r="M8" s="118">
        <f t="shared" si="3"/>
        <v>1226.6666666666667</v>
      </c>
    </row>
    <row r="9" spans="1:13">
      <c r="A9" s="119" t="s">
        <v>173</v>
      </c>
      <c r="B9" s="118">
        <f>B5-B6</f>
        <v>-6748.8000000000011</v>
      </c>
      <c r="C9" s="118">
        <f>C5-C6</f>
        <v>6316.1999999999989</v>
      </c>
      <c r="D9" s="118">
        <f t="shared" ref="D9:M9" si="4">D5-D6</f>
        <v>6316.1999999999989</v>
      </c>
      <c r="E9" s="118">
        <f t="shared" si="4"/>
        <v>6316.1999999999989</v>
      </c>
      <c r="F9" s="118">
        <f t="shared" si="4"/>
        <v>6316.1999999999989</v>
      </c>
      <c r="G9" s="118">
        <f t="shared" si="4"/>
        <v>6316.1999999999989</v>
      </c>
      <c r="H9" s="118">
        <f t="shared" si="4"/>
        <v>6316.1999999999989</v>
      </c>
      <c r="I9" s="118">
        <f t="shared" si="4"/>
        <v>6316.1999999999989</v>
      </c>
      <c r="J9" s="118">
        <f t="shared" si="4"/>
        <v>6316.1999999999989</v>
      </c>
      <c r="K9" s="118">
        <f t="shared" si="4"/>
        <v>6316.1999999999989</v>
      </c>
      <c r="L9" s="118">
        <f t="shared" si="4"/>
        <v>6316.1999999999989</v>
      </c>
      <c r="M9" s="118">
        <f t="shared" si="4"/>
        <v>6316.1999999999989</v>
      </c>
    </row>
    <row r="10" spans="1:13">
      <c r="A10" s="110" t="s">
        <v>174</v>
      </c>
      <c r="B10" s="120">
        <f>B9</f>
        <v>-6748.8000000000011</v>
      </c>
      <c r="C10" s="120">
        <f>B10+C9</f>
        <v>-432.60000000000218</v>
      </c>
      <c r="D10" s="120">
        <f>C10+D9</f>
        <v>5883.5999999999967</v>
      </c>
      <c r="E10" s="120">
        <f t="shared" ref="E10:M10" si="5">D10+E9</f>
        <v>12199.799999999996</v>
      </c>
      <c r="F10" s="120">
        <f t="shared" si="5"/>
        <v>18515.999999999993</v>
      </c>
      <c r="G10" s="120">
        <f t="shared" si="5"/>
        <v>24832.19999999999</v>
      </c>
      <c r="H10" s="120">
        <f t="shared" si="5"/>
        <v>31148.399999999987</v>
      </c>
      <c r="I10" s="120">
        <f t="shared" si="5"/>
        <v>37464.599999999984</v>
      </c>
      <c r="J10" s="120">
        <f t="shared" si="5"/>
        <v>43780.799999999981</v>
      </c>
      <c r="K10" s="120">
        <f t="shared" si="5"/>
        <v>50096.999999999978</v>
      </c>
      <c r="L10" s="120">
        <f t="shared" si="5"/>
        <v>56413.199999999975</v>
      </c>
      <c r="M10" s="120">
        <f t="shared" si="5"/>
        <v>62729.399999999972</v>
      </c>
    </row>
    <row r="14" spans="1:13">
      <c r="B14">
        <v>156780</v>
      </c>
    </row>
    <row r="15" spans="1:13">
      <c r="B15">
        <v>66265.600000000006</v>
      </c>
    </row>
    <row r="16" spans="1:13">
      <c r="B16">
        <v>14720</v>
      </c>
    </row>
  </sheetData>
  <mergeCells count="3">
    <mergeCell ref="A3:M3"/>
    <mergeCell ref="A1:M1"/>
    <mergeCell ref="A2:M2"/>
  </mergeCells>
  <phoneticPr fontId="4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3:K7"/>
  <sheetViews>
    <sheetView workbookViewId="0">
      <selection activeCell="B14" sqref="B14"/>
    </sheetView>
  </sheetViews>
  <sheetFormatPr baseColWidth="10" defaultColWidth="11" defaultRowHeight="15"/>
  <cols>
    <col min="1" max="1" width="20.5703125" customWidth="1"/>
    <col min="11" max="11" width="12.5703125" customWidth="1"/>
  </cols>
  <sheetData>
    <row r="3" spans="1:11">
      <c r="A3" s="239" t="s">
        <v>175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</row>
    <row r="4" spans="1:11">
      <c r="A4" s="109" t="s">
        <v>176</v>
      </c>
      <c r="B4" s="109" t="s">
        <v>2</v>
      </c>
      <c r="C4" s="109" t="s">
        <v>3</v>
      </c>
      <c r="D4" s="109" t="s">
        <v>4</v>
      </c>
      <c r="E4" s="109" t="s">
        <v>5</v>
      </c>
      <c r="F4" s="109" t="s">
        <v>6</v>
      </c>
      <c r="G4" s="109" t="s">
        <v>7</v>
      </c>
      <c r="H4" s="109" t="s">
        <v>8</v>
      </c>
      <c r="I4" s="109" t="s">
        <v>9</v>
      </c>
      <c r="J4" s="109" t="s">
        <v>10</v>
      </c>
      <c r="K4" s="109" t="s">
        <v>11</v>
      </c>
    </row>
    <row r="5" spans="1:11">
      <c r="A5" s="121" t="s">
        <v>177</v>
      </c>
      <c r="B5">
        <f>(25*38*12*12.5)</f>
        <v>142500</v>
      </c>
      <c r="C5" s="121">
        <f>B5*1.1</f>
        <v>156750</v>
      </c>
      <c r="D5" s="121">
        <f t="shared" ref="D5:K6" si="0">C5*1.1</f>
        <v>172425</v>
      </c>
      <c r="E5" s="121">
        <f t="shared" si="0"/>
        <v>189667.50000000003</v>
      </c>
      <c r="F5" s="121">
        <f t="shared" si="0"/>
        <v>208634.25000000006</v>
      </c>
      <c r="G5" s="121">
        <f t="shared" si="0"/>
        <v>229497.67500000008</v>
      </c>
      <c r="H5" s="121">
        <f t="shared" si="0"/>
        <v>252447.44250000009</v>
      </c>
      <c r="I5" s="121">
        <f t="shared" si="0"/>
        <v>277692.18675000011</v>
      </c>
      <c r="J5" s="121">
        <f t="shared" si="0"/>
        <v>305461.40542500012</v>
      </c>
      <c r="K5" s="121">
        <f t="shared" si="0"/>
        <v>336007.54596750013</v>
      </c>
    </row>
    <row r="6" spans="1:11">
      <c r="A6" s="121" t="s">
        <v>178</v>
      </c>
      <c r="B6" s="121">
        <f>(70*17*12)</f>
        <v>14280</v>
      </c>
      <c r="C6" s="121">
        <f>B6*1.1</f>
        <v>15708.000000000002</v>
      </c>
      <c r="D6" s="121">
        <f t="shared" si="0"/>
        <v>17278.800000000003</v>
      </c>
      <c r="E6" s="121">
        <f t="shared" si="0"/>
        <v>19006.680000000004</v>
      </c>
      <c r="F6" s="121">
        <f t="shared" si="0"/>
        <v>20907.348000000005</v>
      </c>
      <c r="G6" s="121">
        <f t="shared" si="0"/>
        <v>22998.082800000007</v>
      </c>
      <c r="H6" s="121">
        <f t="shared" si="0"/>
        <v>25297.891080000009</v>
      </c>
      <c r="I6" s="121">
        <f t="shared" si="0"/>
        <v>27827.680188000013</v>
      </c>
      <c r="J6" s="121">
        <f t="shared" si="0"/>
        <v>30610.448206800018</v>
      </c>
      <c r="K6" s="121">
        <f t="shared" si="0"/>
        <v>33671.493027480021</v>
      </c>
    </row>
    <row r="7" spans="1:11">
      <c r="A7" s="109" t="s">
        <v>179</v>
      </c>
      <c r="B7" s="122">
        <f>SUM(B5:B6)</f>
        <v>156780</v>
      </c>
      <c r="C7" s="122">
        <f t="shared" ref="C7:K7" si="1">SUM(C5:C6)</f>
        <v>172458</v>
      </c>
      <c r="D7" s="122">
        <f t="shared" si="1"/>
        <v>189703.8</v>
      </c>
      <c r="E7" s="122">
        <f t="shared" si="1"/>
        <v>208674.18000000002</v>
      </c>
      <c r="F7" s="122">
        <f t="shared" si="1"/>
        <v>229541.59800000006</v>
      </c>
      <c r="G7" s="122">
        <f t="shared" si="1"/>
        <v>252495.75780000008</v>
      </c>
      <c r="H7" s="122">
        <f t="shared" si="1"/>
        <v>277745.33358000009</v>
      </c>
      <c r="I7" s="122">
        <f t="shared" si="1"/>
        <v>305519.86693800014</v>
      </c>
      <c r="J7" s="122">
        <f t="shared" si="1"/>
        <v>336071.85363180016</v>
      </c>
      <c r="K7" s="122">
        <f t="shared" si="1"/>
        <v>369679.03899498016</v>
      </c>
    </row>
  </sheetData>
  <mergeCells count="1">
    <mergeCell ref="A3:K3"/>
  </mergeCells>
  <phoneticPr fontId="4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J13"/>
  <sheetViews>
    <sheetView workbookViewId="0">
      <selection activeCell="A3" sqref="A3:E8"/>
    </sheetView>
  </sheetViews>
  <sheetFormatPr baseColWidth="10" defaultColWidth="11" defaultRowHeight="15"/>
  <cols>
    <col min="1" max="1" width="13.85546875" customWidth="1"/>
    <col min="2" max="2" width="14.5703125" customWidth="1"/>
    <col min="3" max="3" width="14.42578125" customWidth="1"/>
    <col min="4" max="4" width="12.28515625" customWidth="1"/>
    <col min="5" max="5" width="13.28515625" customWidth="1"/>
    <col min="8" max="8" width="11" customWidth="1"/>
  </cols>
  <sheetData>
    <row r="2" spans="1:10">
      <c r="A2" s="239" t="s">
        <v>267</v>
      </c>
      <c r="B2" s="239"/>
      <c r="C2" s="239"/>
      <c r="D2" s="239"/>
      <c r="E2" s="239"/>
    </row>
    <row r="3" spans="1:10" ht="16.5">
      <c r="A3" s="22" t="s">
        <v>52</v>
      </c>
      <c r="B3" s="22" t="s">
        <v>53</v>
      </c>
      <c r="C3" s="22" t="s">
        <v>54</v>
      </c>
      <c r="D3" s="22" t="s">
        <v>55</v>
      </c>
      <c r="E3" s="22" t="s">
        <v>56</v>
      </c>
    </row>
    <row r="4" spans="1:10" ht="16.5">
      <c r="A4" s="19">
        <v>0</v>
      </c>
      <c r="B4" s="21">
        <v>0</v>
      </c>
      <c r="C4" s="21">
        <v>0</v>
      </c>
      <c r="D4" s="21">
        <v>0</v>
      </c>
      <c r="E4" s="21">
        <v>50000</v>
      </c>
    </row>
    <row r="5" spans="1:10" ht="16.5">
      <c r="A5" s="19">
        <v>1</v>
      </c>
      <c r="B5" s="21">
        <f>PMT(11.83%,4,E4)</f>
        <v>-16402.819628223646</v>
      </c>
      <c r="C5" s="21">
        <f>+E4*0.1183</f>
        <v>5915</v>
      </c>
      <c r="D5" s="21">
        <f>PMT(11.83%,4,,E4)</f>
        <v>-10487.819628223644</v>
      </c>
      <c r="E5" s="21">
        <f>+E4+D5</f>
        <v>39512.180371776354</v>
      </c>
    </row>
    <row r="6" spans="1:10" ht="16.5">
      <c r="A6" s="19">
        <v>2</v>
      </c>
      <c r="B6" s="21">
        <f>+B5</f>
        <v>-16402.819628223646</v>
      </c>
      <c r="C6" s="21">
        <f>+E5*0.1183</f>
        <v>4674.2909379811426</v>
      </c>
      <c r="D6" s="21">
        <f>+B6+C6</f>
        <v>-11728.528690242503</v>
      </c>
      <c r="E6" s="21">
        <f>+E5+D6</f>
        <v>27783.651681533851</v>
      </c>
    </row>
    <row r="7" spans="1:10" ht="16.5">
      <c r="A7" s="19">
        <v>3</v>
      </c>
      <c r="B7" s="21">
        <f>+B6</f>
        <v>-16402.819628223646</v>
      </c>
      <c r="C7" s="21">
        <f>+E6*0.1183</f>
        <v>3286.8059939254545</v>
      </c>
      <c r="D7" s="21">
        <f>+B7+C7</f>
        <v>-13116.013634298191</v>
      </c>
      <c r="E7" s="21">
        <f>+E6+D7</f>
        <v>14667.63804723566</v>
      </c>
    </row>
    <row r="8" spans="1:10" ht="16.5">
      <c r="A8" s="19">
        <v>4</v>
      </c>
      <c r="B8" s="21">
        <f>+B7</f>
        <v>-16402.819628223646</v>
      </c>
      <c r="C8" s="21">
        <f>+E7*0.1183</f>
        <v>1735.1815809879786</v>
      </c>
      <c r="D8" s="21">
        <f>+B8+C8</f>
        <v>-14667.638047235667</v>
      </c>
      <c r="E8" s="21">
        <f>+E7+D8</f>
        <v>0</v>
      </c>
      <c r="J8" s="210"/>
    </row>
    <row r="10" spans="1:10">
      <c r="A10" s="125" t="s">
        <v>180</v>
      </c>
      <c r="B10" s="124">
        <v>0.46970000000000001</v>
      </c>
      <c r="C10" t="s">
        <v>181</v>
      </c>
    </row>
    <row r="13" spans="1:10">
      <c r="H13" s="211"/>
    </row>
  </sheetData>
  <mergeCells count="1">
    <mergeCell ref="A2:E2"/>
  </mergeCells>
  <phoneticPr fontId="4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3:M30"/>
  <sheetViews>
    <sheetView showGridLines="0" workbookViewId="0">
      <selection activeCell="A3" sqref="A3:K3"/>
    </sheetView>
  </sheetViews>
  <sheetFormatPr baseColWidth="10" defaultColWidth="11" defaultRowHeight="15"/>
  <cols>
    <col min="1" max="1" width="22.42578125" customWidth="1"/>
    <col min="12" max="12" width="11.5703125" bestFit="1" customWidth="1"/>
    <col min="13" max="13" width="17.5703125" customWidth="1"/>
  </cols>
  <sheetData>
    <row r="3" spans="1:11" ht="15.75">
      <c r="A3" s="236" t="s">
        <v>61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</row>
    <row r="4" spans="1:11" ht="15.75" thickBot="1">
      <c r="A4" s="235"/>
      <c r="B4" s="235"/>
      <c r="C4" s="235"/>
      <c r="D4" s="235"/>
      <c r="E4" s="235"/>
      <c r="F4" s="235"/>
      <c r="G4" s="235"/>
      <c r="H4" s="235"/>
      <c r="I4" s="235"/>
      <c r="J4" s="235"/>
      <c r="K4" s="235"/>
    </row>
    <row r="5" spans="1:11">
      <c r="A5" s="239" t="s">
        <v>58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</row>
    <row r="6" spans="1:11">
      <c r="A6" s="44" t="s">
        <v>0</v>
      </c>
      <c r="B6" s="44" t="s">
        <v>2</v>
      </c>
      <c r="C6" s="44" t="s">
        <v>3</v>
      </c>
      <c r="D6" s="44" t="s">
        <v>4</v>
      </c>
      <c r="E6" s="44" t="s">
        <v>5</v>
      </c>
      <c r="F6" s="44" t="s">
        <v>6</v>
      </c>
      <c r="G6" s="44" t="s">
        <v>7</v>
      </c>
      <c r="H6" s="44" t="s">
        <v>8</v>
      </c>
      <c r="I6" s="44" t="s">
        <v>9</v>
      </c>
      <c r="J6" s="44" t="s">
        <v>10</v>
      </c>
      <c r="K6" s="44" t="s">
        <v>11</v>
      </c>
    </row>
    <row r="7" spans="1:11">
      <c r="A7" s="33" t="s">
        <v>12</v>
      </c>
      <c r="B7" s="34">
        <f>(70*17*12)+(25*38*12*12.5)</f>
        <v>156780</v>
      </c>
      <c r="C7" s="35">
        <f t="shared" ref="C7:K7" si="0">B7*1.1</f>
        <v>172458</v>
      </c>
      <c r="D7" s="35">
        <f t="shared" si="0"/>
        <v>189703.80000000002</v>
      </c>
      <c r="E7" s="35">
        <f t="shared" si="0"/>
        <v>208674.18000000002</v>
      </c>
      <c r="F7" s="35">
        <f t="shared" si="0"/>
        <v>229541.59800000006</v>
      </c>
      <c r="G7" s="35">
        <f t="shared" si="0"/>
        <v>252495.75780000008</v>
      </c>
      <c r="H7" s="35">
        <f t="shared" si="0"/>
        <v>277745.33358000009</v>
      </c>
      <c r="I7" s="35">
        <f t="shared" si="0"/>
        <v>305519.86693800014</v>
      </c>
      <c r="J7" s="35">
        <f t="shared" si="0"/>
        <v>336071.85363180016</v>
      </c>
      <c r="K7" s="35">
        <f t="shared" si="0"/>
        <v>369679.03899498022</v>
      </c>
    </row>
    <row r="8" spans="1:11">
      <c r="A8" s="33" t="s">
        <v>13</v>
      </c>
      <c r="B8" s="35">
        <f>'FLUJO DE CAJA PROYECTADOS'!C7</f>
        <v>-66265.600000000006</v>
      </c>
      <c r="C8" s="35">
        <f>'FLUJO DE CAJA PROYECTADOS'!D7</f>
        <v>-69408.160000000003</v>
      </c>
      <c r="D8" s="35">
        <f>'FLUJO DE CAJA PROYECTADOS'!E7</f>
        <v>-72864.97600000001</v>
      </c>
      <c r="E8" s="35">
        <f>'FLUJO DE CAJA PROYECTADOS'!F7</f>
        <v>-76667.473600000012</v>
      </c>
      <c r="F8" s="35">
        <f>'FLUJO DE CAJA PROYECTADOS'!G7</f>
        <v>-80850.220960000021</v>
      </c>
      <c r="G8" s="35">
        <f>'FLUJO DE CAJA PROYECTADOS'!H7</f>
        <v>-85451.243056000021</v>
      </c>
      <c r="H8" s="35">
        <f>'FLUJO DE CAJA PROYECTADOS'!I7</f>
        <v>-90512.367361600016</v>
      </c>
      <c r="I8" s="35">
        <f>'FLUJO DE CAJA PROYECTADOS'!J7</f>
        <v>-96079.604097760035</v>
      </c>
      <c r="J8" s="35">
        <f>'FLUJO DE CAJA PROYECTADOS'!K7</f>
        <v>-102203.56450753604</v>
      </c>
      <c r="K8" s="35">
        <f>'FLUJO DE CAJA PROYECTADOS'!L7</f>
        <v>-108939.92095828966</v>
      </c>
    </row>
    <row r="9" spans="1:11">
      <c r="A9" s="33" t="s">
        <v>14</v>
      </c>
      <c r="B9" s="35">
        <v>-14720</v>
      </c>
      <c r="C9" s="35">
        <v>-14720</v>
      </c>
      <c r="D9" s="35">
        <v>-14720</v>
      </c>
      <c r="E9" s="35">
        <v>-14720</v>
      </c>
      <c r="F9" s="35">
        <v>-14720</v>
      </c>
      <c r="G9" s="35">
        <v>-14720</v>
      </c>
      <c r="H9" s="35">
        <v>-14720</v>
      </c>
      <c r="I9" s="35">
        <v>-14720</v>
      </c>
      <c r="J9" s="35">
        <v>-14720</v>
      </c>
      <c r="K9" s="35">
        <v>-14720</v>
      </c>
    </row>
    <row r="10" spans="1:11">
      <c r="A10" s="33" t="s">
        <v>15</v>
      </c>
      <c r="B10" s="35">
        <v>-2950</v>
      </c>
      <c r="C10" s="35">
        <v>-2950</v>
      </c>
      <c r="D10" s="35">
        <v>-2950</v>
      </c>
      <c r="E10" s="35">
        <v>-2950</v>
      </c>
      <c r="F10" s="35">
        <v>-2950</v>
      </c>
      <c r="G10" s="35">
        <v>-2950</v>
      </c>
      <c r="H10" s="35">
        <v>-2950</v>
      </c>
      <c r="I10" s="35">
        <v>-2950</v>
      </c>
      <c r="J10" s="35">
        <v>-2950</v>
      </c>
      <c r="K10" s="35">
        <v>-2950</v>
      </c>
    </row>
    <row r="11" spans="1:11">
      <c r="A11" s="33" t="s">
        <v>16</v>
      </c>
      <c r="B11" s="35">
        <v>-3601.0333333333301</v>
      </c>
      <c r="C11" s="35">
        <v>-3601.0333333333301</v>
      </c>
      <c r="D11" s="35">
        <v>-3601.0333333333301</v>
      </c>
      <c r="E11" s="35">
        <v>-3601.0333333333301</v>
      </c>
      <c r="F11" s="35">
        <v>-3601.0333333333301</v>
      </c>
      <c r="G11" s="35">
        <v>-3601.0333333333301</v>
      </c>
      <c r="H11" s="35">
        <v>-3601.0333333333301</v>
      </c>
      <c r="I11" s="35">
        <v>-3601.0333333333301</v>
      </c>
      <c r="J11" s="35">
        <v>-3601.0333333333301</v>
      </c>
      <c r="K11" s="35">
        <v>-3601.0333333333301</v>
      </c>
    </row>
    <row r="12" spans="1:11">
      <c r="A12" s="33" t="s">
        <v>21</v>
      </c>
      <c r="B12" s="35">
        <v>-5915</v>
      </c>
      <c r="C12" s="35">
        <v>-4674.2909379811399</v>
      </c>
      <c r="D12" s="35">
        <v>-3286.8059939254499</v>
      </c>
      <c r="E12" s="35">
        <v>-1735.1815809879799</v>
      </c>
      <c r="F12" s="36"/>
      <c r="G12" s="36"/>
      <c r="H12" s="36"/>
      <c r="I12" s="36"/>
      <c r="J12" s="36"/>
      <c r="K12" s="36"/>
    </row>
    <row r="13" spans="1:11">
      <c r="A13" s="8" t="s">
        <v>17</v>
      </c>
      <c r="B13" s="37">
        <f>SUM(B7:B12)</f>
        <v>63328.366666666669</v>
      </c>
      <c r="C13" s="37">
        <f t="shared" ref="C13:K13" si="1">SUM(C7:C12)</f>
        <v>77104.515728685525</v>
      </c>
      <c r="D13" s="37">
        <f t="shared" si="1"/>
        <v>92280.984672741237</v>
      </c>
      <c r="E13" s="37">
        <f t="shared" si="1"/>
        <v>109000.49148567872</v>
      </c>
      <c r="F13" s="37">
        <f t="shared" si="1"/>
        <v>127420.34370666672</v>
      </c>
      <c r="G13" s="37">
        <f t="shared" si="1"/>
        <v>145773.48141066672</v>
      </c>
      <c r="H13" s="37">
        <f t="shared" si="1"/>
        <v>165961.93288506675</v>
      </c>
      <c r="I13" s="37">
        <f t="shared" si="1"/>
        <v>188169.22950690676</v>
      </c>
      <c r="J13" s="37">
        <f t="shared" si="1"/>
        <v>212597.25579093079</v>
      </c>
      <c r="K13" s="37">
        <f t="shared" si="1"/>
        <v>239468.08470335725</v>
      </c>
    </row>
    <row r="14" spans="1:11">
      <c r="A14" s="33" t="s">
        <v>18</v>
      </c>
      <c r="B14" s="35">
        <f>-B13*0.24</f>
        <v>-15198.807999999999</v>
      </c>
      <c r="C14" s="35">
        <f>-C13*0.23</f>
        <v>-17734.038617597671</v>
      </c>
      <c r="D14" s="35">
        <f>-D13*0.22</f>
        <v>-20301.816628003071</v>
      </c>
      <c r="E14" s="35">
        <f t="shared" ref="E14:K14" si="2">-E13*0.22</f>
        <v>-23980.108126849318</v>
      </c>
      <c r="F14" s="35">
        <f t="shared" si="2"/>
        <v>-28032.475615466679</v>
      </c>
      <c r="G14" s="35">
        <f t="shared" si="2"/>
        <v>-32070.165910346677</v>
      </c>
      <c r="H14" s="35">
        <f t="shared" si="2"/>
        <v>-36511.625234714687</v>
      </c>
      <c r="I14" s="35">
        <f t="shared" si="2"/>
        <v>-41397.230491519491</v>
      </c>
      <c r="J14" s="35">
        <f t="shared" si="2"/>
        <v>-46771.396274004772</v>
      </c>
      <c r="K14" s="35">
        <f t="shared" si="2"/>
        <v>-52682.978634738596</v>
      </c>
    </row>
    <row r="15" spans="1:11" ht="24.75" customHeight="1">
      <c r="A15" s="38" t="s">
        <v>19</v>
      </c>
      <c r="B15" s="39">
        <f>-B13*0.15</f>
        <v>-9499.2549999999992</v>
      </c>
      <c r="C15" s="39">
        <f t="shared" ref="C15:K15" si="3">-C13*0.15</f>
        <v>-11565.677359302828</v>
      </c>
      <c r="D15" s="39">
        <f t="shared" si="3"/>
        <v>-13842.147700911186</v>
      </c>
      <c r="E15" s="39">
        <f t="shared" si="3"/>
        <v>-16350.073722851808</v>
      </c>
      <c r="F15" s="39">
        <f t="shared" si="3"/>
        <v>-19113.051556000009</v>
      </c>
      <c r="G15" s="39">
        <f t="shared" si="3"/>
        <v>-21866.022211600008</v>
      </c>
      <c r="H15" s="39">
        <f t="shared" si="3"/>
        <v>-24894.289932760013</v>
      </c>
      <c r="I15" s="39">
        <f t="shared" si="3"/>
        <v>-28225.384426036013</v>
      </c>
      <c r="J15" s="39">
        <f t="shared" si="3"/>
        <v>-31889.588368639619</v>
      </c>
      <c r="K15" s="39">
        <f t="shared" si="3"/>
        <v>-35920.212705503589</v>
      </c>
    </row>
    <row r="16" spans="1:11">
      <c r="A16" s="58" t="s">
        <v>20</v>
      </c>
      <c r="B16" s="58">
        <f>SUM(B13:B15)</f>
        <v>38630.303666666674</v>
      </c>
      <c r="C16" s="58">
        <f t="shared" ref="C16:K16" si="4">SUM(C13:C15)</f>
        <v>47804.799751785024</v>
      </c>
      <c r="D16" s="58">
        <f t="shared" si="4"/>
        <v>58137.020343826982</v>
      </c>
      <c r="E16" s="58">
        <f t="shared" si="4"/>
        <v>68670.309635977595</v>
      </c>
      <c r="F16" s="58">
        <f t="shared" si="4"/>
        <v>80274.816535200036</v>
      </c>
      <c r="G16" s="58">
        <f t="shared" si="4"/>
        <v>91837.29328872003</v>
      </c>
      <c r="H16" s="58">
        <f t="shared" si="4"/>
        <v>104556.01771759205</v>
      </c>
      <c r="I16" s="58">
        <f t="shared" si="4"/>
        <v>118546.61458935126</v>
      </c>
      <c r="J16" s="58">
        <f t="shared" si="4"/>
        <v>133936.27114828641</v>
      </c>
      <c r="K16" s="58">
        <f t="shared" si="4"/>
        <v>150864.89336311506</v>
      </c>
    </row>
    <row r="20" spans="12:13">
      <c r="L20" s="57" t="s">
        <v>60</v>
      </c>
      <c r="M20" s="57" t="s">
        <v>59</v>
      </c>
    </row>
    <row r="21" spans="12:13">
      <c r="L21" s="41">
        <v>1</v>
      </c>
      <c r="M21" s="42">
        <f>B16</f>
        <v>38630.303666666674</v>
      </c>
    </row>
    <row r="22" spans="12:13">
      <c r="L22" s="43">
        <v>2</v>
      </c>
      <c r="M22" s="42">
        <f>C16</f>
        <v>47804.799751785024</v>
      </c>
    </row>
    <row r="23" spans="12:13">
      <c r="L23" s="41">
        <v>3</v>
      </c>
      <c r="M23" s="42">
        <f>D16</f>
        <v>58137.020343826982</v>
      </c>
    </row>
    <row r="24" spans="12:13">
      <c r="L24" s="43">
        <v>4</v>
      </c>
      <c r="M24" s="42">
        <f>E16</f>
        <v>68670.309635977595</v>
      </c>
    </row>
    <row r="25" spans="12:13">
      <c r="L25" s="41">
        <v>5</v>
      </c>
      <c r="M25" s="42">
        <f>F16</f>
        <v>80274.816535200036</v>
      </c>
    </row>
    <row r="26" spans="12:13">
      <c r="L26" s="43">
        <v>6</v>
      </c>
      <c r="M26" s="42">
        <f>G16</f>
        <v>91837.29328872003</v>
      </c>
    </row>
    <row r="27" spans="12:13">
      <c r="L27" s="41">
        <v>7</v>
      </c>
      <c r="M27" s="42">
        <f>H16</f>
        <v>104556.01771759205</v>
      </c>
    </row>
    <row r="28" spans="12:13">
      <c r="L28" s="43">
        <v>8</v>
      </c>
      <c r="M28" s="42">
        <f>I16</f>
        <v>118546.61458935126</v>
      </c>
    </row>
    <row r="29" spans="12:13">
      <c r="L29" s="41">
        <v>9</v>
      </c>
      <c r="M29" s="42">
        <f>J16</f>
        <v>133936.27114828641</v>
      </c>
    </row>
    <row r="30" spans="12:13">
      <c r="L30" s="43">
        <v>10</v>
      </c>
      <c r="M30" s="42">
        <f>K16</f>
        <v>150864.89336311506</v>
      </c>
    </row>
  </sheetData>
  <mergeCells count="3">
    <mergeCell ref="A5:K5"/>
    <mergeCell ref="A4:K4"/>
    <mergeCell ref="A3:K3"/>
  </mergeCells>
  <phoneticPr fontId="4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2:N47"/>
  <sheetViews>
    <sheetView showGridLines="0" topLeftCell="C7" zoomScale="91" zoomScaleNormal="91" workbookViewId="0">
      <selection activeCell="K29" sqref="K29"/>
    </sheetView>
  </sheetViews>
  <sheetFormatPr baseColWidth="10" defaultColWidth="11" defaultRowHeight="15"/>
  <sheetData>
    <row r="2" spans="1:14">
      <c r="A2" s="132"/>
      <c r="B2" s="132"/>
      <c r="C2" s="245" t="s">
        <v>182</v>
      </c>
      <c r="D2" s="245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14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1:14">
      <c r="A4" s="132"/>
      <c r="B4" s="132"/>
      <c r="C4" s="132"/>
      <c r="D4" s="132"/>
      <c r="E4" s="132"/>
      <c r="F4" s="132"/>
      <c r="G4" s="133"/>
      <c r="H4" s="132"/>
      <c r="I4" s="132"/>
      <c r="J4" s="132"/>
      <c r="K4" s="132"/>
      <c r="L4" s="132"/>
      <c r="M4" s="132"/>
      <c r="N4" s="132"/>
    </row>
    <row r="5" spans="1:14">
      <c r="A5" s="132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</row>
    <row r="6" spans="1:14" ht="15.75" thickBot="1">
      <c r="A6" s="132"/>
      <c r="B6" s="134" t="s">
        <v>183</v>
      </c>
      <c r="C6" s="246" t="s">
        <v>184</v>
      </c>
      <c r="D6" s="246"/>
      <c r="E6" s="246"/>
      <c r="F6" s="135"/>
      <c r="G6" s="132"/>
      <c r="H6" s="132"/>
      <c r="I6" s="132"/>
      <c r="J6" s="132"/>
      <c r="K6" s="132"/>
      <c r="L6" s="132"/>
      <c r="M6" s="132"/>
      <c r="N6" s="132"/>
    </row>
    <row r="7" spans="1:14" ht="15.75" thickTop="1">
      <c r="A7" s="132"/>
      <c r="B7" s="134" t="s">
        <v>185</v>
      </c>
      <c r="C7" s="246" t="s">
        <v>186</v>
      </c>
      <c r="D7" s="246"/>
      <c r="E7" s="246"/>
      <c r="F7" s="136">
        <v>1.9800000000000002E-2</v>
      </c>
      <c r="G7" s="133" t="s">
        <v>187</v>
      </c>
      <c r="H7" s="132"/>
      <c r="I7" s="132"/>
      <c r="J7" s="132"/>
      <c r="K7" s="132"/>
      <c r="L7" s="132"/>
      <c r="M7" s="132"/>
      <c r="N7" s="132"/>
    </row>
    <row r="8" spans="1:14">
      <c r="A8" s="137"/>
      <c r="B8" s="134" t="s">
        <v>188</v>
      </c>
      <c r="C8" s="246" t="s">
        <v>189</v>
      </c>
      <c r="D8" s="246"/>
      <c r="E8" s="246"/>
      <c r="F8" s="138">
        <v>8.8999999999999996E-2</v>
      </c>
      <c r="G8" s="133" t="s">
        <v>190</v>
      </c>
      <c r="H8" s="132"/>
      <c r="I8" s="132"/>
      <c r="J8" s="132"/>
      <c r="K8" s="132"/>
      <c r="L8" s="132"/>
      <c r="M8" s="132"/>
      <c r="N8" s="132"/>
    </row>
    <row r="9" spans="1:14">
      <c r="A9" s="132"/>
      <c r="B9" s="134" t="s">
        <v>185</v>
      </c>
      <c r="C9" s="246" t="s">
        <v>191</v>
      </c>
      <c r="D9" s="246"/>
      <c r="E9" s="139"/>
      <c r="F9" s="138">
        <f>D47/10000*100%</f>
        <v>8.0799999999999997E-2</v>
      </c>
      <c r="G9" s="133" t="s">
        <v>192</v>
      </c>
      <c r="H9" s="132"/>
      <c r="I9" s="132"/>
      <c r="J9" s="132"/>
      <c r="K9" s="132"/>
      <c r="L9" s="132"/>
      <c r="M9" s="132"/>
      <c r="N9" s="132"/>
    </row>
    <row r="10" spans="1:14">
      <c r="A10" s="132"/>
      <c r="B10" s="134" t="s">
        <v>193</v>
      </c>
      <c r="C10" s="132" t="s">
        <v>194</v>
      </c>
      <c r="D10" s="132"/>
      <c r="E10" s="132"/>
      <c r="F10" s="140">
        <v>1.1299999999999999</v>
      </c>
      <c r="G10" s="133" t="s">
        <v>195</v>
      </c>
      <c r="H10" s="132"/>
      <c r="I10" s="132"/>
      <c r="J10" s="132"/>
      <c r="K10" s="132"/>
      <c r="L10" s="132"/>
      <c r="M10" s="132"/>
      <c r="N10" s="132"/>
    </row>
    <row r="11" spans="1:14">
      <c r="A11" s="132"/>
      <c r="B11" s="134"/>
      <c r="C11" s="132"/>
      <c r="D11" s="132"/>
      <c r="E11" s="134"/>
      <c r="F11" s="141"/>
      <c r="G11" s="132"/>
      <c r="H11" s="132"/>
      <c r="I11" s="132"/>
      <c r="J11" s="132"/>
      <c r="K11" s="132"/>
      <c r="L11" s="132"/>
      <c r="M11" s="132"/>
      <c r="N11" s="132"/>
    </row>
    <row r="12" spans="1:14">
      <c r="A12" s="132"/>
      <c r="B12" s="132"/>
      <c r="C12" s="132"/>
      <c r="D12" s="132"/>
      <c r="E12" s="132"/>
      <c r="F12" s="132"/>
      <c r="G12" s="142"/>
      <c r="H12" s="142"/>
      <c r="I12" s="132"/>
      <c r="J12" s="132"/>
      <c r="K12" s="132"/>
      <c r="L12" s="132"/>
      <c r="M12" s="132"/>
      <c r="N12" s="132"/>
    </row>
    <row r="13" spans="1:14">
      <c r="A13" s="132"/>
      <c r="B13" s="132"/>
      <c r="C13" s="245" t="s">
        <v>196</v>
      </c>
      <c r="D13" s="245"/>
      <c r="E13" s="133"/>
      <c r="F13" s="132"/>
      <c r="G13" s="132"/>
      <c r="H13" s="132"/>
      <c r="I13" s="132"/>
      <c r="J13" s="132"/>
      <c r="K13" s="132"/>
      <c r="L13" s="132"/>
      <c r="M13" s="132"/>
      <c r="N13" s="132"/>
    </row>
    <row r="14" spans="1:14" ht="15.75" thickBot="1">
      <c r="A14" s="132"/>
      <c r="B14" s="132"/>
      <c r="C14" s="143" t="s">
        <v>197</v>
      </c>
      <c r="D14" s="143" t="s">
        <v>198</v>
      </c>
      <c r="E14" s="132"/>
      <c r="F14" s="132"/>
      <c r="G14" s="132"/>
      <c r="H14" s="132"/>
      <c r="I14" s="132"/>
      <c r="J14" s="132"/>
      <c r="K14" s="132"/>
      <c r="L14" s="132"/>
      <c r="M14" s="132"/>
      <c r="N14" s="132"/>
    </row>
    <row r="15" spans="1:14" ht="16.5" thickTop="1" thickBot="1">
      <c r="A15" s="132"/>
      <c r="B15" s="132"/>
      <c r="C15" s="144" t="s">
        <v>199</v>
      </c>
      <c r="D15" s="145">
        <v>818</v>
      </c>
      <c r="E15" s="132"/>
      <c r="F15" s="146" t="s">
        <v>200</v>
      </c>
      <c r="G15" s="240" t="s">
        <v>201</v>
      </c>
      <c r="H15" s="241"/>
      <c r="I15" s="132"/>
      <c r="J15" s="132"/>
      <c r="K15" s="132"/>
      <c r="L15" s="132"/>
      <c r="M15" s="132"/>
      <c r="N15" s="132"/>
    </row>
    <row r="16" spans="1:14" ht="16.5" thickTop="1" thickBot="1">
      <c r="A16" s="132"/>
      <c r="B16" s="132"/>
      <c r="C16" s="144" t="s">
        <v>202</v>
      </c>
      <c r="D16" s="145">
        <v>811</v>
      </c>
      <c r="E16" s="132"/>
      <c r="F16" s="132"/>
      <c r="G16" s="147" t="s">
        <v>68</v>
      </c>
      <c r="H16" s="148">
        <f>(H18+H20*(H19-H18))+H21</f>
        <v>0.17879599999999998</v>
      </c>
      <c r="I16" s="149" t="s">
        <v>203</v>
      </c>
      <c r="J16" s="242" t="s">
        <v>204</v>
      </c>
      <c r="K16" s="243"/>
      <c r="L16" s="132"/>
      <c r="M16" s="132"/>
      <c r="N16" s="132"/>
    </row>
    <row r="17" spans="1:14" ht="16.5" thickTop="1" thickBot="1">
      <c r="A17" s="132"/>
      <c r="B17" s="132"/>
      <c r="C17" s="144" t="s">
        <v>205</v>
      </c>
      <c r="D17" s="145">
        <v>811</v>
      </c>
      <c r="E17" s="132"/>
      <c r="F17" s="132"/>
      <c r="G17" s="147" t="s">
        <v>69</v>
      </c>
      <c r="H17" s="150">
        <v>8.1699999999999995E-2</v>
      </c>
      <c r="I17" s="132"/>
      <c r="J17" s="151" t="s">
        <v>206</v>
      </c>
      <c r="K17" s="152">
        <v>0.53790000000000004</v>
      </c>
      <c r="L17" s="132"/>
      <c r="M17" s="132"/>
      <c r="N17" s="132"/>
    </row>
    <row r="18" spans="1:14" ht="16.5" thickTop="1" thickBot="1">
      <c r="A18" s="132"/>
      <c r="B18" s="132"/>
      <c r="C18" s="144" t="s">
        <v>207</v>
      </c>
      <c r="D18" s="145">
        <v>811</v>
      </c>
      <c r="E18" s="132"/>
      <c r="F18" s="132"/>
      <c r="G18" s="147" t="s">
        <v>70</v>
      </c>
      <c r="H18" s="150">
        <v>1.9800000000000002E-2</v>
      </c>
      <c r="I18" s="132"/>
      <c r="J18" s="153" t="s">
        <v>208</v>
      </c>
      <c r="K18" s="154">
        <v>0.46210000000000001</v>
      </c>
      <c r="L18" s="132"/>
      <c r="M18" s="132"/>
      <c r="N18" s="132"/>
    </row>
    <row r="19" spans="1:14" ht="16.5" thickTop="1" thickBot="1">
      <c r="A19" s="132"/>
      <c r="B19" s="132"/>
      <c r="C19" s="144" t="s">
        <v>209</v>
      </c>
      <c r="D19" s="145">
        <v>811</v>
      </c>
      <c r="E19" s="132"/>
      <c r="F19" s="132"/>
      <c r="G19" s="147" t="s">
        <v>71</v>
      </c>
      <c r="H19" s="150">
        <f>F8</f>
        <v>8.8999999999999996E-2</v>
      </c>
      <c r="I19" s="132" t="s">
        <v>210</v>
      </c>
      <c r="J19" s="244"/>
      <c r="K19" s="244"/>
      <c r="L19" s="132"/>
      <c r="M19" s="132"/>
      <c r="N19" s="132"/>
    </row>
    <row r="20" spans="1:14" ht="16.5" thickTop="1" thickBot="1">
      <c r="A20" s="132"/>
      <c r="B20" s="132"/>
      <c r="C20" s="144" t="s">
        <v>211</v>
      </c>
      <c r="D20" s="145">
        <v>807</v>
      </c>
      <c r="E20" s="132"/>
      <c r="F20" s="132"/>
      <c r="G20" s="147" t="s">
        <v>72</v>
      </c>
      <c r="H20" s="155">
        <f>F10</f>
        <v>1.1299999999999999</v>
      </c>
      <c r="I20" s="132"/>
      <c r="J20" s="132"/>
      <c r="K20" s="132"/>
      <c r="L20" s="132"/>
      <c r="M20" s="132"/>
      <c r="N20" s="132"/>
    </row>
    <row r="21" spans="1:14" ht="16.5" thickTop="1" thickBot="1">
      <c r="A21" s="132"/>
      <c r="B21" s="132"/>
      <c r="C21" s="144" t="s">
        <v>212</v>
      </c>
      <c r="D21" s="145">
        <v>804</v>
      </c>
      <c r="E21" s="132"/>
      <c r="F21" s="132"/>
      <c r="G21" s="147" t="s">
        <v>73</v>
      </c>
      <c r="H21" s="156">
        <f>F9</f>
        <v>8.0799999999999997E-2</v>
      </c>
      <c r="I21" s="132"/>
      <c r="J21" s="132"/>
      <c r="K21" s="132"/>
      <c r="L21" s="132"/>
      <c r="M21" s="132"/>
      <c r="N21" s="132"/>
    </row>
    <row r="22" spans="1:14" ht="16.5" thickTop="1" thickBot="1">
      <c r="A22" s="132"/>
      <c r="B22" s="132"/>
      <c r="C22" s="144" t="s">
        <v>213</v>
      </c>
      <c r="D22" s="145">
        <v>827</v>
      </c>
      <c r="E22" s="132"/>
      <c r="F22" s="132"/>
      <c r="G22" s="157" t="s">
        <v>214</v>
      </c>
      <c r="H22" s="158">
        <v>0.23</v>
      </c>
      <c r="I22" s="132"/>
      <c r="J22" s="132"/>
      <c r="K22" s="132"/>
      <c r="L22" s="159" t="s">
        <v>215</v>
      </c>
      <c r="M22" s="160">
        <f>+H16</f>
        <v>0.17879599999999998</v>
      </c>
      <c r="N22" s="132"/>
    </row>
    <row r="23" spans="1:14" ht="15.75" thickTop="1">
      <c r="A23" s="132"/>
      <c r="B23" s="132"/>
      <c r="C23" s="144" t="s">
        <v>216</v>
      </c>
      <c r="D23" s="145">
        <v>824</v>
      </c>
      <c r="E23" s="132"/>
      <c r="F23" s="132"/>
      <c r="G23" s="132"/>
      <c r="H23" s="132"/>
      <c r="I23" s="132"/>
      <c r="J23" s="132"/>
      <c r="K23" s="132"/>
      <c r="L23" s="132"/>
      <c r="M23" s="132"/>
      <c r="N23" s="132"/>
    </row>
    <row r="24" spans="1:14">
      <c r="A24" s="132"/>
      <c r="B24" s="132"/>
      <c r="C24" s="144" t="s">
        <v>217</v>
      </c>
      <c r="D24" s="145">
        <v>824</v>
      </c>
      <c r="E24" s="132"/>
      <c r="F24" s="132"/>
      <c r="G24" s="132"/>
      <c r="H24" s="132"/>
      <c r="I24" s="132"/>
      <c r="J24" s="141"/>
      <c r="K24" s="132"/>
      <c r="L24" s="132"/>
      <c r="M24" s="132"/>
      <c r="N24" s="132"/>
    </row>
    <row r="25" spans="1:14" ht="20.25" thickBot="1">
      <c r="A25" s="132"/>
      <c r="B25" s="132"/>
      <c r="C25" s="144" t="s">
        <v>218</v>
      </c>
      <c r="D25" s="145">
        <v>824</v>
      </c>
      <c r="E25" s="132"/>
      <c r="F25" s="132"/>
      <c r="G25" s="132"/>
      <c r="H25" s="132"/>
      <c r="I25" s="132"/>
      <c r="J25" s="132"/>
      <c r="K25" s="132"/>
      <c r="L25" s="132"/>
      <c r="M25" s="132"/>
      <c r="N25" s="132"/>
    </row>
    <row r="26" spans="1:14" ht="21" thickTop="1" thickBot="1">
      <c r="A26" s="132"/>
      <c r="B26" s="132"/>
      <c r="C26" s="144" t="s">
        <v>219</v>
      </c>
      <c r="D26" s="145">
        <v>826</v>
      </c>
      <c r="E26" s="132"/>
      <c r="F26" s="132"/>
      <c r="G26" s="161" t="s">
        <v>220</v>
      </c>
      <c r="H26" s="162">
        <f>(H16*K17)+(H17*K18*(1-H22))</f>
        <v>0.1252446173</v>
      </c>
      <c r="I26" s="149" t="s">
        <v>221</v>
      </c>
      <c r="J26" s="132"/>
      <c r="K26" s="132"/>
      <c r="L26" s="132"/>
      <c r="M26" s="132"/>
      <c r="N26" s="132"/>
    </row>
    <row r="27" spans="1:14" ht="20.25" thickTop="1">
      <c r="A27" s="132"/>
      <c r="B27" s="132"/>
      <c r="C27" s="144" t="s">
        <v>222</v>
      </c>
      <c r="D27" s="145">
        <v>809</v>
      </c>
      <c r="E27" s="132"/>
      <c r="F27" s="132"/>
      <c r="G27" s="132"/>
      <c r="H27" s="132"/>
      <c r="I27" s="132"/>
      <c r="J27" s="132"/>
      <c r="K27" s="132"/>
      <c r="L27" s="132"/>
      <c r="M27" s="132"/>
      <c r="N27" s="132"/>
    </row>
    <row r="28" spans="1:14" ht="19.5">
      <c r="A28" s="132"/>
      <c r="B28" s="132"/>
      <c r="C28" s="144" t="s">
        <v>223</v>
      </c>
      <c r="D28" s="145">
        <v>810</v>
      </c>
      <c r="E28" s="132"/>
      <c r="F28" s="132"/>
      <c r="G28" s="132"/>
      <c r="H28" s="132"/>
      <c r="I28" s="132"/>
      <c r="J28" s="132"/>
      <c r="K28" s="132"/>
      <c r="L28" s="132"/>
      <c r="M28" s="132"/>
      <c r="N28" s="132"/>
    </row>
    <row r="29" spans="1:14" ht="19.5">
      <c r="A29" s="132"/>
      <c r="B29" s="132"/>
      <c r="C29" s="144" t="s">
        <v>224</v>
      </c>
      <c r="D29" s="145">
        <v>806</v>
      </c>
      <c r="E29" s="132"/>
      <c r="F29" s="132"/>
      <c r="G29" s="132"/>
      <c r="H29" s="132"/>
      <c r="I29" s="132"/>
      <c r="J29" s="132"/>
      <c r="K29" s="132"/>
      <c r="L29" s="132"/>
      <c r="M29" s="132"/>
      <c r="N29" s="132"/>
    </row>
    <row r="30" spans="1:14" ht="19.5">
      <c r="A30" s="132"/>
      <c r="B30" s="132"/>
      <c r="C30" s="144" t="s">
        <v>225</v>
      </c>
      <c r="D30" s="145">
        <v>804</v>
      </c>
      <c r="E30" s="132"/>
      <c r="F30" s="132"/>
      <c r="G30" s="132"/>
      <c r="H30" s="163"/>
      <c r="I30" s="164"/>
      <c r="J30" s="165"/>
      <c r="K30" s="132"/>
      <c r="L30" s="132"/>
      <c r="M30" s="132"/>
      <c r="N30" s="132"/>
    </row>
    <row r="31" spans="1:14" ht="19.5">
      <c r="A31" s="132"/>
      <c r="B31" s="132"/>
      <c r="C31" s="144" t="s">
        <v>226</v>
      </c>
      <c r="D31" s="145">
        <v>803</v>
      </c>
      <c r="E31" s="132"/>
      <c r="F31" s="132"/>
      <c r="G31" s="132"/>
      <c r="H31" s="163"/>
      <c r="I31" s="164"/>
      <c r="J31" s="165"/>
      <c r="K31" s="132"/>
      <c r="L31" s="132"/>
      <c r="M31" s="132"/>
      <c r="N31" s="132"/>
    </row>
    <row r="32" spans="1:14">
      <c r="A32" s="132"/>
      <c r="B32" s="132"/>
      <c r="C32" s="144" t="s">
        <v>227</v>
      </c>
      <c r="D32" s="145">
        <v>800</v>
      </c>
      <c r="E32" s="132"/>
      <c r="F32" s="132"/>
      <c r="G32" s="132"/>
      <c r="H32" s="163"/>
      <c r="I32" s="164"/>
      <c r="J32" s="166"/>
      <c r="K32" s="132"/>
      <c r="L32" s="132"/>
      <c r="M32" s="132"/>
      <c r="N32" s="132"/>
    </row>
    <row r="33" spans="1:14" ht="19.5">
      <c r="A33" s="132"/>
      <c r="B33" s="132"/>
      <c r="C33" s="144" t="s">
        <v>228</v>
      </c>
      <c r="D33" s="145">
        <v>797</v>
      </c>
      <c r="E33" s="132"/>
      <c r="F33" s="132"/>
      <c r="G33" s="132"/>
      <c r="H33" s="163"/>
      <c r="I33" s="167"/>
      <c r="J33" s="132"/>
      <c r="K33" s="132"/>
      <c r="L33" s="132"/>
      <c r="M33" s="132"/>
      <c r="N33" s="132"/>
    </row>
    <row r="34" spans="1:14">
      <c r="A34" s="132"/>
      <c r="B34" s="132"/>
      <c r="C34" s="144" t="s">
        <v>229</v>
      </c>
      <c r="D34" s="145">
        <v>797</v>
      </c>
      <c r="E34" s="132"/>
      <c r="F34" s="132"/>
      <c r="G34" s="132"/>
      <c r="H34" s="163"/>
      <c r="I34" s="168"/>
      <c r="J34" s="132"/>
      <c r="K34" s="132"/>
      <c r="L34" s="132"/>
      <c r="M34" s="132"/>
      <c r="N34" s="132"/>
    </row>
    <row r="35" spans="1:14" ht="15.75">
      <c r="A35" s="132"/>
      <c r="B35" s="132"/>
      <c r="C35" s="144" t="s">
        <v>230</v>
      </c>
      <c r="D35" s="145">
        <v>802</v>
      </c>
      <c r="E35" s="132"/>
      <c r="F35" s="132"/>
      <c r="G35" s="132"/>
      <c r="H35" s="169"/>
      <c r="I35" s="170"/>
      <c r="J35" s="132"/>
      <c r="K35" s="132"/>
      <c r="L35" s="132"/>
      <c r="M35" s="132"/>
      <c r="N35" s="132"/>
    </row>
    <row r="36" spans="1:14" ht="15.75">
      <c r="A36" s="132"/>
      <c r="B36" s="132"/>
      <c r="C36" s="144" t="s">
        <v>231</v>
      </c>
      <c r="D36" s="145">
        <v>803</v>
      </c>
      <c r="E36" s="132"/>
      <c r="F36" s="132"/>
      <c r="G36" s="132"/>
      <c r="H36" s="169"/>
      <c r="I36" s="170"/>
      <c r="J36" s="132"/>
      <c r="K36" s="132"/>
      <c r="L36" s="132"/>
      <c r="M36" s="132"/>
      <c r="N36" s="132"/>
    </row>
    <row r="37" spans="1:14" ht="15.75">
      <c r="A37" s="132"/>
      <c r="B37" s="132"/>
      <c r="C37" s="144" t="s">
        <v>232</v>
      </c>
      <c r="D37" s="145">
        <v>800</v>
      </c>
      <c r="E37" s="132"/>
      <c r="F37" s="132"/>
      <c r="G37" s="132"/>
      <c r="H37" s="169"/>
      <c r="I37" s="170"/>
    </row>
    <row r="38" spans="1:14">
      <c r="A38" s="132"/>
      <c r="B38" s="132"/>
      <c r="C38" s="144" t="s">
        <v>233</v>
      </c>
      <c r="D38" s="145">
        <v>796</v>
      </c>
      <c r="E38" s="132"/>
      <c r="F38" s="132"/>
      <c r="G38" s="132"/>
      <c r="H38" s="132"/>
      <c r="I38" s="132"/>
    </row>
    <row r="39" spans="1:14">
      <c r="A39" s="132"/>
      <c r="B39" s="132"/>
      <c r="C39" s="144" t="s">
        <v>234</v>
      </c>
      <c r="D39" s="145">
        <v>800</v>
      </c>
      <c r="E39" s="132"/>
      <c r="F39" s="132"/>
      <c r="G39" s="132"/>
      <c r="H39" s="132"/>
      <c r="I39" s="132"/>
    </row>
    <row r="40" spans="1:14" ht="19.5">
      <c r="A40" s="132"/>
      <c r="B40" s="132"/>
      <c r="C40" s="144" t="s">
        <v>235</v>
      </c>
      <c r="D40" s="145">
        <v>802</v>
      </c>
      <c r="E40" s="132"/>
      <c r="F40" s="132"/>
      <c r="G40" s="132"/>
      <c r="H40" s="132"/>
      <c r="I40" s="132"/>
    </row>
    <row r="41" spans="1:14" ht="19.5">
      <c r="A41" s="132"/>
      <c r="B41" s="132"/>
      <c r="C41" s="144" t="s">
        <v>236</v>
      </c>
      <c r="D41" s="145">
        <v>803</v>
      </c>
      <c r="E41" s="132"/>
      <c r="F41" s="132"/>
      <c r="G41" s="132"/>
      <c r="H41" s="132"/>
      <c r="I41" s="132"/>
    </row>
    <row r="42" spans="1:14" ht="19.5">
      <c r="A42" s="132"/>
      <c r="B42" s="132"/>
      <c r="C42" s="144" t="s">
        <v>237</v>
      </c>
      <c r="D42" s="145">
        <v>805</v>
      </c>
      <c r="E42" s="132"/>
      <c r="F42" s="132"/>
      <c r="G42" s="132"/>
      <c r="H42" s="132"/>
      <c r="I42" s="132"/>
    </row>
    <row r="43" spans="1:14" ht="19.5">
      <c r="A43" s="132"/>
      <c r="B43" s="132"/>
      <c r="C43" s="144" t="s">
        <v>238</v>
      </c>
      <c r="D43" s="145">
        <v>808</v>
      </c>
      <c r="E43" s="132"/>
      <c r="F43" s="132"/>
      <c r="G43" s="132"/>
      <c r="H43" s="132"/>
      <c r="I43" s="132"/>
    </row>
    <row r="44" spans="1:14" ht="19.5">
      <c r="A44" s="132"/>
      <c r="B44" s="132"/>
      <c r="C44" s="144" t="s">
        <v>239</v>
      </c>
      <c r="D44" s="145">
        <v>789</v>
      </c>
      <c r="E44" s="132"/>
      <c r="F44" s="132"/>
      <c r="G44" s="132"/>
      <c r="H44" s="132"/>
      <c r="I44" s="132"/>
    </row>
    <row r="45" spans="1:14">
      <c r="A45" s="132"/>
      <c r="B45" s="132"/>
      <c r="C45" s="171" t="s">
        <v>240</v>
      </c>
      <c r="D45" s="172">
        <f>MAX(D15:D44)</f>
        <v>827</v>
      </c>
      <c r="E45" s="132"/>
      <c r="F45" s="132"/>
      <c r="G45" s="132"/>
      <c r="H45" s="132"/>
      <c r="I45" s="132"/>
    </row>
    <row r="46" spans="1:14">
      <c r="A46" s="132"/>
      <c r="B46" s="132"/>
      <c r="C46" s="173" t="s">
        <v>241</v>
      </c>
      <c r="D46" s="174">
        <f>MIN(D16:D45)</f>
        <v>789</v>
      </c>
      <c r="E46" s="132"/>
      <c r="F46" s="132"/>
      <c r="G46" s="132"/>
      <c r="H46" s="132"/>
      <c r="I46" s="132"/>
    </row>
    <row r="47" spans="1:14">
      <c r="A47" s="132"/>
      <c r="B47" s="132"/>
      <c r="C47" s="175" t="s">
        <v>242</v>
      </c>
      <c r="D47" s="176">
        <f>+((D45+D46)/2)</f>
        <v>808</v>
      </c>
      <c r="E47" s="149" t="s">
        <v>243</v>
      </c>
      <c r="F47" s="132"/>
      <c r="G47" s="132"/>
      <c r="H47" s="132"/>
      <c r="I47" s="132"/>
    </row>
  </sheetData>
  <mergeCells count="9">
    <mergeCell ref="G15:H15"/>
    <mergeCell ref="J16:K16"/>
    <mergeCell ref="J19:K19"/>
    <mergeCell ref="C2:D2"/>
    <mergeCell ref="C6:E6"/>
    <mergeCell ref="C7:E7"/>
    <mergeCell ref="C8:E8"/>
    <mergeCell ref="C9:D9"/>
    <mergeCell ref="C13:D13"/>
  </mergeCells>
  <phoneticPr fontId="41" type="noConversion"/>
  <hyperlinks>
    <hyperlink ref="G7" r:id="rId1"/>
    <hyperlink ref="G8" r:id="rId2"/>
    <hyperlink ref="G9" r:id="rId3"/>
    <hyperlink ref="G10" r:id="rId4"/>
  </hyperlinks>
  <pageMargins left="0.7" right="0.7" top="0.75" bottom="0.75" header="0.3" footer="0.3"/>
  <drawing r:id="rId5"/>
  <legacyDrawing r:id="rId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R53"/>
  <sheetViews>
    <sheetView showGridLines="0" topLeftCell="A16" zoomScale="90" zoomScaleNormal="90" workbookViewId="0">
      <selection activeCell="B24" sqref="B24"/>
    </sheetView>
  </sheetViews>
  <sheetFormatPr baseColWidth="10" defaultColWidth="11" defaultRowHeight="15"/>
  <cols>
    <col min="1" max="1" width="24.140625" customWidth="1"/>
    <col min="2" max="2" width="12.7109375" bestFit="1" customWidth="1"/>
    <col min="3" max="4" width="12.42578125" bestFit="1" customWidth="1"/>
    <col min="5" max="12" width="13" bestFit="1" customWidth="1"/>
    <col min="16" max="16" width="13.140625" customWidth="1"/>
    <col min="17" max="17" width="13.28515625" customWidth="1"/>
    <col min="18" max="18" width="12.140625" customWidth="1"/>
  </cols>
  <sheetData>
    <row r="2" spans="1:12" ht="15.75">
      <c r="A2" s="236" t="s">
        <v>67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</row>
    <row r="3" spans="1:12" ht="15.75" thickBot="1">
      <c r="A3" s="235"/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</row>
    <row r="4" spans="1:12">
      <c r="A4" s="231" t="s">
        <v>57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</row>
    <row r="5" spans="1:12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</row>
    <row r="6" spans="1:12">
      <c r="A6" s="4" t="s">
        <v>12</v>
      </c>
      <c r="B6" s="27"/>
      <c r="C6" s="30">
        <f>((70*17*12)+(25*38*12*12.5))*(1+H26)</f>
        <v>156780</v>
      </c>
      <c r="D6" s="23">
        <f t="shared" ref="D6:L6" si="0">C6*1.1</f>
        <v>172458</v>
      </c>
      <c r="E6" s="23">
        <f t="shared" si="0"/>
        <v>189703.80000000002</v>
      </c>
      <c r="F6" s="23">
        <f t="shared" si="0"/>
        <v>208674.18000000002</v>
      </c>
      <c r="G6" s="23">
        <f t="shared" si="0"/>
        <v>229541.59800000006</v>
      </c>
      <c r="H6" s="23">
        <f t="shared" si="0"/>
        <v>252495.75780000008</v>
      </c>
      <c r="I6" s="23">
        <f t="shared" si="0"/>
        <v>277745.33358000009</v>
      </c>
      <c r="J6" s="23">
        <f t="shared" si="0"/>
        <v>305519.86693800014</v>
      </c>
      <c r="K6" s="23">
        <f t="shared" si="0"/>
        <v>336071.85363180016</v>
      </c>
      <c r="L6" s="23">
        <f t="shared" si="0"/>
        <v>369679.03899498022</v>
      </c>
    </row>
    <row r="7" spans="1:12">
      <c r="A7" s="4" t="s">
        <v>13</v>
      </c>
      <c r="B7" s="20"/>
      <c r="C7" s="23">
        <f>-GASTOS!C17</f>
        <v>-66265.600000000006</v>
      </c>
      <c r="D7" s="23">
        <f>-GASTOS!D17</f>
        <v>-69408.160000000003</v>
      </c>
      <c r="E7" s="23">
        <f>-GASTOS!E17</f>
        <v>-72864.97600000001</v>
      </c>
      <c r="F7" s="23">
        <f>-GASTOS!F17</f>
        <v>-76667.473600000012</v>
      </c>
      <c r="G7" s="23">
        <f>-GASTOS!G17</f>
        <v>-80850.220960000021</v>
      </c>
      <c r="H7" s="23">
        <f>-GASTOS!H17</f>
        <v>-85451.243056000021</v>
      </c>
      <c r="I7" s="23">
        <f>-GASTOS!I17</f>
        <v>-90512.367361600016</v>
      </c>
      <c r="J7" s="23">
        <f>-GASTOS!J17</f>
        <v>-96079.604097760035</v>
      </c>
      <c r="K7" s="23">
        <f>-GASTOS!K17</f>
        <v>-102203.56450753604</v>
      </c>
      <c r="L7" s="23">
        <f>-GASTOS!L17</f>
        <v>-108939.92095828966</v>
      </c>
    </row>
    <row r="8" spans="1:12">
      <c r="A8" s="4" t="s">
        <v>14</v>
      </c>
      <c r="B8" s="20"/>
      <c r="C8" s="23">
        <v>-14720</v>
      </c>
      <c r="D8" s="23">
        <v>-14720</v>
      </c>
      <c r="E8" s="23">
        <v>-14720</v>
      </c>
      <c r="F8" s="23">
        <v>-14720</v>
      </c>
      <c r="G8" s="23">
        <v>-14720</v>
      </c>
      <c r="H8" s="23">
        <v>-14720</v>
      </c>
      <c r="I8" s="23">
        <v>-14720</v>
      </c>
      <c r="J8" s="23">
        <v>-14720</v>
      </c>
      <c r="K8" s="23">
        <v>-14720</v>
      </c>
      <c r="L8" s="23">
        <v>-14720</v>
      </c>
    </row>
    <row r="9" spans="1:12">
      <c r="A9" s="4" t="s">
        <v>15</v>
      </c>
      <c r="B9" s="20"/>
      <c r="C9" s="23">
        <v>-2950</v>
      </c>
      <c r="D9" s="23">
        <v>-2950</v>
      </c>
      <c r="E9" s="23">
        <v>-2950</v>
      </c>
      <c r="F9" s="23">
        <v>-2950</v>
      </c>
      <c r="G9" s="23">
        <v>-2950</v>
      </c>
      <c r="H9" s="23">
        <v>-2950</v>
      </c>
      <c r="I9" s="23">
        <v>-2950</v>
      </c>
      <c r="J9" s="23">
        <v>-2950</v>
      </c>
      <c r="K9" s="23">
        <v>-2950</v>
      </c>
      <c r="L9" s="23">
        <v>-2950</v>
      </c>
    </row>
    <row r="10" spans="1:12">
      <c r="A10" s="4" t="s">
        <v>16</v>
      </c>
      <c r="B10" s="20"/>
      <c r="C10" s="23">
        <v>-3601.0333333333301</v>
      </c>
      <c r="D10" s="23">
        <v>-3601.0333333333301</v>
      </c>
      <c r="E10" s="23">
        <v>-3601.0333333333301</v>
      </c>
      <c r="F10" s="23">
        <v>-3601.0333333333301</v>
      </c>
      <c r="G10" s="23">
        <v>-3601.0333333333301</v>
      </c>
      <c r="H10" s="23">
        <v>-3601.0333333333301</v>
      </c>
      <c r="I10" s="23">
        <v>-3601.0333333333301</v>
      </c>
      <c r="J10" s="23">
        <v>-3601.0333333333301</v>
      </c>
      <c r="K10" s="23">
        <v>-3601.0333333333301</v>
      </c>
      <c r="L10" s="23">
        <v>-3601.0333333333301</v>
      </c>
    </row>
    <row r="11" spans="1:12">
      <c r="A11" s="4" t="s">
        <v>21</v>
      </c>
      <c r="B11" s="20"/>
      <c r="C11" s="23">
        <f>C29*-1</f>
        <v>-5915</v>
      </c>
      <c r="D11" s="23">
        <f>C30*-1</f>
        <v>-4674.2909379811426</v>
      </c>
      <c r="E11" s="23">
        <f>C31*-1</f>
        <v>-3286.8059939254545</v>
      </c>
      <c r="F11" s="23">
        <f>C32*-1</f>
        <v>-1735.1815809879786</v>
      </c>
      <c r="G11" s="20"/>
      <c r="H11" s="20"/>
      <c r="I11" s="20"/>
      <c r="J11" s="20"/>
      <c r="K11" s="20"/>
      <c r="L11" s="20"/>
    </row>
    <row r="12" spans="1:12">
      <c r="A12" s="5" t="s">
        <v>17</v>
      </c>
      <c r="B12" s="28"/>
      <c r="C12" s="31">
        <f>SUM(C6:C11)</f>
        <v>63328.366666666669</v>
      </c>
      <c r="D12" s="31">
        <f t="shared" ref="D12:L12" si="1">SUM(D6:D11)</f>
        <v>77104.515728685525</v>
      </c>
      <c r="E12" s="31">
        <f t="shared" si="1"/>
        <v>92280.984672741222</v>
      </c>
      <c r="F12" s="31">
        <f t="shared" si="1"/>
        <v>109000.49148567872</v>
      </c>
      <c r="G12" s="31">
        <f t="shared" si="1"/>
        <v>127420.34370666672</v>
      </c>
      <c r="H12" s="31">
        <f t="shared" si="1"/>
        <v>145773.48141066672</v>
      </c>
      <c r="I12" s="31">
        <f t="shared" si="1"/>
        <v>165961.93288506675</v>
      </c>
      <c r="J12" s="31">
        <f t="shared" si="1"/>
        <v>188169.22950690676</v>
      </c>
      <c r="K12" s="31">
        <f t="shared" si="1"/>
        <v>212597.25579093079</v>
      </c>
      <c r="L12" s="31">
        <f t="shared" si="1"/>
        <v>239468.08470335725</v>
      </c>
    </row>
    <row r="13" spans="1:12">
      <c r="A13" s="4" t="s">
        <v>18</v>
      </c>
      <c r="B13" s="20"/>
      <c r="C13" s="23">
        <f>-C12*0.24</f>
        <v>-15198.807999999999</v>
      </c>
      <c r="D13" s="23">
        <f>-D12*0.23</f>
        <v>-17734.038617597671</v>
      </c>
      <c r="E13" s="23">
        <f>-E12*0.22</f>
        <v>-20301.816628003067</v>
      </c>
      <c r="F13" s="23">
        <f t="shared" ref="F13:L13" si="2">-F12*0.22</f>
        <v>-23980.108126849318</v>
      </c>
      <c r="G13" s="23">
        <f t="shared" si="2"/>
        <v>-28032.475615466679</v>
      </c>
      <c r="H13" s="23">
        <f t="shared" si="2"/>
        <v>-32070.165910346677</v>
      </c>
      <c r="I13" s="23">
        <f t="shared" si="2"/>
        <v>-36511.625234714687</v>
      </c>
      <c r="J13" s="23">
        <f t="shared" si="2"/>
        <v>-41397.230491519491</v>
      </c>
      <c r="K13" s="23">
        <f t="shared" si="2"/>
        <v>-46771.396274004772</v>
      </c>
      <c r="L13" s="23">
        <f t="shared" si="2"/>
        <v>-52682.978634738596</v>
      </c>
    </row>
    <row r="14" spans="1:12" ht="24">
      <c r="A14" s="6" t="s">
        <v>19</v>
      </c>
      <c r="B14" s="20"/>
      <c r="C14" s="23">
        <f>-C12*0.15</f>
        <v>-9499.2549999999992</v>
      </c>
      <c r="D14" s="23">
        <f t="shared" ref="D14:L14" si="3">-D12*0.15</f>
        <v>-11565.677359302828</v>
      </c>
      <c r="E14" s="23">
        <f t="shared" si="3"/>
        <v>-13842.147700911182</v>
      </c>
      <c r="F14" s="23">
        <f t="shared" si="3"/>
        <v>-16350.073722851808</v>
      </c>
      <c r="G14" s="23">
        <f t="shared" si="3"/>
        <v>-19113.051556000009</v>
      </c>
      <c r="H14" s="23">
        <f t="shared" si="3"/>
        <v>-21866.022211600008</v>
      </c>
      <c r="I14" s="23">
        <f t="shared" si="3"/>
        <v>-24894.289932760013</v>
      </c>
      <c r="J14" s="23">
        <f t="shared" si="3"/>
        <v>-28225.384426036013</v>
      </c>
      <c r="K14" s="23">
        <f t="shared" si="3"/>
        <v>-31889.588368639619</v>
      </c>
      <c r="L14" s="23">
        <f t="shared" si="3"/>
        <v>-35920.212705503589</v>
      </c>
    </row>
    <row r="15" spans="1:12">
      <c r="A15" s="7" t="s">
        <v>20</v>
      </c>
      <c r="B15" s="29"/>
      <c r="C15" s="32">
        <f>SUM(C12:C14)</f>
        <v>38630.303666666674</v>
      </c>
      <c r="D15" s="32">
        <f t="shared" ref="D15:L15" si="4">SUM(D12:D14)</f>
        <v>47804.799751785024</v>
      </c>
      <c r="E15" s="32">
        <f t="shared" si="4"/>
        <v>58137.020343826967</v>
      </c>
      <c r="F15" s="32">
        <f t="shared" si="4"/>
        <v>68670.309635977595</v>
      </c>
      <c r="G15" s="32">
        <f t="shared" si="4"/>
        <v>80274.816535200036</v>
      </c>
      <c r="H15" s="32">
        <f t="shared" si="4"/>
        <v>91837.29328872003</v>
      </c>
      <c r="I15" s="32">
        <f t="shared" si="4"/>
        <v>104556.01771759205</v>
      </c>
      <c r="J15" s="32">
        <f t="shared" si="4"/>
        <v>118546.61458935126</v>
      </c>
      <c r="K15" s="32">
        <f t="shared" si="4"/>
        <v>133936.27114828641</v>
      </c>
      <c r="L15" s="32">
        <f t="shared" si="4"/>
        <v>150864.89336311506</v>
      </c>
    </row>
    <row r="16" spans="1:12">
      <c r="A16" s="4" t="s">
        <v>31</v>
      </c>
      <c r="B16" s="20"/>
      <c r="C16" s="23">
        <v>3601.0333333333333</v>
      </c>
      <c r="D16" s="23">
        <v>3601.0333333333333</v>
      </c>
      <c r="E16" s="23">
        <v>3601.0333333333333</v>
      </c>
      <c r="F16" s="23">
        <v>3601.0333333333333</v>
      </c>
      <c r="G16" s="23">
        <v>3601.0333333333333</v>
      </c>
      <c r="H16" s="23">
        <v>3601.0333333333333</v>
      </c>
      <c r="I16" s="23">
        <v>3601.0333333333333</v>
      </c>
      <c r="J16" s="23">
        <v>3601.0333333333333</v>
      </c>
      <c r="K16" s="23">
        <v>3601.0333333333333</v>
      </c>
      <c r="L16" s="23">
        <v>3601.0333333333333</v>
      </c>
    </row>
    <row r="17" spans="1:18">
      <c r="A17" s="4" t="s">
        <v>30</v>
      </c>
      <c r="B17" s="20"/>
      <c r="C17" s="23">
        <v>2950</v>
      </c>
      <c r="D17" s="23">
        <v>2950</v>
      </c>
      <c r="E17" s="23">
        <v>2950</v>
      </c>
      <c r="F17" s="23">
        <v>2950</v>
      </c>
      <c r="G17" s="23">
        <v>2950</v>
      </c>
      <c r="H17" s="23">
        <v>2950</v>
      </c>
      <c r="I17" s="23">
        <v>2950</v>
      </c>
      <c r="J17" s="23">
        <v>2950</v>
      </c>
      <c r="K17" s="23">
        <v>2950</v>
      </c>
      <c r="L17" s="23">
        <v>2950</v>
      </c>
    </row>
    <row r="18" spans="1:18">
      <c r="A18" s="4" t="s">
        <v>22</v>
      </c>
      <c r="B18" s="23">
        <v>-101447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</row>
    <row r="19" spans="1:18">
      <c r="A19" s="4" t="s">
        <v>23</v>
      </c>
      <c r="B19" s="23">
        <v>50000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</row>
    <row r="20" spans="1:18">
      <c r="A20" s="4" t="s">
        <v>29</v>
      </c>
      <c r="B20" s="20"/>
      <c r="C20" s="23">
        <f>D29</f>
        <v>-10487.819628223644</v>
      </c>
      <c r="D20" s="23">
        <f>D30</f>
        <v>-11728.528690242503</v>
      </c>
      <c r="E20" s="23">
        <f>D31</f>
        <v>-13116.013634298191</v>
      </c>
      <c r="F20" s="23">
        <f>D32</f>
        <v>-14667.638047235667</v>
      </c>
      <c r="G20" s="20"/>
      <c r="H20" s="20"/>
      <c r="I20" s="20"/>
      <c r="J20" s="20"/>
      <c r="K20" s="20"/>
      <c r="L20" s="20"/>
    </row>
    <row r="21" spans="1:18">
      <c r="A21" s="4" t="s">
        <v>24</v>
      </c>
      <c r="B21" s="23">
        <v>-6748.8000000000011</v>
      </c>
      <c r="C21" s="20"/>
      <c r="D21" s="20"/>
      <c r="E21" s="20"/>
      <c r="F21" s="20"/>
      <c r="G21" s="20"/>
      <c r="H21" s="20"/>
      <c r="I21" s="20"/>
      <c r="J21" s="20"/>
      <c r="K21" s="20"/>
      <c r="L21" s="23">
        <v>6748.8</v>
      </c>
    </row>
    <row r="22" spans="1:18">
      <c r="A22" s="4" t="s">
        <v>25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3">
        <v>37290</v>
      </c>
    </row>
    <row r="23" spans="1:18">
      <c r="A23" s="26" t="s">
        <v>26</v>
      </c>
      <c r="B23" s="26">
        <f>SUM(B15:B22)</f>
        <v>-58195.8</v>
      </c>
      <c r="C23" s="26">
        <f>SUM(C15:C22)</f>
        <v>34693.517371776361</v>
      </c>
      <c r="D23" s="26">
        <f t="shared" ref="D23:L23" si="5">SUM(D15:D22)</f>
        <v>42627.304394875857</v>
      </c>
      <c r="E23" s="26">
        <f t="shared" si="5"/>
        <v>51572.040042862107</v>
      </c>
      <c r="F23" s="26">
        <f t="shared" si="5"/>
        <v>60553.704922075267</v>
      </c>
      <c r="G23" s="26">
        <f t="shared" si="5"/>
        <v>86825.849868533376</v>
      </c>
      <c r="H23" s="26">
        <f t="shared" si="5"/>
        <v>98388.32662205337</v>
      </c>
      <c r="I23" s="26">
        <f t="shared" si="5"/>
        <v>111107.05105092539</v>
      </c>
      <c r="J23" s="26">
        <f t="shared" si="5"/>
        <v>125097.6479226846</v>
      </c>
      <c r="K23" s="26">
        <f t="shared" si="5"/>
        <v>140487.30448161974</v>
      </c>
      <c r="L23" s="26">
        <f t="shared" si="5"/>
        <v>201454.72669644837</v>
      </c>
    </row>
    <row r="24" spans="1:18" ht="15.75">
      <c r="A24" s="4" t="s">
        <v>27</v>
      </c>
      <c r="B24" s="24">
        <f>NPV(17.88%,C23:L23)+B23</f>
        <v>279102.80170169706</v>
      </c>
      <c r="C24" s="2"/>
      <c r="D24" s="4" t="s">
        <v>28</v>
      </c>
      <c r="E24" s="25">
        <f>IRR(B23:L23)</f>
        <v>0.80596811560877035</v>
      </c>
      <c r="F24" s="2"/>
      <c r="G24" s="2"/>
      <c r="H24" s="2"/>
      <c r="I24" s="2"/>
      <c r="J24" s="2"/>
      <c r="K24" s="2"/>
      <c r="L24" s="2"/>
    </row>
    <row r="25" spans="1:18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8">
      <c r="A26" s="2"/>
      <c r="B26" s="2"/>
      <c r="C26" s="2"/>
      <c r="D26" s="2"/>
      <c r="E26" s="2"/>
      <c r="F26" s="2"/>
      <c r="G26" s="2" t="s">
        <v>66</v>
      </c>
      <c r="H26" s="2">
        <v>0</v>
      </c>
      <c r="I26" s="2"/>
      <c r="J26" s="2"/>
      <c r="K26" s="2"/>
      <c r="L26" s="2"/>
    </row>
    <row r="27" spans="1:18" ht="16.5">
      <c r="A27" s="22" t="s">
        <v>52</v>
      </c>
      <c r="B27" s="22" t="s">
        <v>53</v>
      </c>
      <c r="C27" s="22" t="s">
        <v>54</v>
      </c>
      <c r="D27" s="22" t="s">
        <v>55</v>
      </c>
      <c r="E27" s="22" t="s">
        <v>56</v>
      </c>
      <c r="F27" s="2"/>
      <c r="G27" s="2"/>
      <c r="H27" s="2"/>
      <c r="I27" s="2"/>
      <c r="J27" s="2"/>
      <c r="K27" s="2"/>
      <c r="L27" s="2"/>
    </row>
    <row r="28" spans="1:18" ht="16.5">
      <c r="A28" s="19">
        <v>0</v>
      </c>
      <c r="B28" s="21">
        <v>0</v>
      </c>
      <c r="C28" s="21">
        <v>0</v>
      </c>
      <c r="D28" s="21">
        <v>0</v>
      </c>
      <c r="E28" s="21">
        <v>50000</v>
      </c>
      <c r="F28" s="1"/>
      <c r="G28" s="1"/>
      <c r="H28" s="1"/>
      <c r="I28" s="1"/>
      <c r="J28" s="1"/>
      <c r="K28" s="1"/>
      <c r="L28" s="1"/>
    </row>
    <row r="29" spans="1:18" ht="16.5">
      <c r="A29" s="19">
        <v>1</v>
      </c>
      <c r="B29" s="21">
        <f>PMT(11.83%,4,E28)</f>
        <v>-16402.819628223646</v>
      </c>
      <c r="C29" s="21">
        <f>+E28*0.1183</f>
        <v>5915</v>
      </c>
      <c r="D29" s="21">
        <f>PMT(11.83%,4,,E28)</f>
        <v>-10487.819628223644</v>
      </c>
      <c r="E29" s="21">
        <f>+E28+D29</f>
        <v>39512.180371776354</v>
      </c>
      <c r="F29" s="1"/>
      <c r="G29" s="1"/>
      <c r="H29" s="1"/>
      <c r="I29" s="1"/>
      <c r="J29" s="1"/>
      <c r="K29" s="1"/>
      <c r="L29" s="1"/>
    </row>
    <row r="30" spans="1:18" ht="16.5">
      <c r="A30" s="19">
        <v>2</v>
      </c>
      <c r="B30" s="21">
        <f>+B29</f>
        <v>-16402.819628223646</v>
      </c>
      <c r="C30" s="21">
        <f>+E29*0.1183</f>
        <v>4674.2909379811426</v>
      </c>
      <c r="D30" s="21">
        <f>+B30+C30</f>
        <v>-11728.528690242503</v>
      </c>
      <c r="E30" s="21">
        <f>+E29+D30</f>
        <v>27783.651681533851</v>
      </c>
    </row>
    <row r="31" spans="1:18" ht="16.5">
      <c r="A31" s="19">
        <v>3</v>
      </c>
      <c r="B31" s="21">
        <f>+B30</f>
        <v>-16402.819628223646</v>
      </c>
      <c r="C31" s="21">
        <f>+E30*0.1183</f>
        <v>3286.8059939254545</v>
      </c>
      <c r="D31" s="21">
        <f>+B31+C31</f>
        <v>-13116.013634298191</v>
      </c>
      <c r="E31" s="21">
        <f>+E30+D31</f>
        <v>14667.63804723566</v>
      </c>
      <c r="N31" s="128"/>
      <c r="O31" s="128"/>
      <c r="P31" s="128"/>
      <c r="Q31" s="128"/>
      <c r="R31" s="128"/>
    </row>
    <row r="32" spans="1:18" ht="16.5">
      <c r="A32" s="19">
        <v>4</v>
      </c>
      <c r="B32" s="21">
        <f>+B31</f>
        <v>-16402.819628223646</v>
      </c>
      <c r="C32" s="21">
        <f>+E31*0.1183</f>
        <v>1735.1815809879786</v>
      </c>
      <c r="D32" s="21">
        <f>+B32+C32</f>
        <v>-14667.638047235667</v>
      </c>
      <c r="E32" s="21">
        <f>+E31+D32</f>
        <v>0</v>
      </c>
      <c r="N32" s="129"/>
      <c r="O32" s="130"/>
      <c r="P32" s="130"/>
      <c r="Q32" s="130"/>
      <c r="R32" s="131"/>
    </row>
    <row r="33" spans="1:18" ht="16.5">
      <c r="A33" s="126"/>
      <c r="B33" s="127"/>
      <c r="C33" s="127"/>
      <c r="D33" s="127"/>
      <c r="E33" s="127"/>
      <c r="N33" s="129"/>
      <c r="O33" s="130"/>
      <c r="P33" s="130"/>
      <c r="Q33" s="130"/>
      <c r="R33" s="131"/>
    </row>
    <row r="34" spans="1:18" ht="17.25" thickBot="1">
      <c r="A34" s="248" t="s">
        <v>245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N34" s="129"/>
      <c r="O34" s="130"/>
      <c r="P34" s="130"/>
      <c r="Q34" s="130"/>
      <c r="R34" s="131"/>
    </row>
    <row r="35" spans="1:18" ht="16.5">
      <c r="A35" s="247"/>
      <c r="B35" s="247"/>
      <c r="C35" s="247"/>
      <c r="D35" s="247"/>
      <c r="E35" s="247"/>
      <c r="F35" s="247"/>
      <c r="G35" s="247"/>
      <c r="H35" s="247"/>
      <c r="I35" s="247"/>
      <c r="J35" s="247"/>
      <c r="K35" s="247"/>
      <c r="L35" s="247"/>
      <c r="N35" s="129"/>
      <c r="O35" s="130"/>
      <c r="P35" s="130"/>
      <c r="Q35" s="130"/>
      <c r="R35" s="131"/>
    </row>
    <row r="36" spans="1:18" ht="16.5">
      <c r="A36" s="231" t="s">
        <v>244</v>
      </c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N36" s="129"/>
      <c r="O36" s="130"/>
      <c r="P36" s="130"/>
      <c r="Q36" s="130"/>
      <c r="R36" s="131"/>
    </row>
    <row r="37" spans="1:18" ht="16.5">
      <c r="A37" s="3" t="s">
        <v>0</v>
      </c>
      <c r="B37" s="3" t="s">
        <v>1</v>
      </c>
      <c r="C37" s="3" t="s">
        <v>2</v>
      </c>
      <c r="D37" s="3" t="s">
        <v>3</v>
      </c>
      <c r="E37" s="3" t="s">
        <v>4</v>
      </c>
      <c r="F37" s="3" t="s">
        <v>5</v>
      </c>
      <c r="G37" s="3" t="s">
        <v>6</v>
      </c>
      <c r="H37" s="3" t="s">
        <v>7</v>
      </c>
      <c r="I37" s="3" t="s">
        <v>8</v>
      </c>
      <c r="J37" s="3" t="s">
        <v>9</v>
      </c>
      <c r="K37" s="3" t="s">
        <v>10</v>
      </c>
      <c r="L37" s="3" t="s">
        <v>11</v>
      </c>
      <c r="N37" s="129"/>
      <c r="O37" s="130"/>
      <c r="P37" s="130"/>
      <c r="Q37" s="130"/>
      <c r="R37" s="131"/>
    </row>
    <row r="38" spans="1:18" ht="16.5">
      <c r="A38" s="4" t="s">
        <v>12</v>
      </c>
      <c r="B38" s="212"/>
      <c r="C38" s="213">
        <f>((70*17*12)+(25*38*12*12.5))*(1+H55)</f>
        <v>156780</v>
      </c>
      <c r="D38" s="23">
        <f t="shared" ref="D38" si="6">C38*1.1</f>
        <v>172458</v>
      </c>
      <c r="E38" s="23">
        <f t="shared" ref="E38" si="7">D38*1.1</f>
        <v>189703.80000000002</v>
      </c>
      <c r="F38" s="23">
        <f t="shared" ref="F38" si="8">E38*1.1</f>
        <v>208674.18000000002</v>
      </c>
      <c r="G38" s="23">
        <f t="shared" ref="G38" si="9">F38*1.1</f>
        <v>229541.59800000006</v>
      </c>
      <c r="H38" s="23">
        <f t="shared" ref="H38" si="10">G38*1.1</f>
        <v>252495.75780000008</v>
      </c>
      <c r="I38" s="23">
        <f t="shared" ref="I38" si="11">H38*1.1</f>
        <v>277745.33358000009</v>
      </c>
      <c r="J38" s="23">
        <f t="shared" ref="J38" si="12">I38*1.1</f>
        <v>305519.86693800014</v>
      </c>
      <c r="K38" s="23">
        <f t="shared" ref="K38" si="13">J38*1.1</f>
        <v>336071.85363180016</v>
      </c>
      <c r="L38" s="23">
        <f t="shared" ref="L38" si="14">K38*1.1</f>
        <v>369679.03899498022</v>
      </c>
      <c r="N38" s="129"/>
      <c r="O38" s="130"/>
      <c r="P38" s="130"/>
      <c r="Q38" s="130"/>
      <c r="R38" s="130"/>
    </row>
    <row r="39" spans="1:18">
      <c r="A39" s="4" t="s">
        <v>13</v>
      </c>
      <c r="B39" s="20"/>
      <c r="C39" s="23">
        <v>-66265.600000000006</v>
      </c>
      <c r="D39" s="23">
        <v>-69408.160000000003</v>
      </c>
      <c r="E39" s="23">
        <v>-72864.97600000001</v>
      </c>
      <c r="F39" s="23">
        <v>-76667.473600000012</v>
      </c>
      <c r="G39" s="23">
        <v>-80850.220960000021</v>
      </c>
      <c r="H39" s="23">
        <v>-85451.243056000021</v>
      </c>
      <c r="I39" s="23">
        <v>-90512.367361600016</v>
      </c>
      <c r="J39" s="23">
        <v>-96079.604097760035</v>
      </c>
      <c r="K39" s="23">
        <v>-102203.56450753604</v>
      </c>
      <c r="L39" s="23">
        <v>-108939.92095828966</v>
      </c>
    </row>
    <row r="40" spans="1:18">
      <c r="A40" s="4" t="s">
        <v>14</v>
      </c>
      <c r="B40" s="20"/>
      <c r="C40" s="23">
        <v>-14720</v>
      </c>
      <c r="D40" s="23">
        <v>-14720</v>
      </c>
      <c r="E40" s="23">
        <v>-14720</v>
      </c>
      <c r="F40" s="23">
        <v>-14720</v>
      </c>
      <c r="G40" s="23">
        <v>-14720</v>
      </c>
      <c r="H40" s="23">
        <v>-14720</v>
      </c>
      <c r="I40" s="23">
        <v>-14720</v>
      </c>
      <c r="J40" s="23">
        <v>-14720</v>
      </c>
      <c r="K40" s="23">
        <v>-14720</v>
      </c>
      <c r="L40" s="23">
        <v>-14720</v>
      </c>
    </row>
    <row r="41" spans="1:18">
      <c r="A41" s="4" t="s">
        <v>15</v>
      </c>
      <c r="B41" s="20"/>
      <c r="C41" s="23">
        <v>-2950</v>
      </c>
      <c r="D41" s="23">
        <v>-2950</v>
      </c>
      <c r="E41" s="23">
        <v>-2950</v>
      </c>
      <c r="F41" s="23">
        <v>-2950</v>
      </c>
      <c r="G41" s="23">
        <v>-2950</v>
      </c>
      <c r="H41" s="23">
        <v>-2950</v>
      </c>
      <c r="I41" s="23">
        <v>-2950</v>
      </c>
      <c r="J41" s="23">
        <v>-2950</v>
      </c>
      <c r="K41" s="23">
        <v>-2950</v>
      </c>
      <c r="L41" s="23">
        <v>-2950</v>
      </c>
    </row>
    <row r="42" spans="1:18">
      <c r="A42" s="4" t="s">
        <v>16</v>
      </c>
      <c r="B42" s="20"/>
      <c r="C42" s="23">
        <v>-3601.0333333333301</v>
      </c>
      <c r="D42" s="23">
        <v>-3601.0333333333301</v>
      </c>
      <c r="E42" s="23">
        <v>-3601.0333333333301</v>
      </c>
      <c r="F42" s="23">
        <v>-3601.0333333333301</v>
      </c>
      <c r="G42" s="23">
        <v>-3601.0333333333301</v>
      </c>
      <c r="H42" s="23">
        <v>-3601.0333333333301</v>
      </c>
      <c r="I42" s="23">
        <v>-3601.0333333333301</v>
      </c>
      <c r="J42" s="23">
        <v>-3601.0333333333301</v>
      </c>
      <c r="K42" s="23">
        <v>-3601.0333333333301</v>
      </c>
      <c r="L42" s="23">
        <v>-3601.0333333333301</v>
      </c>
    </row>
    <row r="43" spans="1:18">
      <c r="A43" s="5" t="s">
        <v>17</v>
      </c>
      <c r="B43" s="28"/>
      <c r="C43" s="31">
        <f t="shared" ref="C43:L43" si="15">SUM(C38:C42)</f>
        <v>69243.366666666669</v>
      </c>
      <c r="D43" s="31">
        <f t="shared" si="15"/>
        <v>81778.806666666671</v>
      </c>
      <c r="E43" s="31">
        <f t="shared" si="15"/>
        <v>95567.790666666682</v>
      </c>
      <c r="F43" s="31">
        <f t="shared" si="15"/>
        <v>110735.6730666667</v>
      </c>
      <c r="G43" s="31">
        <f t="shared" si="15"/>
        <v>127420.34370666672</v>
      </c>
      <c r="H43" s="31">
        <f t="shared" si="15"/>
        <v>145773.48141066672</v>
      </c>
      <c r="I43" s="31">
        <f t="shared" si="15"/>
        <v>165961.93288506675</v>
      </c>
      <c r="J43" s="31">
        <f t="shared" si="15"/>
        <v>188169.22950690676</v>
      </c>
      <c r="K43" s="31">
        <f t="shared" si="15"/>
        <v>212597.25579093079</v>
      </c>
      <c r="L43" s="31">
        <f t="shared" si="15"/>
        <v>239468.08470335725</v>
      </c>
    </row>
    <row r="44" spans="1:18">
      <c r="A44" s="4" t="s">
        <v>18</v>
      </c>
      <c r="B44" s="20"/>
      <c r="C44" s="23">
        <f>-C43*0.24</f>
        <v>-16618.407999999999</v>
      </c>
      <c r="D44" s="23">
        <f>-D43*0.23</f>
        <v>-18809.125533333336</v>
      </c>
      <c r="E44" s="23">
        <f>-E43*0.22</f>
        <v>-21024.913946666671</v>
      </c>
      <c r="F44" s="23">
        <f t="shared" ref="F44:L44" si="16">-F43*0.22</f>
        <v>-24361.848074666676</v>
      </c>
      <c r="G44" s="23">
        <f t="shared" si="16"/>
        <v>-28032.475615466679</v>
      </c>
      <c r="H44" s="23">
        <f t="shared" si="16"/>
        <v>-32070.165910346677</v>
      </c>
      <c r="I44" s="23">
        <f t="shared" si="16"/>
        <v>-36511.625234714687</v>
      </c>
      <c r="J44" s="23">
        <f t="shared" si="16"/>
        <v>-41397.230491519491</v>
      </c>
      <c r="K44" s="23">
        <f t="shared" si="16"/>
        <v>-46771.396274004772</v>
      </c>
      <c r="L44" s="23">
        <f t="shared" si="16"/>
        <v>-52682.978634738596</v>
      </c>
    </row>
    <row r="45" spans="1:18" ht="24">
      <c r="A45" s="6" t="s">
        <v>19</v>
      </c>
      <c r="B45" s="20"/>
      <c r="C45" s="23">
        <f>-C43*0.15</f>
        <v>-10386.504999999999</v>
      </c>
      <c r="D45" s="23">
        <f t="shared" ref="D45:L45" si="17">-D43*0.15</f>
        <v>-12266.821</v>
      </c>
      <c r="E45" s="23">
        <f t="shared" si="17"/>
        <v>-14335.168600000003</v>
      </c>
      <c r="F45" s="23">
        <f t="shared" si="17"/>
        <v>-16610.350960000003</v>
      </c>
      <c r="G45" s="23">
        <f t="shared" si="17"/>
        <v>-19113.051556000009</v>
      </c>
      <c r="H45" s="23">
        <f t="shared" si="17"/>
        <v>-21866.022211600008</v>
      </c>
      <c r="I45" s="23">
        <f t="shared" si="17"/>
        <v>-24894.289932760013</v>
      </c>
      <c r="J45" s="23">
        <f t="shared" si="17"/>
        <v>-28225.384426036013</v>
      </c>
      <c r="K45" s="23">
        <f t="shared" si="17"/>
        <v>-31889.588368639619</v>
      </c>
      <c r="L45" s="23">
        <f t="shared" si="17"/>
        <v>-35920.212705503589</v>
      </c>
    </row>
    <row r="46" spans="1:18">
      <c r="A46" s="7" t="s">
        <v>20</v>
      </c>
      <c r="B46" s="29"/>
      <c r="C46" s="32">
        <f>SUM(C43:C45)</f>
        <v>42238.453666666675</v>
      </c>
      <c r="D46" s="32">
        <f t="shared" ref="D46:L46" si="18">SUM(D43:D45)</f>
        <v>50702.860133333335</v>
      </c>
      <c r="E46" s="32">
        <f t="shared" si="18"/>
        <v>60207.70812000001</v>
      </c>
      <c r="F46" s="32">
        <f t="shared" si="18"/>
        <v>69763.474032000027</v>
      </c>
      <c r="G46" s="32">
        <f t="shared" si="18"/>
        <v>80274.816535200036</v>
      </c>
      <c r="H46" s="32">
        <f t="shared" si="18"/>
        <v>91837.29328872003</v>
      </c>
      <c r="I46" s="32">
        <f t="shared" si="18"/>
        <v>104556.01771759205</v>
      </c>
      <c r="J46" s="32">
        <f t="shared" si="18"/>
        <v>118546.61458935126</v>
      </c>
      <c r="K46" s="32">
        <f t="shared" si="18"/>
        <v>133936.27114828641</v>
      </c>
      <c r="L46" s="32">
        <f t="shared" si="18"/>
        <v>150864.89336311506</v>
      </c>
    </row>
    <row r="47" spans="1:18">
      <c r="A47" s="4" t="s">
        <v>31</v>
      </c>
      <c r="B47" s="20"/>
      <c r="C47" s="23">
        <v>3601.0333333333333</v>
      </c>
      <c r="D47" s="23">
        <v>3601.0333333333333</v>
      </c>
      <c r="E47" s="23">
        <v>3601.0333333333333</v>
      </c>
      <c r="F47" s="23">
        <v>3601.0333333333333</v>
      </c>
      <c r="G47" s="23">
        <v>3601.0333333333333</v>
      </c>
      <c r="H47" s="23">
        <v>3601.0333333333333</v>
      </c>
      <c r="I47" s="23">
        <v>3601.0333333333333</v>
      </c>
      <c r="J47" s="23">
        <v>3601.0333333333333</v>
      </c>
      <c r="K47" s="23">
        <v>3601.0333333333333</v>
      </c>
      <c r="L47" s="23">
        <v>3601.0333333333333</v>
      </c>
    </row>
    <row r="48" spans="1:18">
      <c r="A48" s="4" t="s">
        <v>30</v>
      </c>
      <c r="B48" s="20"/>
      <c r="C48" s="23">
        <v>2950</v>
      </c>
      <c r="D48" s="23">
        <v>2950</v>
      </c>
      <c r="E48" s="23">
        <v>2950</v>
      </c>
      <c r="F48" s="23">
        <v>2950</v>
      </c>
      <c r="G48" s="23">
        <v>2950</v>
      </c>
      <c r="H48" s="23">
        <v>2950</v>
      </c>
      <c r="I48" s="23">
        <v>2950</v>
      </c>
      <c r="J48" s="23">
        <v>2950</v>
      </c>
      <c r="K48" s="23">
        <v>2950</v>
      </c>
      <c r="L48" s="23">
        <v>2950</v>
      </c>
    </row>
    <row r="49" spans="1:12">
      <c r="A49" s="4" t="s">
        <v>22</v>
      </c>
      <c r="B49" s="23">
        <v>-101447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</row>
    <row r="50" spans="1:12">
      <c r="A50" s="4" t="s">
        <v>24</v>
      </c>
      <c r="B50" s="23">
        <v>-6748.8000000000011</v>
      </c>
      <c r="C50" s="20"/>
      <c r="D50" s="20"/>
      <c r="E50" s="20"/>
      <c r="F50" s="20"/>
      <c r="G50" s="20"/>
      <c r="H50" s="20"/>
      <c r="I50" s="20"/>
      <c r="J50" s="20"/>
      <c r="K50" s="20"/>
      <c r="L50" s="23">
        <v>6748.8</v>
      </c>
    </row>
    <row r="51" spans="1:12">
      <c r="A51" s="4" t="s">
        <v>25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3">
        <v>37290</v>
      </c>
    </row>
    <row r="52" spans="1:12">
      <c r="A52" s="26" t="s">
        <v>26</v>
      </c>
      <c r="B52" s="26">
        <f t="shared" ref="B52:L52" si="19">SUM(B46:B51)</f>
        <v>-108195.8</v>
      </c>
      <c r="C52" s="26">
        <f t="shared" si="19"/>
        <v>48789.487000000008</v>
      </c>
      <c r="D52" s="26">
        <f t="shared" si="19"/>
        <v>57253.893466666668</v>
      </c>
      <c r="E52" s="26">
        <f t="shared" si="19"/>
        <v>66758.74145333335</v>
      </c>
      <c r="F52" s="26">
        <f t="shared" si="19"/>
        <v>76314.507365333367</v>
      </c>
      <c r="G52" s="26">
        <f t="shared" si="19"/>
        <v>86825.849868533376</v>
      </c>
      <c r="H52" s="26">
        <f t="shared" si="19"/>
        <v>98388.32662205337</v>
      </c>
      <c r="I52" s="26">
        <f t="shared" si="19"/>
        <v>111107.05105092539</v>
      </c>
      <c r="J52" s="26">
        <f t="shared" si="19"/>
        <v>125097.6479226846</v>
      </c>
      <c r="K52" s="26">
        <f t="shared" si="19"/>
        <v>140487.30448161974</v>
      </c>
      <c r="L52" s="26">
        <f t="shared" si="19"/>
        <v>201454.72669644837</v>
      </c>
    </row>
    <row r="53" spans="1:12" ht="15.75">
      <c r="A53" s="4" t="s">
        <v>27</v>
      </c>
      <c r="B53" s="214">
        <f>NPV(17.88%,C52:L52)+B52</f>
        <v>269020.43666695943</v>
      </c>
      <c r="C53" s="2"/>
      <c r="D53" s="4" t="s">
        <v>28</v>
      </c>
      <c r="E53" s="215">
        <f>IRR(B52:L52)</f>
        <v>0.58917118882211761</v>
      </c>
      <c r="F53" s="2"/>
      <c r="G53" s="2"/>
      <c r="H53" s="2"/>
      <c r="I53" s="2"/>
      <c r="J53" s="2"/>
      <c r="K53" s="2"/>
      <c r="L53" s="2"/>
    </row>
  </sheetData>
  <scenarios current="0" show="0" sqref="B24">
    <scenario name="0" locked="1" count="1" user="Usuario" comment="Creado por Usuario el 04/04/2012_x000a_Modificado por Usuario el 04/04/2012">
      <inputCells r="H26" val="0"/>
    </scenario>
    <scenario name="-10%" locked="1" count="1" user="Usuario" comment="Creado por Usuario el 17/04/2012">
      <inputCells r="H26" val="-0.1"/>
    </scenario>
    <scenario name="-20%" locked="1" count="1" user="Usuario" comment="Creado por Usuario el 17/04/2012">
      <inputCells r="H26" val="-0.2"/>
    </scenario>
    <scenario name="-30%" locked="1" count="1" user="Usuario" comment="Creado por Usuario el 17/04/2012">
      <inputCells r="H26" val="-0.3"/>
    </scenario>
    <scenario name="-40%" locked="1" count="1" user="Usuario" comment="Creado por Usuario el 17/04/2012">
      <inputCells r="H26" val="-0.4"/>
    </scenario>
    <scenario name="-50%" locked="1" count="1" user="Usuario" comment="Creado por Usuario el 17/04/2012">
      <inputCells r="H26" val="-0.5"/>
    </scenario>
    <scenario name="-55%" locked="1" count="1" user="Usuario" comment="Creado por Usuario el 17/04/2012">
      <inputCells r="H26" val="-0.55"/>
    </scenario>
    <scenario name="-60%" locked="1" count="1" user="Usuario" comment="Creado por Usuario el 17/04/2012">
      <inputCells r="H26" val="-0.6"/>
    </scenario>
  </scenarios>
  <mergeCells count="6">
    <mergeCell ref="A4:L4"/>
    <mergeCell ref="A3:L3"/>
    <mergeCell ref="A2:L2"/>
    <mergeCell ref="A36:L36"/>
    <mergeCell ref="A35:L35"/>
    <mergeCell ref="A34:L34"/>
  </mergeCells>
  <phoneticPr fontId="4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INVERSIONES</vt:lpstr>
      <vt:lpstr>GASTOS</vt:lpstr>
      <vt:lpstr>VALOR DE DESECHO</vt:lpstr>
      <vt:lpstr>CAPITAL DE TRABAJO</vt:lpstr>
      <vt:lpstr>INGRESOS</vt:lpstr>
      <vt:lpstr>PRESTAMO</vt:lpstr>
      <vt:lpstr>ESTADO DE RESULTADOS</vt:lpstr>
      <vt:lpstr>CAPM</vt:lpstr>
      <vt:lpstr>FLUJO DE CAJA PROYECTADOS</vt:lpstr>
      <vt:lpstr>BALANCE GENERAL</vt:lpstr>
      <vt:lpstr>PAYBACK</vt:lpstr>
      <vt:lpstr>PUNTO DE EQUILIBRIO</vt:lpstr>
      <vt:lpstr>ANALISIS DE SENSIBILIDAD</vt:lpstr>
      <vt:lpstr>FLUJO CONSERVADOR</vt:lpstr>
      <vt:lpstr>FLUJO PESIMISTA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2012-04-01T05:12:37Z</dcterms:created>
  <dcterms:modified xsi:type="dcterms:W3CDTF">2012-04-22T19:13:21Z</dcterms:modified>
</cp:coreProperties>
</file>