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4115" windowHeight="7935"/>
  </bookViews>
  <sheets>
    <sheet name="Estimacion" sheetId="16" r:id="rId1"/>
    <sheet name="Inversiones" sheetId="1" r:id="rId2"/>
    <sheet name="Costos" sheetId="5" r:id="rId3"/>
    <sheet name="Utilidades" sheetId="10" r:id="rId4"/>
    <sheet name="Gastos" sheetId="7" r:id="rId5"/>
    <sheet name="Sueldos Y Salarios" sheetId="2" r:id="rId6"/>
    <sheet name="Ingresos" sheetId="9" r:id="rId7"/>
    <sheet name="Depreciaciones" sheetId="4" r:id="rId8"/>
    <sheet name="Prestamo" sheetId="3" r:id="rId9"/>
    <sheet name="Capital de Trabajo" sheetId="11" r:id="rId10"/>
    <sheet name="Flujo de Caja" sheetId="12" r:id="rId11"/>
    <sheet name="Analisis Sensibilidad" sheetId="14" r:id="rId12"/>
    <sheet name="CAPM" sheetId="13" r:id="rId13"/>
    <sheet name="Inflacion" sheetId="8" r:id="rId14"/>
    <sheet name="Hoja1" sheetId="15" r:id="rId15"/>
  </sheets>
  <calcPr calcId="144525"/>
</workbook>
</file>

<file path=xl/calcChain.xml><?xml version="1.0" encoding="utf-8"?>
<calcChain xmlns="http://schemas.openxmlformats.org/spreadsheetml/2006/main">
  <c r="E4" i="16" l="1"/>
  <c r="E6" i="16" s="1"/>
  <c r="E10" i="16" s="1"/>
  <c r="E13" i="16" s="1"/>
  <c r="E16" i="16" s="1"/>
  <c r="E20" i="16" s="1"/>
  <c r="E23" i="16" s="1"/>
  <c r="E26" i="16" s="1"/>
  <c r="E27" i="16"/>
  <c r="G29" i="16" l="1"/>
  <c r="G34" i="16" s="1"/>
  <c r="E29" i="16"/>
  <c r="I29" i="16"/>
  <c r="I34" i="16" s="1"/>
  <c r="G32" i="16"/>
  <c r="E32" i="16" l="1"/>
  <c r="E34" i="16" s="1"/>
  <c r="I32" i="16"/>
  <c r="B125" i="5" l="1"/>
  <c r="D121" i="5"/>
  <c r="B121" i="5"/>
  <c r="F53" i="5"/>
  <c r="P22" i="11" l="1"/>
  <c r="O22" i="11"/>
  <c r="N13" i="9"/>
  <c r="M13" i="9"/>
  <c r="L13" i="9"/>
  <c r="K13" i="9"/>
  <c r="J13" i="9"/>
  <c r="I13" i="9"/>
  <c r="H13" i="9"/>
  <c r="G13" i="9"/>
  <c r="F13" i="9"/>
  <c r="E13" i="9"/>
  <c r="D13" i="9"/>
  <c r="C13" i="9"/>
  <c r="H30" i="14"/>
  <c r="G30" i="14"/>
  <c r="F30" i="14"/>
  <c r="E30" i="14"/>
  <c r="D30" i="14"/>
  <c r="C30" i="14"/>
  <c r="H13" i="14"/>
  <c r="G13" i="14"/>
  <c r="F13" i="14"/>
  <c r="E13" i="14"/>
  <c r="D13" i="14"/>
  <c r="C13" i="14"/>
  <c r="C26" i="13"/>
  <c r="D23" i="12" l="1"/>
  <c r="AA80" i="12" l="1"/>
  <c r="D77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D56" i="12"/>
  <c r="D54" i="12"/>
  <c r="D53" i="12"/>
  <c r="D52" i="12"/>
  <c r="D51" i="12"/>
  <c r="D50" i="12"/>
  <c r="D49" i="12"/>
  <c r="D48" i="12"/>
  <c r="D47" i="12"/>
  <c r="D46" i="12"/>
  <c r="D44" i="12"/>
  <c r="D43" i="12"/>
  <c r="D42" i="12"/>
  <c r="D41" i="12"/>
  <c r="D40" i="12"/>
  <c r="D39" i="12"/>
  <c r="D38" i="12"/>
  <c r="C56" i="12"/>
  <c r="D32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D35" i="12"/>
  <c r="AA29" i="12"/>
  <c r="Z29" i="12"/>
  <c r="Y29" i="12"/>
  <c r="X29" i="12"/>
  <c r="W29" i="12"/>
  <c r="V22" i="12"/>
  <c r="U22" i="12"/>
  <c r="T22" i="12"/>
  <c r="S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D73" i="7" l="1"/>
  <c r="C73" i="7"/>
  <c r="F19" i="12"/>
  <c r="AA18" i="12"/>
  <c r="Z18" i="12"/>
  <c r="Y18" i="12"/>
  <c r="X18" i="12"/>
  <c r="W18" i="12"/>
  <c r="V18" i="12"/>
  <c r="U18" i="12"/>
  <c r="T18" i="12"/>
  <c r="S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Q17" i="12"/>
  <c r="P17" i="12"/>
  <c r="O17" i="12"/>
  <c r="N17" i="12"/>
  <c r="M17" i="12"/>
  <c r="L17" i="12"/>
  <c r="K17" i="12"/>
  <c r="J17" i="12"/>
  <c r="I17" i="12"/>
  <c r="H17" i="12"/>
  <c r="G17" i="12"/>
  <c r="R17" i="12" s="1"/>
  <c r="F17" i="12"/>
  <c r="F15" i="12"/>
  <c r="AA13" i="12"/>
  <c r="Z13" i="12"/>
  <c r="Y13" i="12"/>
  <c r="X13" i="12"/>
  <c r="W13" i="12"/>
  <c r="V13" i="12"/>
  <c r="U13" i="12"/>
  <c r="T13" i="12"/>
  <c r="S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F7" i="12"/>
  <c r="R22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S29" i="12"/>
  <c r="T29" i="12"/>
  <c r="U29" i="12"/>
  <c r="V29" i="12"/>
  <c r="B25" i="5"/>
  <c r="B35" i="5"/>
  <c r="R18" i="12" l="1"/>
  <c r="R13" i="12"/>
  <c r="R29" i="12"/>
  <c r="C61" i="5" l="1"/>
  <c r="C5" i="5"/>
  <c r="D5" i="5"/>
  <c r="R4" i="5"/>
  <c r="Q4" i="5"/>
  <c r="P4" i="5"/>
  <c r="O4" i="5"/>
  <c r="N4" i="5"/>
  <c r="M4" i="5"/>
  <c r="L4" i="5"/>
  <c r="K4" i="5"/>
  <c r="J4" i="5"/>
  <c r="I4" i="5"/>
  <c r="D13" i="5" l="1"/>
  <c r="E13" i="5" s="1"/>
  <c r="F13" i="5" s="1"/>
  <c r="G13" i="5" s="1"/>
  <c r="H13" i="5" s="1"/>
  <c r="I13" i="5" s="1"/>
  <c r="J13" i="5" s="1"/>
  <c r="K13" i="5" s="1"/>
  <c r="L13" i="5" s="1"/>
  <c r="C13" i="5"/>
  <c r="B13" i="5"/>
  <c r="J3" i="5"/>
  <c r="K3" i="5" s="1"/>
  <c r="L3" i="5" s="1"/>
  <c r="M3" i="5" s="1"/>
  <c r="N3" i="5" s="1"/>
  <c r="O3" i="5" s="1"/>
  <c r="P3" i="5" s="1"/>
  <c r="Q3" i="5" s="1"/>
  <c r="R3" i="5" s="1"/>
  <c r="I3" i="5"/>
  <c r="B6" i="5"/>
  <c r="X19" i="11"/>
  <c r="W19" i="11"/>
  <c r="V19" i="11"/>
  <c r="U19" i="11"/>
  <c r="T19" i="11"/>
  <c r="S19" i="11"/>
  <c r="R19" i="11"/>
  <c r="Q19" i="11"/>
  <c r="P19" i="11"/>
  <c r="X12" i="11"/>
  <c r="W12" i="11"/>
  <c r="V12" i="11"/>
  <c r="U12" i="11"/>
  <c r="T12" i="11"/>
  <c r="S12" i="11"/>
  <c r="R12" i="11"/>
  <c r="Q12" i="11"/>
  <c r="P12" i="11"/>
  <c r="C9" i="11"/>
  <c r="C90" i="7"/>
  <c r="C86" i="7"/>
  <c r="E3" i="5"/>
  <c r="N19" i="11"/>
  <c r="M19" i="11"/>
  <c r="L19" i="11"/>
  <c r="K19" i="11"/>
  <c r="J19" i="11"/>
  <c r="I19" i="11"/>
  <c r="H19" i="11"/>
  <c r="G19" i="11"/>
  <c r="F19" i="11"/>
  <c r="E19" i="11"/>
  <c r="D19" i="11"/>
  <c r="C19" i="11"/>
  <c r="C13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O12" i="11"/>
  <c r="O11" i="11"/>
  <c r="H53" i="5"/>
  <c r="B8" i="9" l="1"/>
  <c r="G3" i="9" s="1"/>
  <c r="B114" i="5"/>
  <c r="B107" i="5"/>
  <c r="B94" i="5"/>
  <c r="B93" i="5"/>
  <c r="B92" i="5"/>
  <c r="B91" i="5"/>
  <c r="B90" i="5"/>
  <c r="B89" i="5"/>
  <c r="B96" i="5" s="1"/>
  <c r="H9" i="2"/>
  <c r="G9" i="2"/>
  <c r="F9" i="2"/>
  <c r="F56" i="5"/>
  <c r="F54" i="5"/>
  <c r="F55" i="5"/>
  <c r="H48" i="5"/>
  <c r="G48" i="5"/>
  <c r="F48" i="5"/>
  <c r="F49" i="5" s="1"/>
  <c r="E48" i="5"/>
  <c r="D48" i="5"/>
  <c r="C48" i="5"/>
  <c r="B48" i="5"/>
  <c r="B49" i="5" s="1"/>
  <c r="C41" i="5"/>
  <c r="D41" i="5" s="1"/>
  <c r="B163" i="5"/>
  <c r="B155" i="5"/>
  <c r="B147" i="5"/>
  <c r="B139" i="5"/>
  <c r="E42" i="5"/>
  <c r="B56" i="5"/>
  <c r="C32" i="5"/>
  <c r="D32" i="5" s="1"/>
  <c r="E32" i="5" s="1"/>
  <c r="F32" i="5" s="1"/>
  <c r="G32" i="5" s="1"/>
  <c r="H32" i="5" s="1"/>
  <c r="I32" i="5" s="1"/>
  <c r="J32" i="5" s="1"/>
  <c r="K32" i="5" s="1"/>
  <c r="M25" i="5"/>
  <c r="L25" i="5"/>
  <c r="K25" i="5"/>
  <c r="J25" i="5"/>
  <c r="I25" i="5"/>
  <c r="H25" i="5"/>
  <c r="G25" i="5"/>
  <c r="F25" i="5"/>
  <c r="E25" i="5"/>
  <c r="D25" i="5"/>
  <c r="C25" i="5"/>
  <c r="B10" i="5"/>
  <c r="F57" i="5" l="1"/>
  <c r="H54" i="5" s="1"/>
  <c r="B108" i="5" l="1"/>
  <c r="B106" i="5" s="1"/>
  <c r="F9" i="12" s="1"/>
  <c r="H55" i="5"/>
  <c r="H56" i="5"/>
  <c r="C106" i="5" l="1"/>
  <c r="G9" i="12" s="1"/>
  <c r="H57" i="5"/>
  <c r="D106" i="5" l="1"/>
  <c r="H9" i="12" s="1"/>
  <c r="E61" i="5"/>
  <c r="E106" i="5" l="1"/>
  <c r="I9" i="12" s="1"/>
  <c r="F106" i="5" l="1"/>
  <c r="J9" i="12" s="1"/>
  <c r="G106" i="5" l="1"/>
  <c r="K9" i="12" s="1"/>
  <c r="H106" i="5" l="1"/>
  <c r="L9" i="12" s="1"/>
  <c r="I106" i="5" l="1"/>
  <c r="M9" i="12" s="1"/>
  <c r="J106" i="5" l="1"/>
  <c r="N9" i="12" s="1"/>
  <c r="O19" i="11" l="1"/>
  <c r="K106" i="5"/>
  <c r="O9" i="12" s="1"/>
  <c r="L106" i="5" l="1"/>
  <c r="P9" i="12" s="1"/>
  <c r="M106" i="5" l="1"/>
  <c r="Q9" i="12" s="1"/>
  <c r="R9" i="12" s="1"/>
  <c r="B113" i="5" l="1"/>
  <c r="B115" i="5"/>
  <c r="C113" i="5" l="1"/>
  <c r="S9" i="12" s="1"/>
  <c r="D113" i="5" l="1"/>
  <c r="T9" i="12" s="1"/>
  <c r="E113" i="5" l="1"/>
  <c r="U9" i="12" s="1"/>
  <c r="F113" i="5" l="1"/>
  <c r="V9" i="12" s="1"/>
  <c r="G113" i="5" l="1"/>
  <c r="W9" i="12" s="1"/>
  <c r="H113" i="5" l="1"/>
  <c r="X9" i="12" s="1"/>
  <c r="C4" i="5"/>
  <c r="D3" i="5"/>
  <c r="F3" i="5" s="1"/>
  <c r="G3" i="5" s="1"/>
  <c r="H3" i="5" s="1"/>
  <c r="G162" i="5"/>
  <c r="G161" i="5"/>
  <c r="G160" i="5"/>
  <c r="G154" i="5"/>
  <c r="G153" i="5"/>
  <c r="G152" i="5"/>
  <c r="G146" i="5"/>
  <c r="G145" i="5"/>
  <c r="G144" i="5"/>
  <c r="G138" i="5"/>
  <c r="G137" i="5"/>
  <c r="G136" i="5"/>
  <c r="G135" i="5"/>
  <c r="G134" i="5"/>
  <c r="G133" i="5"/>
  <c r="I113" i="5" l="1"/>
  <c r="Y9" i="12" s="1"/>
  <c r="G147" i="5"/>
  <c r="G163" i="5"/>
  <c r="D4" i="5"/>
  <c r="E5" i="5" s="1"/>
  <c r="F5" i="5" s="1"/>
  <c r="G5" i="5" s="1"/>
  <c r="H5" i="5" s="1"/>
  <c r="C6" i="5"/>
  <c r="G139" i="5"/>
  <c r="G155" i="5"/>
  <c r="E4" i="5" l="1"/>
  <c r="J113" i="5"/>
  <c r="Z9" i="12" s="1"/>
  <c r="D6" i="5"/>
  <c r="E6" i="5"/>
  <c r="F4" i="5"/>
  <c r="F6" i="5" s="1"/>
  <c r="K113" i="5" l="1"/>
  <c r="AA9" i="12" s="1"/>
  <c r="G4" i="5"/>
  <c r="F84" i="7"/>
  <c r="G84" i="7" s="1"/>
  <c r="H84" i="7" s="1"/>
  <c r="I84" i="7" s="1"/>
  <c r="J84" i="7" s="1"/>
  <c r="K84" i="7" s="1"/>
  <c r="L84" i="7" s="1"/>
  <c r="M84" i="7" s="1"/>
  <c r="E84" i="7"/>
  <c r="D84" i="7"/>
  <c r="D55" i="7"/>
  <c r="D46" i="7"/>
  <c r="E54" i="7"/>
  <c r="E53" i="7"/>
  <c r="E52" i="7"/>
  <c r="E51" i="7"/>
  <c r="E50" i="7"/>
  <c r="D41" i="7"/>
  <c r="E40" i="7"/>
  <c r="E41" i="7" s="1"/>
  <c r="D30" i="7"/>
  <c r="E30" i="7" s="1"/>
  <c r="E62" i="7"/>
  <c r="M86" i="7"/>
  <c r="O61" i="7"/>
  <c r="O60" i="7" s="1"/>
  <c r="F24" i="8"/>
  <c r="M61" i="7" s="1"/>
  <c r="M60" i="7" s="1"/>
  <c r="J84" i="5" s="1"/>
  <c r="H16" i="8"/>
  <c r="J16" i="8"/>
  <c r="F16" i="8"/>
  <c r="N61" i="7"/>
  <c r="N60" i="7" s="1"/>
  <c r="K84" i="5" s="1"/>
  <c r="L61" i="7"/>
  <c r="L60" i="7" s="1"/>
  <c r="I84" i="5" s="1"/>
  <c r="K61" i="7"/>
  <c r="K60" i="7" s="1"/>
  <c r="H84" i="5" s="1"/>
  <c r="J61" i="7"/>
  <c r="J60" i="7" s="1"/>
  <c r="G84" i="5" s="1"/>
  <c r="I61" i="7"/>
  <c r="I60" i="7" s="1"/>
  <c r="F84" i="5" s="1"/>
  <c r="H61" i="7"/>
  <c r="P58" i="7"/>
  <c r="O58" i="7"/>
  <c r="N58" i="7"/>
  <c r="M58" i="7"/>
  <c r="L58" i="7"/>
  <c r="K58" i="7"/>
  <c r="J58" i="7"/>
  <c r="I58" i="7"/>
  <c r="H58" i="7"/>
  <c r="G58" i="7"/>
  <c r="F58" i="7"/>
  <c r="E58" i="7"/>
  <c r="F6" i="8"/>
  <c r="F7" i="8" s="1"/>
  <c r="F8" i="8" s="1"/>
  <c r="F9" i="8" s="1"/>
  <c r="F10" i="8" s="1"/>
  <c r="F11" i="8" s="1"/>
  <c r="F12" i="8" s="1"/>
  <c r="F13" i="8" s="1"/>
  <c r="F14" i="8" s="1"/>
  <c r="F15" i="8" s="1"/>
  <c r="E1" i="8"/>
  <c r="C1" i="8"/>
  <c r="A1" i="8"/>
  <c r="G6" i="5" l="1"/>
  <c r="B9" i="5" s="1"/>
  <c r="H4" i="5"/>
  <c r="H6" i="5" s="1"/>
  <c r="P57" i="7"/>
  <c r="M78" i="5" s="1"/>
  <c r="E59" i="7"/>
  <c r="G57" i="7"/>
  <c r="D78" i="5" s="1"/>
  <c r="I57" i="7"/>
  <c r="F78" i="5" s="1"/>
  <c r="K57" i="7"/>
  <c r="H78" i="5" s="1"/>
  <c r="M57" i="7"/>
  <c r="J78" i="5" s="1"/>
  <c r="O57" i="7"/>
  <c r="L78" i="5" s="1"/>
  <c r="F57" i="7"/>
  <c r="H57" i="7"/>
  <c r="E78" i="5" s="1"/>
  <c r="J57" i="7"/>
  <c r="G78" i="5" s="1"/>
  <c r="L57" i="7"/>
  <c r="I78" i="5" s="1"/>
  <c r="N57" i="7"/>
  <c r="K78" i="5" s="1"/>
  <c r="F40" i="7"/>
  <c r="H4" i="8"/>
  <c r="H6" i="8"/>
  <c r="H8" i="8"/>
  <c r="H10" i="8"/>
  <c r="H12" i="8"/>
  <c r="H14" i="8"/>
  <c r="H5" i="8"/>
  <c r="J5" i="8" s="1"/>
  <c r="H7" i="8"/>
  <c r="J7" i="8" s="1"/>
  <c r="H9" i="8"/>
  <c r="J9" i="8" s="1"/>
  <c r="H11" i="8"/>
  <c r="J11" i="8" s="1"/>
  <c r="H13" i="8"/>
  <c r="J13" i="8" s="1"/>
  <c r="H15" i="8"/>
  <c r="J15" i="8" s="1"/>
  <c r="J4" i="8"/>
  <c r="J6" i="8"/>
  <c r="J8" i="8"/>
  <c r="J10" i="8"/>
  <c r="J12" i="8"/>
  <c r="J14" i="8"/>
  <c r="D16" i="8"/>
  <c r="B16" i="8"/>
  <c r="B80" i="7"/>
  <c r="G6" i="2"/>
  <c r="C35" i="2"/>
  <c r="D50" i="1"/>
  <c r="F30" i="7" l="1"/>
  <c r="G30" i="7" s="1"/>
  <c r="H30" i="7" s="1"/>
  <c r="I30" i="7" s="1"/>
  <c r="C78" i="5"/>
  <c r="F54" i="7"/>
  <c r="G54" i="7" s="1"/>
  <c r="H54" i="7" s="1"/>
  <c r="I54" i="7" s="1"/>
  <c r="J54" i="7" s="1"/>
  <c r="K54" i="7" s="1"/>
  <c r="L54" i="7" s="1"/>
  <c r="M54" i="7" s="1"/>
  <c r="N54" i="7" s="1"/>
  <c r="O54" i="7" s="1"/>
  <c r="P54" i="7" s="1"/>
  <c r="F53" i="7"/>
  <c r="G53" i="7" s="1"/>
  <c r="H53" i="7" s="1"/>
  <c r="I53" i="7" s="1"/>
  <c r="J53" i="7" s="1"/>
  <c r="K53" i="7" s="1"/>
  <c r="L53" i="7" s="1"/>
  <c r="M53" i="7" s="1"/>
  <c r="N53" i="7" s="1"/>
  <c r="O53" i="7" s="1"/>
  <c r="P53" i="7" s="1"/>
  <c r="F52" i="7"/>
  <c r="G52" i="7" s="1"/>
  <c r="H52" i="7" s="1"/>
  <c r="I52" i="7" s="1"/>
  <c r="J52" i="7" s="1"/>
  <c r="K52" i="7" s="1"/>
  <c r="L52" i="7" s="1"/>
  <c r="M52" i="7" s="1"/>
  <c r="N52" i="7" s="1"/>
  <c r="O52" i="7" s="1"/>
  <c r="P52" i="7" s="1"/>
  <c r="F51" i="7"/>
  <c r="G51" i="7" s="1"/>
  <c r="F50" i="7"/>
  <c r="G50" i="7" s="1"/>
  <c r="H50" i="7" s="1"/>
  <c r="I50" i="7" s="1"/>
  <c r="J50" i="7" s="1"/>
  <c r="K50" i="7" s="1"/>
  <c r="L50" i="7" s="1"/>
  <c r="M50" i="7" s="1"/>
  <c r="N50" i="7" s="1"/>
  <c r="O50" i="7" s="1"/>
  <c r="P50" i="7" s="1"/>
  <c r="C9" i="5"/>
  <c r="J30" i="7"/>
  <c r="K30" i="7" s="1"/>
  <c r="L30" i="7" s="1"/>
  <c r="M30" i="7" s="1"/>
  <c r="N30" i="7" s="1"/>
  <c r="O30" i="7" s="1"/>
  <c r="P30" i="7" s="1"/>
  <c r="F41" i="7"/>
  <c r="G40" i="7"/>
  <c r="L4" i="8"/>
  <c r="L5" i="8"/>
  <c r="L6" i="8"/>
  <c r="L7" i="8"/>
  <c r="D29" i="7"/>
  <c r="E29" i="7" s="1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P29" i="7" s="1"/>
  <c r="L86" i="7"/>
  <c r="K86" i="7"/>
  <c r="J86" i="7"/>
  <c r="I86" i="7"/>
  <c r="H86" i="7"/>
  <c r="G86" i="7"/>
  <c r="F86" i="7"/>
  <c r="E86" i="7"/>
  <c r="E79" i="7"/>
  <c r="D79" i="7"/>
  <c r="C79" i="7"/>
  <c r="E78" i="7"/>
  <c r="D78" i="7"/>
  <c r="C78" i="7"/>
  <c r="E77" i="7"/>
  <c r="D77" i="7"/>
  <c r="C77" i="7"/>
  <c r="B73" i="7"/>
  <c r="E45" i="7"/>
  <c r="F45" i="7" s="1"/>
  <c r="G45" i="7" s="1"/>
  <c r="H45" i="7" s="1"/>
  <c r="I45" i="7" s="1"/>
  <c r="J45" i="7" s="1"/>
  <c r="K45" i="7" s="1"/>
  <c r="L45" i="7" s="1"/>
  <c r="M45" i="7" s="1"/>
  <c r="N45" i="7" s="1"/>
  <c r="O45" i="7" s="1"/>
  <c r="P45" i="7" s="1"/>
  <c r="E44" i="7"/>
  <c r="B18" i="7"/>
  <c r="C17" i="7"/>
  <c r="D17" i="7" s="1"/>
  <c r="E17" i="7" s="1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P17" i="7" s="1"/>
  <c r="C16" i="7"/>
  <c r="D16" i="7" s="1"/>
  <c r="E16" i="7" s="1"/>
  <c r="F16" i="7" s="1"/>
  <c r="G16" i="7" s="1"/>
  <c r="H16" i="7" s="1"/>
  <c r="I16" i="7" s="1"/>
  <c r="J16" i="7" s="1"/>
  <c r="K16" i="7" s="1"/>
  <c r="L16" i="7" s="1"/>
  <c r="M16" i="7" s="1"/>
  <c r="N16" i="7" s="1"/>
  <c r="O16" i="7" s="1"/>
  <c r="P16" i="7" s="1"/>
  <c r="C15" i="7"/>
  <c r="D15" i="7" s="1"/>
  <c r="H51" i="7" l="1"/>
  <c r="I51" i="7" s="1"/>
  <c r="J51" i="7" s="1"/>
  <c r="K51" i="7" s="1"/>
  <c r="L51" i="7" s="1"/>
  <c r="M51" i="7" s="1"/>
  <c r="N51" i="7" s="1"/>
  <c r="O51" i="7" s="1"/>
  <c r="P51" i="7" s="1"/>
  <c r="F61" i="5"/>
  <c r="B97" i="5"/>
  <c r="C99" i="5" s="1"/>
  <c r="G2" i="9" s="1"/>
  <c r="G5" i="9" s="1"/>
  <c r="B80" i="5"/>
  <c r="B77" i="5" s="1"/>
  <c r="B120" i="5" s="1"/>
  <c r="D9" i="5"/>
  <c r="C62" i="5"/>
  <c r="F62" i="5" s="1"/>
  <c r="G41" i="7"/>
  <c r="H40" i="7"/>
  <c r="E61" i="7"/>
  <c r="E46" i="7"/>
  <c r="F18" i="8"/>
  <c r="G61" i="7" s="1"/>
  <c r="F17" i="8"/>
  <c r="F61" i="7" s="1"/>
  <c r="F60" i="7" s="1"/>
  <c r="N5" i="8"/>
  <c r="P5" i="8" s="1"/>
  <c r="N4" i="8"/>
  <c r="N6" i="8"/>
  <c r="P6" i="8" s="1"/>
  <c r="R6" i="8" s="1"/>
  <c r="N7" i="8"/>
  <c r="P7" i="8" s="1"/>
  <c r="P4" i="8"/>
  <c r="R4" i="8" s="1"/>
  <c r="F44" i="7"/>
  <c r="F46" i="7" s="1"/>
  <c r="D31" i="7"/>
  <c r="D19" i="7"/>
  <c r="E15" i="7"/>
  <c r="C84" i="5" l="1"/>
  <c r="D90" i="7"/>
  <c r="G60" i="7"/>
  <c r="D84" i="5" s="1"/>
  <c r="H60" i="7"/>
  <c r="E84" i="5" s="1"/>
  <c r="G7" i="9"/>
  <c r="G9" i="9" s="1"/>
  <c r="G5" i="12"/>
  <c r="F5" i="12"/>
  <c r="H5" i="12"/>
  <c r="B4" i="10"/>
  <c r="C5" i="11"/>
  <c r="B3" i="10"/>
  <c r="C80" i="5"/>
  <c r="C77" i="5" s="1"/>
  <c r="E9" i="5"/>
  <c r="I5" i="12" s="1"/>
  <c r="C63" i="5"/>
  <c r="G44" i="7"/>
  <c r="H41" i="7"/>
  <c r="I40" i="7"/>
  <c r="R7" i="8"/>
  <c r="R5" i="8"/>
  <c r="T4" i="8"/>
  <c r="V4" i="8" s="1"/>
  <c r="T7" i="8"/>
  <c r="V7" i="8" s="1"/>
  <c r="T6" i="8"/>
  <c r="V6" i="8" s="1"/>
  <c r="L8" i="8"/>
  <c r="F31" i="7"/>
  <c r="E31" i="7"/>
  <c r="E55" i="7"/>
  <c r="F15" i="7"/>
  <c r="E19" i="7"/>
  <c r="F55" i="7"/>
  <c r="G46" i="7"/>
  <c r="H44" i="7"/>
  <c r="A12" i="4"/>
  <c r="A8" i="4"/>
  <c r="A10" i="4"/>
  <c r="A9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D30" i="4"/>
  <c r="E30" i="4" s="1"/>
  <c r="D29" i="4"/>
  <c r="D28" i="4"/>
  <c r="E28" i="4" s="1"/>
  <c r="D27" i="4"/>
  <c r="D26" i="4"/>
  <c r="E26" i="4" s="1"/>
  <c r="D25" i="4"/>
  <c r="E25" i="4" s="1"/>
  <c r="D24" i="4"/>
  <c r="D23" i="4"/>
  <c r="E23" i="4" s="1"/>
  <c r="D22" i="4"/>
  <c r="E22" i="4" s="1"/>
  <c r="D21" i="4"/>
  <c r="D20" i="4"/>
  <c r="E20" i="4" s="1"/>
  <c r="D19" i="4"/>
  <c r="D18" i="4"/>
  <c r="E18" i="4" s="1"/>
  <c r="D17" i="4"/>
  <c r="E17" i="4" s="1"/>
  <c r="D48" i="1"/>
  <c r="D47" i="1"/>
  <c r="D46" i="1"/>
  <c r="D45" i="1"/>
  <c r="D44" i="1"/>
  <c r="D43" i="1"/>
  <c r="D42" i="1"/>
  <c r="D45" i="12" s="1"/>
  <c r="D41" i="1"/>
  <c r="D40" i="1"/>
  <c r="D39" i="1"/>
  <c r="D38" i="1"/>
  <c r="D37" i="1"/>
  <c r="D36" i="1"/>
  <c r="D35" i="1"/>
  <c r="E29" i="4"/>
  <c r="E19" i="4"/>
  <c r="E27" i="4"/>
  <c r="E24" i="4" l="1"/>
  <c r="G15" i="12"/>
  <c r="D9" i="11"/>
  <c r="C120" i="5"/>
  <c r="G7" i="12"/>
  <c r="G10" i="12"/>
  <c r="E90" i="7"/>
  <c r="S17" i="12"/>
  <c r="P11" i="11"/>
  <c r="G19" i="12"/>
  <c r="D13" i="11"/>
  <c r="F10" i="12"/>
  <c r="E12" i="10"/>
  <c r="F14" i="9"/>
  <c r="F15" i="9"/>
  <c r="F4" i="11"/>
  <c r="C121" i="5"/>
  <c r="C4" i="10" s="1"/>
  <c r="C3" i="10"/>
  <c r="D5" i="11"/>
  <c r="E4" i="11"/>
  <c r="D12" i="10"/>
  <c r="E14" i="9"/>
  <c r="E15" i="9"/>
  <c r="C4" i="11"/>
  <c r="C15" i="9"/>
  <c r="B12" i="10"/>
  <c r="B19" i="10" s="1"/>
  <c r="C14" i="9"/>
  <c r="C12" i="10"/>
  <c r="C19" i="10" s="1"/>
  <c r="D14" i="9"/>
  <c r="D15" i="9"/>
  <c r="D4" i="11"/>
  <c r="F63" i="5"/>
  <c r="D80" i="5" s="1"/>
  <c r="D77" i="5" s="1"/>
  <c r="F9" i="5"/>
  <c r="J5" i="12" s="1"/>
  <c r="C64" i="5"/>
  <c r="F64" i="5" s="1"/>
  <c r="I41" i="7"/>
  <c r="J40" i="7"/>
  <c r="H31" i="7"/>
  <c r="G31" i="7"/>
  <c r="T5" i="8"/>
  <c r="X4" i="8"/>
  <c r="Z4" i="8" s="1"/>
  <c r="V5" i="8"/>
  <c r="X6" i="8"/>
  <c r="Z6" i="8" s="1"/>
  <c r="X7" i="8"/>
  <c r="Z7" i="8" s="1"/>
  <c r="L10" i="8"/>
  <c r="N8" i="8"/>
  <c r="X5" i="8"/>
  <c r="L9" i="8"/>
  <c r="E21" i="4"/>
  <c r="A7" i="4"/>
  <c r="C6" i="4"/>
  <c r="E6" i="4" s="1"/>
  <c r="C7" i="4"/>
  <c r="E7" i="4" s="1"/>
  <c r="F19" i="7"/>
  <c r="G15" i="7"/>
  <c r="I31" i="7"/>
  <c r="H46" i="7"/>
  <c r="I44" i="7"/>
  <c r="G55" i="7"/>
  <c r="F19" i="5"/>
  <c r="H18" i="4"/>
  <c r="A6" i="4"/>
  <c r="C37" i="4"/>
  <c r="E31" i="4"/>
  <c r="C36" i="2"/>
  <c r="E35" i="2"/>
  <c r="C27" i="2"/>
  <c r="E27" i="2" s="1"/>
  <c r="C20" i="2"/>
  <c r="E20" i="2" s="1"/>
  <c r="C33" i="2"/>
  <c r="C34" i="2"/>
  <c r="E33" i="2"/>
  <c r="C32" i="2"/>
  <c r="E32" i="2" s="1"/>
  <c r="G11" i="3"/>
  <c r="C12" i="3"/>
  <c r="C13" i="3" s="1"/>
  <c r="D12" i="3"/>
  <c r="F4" i="2"/>
  <c r="F5" i="2"/>
  <c r="F6" i="2"/>
  <c r="F7" i="2"/>
  <c r="F8" i="2"/>
  <c r="F10" i="2"/>
  <c r="F11" i="2"/>
  <c r="E12" i="2"/>
  <c r="C17" i="2"/>
  <c r="D17" i="2" s="1"/>
  <c r="C18" i="2"/>
  <c r="D18" i="2" s="1"/>
  <c r="C19" i="2"/>
  <c r="D19" i="2"/>
  <c r="E19" i="2"/>
  <c r="G19" i="2"/>
  <c r="H19" i="2" s="1"/>
  <c r="D9" i="7" s="1"/>
  <c r="E9" i="7" s="1"/>
  <c r="F9" i="7" s="1"/>
  <c r="G9" i="7" s="1"/>
  <c r="H9" i="7" s="1"/>
  <c r="I9" i="7" s="1"/>
  <c r="J9" i="7" s="1"/>
  <c r="K9" i="7" s="1"/>
  <c r="L9" i="7" s="1"/>
  <c r="M9" i="7" s="1"/>
  <c r="N9" i="7" s="1"/>
  <c r="O9" i="7" s="1"/>
  <c r="P9" i="7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8" i="2"/>
  <c r="D28" i="2" s="1"/>
  <c r="C29" i="2"/>
  <c r="D29" i="2" s="1"/>
  <c r="C30" i="2"/>
  <c r="D30" i="2" s="1"/>
  <c r="C31" i="2"/>
  <c r="D31" i="2" s="1"/>
  <c r="D34" i="2"/>
  <c r="E34" i="2"/>
  <c r="C37" i="2"/>
  <c r="D37" i="2" s="1"/>
  <c r="C38" i="2"/>
  <c r="D38" i="2" s="1"/>
  <c r="F39" i="2"/>
  <c r="D31" i="1"/>
  <c r="D32" i="1"/>
  <c r="D30" i="1"/>
  <c r="D29" i="1"/>
  <c r="D28" i="1"/>
  <c r="D27" i="1"/>
  <c r="D26" i="1"/>
  <c r="D25" i="1"/>
  <c r="D24" i="1"/>
  <c r="D52" i="1"/>
  <c r="C9" i="4" s="1"/>
  <c r="D49" i="4" s="1"/>
  <c r="D51" i="1"/>
  <c r="D49" i="1"/>
  <c r="D15" i="1"/>
  <c r="D14" i="1"/>
  <c r="D16" i="1"/>
  <c r="D20" i="1"/>
  <c r="D19" i="1"/>
  <c r="D18" i="1"/>
  <c r="D17" i="1"/>
  <c r="D13" i="1"/>
  <c r="D12" i="1"/>
  <c r="D11" i="1"/>
  <c r="D10" i="1"/>
  <c r="D9" i="1"/>
  <c r="D8" i="1"/>
  <c r="D7" i="1"/>
  <c r="C12" i="4" s="1"/>
  <c r="D6" i="1"/>
  <c r="C10" i="4" s="1"/>
  <c r="E10" i="4" s="1"/>
  <c r="I10" i="4" s="1"/>
  <c r="D5" i="1"/>
  <c r="C8" i="4" s="1"/>
  <c r="D4" i="1"/>
  <c r="B24" i="5" l="1"/>
  <c r="G19" i="5"/>
  <c r="F20" i="5"/>
  <c r="F21" i="5" s="1"/>
  <c r="J15" i="12"/>
  <c r="G9" i="11"/>
  <c r="H15" i="12"/>
  <c r="E9" i="11"/>
  <c r="D120" i="5"/>
  <c r="H7" i="12"/>
  <c r="H10" i="12" s="1"/>
  <c r="F90" i="7"/>
  <c r="T17" i="12"/>
  <c r="Q11" i="11"/>
  <c r="H19" i="12"/>
  <c r="E13" i="11"/>
  <c r="I15" i="12"/>
  <c r="F9" i="11"/>
  <c r="B21" i="11"/>
  <c r="P23" i="12"/>
  <c r="N23" i="12"/>
  <c r="L23" i="12"/>
  <c r="J23" i="12"/>
  <c r="H23" i="12"/>
  <c r="F23" i="12"/>
  <c r="Q23" i="12"/>
  <c r="O23" i="12"/>
  <c r="M23" i="12"/>
  <c r="K23" i="12"/>
  <c r="I23" i="12"/>
  <c r="G23" i="12"/>
  <c r="D53" i="1"/>
  <c r="G7" i="4"/>
  <c r="H7" i="4" s="1"/>
  <c r="I7" i="4"/>
  <c r="E8" i="4"/>
  <c r="I8" i="4" s="1"/>
  <c r="C48" i="4"/>
  <c r="E9" i="4"/>
  <c r="G9" i="4" s="1"/>
  <c r="H9" i="4" s="1"/>
  <c r="D6" i="11"/>
  <c r="G4" i="11"/>
  <c r="F12" i="10"/>
  <c r="G14" i="9"/>
  <c r="G15" i="9"/>
  <c r="D4" i="10"/>
  <c r="E5" i="11"/>
  <c r="E6" i="11" s="1"/>
  <c r="D3" i="10"/>
  <c r="D19" i="10" s="1"/>
  <c r="C6" i="11"/>
  <c r="H17" i="4"/>
  <c r="N21" i="11"/>
  <c r="E21" i="11"/>
  <c r="I21" i="11"/>
  <c r="M21" i="11"/>
  <c r="F21" i="11"/>
  <c r="J21" i="11"/>
  <c r="C21" i="11"/>
  <c r="G21" i="11"/>
  <c r="K21" i="11"/>
  <c r="D21" i="11"/>
  <c r="H21" i="11"/>
  <c r="L21" i="11"/>
  <c r="E80" i="5"/>
  <c r="E77" i="5" s="1"/>
  <c r="G9" i="5"/>
  <c r="K5" i="12" s="1"/>
  <c r="C65" i="5"/>
  <c r="F65" i="5" s="1"/>
  <c r="J41" i="7"/>
  <c r="K40" i="7"/>
  <c r="Z5" i="8"/>
  <c r="N9" i="8"/>
  <c r="P8" i="8"/>
  <c r="L11" i="8"/>
  <c r="N10" i="8"/>
  <c r="P10" i="8" s="1"/>
  <c r="P9" i="8"/>
  <c r="E28" i="2"/>
  <c r="E23" i="2"/>
  <c r="G23" i="2" s="1"/>
  <c r="E17" i="2"/>
  <c r="G17" i="2" s="1"/>
  <c r="G4" i="2" s="1"/>
  <c r="H4" i="2" s="1"/>
  <c r="E38" i="2"/>
  <c r="G34" i="2"/>
  <c r="E30" i="2"/>
  <c r="G30" i="2" s="1"/>
  <c r="H30" i="2" s="1"/>
  <c r="E25" i="2"/>
  <c r="E21" i="2"/>
  <c r="G21" i="2" s="1"/>
  <c r="H21" i="2" s="1"/>
  <c r="D10" i="7" s="1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E18" i="2"/>
  <c r="G18" i="2" s="1"/>
  <c r="D35" i="2"/>
  <c r="G35" i="2" s="1"/>
  <c r="G10" i="4"/>
  <c r="H10" i="4" s="1"/>
  <c r="H19" i="4"/>
  <c r="C39" i="4" s="1"/>
  <c r="I9" i="4"/>
  <c r="H20" i="4"/>
  <c r="C42" i="4" s="1"/>
  <c r="E12" i="4"/>
  <c r="G8" i="4"/>
  <c r="H8" i="4" s="1"/>
  <c r="G19" i="7"/>
  <c r="H15" i="7"/>
  <c r="H55" i="7"/>
  <c r="I46" i="7"/>
  <c r="J44" i="7"/>
  <c r="J31" i="7"/>
  <c r="I6" i="4"/>
  <c r="G6" i="4"/>
  <c r="H6" i="4" s="1"/>
  <c r="C11" i="4"/>
  <c r="D33" i="1"/>
  <c r="D36" i="12" s="1"/>
  <c r="C36" i="4"/>
  <c r="C43" i="4" s="1"/>
  <c r="E35" i="4" s="1"/>
  <c r="E36" i="2"/>
  <c r="G36" i="2" s="1"/>
  <c r="H36" i="2" s="1"/>
  <c r="D36" i="2"/>
  <c r="D27" i="2"/>
  <c r="G27" i="2" s="1"/>
  <c r="H27" i="2" s="1"/>
  <c r="C39" i="2"/>
  <c r="D32" i="2"/>
  <c r="D20" i="2"/>
  <c r="G20" i="2" s="1"/>
  <c r="H20" i="2" s="1"/>
  <c r="D8" i="7" s="1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G32" i="2"/>
  <c r="D33" i="2"/>
  <c r="G33" i="2" s="1"/>
  <c r="H33" i="2" s="1"/>
  <c r="C14" i="3"/>
  <c r="E12" i="3"/>
  <c r="R79" i="12" s="1"/>
  <c r="E31" i="2"/>
  <c r="G31" i="2" s="1"/>
  <c r="H31" i="2" s="1"/>
  <c r="E29" i="2"/>
  <c r="G29" i="2" s="1"/>
  <c r="G28" i="2"/>
  <c r="G38" i="2"/>
  <c r="H38" i="2" s="1"/>
  <c r="D36" i="7" s="1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E37" i="2"/>
  <c r="G37" i="2" s="1"/>
  <c r="E26" i="2"/>
  <c r="G26" i="2" s="1"/>
  <c r="G8" i="2" s="1"/>
  <c r="G25" i="2"/>
  <c r="H25" i="2" s="1"/>
  <c r="D22" i="7" s="1"/>
  <c r="E24" i="2"/>
  <c r="G24" i="2" s="1"/>
  <c r="H24" i="2" s="1"/>
  <c r="D25" i="7" s="1"/>
  <c r="E25" i="7" s="1"/>
  <c r="F25" i="7" s="1"/>
  <c r="G25" i="7" s="1"/>
  <c r="H25" i="7" s="1"/>
  <c r="I25" i="7" s="1"/>
  <c r="J25" i="7" s="1"/>
  <c r="K25" i="7" s="1"/>
  <c r="L25" i="7" s="1"/>
  <c r="M25" i="7" s="1"/>
  <c r="N25" i="7" s="1"/>
  <c r="O25" i="7" s="1"/>
  <c r="P25" i="7" s="1"/>
  <c r="F12" i="2"/>
  <c r="F13" i="2" s="1"/>
  <c r="E22" i="2"/>
  <c r="G22" i="2" s="1"/>
  <c r="H22" i="2" s="1"/>
  <c r="D23" i="7" s="1"/>
  <c r="E23" i="7" s="1"/>
  <c r="F23" i="7" s="1"/>
  <c r="G23" i="7" s="1"/>
  <c r="H23" i="7" s="1"/>
  <c r="I23" i="7" s="1"/>
  <c r="J23" i="7" s="1"/>
  <c r="K23" i="7" s="1"/>
  <c r="L23" i="7" s="1"/>
  <c r="M23" i="7" s="1"/>
  <c r="N23" i="7" s="1"/>
  <c r="O23" i="7" s="1"/>
  <c r="P23" i="7" s="1"/>
  <c r="H34" i="2"/>
  <c r="D21" i="1"/>
  <c r="G21" i="5" l="1"/>
  <c r="B27" i="5"/>
  <c r="C27" i="5" s="1"/>
  <c r="B26" i="5"/>
  <c r="C24" i="5"/>
  <c r="D24" i="5" s="1"/>
  <c r="E24" i="5" s="1"/>
  <c r="F24" i="5" s="1"/>
  <c r="G24" i="5" s="1"/>
  <c r="H24" i="5" s="1"/>
  <c r="I24" i="5" s="1"/>
  <c r="J24" i="5" s="1"/>
  <c r="K24" i="5" s="1"/>
  <c r="L24" i="5" s="1"/>
  <c r="M24" i="5" s="1"/>
  <c r="K15" i="12"/>
  <c r="H9" i="11"/>
  <c r="H21" i="4"/>
  <c r="I19" i="12"/>
  <c r="F13" i="11"/>
  <c r="E120" i="5"/>
  <c r="I7" i="12"/>
  <c r="G90" i="7"/>
  <c r="U17" i="12"/>
  <c r="R11" i="11"/>
  <c r="R23" i="12"/>
  <c r="D75" i="12"/>
  <c r="D82" i="12" s="1"/>
  <c r="F48" i="4"/>
  <c r="E48" i="4"/>
  <c r="E11" i="4"/>
  <c r="E13" i="4" s="1"/>
  <c r="Y21" i="12" s="1"/>
  <c r="C50" i="4"/>
  <c r="AA21" i="12"/>
  <c r="U21" i="12"/>
  <c r="S21" i="12"/>
  <c r="Z21" i="12"/>
  <c r="X21" i="12"/>
  <c r="V21" i="12"/>
  <c r="T21" i="12"/>
  <c r="X14" i="11"/>
  <c r="V14" i="11"/>
  <c r="T14" i="11"/>
  <c r="R14" i="11"/>
  <c r="P14" i="11"/>
  <c r="W14" i="11"/>
  <c r="U14" i="11"/>
  <c r="S14" i="11"/>
  <c r="Q14" i="11"/>
  <c r="D51" i="4"/>
  <c r="V78" i="12" s="1"/>
  <c r="H49" i="4"/>
  <c r="G12" i="10"/>
  <c r="H14" i="9"/>
  <c r="H15" i="9"/>
  <c r="H4" i="11"/>
  <c r="E121" i="5"/>
  <c r="E4" i="10" s="1"/>
  <c r="E3" i="10"/>
  <c r="E19" i="10" s="1"/>
  <c r="F5" i="11"/>
  <c r="F6" i="11" s="1"/>
  <c r="O21" i="11"/>
  <c r="F80" i="5"/>
  <c r="F77" i="5" s="1"/>
  <c r="H9" i="5"/>
  <c r="L5" i="12" s="1"/>
  <c r="C66" i="5"/>
  <c r="F66" i="5" s="1"/>
  <c r="K41" i="7"/>
  <c r="L40" i="7"/>
  <c r="R8" i="8"/>
  <c r="T8" i="8" s="1"/>
  <c r="R9" i="8"/>
  <c r="T9" i="8" s="1"/>
  <c r="V9" i="8" s="1"/>
  <c r="X9" i="8" s="1"/>
  <c r="Z9" i="8" s="1"/>
  <c r="L12" i="8"/>
  <c r="R10" i="8"/>
  <c r="N11" i="8"/>
  <c r="P11" i="8" s="1"/>
  <c r="E39" i="2"/>
  <c r="G5" i="2"/>
  <c r="H18" i="2"/>
  <c r="D7" i="7" s="1"/>
  <c r="E7" i="7" s="1"/>
  <c r="F7" i="7" s="1"/>
  <c r="G7" i="7" s="1"/>
  <c r="H7" i="7" s="1"/>
  <c r="I7" i="7" s="1"/>
  <c r="J7" i="7" s="1"/>
  <c r="K7" i="7" s="1"/>
  <c r="L7" i="7" s="1"/>
  <c r="M7" i="7" s="1"/>
  <c r="N7" i="7" s="1"/>
  <c r="O7" i="7" s="1"/>
  <c r="P7" i="7" s="1"/>
  <c r="H23" i="2"/>
  <c r="D24" i="7" s="1"/>
  <c r="E24" i="7" s="1"/>
  <c r="F24" i="7" s="1"/>
  <c r="G24" i="7" s="1"/>
  <c r="H24" i="7" s="1"/>
  <c r="I24" i="7" s="1"/>
  <c r="J24" i="7" s="1"/>
  <c r="K24" i="7" s="1"/>
  <c r="L24" i="7" s="1"/>
  <c r="M24" i="7" s="1"/>
  <c r="N24" i="7" s="1"/>
  <c r="O24" i="7" s="1"/>
  <c r="P24" i="7" s="1"/>
  <c r="G7" i="2"/>
  <c r="E22" i="7"/>
  <c r="H28" i="2"/>
  <c r="H35" i="2"/>
  <c r="G10" i="2"/>
  <c r="H10" i="2" s="1"/>
  <c r="D34" i="7"/>
  <c r="I12" i="4"/>
  <c r="G12" i="4"/>
  <c r="H12" i="4" s="1"/>
  <c r="K31" i="7"/>
  <c r="J46" i="7"/>
  <c r="K44" i="7"/>
  <c r="I55" i="7"/>
  <c r="H19" i="7"/>
  <c r="I15" i="7"/>
  <c r="I11" i="4"/>
  <c r="G11" i="4"/>
  <c r="H11" i="4" s="1"/>
  <c r="I13" i="4"/>
  <c r="H13" i="4"/>
  <c r="E36" i="4" s="1"/>
  <c r="E40" i="4" s="1"/>
  <c r="H32" i="2"/>
  <c r="D39" i="2"/>
  <c r="F12" i="3"/>
  <c r="G12" i="3"/>
  <c r="C15" i="3"/>
  <c r="H8" i="2"/>
  <c r="H26" i="2"/>
  <c r="D33" i="7" s="1"/>
  <c r="H5" i="2"/>
  <c r="H17" i="2"/>
  <c r="D6" i="7" s="1"/>
  <c r="G39" i="2"/>
  <c r="H6" i="2"/>
  <c r="H29" i="2"/>
  <c r="G11" i="2"/>
  <c r="H11" i="2" s="1"/>
  <c r="H37" i="2"/>
  <c r="D35" i="7" s="1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H7" i="2"/>
  <c r="D54" i="1"/>
  <c r="C26" i="5" l="1"/>
  <c r="D27" i="5"/>
  <c r="B31" i="5"/>
  <c r="C31" i="5" s="1"/>
  <c r="D31" i="5" s="1"/>
  <c r="E31" i="5" s="1"/>
  <c r="F31" i="5" s="1"/>
  <c r="G31" i="5" s="1"/>
  <c r="H31" i="5" s="1"/>
  <c r="I31" i="5" s="1"/>
  <c r="J31" i="5" s="1"/>
  <c r="K31" i="5" s="1"/>
  <c r="J19" i="12"/>
  <c r="G13" i="11"/>
  <c r="H90" i="7"/>
  <c r="V17" i="12"/>
  <c r="S11" i="11"/>
  <c r="E33" i="7"/>
  <c r="D37" i="7"/>
  <c r="L15" i="12"/>
  <c r="I9" i="11"/>
  <c r="F120" i="5"/>
  <c r="J7" i="12"/>
  <c r="J10" i="12" s="1"/>
  <c r="I10" i="12"/>
  <c r="D85" i="12"/>
  <c r="D91" i="12"/>
  <c r="W21" i="12"/>
  <c r="E50" i="4"/>
  <c r="F50" i="4"/>
  <c r="E51" i="4"/>
  <c r="W78" i="12" s="1"/>
  <c r="F51" i="4"/>
  <c r="Z78" i="12" s="1"/>
  <c r="H48" i="4"/>
  <c r="C51" i="4"/>
  <c r="T78" i="12" s="1"/>
  <c r="B14" i="11"/>
  <c r="P21" i="12"/>
  <c r="N21" i="12"/>
  <c r="L21" i="12"/>
  <c r="J21" i="12"/>
  <c r="H21" i="12"/>
  <c r="F21" i="12"/>
  <c r="Q21" i="12"/>
  <c r="O21" i="12"/>
  <c r="M21" i="12"/>
  <c r="K21" i="12"/>
  <c r="I21" i="12"/>
  <c r="G21" i="12"/>
  <c r="S28" i="12"/>
  <c r="U28" i="12"/>
  <c r="W28" i="12"/>
  <c r="Y28" i="12"/>
  <c r="AA28" i="12"/>
  <c r="T28" i="12"/>
  <c r="V28" i="12"/>
  <c r="X28" i="12"/>
  <c r="Z28" i="12"/>
  <c r="F121" i="5"/>
  <c r="F4" i="10" s="1"/>
  <c r="G5" i="11"/>
  <c r="G6" i="11" s="1"/>
  <c r="F3" i="10"/>
  <c r="F19" i="10" s="1"/>
  <c r="I4" i="11"/>
  <c r="H12" i="10"/>
  <c r="I14" i="9"/>
  <c r="I15" i="9"/>
  <c r="F14" i="11"/>
  <c r="N14" i="11"/>
  <c r="I14" i="11"/>
  <c r="H14" i="11"/>
  <c r="C14" i="11"/>
  <c r="K14" i="11"/>
  <c r="M14" i="11"/>
  <c r="J14" i="11"/>
  <c r="E14" i="11"/>
  <c r="D14" i="11"/>
  <c r="L14" i="11"/>
  <c r="G14" i="11"/>
  <c r="G80" i="5"/>
  <c r="G77" i="5" s="1"/>
  <c r="I9" i="5"/>
  <c r="M5" i="12" s="1"/>
  <c r="C67" i="5"/>
  <c r="F67" i="5" s="1"/>
  <c r="L41" i="7"/>
  <c r="M40" i="7"/>
  <c r="V8" i="8"/>
  <c r="R11" i="8"/>
  <c r="T11" i="8" s="1"/>
  <c r="V11" i="8" s="1"/>
  <c r="X11" i="8" s="1"/>
  <c r="Z11" i="8" s="1"/>
  <c r="N12" i="8"/>
  <c r="P12" i="8" s="1"/>
  <c r="T10" i="8"/>
  <c r="V10" i="8" s="1"/>
  <c r="D26" i="7"/>
  <c r="E6" i="7"/>
  <c r="D11" i="7"/>
  <c r="E26" i="7"/>
  <c r="F22" i="7"/>
  <c r="E34" i="7"/>
  <c r="J15" i="7"/>
  <c r="I19" i="7"/>
  <c r="L31" i="7"/>
  <c r="J55" i="7"/>
  <c r="K46" i="7"/>
  <c r="L44" i="7"/>
  <c r="E37" i="4"/>
  <c r="C16" i="3"/>
  <c r="D13" i="3"/>
  <c r="S23" i="12" s="1"/>
  <c r="H39" i="2"/>
  <c r="G12" i="2"/>
  <c r="H12" i="2"/>
  <c r="D26" i="5" l="1"/>
  <c r="E27" i="5"/>
  <c r="K19" i="12"/>
  <c r="H13" i="11"/>
  <c r="H50" i="4"/>
  <c r="M15" i="12"/>
  <c r="J9" i="11"/>
  <c r="F14" i="12"/>
  <c r="C20" i="11"/>
  <c r="G120" i="5"/>
  <c r="K7" i="12"/>
  <c r="F33" i="7"/>
  <c r="E37" i="7"/>
  <c r="I90" i="7"/>
  <c r="W17" i="12"/>
  <c r="T11" i="11"/>
  <c r="D90" i="12"/>
  <c r="H51" i="4"/>
  <c r="I28" i="12"/>
  <c r="M28" i="12"/>
  <c r="Q28" i="12"/>
  <c r="H28" i="12"/>
  <c r="L28" i="12"/>
  <c r="P28" i="12"/>
  <c r="G28" i="12"/>
  <c r="K28" i="12"/>
  <c r="O28" i="12"/>
  <c r="R21" i="12"/>
  <c r="F28" i="12"/>
  <c r="J28" i="12"/>
  <c r="N28" i="12"/>
  <c r="E13" i="3"/>
  <c r="P21" i="11"/>
  <c r="G121" i="5"/>
  <c r="G4" i="10" s="1"/>
  <c r="G3" i="10"/>
  <c r="G19" i="10" s="1"/>
  <c r="H5" i="11"/>
  <c r="H6" i="11" s="1"/>
  <c r="I12" i="10"/>
  <c r="J14" i="9"/>
  <c r="J15" i="9"/>
  <c r="J4" i="11"/>
  <c r="O14" i="11"/>
  <c r="H80" i="5"/>
  <c r="H77" i="5" s="1"/>
  <c r="J9" i="5"/>
  <c r="N5" i="12" s="1"/>
  <c r="C68" i="5"/>
  <c r="F68" i="5" s="1"/>
  <c r="M41" i="7"/>
  <c r="N40" i="7"/>
  <c r="X8" i="8"/>
  <c r="R12" i="8"/>
  <c r="X10" i="8"/>
  <c r="Z10" i="8" s="1"/>
  <c r="T12" i="8"/>
  <c r="V12" i="8" s="1"/>
  <c r="X12" i="8" s="1"/>
  <c r="Z12" i="8" s="1"/>
  <c r="L14" i="8"/>
  <c r="L13" i="8"/>
  <c r="F26" i="7"/>
  <c r="G22" i="7"/>
  <c r="E11" i="7"/>
  <c r="F6" i="7"/>
  <c r="F34" i="7"/>
  <c r="E38" i="4"/>
  <c r="E39" i="4" s="1"/>
  <c r="E41" i="4" s="1"/>
  <c r="AA81" i="12" s="1"/>
  <c r="M31" i="7"/>
  <c r="L46" i="7"/>
  <c r="M44" i="7"/>
  <c r="K55" i="7"/>
  <c r="J19" i="7"/>
  <c r="K15" i="7"/>
  <c r="G13" i="3"/>
  <c r="D14" i="3" s="1"/>
  <c r="T23" i="12" s="1"/>
  <c r="C17" i="3"/>
  <c r="F27" i="5" l="1"/>
  <c r="E26" i="5"/>
  <c r="H120" i="5"/>
  <c r="L7" i="12"/>
  <c r="L10" i="12" s="1"/>
  <c r="J90" i="7"/>
  <c r="X17" i="12"/>
  <c r="U11" i="11"/>
  <c r="G33" i="7"/>
  <c r="F37" i="7"/>
  <c r="K10" i="12"/>
  <c r="L19" i="12"/>
  <c r="I13" i="11"/>
  <c r="N15" i="12"/>
  <c r="K9" i="11"/>
  <c r="F12" i="12"/>
  <c r="C18" i="11"/>
  <c r="G14" i="12"/>
  <c r="D20" i="11"/>
  <c r="F16" i="12"/>
  <c r="C10" i="11"/>
  <c r="F13" i="3"/>
  <c r="S79" i="12"/>
  <c r="R28" i="12"/>
  <c r="E14" i="3"/>
  <c r="Q21" i="11"/>
  <c r="H121" i="5"/>
  <c r="H4" i="10" s="1"/>
  <c r="I5" i="11"/>
  <c r="H3" i="10"/>
  <c r="H19" i="10" s="1"/>
  <c r="K4" i="11"/>
  <c r="J12" i="10"/>
  <c r="K14" i="9"/>
  <c r="K15" i="9"/>
  <c r="I80" i="5"/>
  <c r="I77" i="5" s="1"/>
  <c r="K9" i="5"/>
  <c r="O5" i="12" s="1"/>
  <c r="C69" i="5"/>
  <c r="F69" i="5" s="1"/>
  <c r="J80" i="5" s="1"/>
  <c r="J77" i="5" s="1"/>
  <c r="N41" i="7"/>
  <c r="O40" i="7"/>
  <c r="Z8" i="8"/>
  <c r="N13" i="8"/>
  <c r="P13" i="8" s="1"/>
  <c r="R13" i="8" s="1"/>
  <c r="N14" i="8"/>
  <c r="P14" i="8" s="1"/>
  <c r="R14" i="8" s="1"/>
  <c r="F11" i="7"/>
  <c r="G6" i="7"/>
  <c r="H22" i="7"/>
  <c r="G26" i="7"/>
  <c r="G34" i="7"/>
  <c r="K19" i="7"/>
  <c r="L15" i="7"/>
  <c r="L55" i="7"/>
  <c r="M46" i="7"/>
  <c r="N44" i="7"/>
  <c r="N31" i="7"/>
  <c r="C18" i="3"/>
  <c r="G14" i="3"/>
  <c r="G27" i="5" l="1"/>
  <c r="F26" i="5"/>
  <c r="O15" i="12"/>
  <c r="L9" i="11"/>
  <c r="H14" i="12"/>
  <c r="E20" i="11"/>
  <c r="G16" i="12"/>
  <c r="D10" i="11"/>
  <c r="D15" i="11" s="1"/>
  <c r="K90" i="7"/>
  <c r="Y17" i="12"/>
  <c r="V11" i="11"/>
  <c r="M19" i="12"/>
  <c r="J13" i="11"/>
  <c r="G12" i="12"/>
  <c r="G20" i="12" s="1"/>
  <c r="D18" i="11"/>
  <c r="D22" i="11" s="1"/>
  <c r="J120" i="5"/>
  <c r="N7" i="12"/>
  <c r="N10" i="12" s="1"/>
  <c r="I120" i="5"/>
  <c r="M7" i="12"/>
  <c r="C15" i="11"/>
  <c r="C22" i="11"/>
  <c r="F20" i="12"/>
  <c r="H33" i="7"/>
  <c r="G37" i="7"/>
  <c r="F14" i="3"/>
  <c r="T79" i="12"/>
  <c r="J121" i="5"/>
  <c r="J4" i="10" s="1"/>
  <c r="K5" i="11"/>
  <c r="J3" i="10"/>
  <c r="I121" i="5"/>
  <c r="I4" i="10" s="1"/>
  <c r="I3" i="10"/>
  <c r="I19" i="10" s="1"/>
  <c r="J5" i="11"/>
  <c r="K6" i="11"/>
  <c r="I6" i="11"/>
  <c r="K12" i="10"/>
  <c r="L14" i="9"/>
  <c r="L15" i="9"/>
  <c r="L4" i="11"/>
  <c r="J19" i="10"/>
  <c r="L9" i="5"/>
  <c r="P5" i="12" s="1"/>
  <c r="C70" i="5"/>
  <c r="F70" i="5" s="1"/>
  <c r="K80" i="5" s="1"/>
  <c r="K77" i="5" s="1"/>
  <c r="O41" i="7"/>
  <c r="P40" i="7"/>
  <c r="P41" i="7" s="1"/>
  <c r="T13" i="8"/>
  <c r="T14" i="8"/>
  <c r="V14" i="8" s="1"/>
  <c r="L15" i="8"/>
  <c r="L16" i="8" s="1"/>
  <c r="H6" i="7"/>
  <c r="G11" i="7"/>
  <c r="H26" i="7"/>
  <c r="I22" i="7"/>
  <c r="H34" i="7"/>
  <c r="P31" i="7"/>
  <c r="O31" i="7"/>
  <c r="N46" i="7"/>
  <c r="O44" i="7"/>
  <c r="M55" i="7"/>
  <c r="L19" i="7"/>
  <c r="M15" i="7"/>
  <c r="D15" i="3"/>
  <c r="U23" i="12" s="1"/>
  <c r="C19" i="3"/>
  <c r="H27" i="5" l="1"/>
  <c r="G26" i="5"/>
  <c r="Q15" i="12"/>
  <c r="N9" i="11"/>
  <c r="C88" i="7"/>
  <c r="D88" i="7" s="1"/>
  <c r="H12" i="12"/>
  <c r="E18" i="11"/>
  <c r="H16" i="12"/>
  <c r="E10" i="11"/>
  <c r="M10" i="12"/>
  <c r="D24" i="11"/>
  <c r="N19" i="12"/>
  <c r="K13" i="11"/>
  <c r="P15" i="12"/>
  <c r="M9" i="11"/>
  <c r="I14" i="12"/>
  <c r="F20" i="11"/>
  <c r="K120" i="5"/>
  <c r="O7" i="12"/>
  <c r="O10" i="12" s="1"/>
  <c r="I33" i="7"/>
  <c r="H37" i="7"/>
  <c r="F24" i="12"/>
  <c r="F25" i="12" s="1"/>
  <c r="F26" i="12" s="1"/>
  <c r="F27" i="12" s="1"/>
  <c r="C24" i="11"/>
  <c r="C25" i="11" s="1"/>
  <c r="G24" i="12"/>
  <c r="G25" i="12" s="1"/>
  <c r="G26" i="12" s="1"/>
  <c r="G27" i="12" s="1"/>
  <c r="L90" i="7"/>
  <c r="Z17" i="12"/>
  <c r="W11" i="11"/>
  <c r="E15" i="3"/>
  <c r="G15" i="3" s="1"/>
  <c r="R21" i="11"/>
  <c r="K121" i="5"/>
  <c r="K4" i="10" s="1"/>
  <c r="K3" i="10"/>
  <c r="L5" i="11"/>
  <c r="K19" i="10"/>
  <c r="J6" i="11"/>
  <c r="M4" i="11"/>
  <c r="L12" i="10"/>
  <c r="M14" i="9"/>
  <c r="M15" i="9"/>
  <c r="L6" i="11"/>
  <c r="M9" i="5"/>
  <c r="Q5" i="12" s="1"/>
  <c r="C71" i="5"/>
  <c r="F71" i="5" s="1"/>
  <c r="L80" i="5" s="1"/>
  <c r="L77" i="5" s="1"/>
  <c r="C84" i="7"/>
  <c r="F19" i="8"/>
  <c r="V13" i="8"/>
  <c r="N15" i="8"/>
  <c r="X14" i="8"/>
  <c r="Z14" i="8" s="1"/>
  <c r="J22" i="7"/>
  <c r="I26" i="7"/>
  <c r="I6" i="7"/>
  <c r="H11" i="7"/>
  <c r="I34" i="7"/>
  <c r="N15" i="7"/>
  <c r="M19" i="7"/>
  <c r="N55" i="7"/>
  <c r="O46" i="7"/>
  <c r="P44" i="7"/>
  <c r="P46" i="7" s="1"/>
  <c r="C20" i="3"/>
  <c r="I27" i="5" l="1"/>
  <c r="H26" i="5"/>
  <c r="D25" i="11"/>
  <c r="L120" i="5"/>
  <c r="P7" i="12"/>
  <c r="P10" i="12" s="1"/>
  <c r="O19" i="12"/>
  <c r="L13" i="11"/>
  <c r="I12" i="12"/>
  <c r="F18" i="11"/>
  <c r="F22" i="11" s="1"/>
  <c r="J14" i="12"/>
  <c r="G20" i="11"/>
  <c r="R5" i="12"/>
  <c r="M90" i="7"/>
  <c r="AA17" i="12"/>
  <c r="X11" i="11"/>
  <c r="I37" i="7"/>
  <c r="J33" i="7"/>
  <c r="H20" i="12"/>
  <c r="O9" i="11"/>
  <c r="I16" i="12"/>
  <c r="F10" i="11"/>
  <c r="F15" i="11" s="1"/>
  <c r="F24" i="11" s="1"/>
  <c r="E15" i="11"/>
  <c r="E22" i="11"/>
  <c r="P9" i="11"/>
  <c r="S15" i="12"/>
  <c r="E88" i="7"/>
  <c r="R15" i="12"/>
  <c r="F15" i="3"/>
  <c r="U79" i="12"/>
  <c r="L121" i="5"/>
  <c r="L4" i="10" s="1"/>
  <c r="M5" i="11"/>
  <c r="L3" i="10"/>
  <c r="L19" i="10" s="1"/>
  <c r="M12" i="10"/>
  <c r="N14" i="9"/>
  <c r="N15" i="9"/>
  <c r="N4" i="11"/>
  <c r="C19" i="9"/>
  <c r="M6" i="11"/>
  <c r="C72" i="5"/>
  <c r="F72" i="5" s="1"/>
  <c r="M80" i="5" s="1"/>
  <c r="M77" i="5" s="1"/>
  <c r="Q7" i="12" s="1"/>
  <c r="R7" i="12" s="1"/>
  <c r="P15" i="8"/>
  <c r="P16" i="8" s="1"/>
  <c r="N16" i="8"/>
  <c r="X13" i="8"/>
  <c r="R15" i="8"/>
  <c r="R16" i="8" s="1"/>
  <c r="I11" i="7"/>
  <c r="J6" i="7"/>
  <c r="K22" i="7"/>
  <c r="J26" i="7"/>
  <c r="J34" i="7"/>
  <c r="O55" i="7"/>
  <c r="P55" i="7"/>
  <c r="N19" i="7"/>
  <c r="O15" i="7"/>
  <c r="C21" i="3"/>
  <c r="D16" i="3"/>
  <c r="V23" i="12" s="1"/>
  <c r="J27" i="5" l="1"/>
  <c r="I26" i="5"/>
  <c r="K14" i="12"/>
  <c r="H20" i="11"/>
  <c r="H24" i="12"/>
  <c r="H25" i="12" s="1"/>
  <c r="H26" i="12" s="1"/>
  <c r="H27" i="12" s="1"/>
  <c r="J16" i="12"/>
  <c r="G10" i="11"/>
  <c r="R10" i="12"/>
  <c r="Q19" i="12"/>
  <c r="N13" i="11"/>
  <c r="C91" i="7"/>
  <c r="D91" i="7" s="1"/>
  <c r="P19" i="12"/>
  <c r="M13" i="11"/>
  <c r="J12" i="12"/>
  <c r="G18" i="11"/>
  <c r="F88" i="7"/>
  <c r="T15" i="12"/>
  <c r="Q9" i="11"/>
  <c r="E24" i="11"/>
  <c r="E25" i="11" s="1"/>
  <c r="F25" i="11" s="1"/>
  <c r="J37" i="7"/>
  <c r="K33" i="7"/>
  <c r="Q10" i="12"/>
  <c r="I20" i="12"/>
  <c r="E16" i="3"/>
  <c r="S21" i="11"/>
  <c r="D19" i="9"/>
  <c r="O4" i="11"/>
  <c r="B85" i="5"/>
  <c r="B83" i="5" s="1"/>
  <c r="M120" i="5"/>
  <c r="B15" i="10"/>
  <c r="C20" i="9"/>
  <c r="C21" i="9"/>
  <c r="F20" i="8"/>
  <c r="F22" i="8"/>
  <c r="Z13" i="8"/>
  <c r="F21" i="8"/>
  <c r="T15" i="8"/>
  <c r="T16" i="8" s="1"/>
  <c r="J11" i="7"/>
  <c r="K6" i="7"/>
  <c r="K26" i="7"/>
  <c r="L22" i="7"/>
  <c r="K34" i="7"/>
  <c r="O19" i="7"/>
  <c r="D86" i="7" s="1"/>
  <c r="P15" i="7"/>
  <c r="P19" i="7" s="1"/>
  <c r="G16" i="3"/>
  <c r="D17" i="3" s="1"/>
  <c r="W23" i="12" s="1"/>
  <c r="J26" i="5" l="1"/>
  <c r="K27" i="5"/>
  <c r="L14" i="12"/>
  <c r="I20" i="11"/>
  <c r="K12" i="12"/>
  <c r="H18" i="11"/>
  <c r="H22" i="11" s="1"/>
  <c r="P4" i="11"/>
  <c r="S5" i="12"/>
  <c r="K16" i="12"/>
  <c r="H10" i="11"/>
  <c r="H15" i="11" s="1"/>
  <c r="H24" i="11" s="1"/>
  <c r="G88" i="7"/>
  <c r="U15" i="12"/>
  <c r="R9" i="11"/>
  <c r="J20" i="12"/>
  <c r="O13" i="11"/>
  <c r="I24" i="12"/>
  <c r="I25" i="12" s="1"/>
  <c r="I26" i="12" s="1"/>
  <c r="I27" i="12" s="1"/>
  <c r="K37" i="7"/>
  <c r="L33" i="7"/>
  <c r="G22" i="11"/>
  <c r="E91" i="7"/>
  <c r="S19" i="12"/>
  <c r="P13" i="11"/>
  <c r="R19" i="12"/>
  <c r="G15" i="11"/>
  <c r="G24" i="11" s="1"/>
  <c r="G25" i="11" s="1"/>
  <c r="H25" i="11" s="1"/>
  <c r="F16" i="3"/>
  <c r="V79" i="12"/>
  <c r="E17" i="3"/>
  <c r="T21" i="11"/>
  <c r="M121" i="5"/>
  <c r="M4" i="10" s="1"/>
  <c r="M3" i="10"/>
  <c r="M19" i="10" s="1"/>
  <c r="N5" i="11"/>
  <c r="E19" i="9"/>
  <c r="C83" i="5"/>
  <c r="S7" i="12" s="1"/>
  <c r="B124" i="5"/>
  <c r="D20" i="9"/>
  <c r="D21" i="9"/>
  <c r="C15" i="10"/>
  <c r="F23" i="8"/>
  <c r="V15" i="8"/>
  <c r="L26" i="7"/>
  <c r="M22" i="7"/>
  <c r="L6" i="7"/>
  <c r="K11" i="7"/>
  <c r="L34" i="7"/>
  <c r="G17" i="3"/>
  <c r="L27" i="5" l="1"/>
  <c r="K26" i="5"/>
  <c r="M14" i="12"/>
  <c r="J20" i="11"/>
  <c r="Q4" i="11"/>
  <c r="T5" i="12"/>
  <c r="L37" i="7"/>
  <c r="M33" i="7"/>
  <c r="J24" i="12"/>
  <c r="J25" i="12" s="1"/>
  <c r="J26" i="12" s="1"/>
  <c r="J27" i="12" s="1"/>
  <c r="K20" i="12"/>
  <c r="L12" i="12"/>
  <c r="I18" i="11"/>
  <c r="F91" i="7"/>
  <c r="T19" i="12"/>
  <c r="Q13" i="11"/>
  <c r="L16" i="12"/>
  <c r="I10" i="11"/>
  <c r="H88" i="7"/>
  <c r="V15" i="12"/>
  <c r="S9" i="11"/>
  <c r="S10" i="12"/>
  <c r="F17" i="3"/>
  <c r="W79" i="12"/>
  <c r="B8" i="10"/>
  <c r="B7" i="10"/>
  <c r="B22" i="10" s="1"/>
  <c r="F19" i="9"/>
  <c r="D83" i="5"/>
  <c r="T7" i="12" s="1"/>
  <c r="C124" i="5"/>
  <c r="P5" i="11" s="1"/>
  <c r="D15" i="10"/>
  <c r="E20" i="9"/>
  <c r="E21" i="9"/>
  <c r="O5" i="11"/>
  <c r="N6" i="11"/>
  <c r="X15" i="8"/>
  <c r="X16" i="8" s="1"/>
  <c r="V16" i="8"/>
  <c r="Z15" i="8"/>
  <c r="Z16" i="8" s="1"/>
  <c r="N22" i="7"/>
  <c r="M26" i="7"/>
  <c r="M6" i="7"/>
  <c r="L11" i="7"/>
  <c r="M34" i="7"/>
  <c r="D18" i="3"/>
  <c r="X23" i="12" s="1"/>
  <c r="M27" i="5" l="1"/>
  <c r="L26" i="5"/>
  <c r="M12" i="12"/>
  <c r="J18" i="11"/>
  <c r="J22" i="11" s="1"/>
  <c r="N14" i="12"/>
  <c r="K20" i="11"/>
  <c r="I88" i="7"/>
  <c r="W15" i="12"/>
  <c r="T9" i="11"/>
  <c r="I15" i="11"/>
  <c r="G91" i="7"/>
  <c r="U19" i="12"/>
  <c r="R13" i="11"/>
  <c r="L20" i="12"/>
  <c r="M37" i="7"/>
  <c r="N33" i="7"/>
  <c r="T10" i="12"/>
  <c r="R4" i="11"/>
  <c r="U5" i="12"/>
  <c r="I22" i="11"/>
  <c r="K24" i="12"/>
  <c r="K25" i="12" s="1"/>
  <c r="K26" i="12" s="1"/>
  <c r="K27" i="12" s="1"/>
  <c r="M16" i="12"/>
  <c r="J10" i="11"/>
  <c r="J15" i="11" s="1"/>
  <c r="J24" i="11" s="1"/>
  <c r="E18" i="3"/>
  <c r="U21" i="11"/>
  <c r="P6" i="11"/>
  <c r="E83" i="5"/>
  <c r="U7" i="12" s="1"/>
  <c r="D124" i="5"/>
  <c r="Q5" i="11" s="1"/>
  <c r="F20" i="9"/>
  <c r="F21" i="9"/>
  <c r="E15" i="10"/>
  <c r="O6" i="11"/>
  <c r="C125" i="5"/>
  <c r="C8" i="10" s="1"/>
  <c r="C7" i="10"/>
  <c r="C22" i="10" s="1"/>
  <c r="G19" i="9"/>
  <c r="F26" i="8"/>
  <c r="F25" i="8"/>
  <c r="N6" i="7"/>
  <c r="M11" i="7"/>
  <c r="O22" i="7"/>
  <c r="N26" i="7"/>
  <c r="N34" i="7"/>
  <c r="G18" i="3"/>
  <c r="M26" i="5" l="1"/>
  <c r="B33" i="5" s="1"/>
  <c r="B34" i="5"/>
  <c r="C34" i="5" s="1"/>
  <c r="C33" i="5" s="1"/>
  <c r="O14" i="12"/>
  <c r="L20" i="11"/>
  <c r="N12" i="12"/>
  <c r="K18" i="11"/>
  <c r="S4" i="11"/>
  <c r="V5" i="12"/>
  <c r="N37" i="7"/>
  <c r="O33" i="7"/>
  <c r="H91" i="7"/>
  <c r="V19" i="12"/>
  <c r="S13" i="11"/>
  <c r="I24" i="11"/>
  <c r="I25" i="11" s="1"/>
  <c r="J25" i="11" s="1"/>
  <c r="M20" i="12"/>
  <c r="U10" i="12"/>
  <c r="N16" i="12"/>
  <c r="K10" i="11"/>
  <c r="K15" i="11" s="1"/>
  <c r="L24" i="12"/>
  <c r="L25" i="12" s="1"/>
  <c r="L26" i="12" s="1"/>
  <c r="L27" i="12" s="1"/>
  <c r="J88" i="7"/>
  <c r="X15" i="12"/>
  <c r="U9" i="11"/>
  <c r="F18" i="3"/>
  <c r="X79" i="12"/>
  <c r="Q6" i="11"/>
  <c r="H19" i="9"/>
  <c r="D125" i="5"/>
  <c r="D8" i="10" s="1"/>
  <c r="D7" i="10"/>
  <c r="D22" i="10" s="1"/>
  <c r="F15" i="10"/>
  <c r="G20" i="9"/>
  <c r="G21" i="9"/>
  <c r="F83" i="5"/>
  <c r="V7" i="12" s="1"/>
  <c r="E124" i="5"/>
  <c r="R5" i="11" s="1"/>
  <c r="P22" i="7"/>
  <c r="P26" i="7" s="1"/>
  <c r="O26" i="7"/>
  <c r="O6" i="7"/>
  <c r="N11" i="7"/>
  <c r="O34" i="7"/>
  <c r="D19" i="3"/>
  <c r="Y23" i="12" s="1"/>
  <c r="D34" i="5" l="1"/>
  <c r="O12" i="12"/>
  <c r="L18" i="11"/>
  <c r="L22" i="11" s="1"/>
  <c r="P14" i="12"/>
  <c r="M20" i="11"/>
  <c r="K88" i="7"/>
  <c r="Y15" i="12"/>
  <c r="V9" i="11"/>
  <c r="M24" i="12"/>
  <c r="M25" i="12" s="1"/>
  <c r="M26" i="12" s="1"/>
  <c r="M27" i="12" s="1"/>
  <c r="I91" i="7"/>
  <c r="W19" i="12"/>
  <c r="T13" i="11"/>
  <c r="O16" i="12"/>
  <c r="L10" i="11"/>
  <c r="L15" i="11" s="1"/>
  <c r="L24" i="11" s="1"/>
  <c r="V10" i="12"/>
  <c r="K22" i="11"/>
  <c r="Q14" i="12"/>
  <c r="R14" i="12" s="1"/>
  <c r="N20" i="11"/>
  <c r="O20" i="11" s="1"/>
  <c r="C87" i="7"/>
  <c r="D87" i="7" s="1"/>
  <c r="T4" i="11"/>
  <c r="W5" i="12"/>
  <c r="K24" i="11"/>
  <c r="K25" i="11" s="1"/>
  <c r="L25" i="11" s="1"/>
  <c r="O37" i="7"/>
  <c r="P33" i="7"/>
  <c r="N20" i="12"/>
  <c r="E19" i="3"/>
  <c r="V21" i="11"/>
  <c r="R6" i="11"/>
  <c r="E125" i="5"/>
  <c r="E8" i="10" s="1"/>
  <c r="E7" i="10"/>
  <c r="E22" i="10" s="1"/>
  <c r="H20" i="9"/>
  <c r="H21" i="9"/>
  <c r="G15" i="10"/>
  <c r="G83" i="5"/>
  <c r="W7" i="12" s="1"/>
  <c r="F124" i="5"/>
  <c r="S5" i="11" s="1"/>
  <c r="I19" i="9"/>
  <c r="P6" i="7"/>
  <c r="P11" i="7" s="1"/>
  <c r="O11" i="7"/>
  <c r="E87" i="7"/>
  <c r="P34" i="7"/>
  <c r="G19" i="3"/>
  <c r="D33" i="5" l="1"/>
  <c r="E34" i="5"/>
  <c r="P37" i="7"/>
  <c r="W10" i="12"/>
  <c r="S14" i="12"/>
  <c r="P20" i="11"/>
  <c r="J91" i="7"/>
  <c r="X19" i="12"/>
  <c r="U13" i="11"/>
  <c r="L88" i="7"/>
  <c r="Z15" i="12"/>
  <c r="W9" i="11"/>
  <c r="O20" i="12"/>
  <c r="P12" i="12"/>
  <c r="M18" i="11"/>
  <c r="M22" i="11" s="1"/>
  <c r="U4" i="11"/>
  <c r="X5" i="12"/>
  <c r="F87" i="7"/>
  <c r="T14" i="12"/>
  <c r="Q20" i="11"/>
  <c r="Q12" i="12"/>
  <c r="N18" i="11"/>
  <c r="C85" i="7"/>
  <c r="D85" i="7"/>
  <c r="N24" i="12"/>
  <c r="N25" i="12" s="1"/>
  <c r="N26" i="12" s="1"/>
  <c r="N27" i="12" s="1"/>
  <c r="P16" i="12"/>
  <c r="M10" i="11"/>
  <c r="M15" i="11" s="1"/>
  <c r="M24" i="11" s="1"/>
  <c r="M25" i="11" s="1"/>
  <c r="F19" i="3"/>
  <c r="Y79" i="12"/>
  <c r="S6" i="11"/>
  <c r="H15" i="10"/>
  <c r="I20" i="9"/>
  <c r="I21" i="9"/>
  <c r="H83" i="5"/>
  <c r="X7" i="12" s="1"/>
  <c r="G124" i="5"/>
  <c r="T5" i="11" s="1"/>
  <c r="J19" i="9"/>
  <c r="F125" i="5"/>
  <c r="F8" i="10" s="1"/>
  <c r="F7" i="10"/>
  <c r="F22" i="10" s="1"/>
  <c r="D20" i="3"/>
  <c r="Z23" i="12" s="1"/>
  <c r="E33" i="5" l="1"/>
  <c r="F34" i="5"/>
  <c r="S12" i="12"/>
  <c r="P18" i="11"/>
  <c r="N22" i="11"/>
  <c r="O18" i="11"/>
  <c r="G87" i="7"/>
  <c r="U14" i="12"/>
  <c r="R20" i="11"/>
  <c r="P20" i="12"/>
  <c r="M88" i="7"/>
  <c r="AA15" i="12"/>
  <c r="X9" i="11"/>
  <c r="K91" i="7"/>
  <c r="Y19" i="12"/>
  <c r="V13" i="11"/>
  <c r="Q16" i="12"/>
  <c r="R16" i="12" s="1"/>
  <c r="N10" i="11"/>
  <c r="C89" i="7"/>
  <c r="D89" i="7" s="1"/>
  <c r="V4" i="11"/>
  <c r="Y5" i="12"/>
  <c r="Q20" i="12"/>
  <c r="R12" i="12"/>
  <c r="R20" i="12" s="1"/>
  <c r="X10" i="12"/>
  <c r="O24" i="12"/>
  <c r="O25" i="12" s="1"/>
  <c r="O26" i="12" s="1"/>
  <c r="O27" i="12" s="1"/>
  <c r="E20" i="3"/>
  <c r="G20" i="3" s="1"/>
  <c r="W21" i="11"/>
  <c r="T6" i="11"/>
  <c r="L19" i="9"/>
  <c r="K19" i="9"/>
  <c r="I83" i="5"/>
  <c r="Y7" i="12" s="1"/>
  <c r="H124" i="5"/>
  <c r="U5" i="11" s="1"/>
  <c r="J20" i="9"/>
  <c r="J21" i="9"/>
  <c r="I15" i="10"/>
  <c r="G125" i="5"/>
  <c r="G8" i="10" s="1"/>
  <c r="G7" i="10"/>
  <c r="G22" i="10" s="1"/>
  <c r="C92" i="7"/>
  <c r="E85" i="7"/>
  <c r="D92" i="7"/>
  <c r="F33" i="5" l="1"/>
  <c r="G34" i="5"/>
  <c r="T12" i="12"/>
  <c r="Q18" i="11"/>
  <c r="Q22" i="11" s="1"/>
  <c r="X4" i="11"/>
  <c r="AA5" i="12"/>
  <c r="R24" i="12"/>
  <c r="R25" i="12" s="1"/>
  <c r="R26" i="12" s="1"/>
  <c r="R27" i="12" s="1"/>
  <c r="R82" i="12" s="1"/>
  <c r="F85" i="12" s="1"/>
  <c r="E89" i="7"/>
  <c r="S16" i="12"/>
  <c r="P10" i="11"/>
  <c r="P15" i="11" s="1"/>
  <c r="P24" i="11" s="1"/>
  <c r="P24" i="12"/>
  <c r="P25" i="12" s="1"/>
  <c r="P26" i="12" s="1"/>
  <c r="P27" i="12" s="1"/>
  <c r="W4" i="11"/>
  <c r="Z5" i="12"/>
  <c r="Q24" i="12"/>
  <c r="Q25" i="12"/>
  <c r="Q26" i="12" s="1"/>
  <c r="Q27" i="12" s="1"/>
  <c r="Y10" i="12"/>
  <c r="N15" i="11"/>
  <c r="N24" i="11" s="1"/>
  <c r="N25" i="11" s="1"/>
  <c r="O10" i="11"/>
  <c r="O15" i="11" s="1"/>
  <c r="O24" i="11" s="1"/>
  <c r="L91" i="7"/>
  <c r="Z19" i="12"/>
  <c r="W13" i="11"/>
  <c r="H87" i="7"/>
  <c r="V14" i="12"/>
  <c r="S20" i="11"/>
  <c r="S20" i="12"/>
  <c r="F20" i="3"/>
  <c r="Z79" i="12"/>
  <c r="U6" i="11"/>
  <c r="H125" i="5"/>
  <c r="H8" i="10" s="1"/>
  <c r="H7" i="10"/>
  <c r="H22" i="10" s="1"/>
  <c r="J15" i="10"/>
  <c r="K20" i="9"/>
  <c r="K21" i="9"/>
  <c r="J83" i="5"/>
  <c r="Z7" i="12" s="1"/>
  <c r="I124" i="5"/>
  <c r="V5" i="11" s="1"/>
  <c r="L20" i="9"/>
  <c r="L21" i="9"/>
  <c r="K15" i="10"/>
  <c r="F85" i="7"/>
  <c r="E92" i="7"/>
  <c r="D21" i="3"/>
  <c r="AA23" i="12" s="1"/>
  <c r="G33" i="5" l="1"/>
  <c r="H34" i="5"/>
  <c r="F91" i="12"/>
  <c r="F90" i="12"/>
  <c r="S24" i="12"/>
  <c r="S25" i="12" s="1"/>
  <c r="S26" i="12" s="1"/>
  <c r="S27" i="12" s="1"/>
  <c r="S82" i="12" s="1"/>
  <c r="G85" i="12" s="1"/>
  <c r="M91" i="7"/>
  <c r="AA19" i="12"/>
  <c r="X13" i="11"/>
  <c r="Z10" i="12"/>
  <c r="U12" i="12"/>
  <c r="R18" i="11"/>
  <c r="R22" i="11" s="1"/>
  <c r="I87" i="7"/>
  <c r="W14" i="12"/>
  <c r="T20" i="11"/>
  <c r="O25" i="11"/>
  <c r="P25" i="11" s="1"/>
  <c r="F89" i="7"/>
  <c r="T16" i="12"/>
  <c r="Q10" i="11"/>
  <c r="Q15" i="11" s="1"/>
  <c r="Q24" i="11" s="1"/>
  <c r="T20" i="12"/>
  <c r="E21" i="3"/>
  <c r="X21" i="11"/>
  <c r="V6" i="11"/>
  <c r="I125" i="5"/>
  <c r="I8" i="10" s="1"/>
  <c r="I7" i="10"/>
  <c r="I22" i="10" s="1"/>
  <c r="K83" i="5"/>
  <c r="J124" i="5"/>
  <c r="W5" i="11" s="1"/>
  <c r="F92" i="7"/>
  <c r="G85" i="7"/>
  <c r="G21" i="3"/>
  <c r="H33" i="5" l="1"/>
  <c r="I34" i="5"/>
  <c r="Q25" i="11"/>
  <c r="K124" i="5"/>
  <c r="X5" i="11" s="1"/>
  <c r="AA7" i="12"/>
  <c r="AA10" i="12" s="1"/>
  <c r="G89" i="7"/>
  <c r="U16" i="12"/>
  <c r="R10" i="11"/>
  <c r="R15" i="11" s="1"/>
  <c r="R24" i="11" s="1"/>
  <c r="G91" i="12"/>
  <c r="V12" i="12"/>
  <c r="S18" i="11"/>
  <c r="S22" i="11" s="1"/>
  <c r="T24" i="12"/>
  <c r="T25" i="12"/>
  <c r="T26" i="12" s="1"/>
  <c r="T27" i="12" s="1"/>
  <c r="T82" i="12" s="1"/>
  <c r="H85" i="12" s="1"/>
  <c r="J87" i="7"/>
  <c r="X14" i="12"/>
  <c r="U20" i="11"/>
  <c r="U20" i="12"/>
  <c r="G90" i="12"/>
  <c r="F21" i="3"/>
  <c r="AA79" i="12"/>
  <c r="X6" i="11"/>
  <c r="W6" i="11"/>
  <c r="K125" i="5"/>
  <c r="K8" i="10" s="1"/>
  <c r="K7" i="10"/>
  <c r="K22" i="10" s="1"/>
  <c r="J125" i="5"/>
  <c r="J8" i="10" s="1"/>
  <c r="J7" i="10"/>
  <c r="J22" i="10" s="1"/>
  <c r="H85" i="7"/>
  <c r="G92" i="7"/>
  <c r="J34" i="5" l="1"/>
  <c r="I33" i="5"/>
  <c r="R25" i="11"/>
  <c r="W12" i="12"/>
  <c r="T18" i="11"/>
  <c r="T22" i="11" s="1"/>
  <c r="H90" i="12"/>
  <c r="K87" i="7"/>
  <c r="Y14" i="12"/>
  <c r="V20" i="11"/>
  <c r="H91" i="12"/>
  <c r="H89" i="7"/>
  <c r="V16" i="12"/>
  <c r="S10" i="11"/>
  <c r="S15" i="11" s="1"/>
  <c r="S24" i="11" s="1"/>
  <c r="U24" i="12"/>
  <c r="U25" i="12"/>
  <c r="U26" i="12" s="1"/>
  <c r="U27" i="12" s="1"/>
  <c r="U82" i="12" s="1"/>
  <c r="I85" i="12" s="1"/>
  <c r="V20" i="12"/>
  <c r="H92" i="7"/>
  <c r="I85" i="7"/>
  <c r="J33" i="5" l="1"/>
  <c r="K34" i="5"/>
  <c r="K33" i="5" s="1"/>
  <c r="S25" i="11"/>
  <c r="I89" i="7"/>
  <c r="W16" i="12"/>
  <c r="T10" i="11"/>
  <c r="T15" i="11" s="1"/>
  <c r="T24" i="11" s="1"/>
  <c r="L87" i="7"/>
  <c r="Z14" i="12"/>
  <c r="W20" i="11"/>
  <c r="W20" i="12"/>
  <c r="X12" i="12"/>
  <c r="U18" i="11"/>
  <c r="U22" i="11" s="1"/>
  <c r="V24" i="12"/>
  <c r="V25" i="12"/>
  <c r="V26" i="12" s="1"/>
  <c r="V27" i="12" s="1"/>
  <c r="V82" i="12" s="1"/>
  <c r="J85" i="12" s="1"/>
  <c r="I91" i="12"/>
  <c r="I90" i="12"/>
  <c r="J85" i="7"/>
  <c r="I92" i="7"/>
  <c r="T25" i="11" l="1"/>
  <c r="J90" i="12"/>
  <c r="Y12" i="12"/>
  <c r="V18" i="11"/>
  <c r="V22" i="11" s="1"/>
  <c r="J91" i="12"/>
  <c r="M87" i="7"/>
  <c r="AA14" i="12"/>
  <c r="X20" i="11"/>
  <c r="W24" i="12"/>
  <c r="W25" i="12" s="1"/>
  <c r="W26" i="12" s="1"/>
  <c r="W27" i="12" s="1"/>
  <c r="W82" i="12" s="1"/>
  <c r="K85" i="12" s="1"/>
  <c r="J89" i="7"/>
  <c r="X16" i="12"/>
  <c r="X20" i="12" s="1"/>
  <c r="U10" i="11"/>
  <c r="U15" i="11" s="1"/>
  <c r="U24" i="11" s="1"/>
  <c r="K85" i="7"/>
  <c r="J92" i="7"/>
  <c r="U25" i="11" l="1"/>
  <c r="K90" i="12"/>
  <c r="X24" i="12"/>
  <c r="X25" i="12"/>
  <c r="X26" i="12" s="1"/>
  <c r="X27" i="12" s="1"/>
  <c r="X82" i="12" s="1"/>
  <c r="L85" i="12" s="1"/>
  <c r="K89" i="7"/>
  <c r="Y16" i="12"/>
  <c r="V10" i="11"/>
  <c r="V15" i="11" s="1"/>
  <c r="V24" i="11" s="1"/>
  <c r="Z12" i="12"/>
  <c r="W18" i="11"/>
  <c r="W22" i="11" s="1"/>
  <c r="K91" i="12"/>
  <c r="Y20" i="12"/>
  <c r="L85" i="7"/>
  <c r="K92" i="7"/>
  <c r="L91" i="12" l="1"/>
  <c r="V25" i="11"/>
  <c r="AA12" i="12"/>
  <c r="X18" i="11"/>
  <c r="X22" i="11" s="1"/>
  <c r="Y24" i="12"/>
  <c r="Y25" i="12" s="1"/>
  <c r="Y26" i="12" s="1"/>
  <c r="Y27" i="12" s="1"/>
  <c r="Y82" i="12" s="1"/>
  <c r="M85" i="12" s="1"/>
  <c r="L89" i="7"/>
  <c r="Z16" i="12"/>
  <c r="Z20" i="12" s="1"/>
  <c r="W10" i="11"/>
  <c r="W15" i="11" s="1"/>
  <c r="W24" i="11" s="1"/>
  <c r="L90" i="12"/>
  <c r="L92" i="7"/>
  <c r="M85" i="7"/>
  <c r="W25" i="11" l="1"/>
  <c r="Z24" i="12"/>
  <c r="Z25" i="12" s="1"/>
  <c r="Z26" i="12" s="1"/>
  <c r="Z27" i="12" s="1"/>
  <c r="Z82" i="12" s="1"/>
  <c r="N85" i="12" s="1"/>
  <c r="M91" i="12"/>
  <c r="M90" i="12"/>
  <c r="M89" i="7"/>
  <c r="M92" i="7" s="1"/>
  <c r="AA16" i="12"/>
  <c r="AA20" i="12" s="1"/>
  <c r="X10" i="11"/>
  <c r="X15" i="11" s="1"/>
  <c r="X24" i="11" s="1"/>
  <c r="X25" i="11" l="1"/>
  <c r="AA24" i="12"/>
  <c r="AA25" i="12" s="1"/>
  <c r="AA26" i="12" s="1"/>
  <c r="AA27" i="12" s="1"/>
  <c r="AA82" i="12" s="1"/>
  <c r="O85" i="12" s="1"/>
  <c r="N90" i="12"/>
  <c r="N91" i="12"/>
  <c r="D88" i="12" l="1"/>
  <c r="D87" i="12"/>
  <c r="O91" i="12"/>
  <c r="O90" i="12"/>
</calcChain>
</file>

<file path=xl/sharedStrings.xml><?xml version="1.0" encoding="utf-8"?>
<sst xmlns="http://schemas.openxmlformats.org/spreadsheetml/2006/main" count="960" uniqueCount="479">
  <si>
    <t>DETALLE</t>
  </si>
  <si>
    <t>UNIDADES</t>
  </si>
  <si>
    <t>VALOR</t>
  </si>
  <si>
    <t>VALOR TOTAL</t>
  </si>
  <si>
    <t>Laptops</t>
  </si>
  <si>
    <t>Computadores</t>
  </si>
  <si>
    <t>Aire Acondicionado 22000 Btu</t>
  </si>
  <si>
    <t>Escritorio Recepcion</t>
  </si>
  <si>
    <t>Escritorios De Oficina</t>
  </si>
  <si>
    <t>Sillas De Oficina</t>
  </si>
  <si>
    <t>Juego Muebles Para Hall</t>
  </si>
  <si>
    <t>Mesita Para Hall</t>
  </si>
  <si>
    <t>Archivador Aereo</t>
  </si>
  <si>
    <t>Archivador Vertical</t>
  </si>
  <si>
    <t>Central Telefónica</t>
  </si>
  <si>
    <t>Telefonos</t>
  </si>
  <si>
    <t>Fax</t>
  </si>
  <si>
    <t>Impresora Multifuncion</t>
  </si>
  <si>
    <t>Tachos Para Basura</t>
  </si>
  <si>
    <t>Mesas De Trabajo</t>
  </si>
  <si>
    <t>Sillas</t>
  </si>
  <si>
    <t>TOTAL EQ. OFICINA</t>
  </si>
  <si>
    <t>INVERSION EN ADECUACIONES A LA PLANTA</t>
  </si>
  <si>
    <t>TOTAL ADECUACIONES</t>
  </si>
  <si>
    <t>TOTAL EQ. PRODUCCIÓN</t>
  </si>
  <si>
    <t>TOTAL DE INVERSIÓN INICIAL</t>
  </si>
  <si>
    <t>INVERSIONES EN EQUIPOS DE PRODUCCIÓN ALMACENAMIENTO Y DISTRIBUCION</t>
  </si>
  <si>
    <t>INVERSIONES EN EQUIPOS DE OFICINA Y MUEBLES</t>
  </si>
  <si>
    <t>Bomba mezcladora</t>
  </si>
  <si>
    <t>Tanque mezclador</t>
  </si>
  <si>
    <t>Homogenizador</t>
  </si>
  <si>
    <t>Cocina Semi industrial</t>
  </si>
  <si>
    <t>Maquina desintegradora de grasa</t>
  </si>
  <si>
    <t>Tanques de agua</t>
  </si>
  <si>
    <t>Balanzas</t>
  </si>
  <si>
    <t xml:space="preserve">Mesa de empaque </t>
  </si>
  <si>
    <t>Máquina Codificadora</t>
  </si>
  <si>
    <t>Rollos de Plástico Polietileno</t>
  </si>
  <si>
    <t>Vasos de Vainil</t>
  </si>
  <si>
    <t>Paletas de Almacenamiento y Transporte</t>
  </si>
  <si>
    <t>Cámaras de Refrigeración</t>
  </si>
  <si>
    <t>Transpaleta</t>
  </si>
  <si>
    <t>Montacargas</t>
  </si>
  <si>
    <t>Camión</t>
  </si>
  <si>
    <t>Congeladores</t>
  </si>
  <si>
    <t>Pinturas</t>
  </si>
  <si>
    <t>Valdosas</t>
  </si>
  <si>
    <t>Bloques</t>
  </si>
  <si>
    <t>Arena</t>
  </si>
  <si>
    <t>Piedras</t>
  </si>
  <si>
    <t>Readecuación de los Espacios Físicos</t>
  </si>
  <si>
    <t>Mano de Obra</t>
  </si>
  <si>
    <t>Cementos</t>
  </si>
  <si>
    <t>Electricidad</t>
  </si>
  <si>
    <t>Tuberia y Desague</t>
  </si>
  <si>
    <t>CARGO</t>
  </si>
  <si>
    <t>PUESTOS</t>
  </si>
  <si>
    <t>SALRIO MENSUAL</t>
  </si>
  <si>
    <t>SALARIO MENSUAL BRUTO</t>
  </si>
  <si>
    <t>SALARIO ANUAL NETO</t>
  </si>
  <si>
    <t>SALARIO MENSUAL NETO</t>
  </si>
  <si>
    <t>Gerentes</t>
  </si>
  <si>
    <t>Asistentes</t>
  </si>
  <si>
    <t>Vendedores</t>
  </si>
  <si>
    <t>Chofer</t>
  </si>
  <si>
    <t>Operarios</t>
  </si>
  <si>
    <t>Despachador-Bodeguero</t>
  </si>
  <si>
    <t>Limpieza y Mantenimiento</t>
  </si>
  <si>
    <t>TOTAL SUELDOS</t>
  </si>
  <si>
    <t>APORTACIONES A IESS</t>
  </si>
  <si>
    <t>TRABAJADORES</t>
  </si>
  <si>
    <t>SUELDO NOMINAL</t>
  </si>
  <si>
    <t>APORTACION PATRONAL 12.15%</t>
  </si>
  <si>
    <t>DECIMO TERCER SUELDO</t>
  </si>
  <si>
    <t>DECIMO CUARTO SUELDO</t>
  </si>
  <si>
    <t>SUELDO ANUAL NETO</t>
  </si>
  <si>
    <t>SUELDO MENSUAL NETO</t>
  </si>
  <si>
    <t>Asistente de Marketing</t>
  </si>
  <si>
    <t>Vendedor</t>
  </si>
  <si>
    <t>Impulsadora</t>
  </si>
  <si>
    <t>Gerente General</t>
  </si>
  <si>
    <t>Obrero 3</t>
  </si>
  <si>
    <t>Choferes</t>
  </si>
  <si>
    <t>PRESTAMO</t>
  </si>
  <si>
    <t>Capital Inicial</t>
  </si>
  <si>
    <t>Periodo de Pago</t>
  </si>
  <si>
    <t>Numero Total de Cuotas</t>
  </si>
  <si>
    <t>Interés del Préstamo</t>
  </si>
  <si>
    <t>PERIODO</t>
  </si>
  <si>
    <t>CUOTA</t>
  </si>
  <si>
    <t>INTERÉS</t>
  </si>
  <si>
    <t>AMORTIZACION</t>
  </si>
  <si>
    <t>CAPITAL AMORTIZADO</t>
  </si>
  <si>
    <t>CAPITAL VIVO</t>
  </si>
  <si>
    <t>Obrero 1</t>
  </si>
  <si>
    <t>Obrero 2</t>
  </si>
  <si>
    <t>Obrero 4</t>
  </si>
  <si>
    <t>Obrero 5</t>
  </si>
  <si>
    <t>Obrero 6</t>
  </si>
  <si>
    <t>Gerente Produccion</t>
  </si>
  <si>
    <t>Gerente Marketing y Ventas</t>
  </si>
  <si>
    <t>Gerente Contabilidad y Finanzas</t>
  </si>
  <si>
    <t>Asistente Contable</t>
  </si>
  <si>
    <t>Obrero 7</t>
  </si>
  <si>
    <t>Obrero 8</t>
  </si>
  <si>
    <t>Obrero 9</t>
  </si>
  <si>
    <t>Chofer 2</t>
  </si>
  <si>
    <t>Metodo Contable</t>
  </si>
  <si>
    <t>Cantidad</t>
  </si>
  <si>
    <t>Activo</t>
  </si>
  <si>
    <t>Valor de Compra</t>
  </si>
  <si>
    <t>Vida Util</t>
  </si>
  <si>
    <t>Depreciacion Anual</t>
  </si>
  <si>
    <t>Años Depreciandose</t>
  </si>
  <si>
    <t>Depreciacion Acumulada</t>
  </si>
  <si>
    <t>Valor  en Libros</t>
  </si>
  <si>
    <t xml:space="preserve">Depreciacion Mensual </t>
  </si>
  <si>
    <t>Maquinarias Pesadas</t>
  </si>
  <si>
    <t>Maquinarias Livianas</t>
  </si>
  <si>
    <t>Computadoras</t>
  </si>
  <si>
    <t>Vehiculo</t>
  </si>
  <si>
    <t>Aires Acondicionados</t>
  </si>
  <si>
    <t>Telefonos/Impresoras</t>
  </si>
  <si>
    <t>Muebles y Enseres</t>
  </si>
  <si>
    <t>Depreciación Anual de Activos</t>
  </si>
  <si>
    <t>Valor de Desecho</t>
  </si>
  <si>
    <t>Maquinaria</t>
  </si>
  <si>
    <t>Tipo</t>
  </si>
  <si>
    <t>Costo</t>
  </si>
  <si>
    <t>Total</t>
  </si>
  <si>
    <t>Valor de Salvamento en 10 años</t>
  </si>
  <si>
    <t>Pesada</t>
  </si>
  <si>
    <t>Maquinarias Pesada 35%</t>
  </si>
  <si>
    <t>Maquinarias Livianas  20%</t>
  </si>
  <si>
    <t>Muebles 15%</t>
  </si>
  <si>
    <t>Liviana</t>
  </si>
  <si>
    <t>Metodo Comercial</t>
  </si>
  <si>
    <t>Ventas al Valor Mercado</t>
  </si>
  <si>
    <t>Ventas</t>
  </si>
  <si>
    <t>Valor Libros</t>
  </si>
  <si>
    <t>Utilidad</t>
  </si>
  <si>
    <t>Impuesto 25%</t>
  </si>
  <si>
    <t>Utilidad Neta</t>
  </si>
  <si>
    <t>Valor Desecho</t>
  </si>
  <si>
    <t>Poblacion Guayaquil</t>
  </si>
  <si>
    <t>% de Personas entre 15 a 40 años</t>
  </si>
  <si>
    <t>Poblacion de Gquil entre 15 a 40 años</t>
  </si>
  <si>
    <t>% Personas con ingresos Promedios</t>
  </si>
  <si>
    <t>Poblacion gquil de entre 15 a 40 años con ingresos promedios y altos</t>
  </si>
  <si>
    <t>% Personas que consumirian un helado saludable</t>
  </si>
  <si>
    <t>Poblacion…..</t>
  </si>
  <si>
    <t>% personas que se preocupan por su figura</t>
  </si>
  <si>
    <t>% Personas que gustan de helados a base de frutas</t>
  </si>
  <si>
    <t>% Personas que estan dispuesta a consumir helados a base de frutas exoticas</t>
  </si>
  <si>
    <t>% Personas Dispuestas a consumirlo en la presentacion de vasito 140 ml</t>
  </si>
  <si>
    <t>% Personas Dispuestas a pagar entre 0,50 a 0,99 por el vasito</t>
  </si>
  <si>
    <t>Semanas</t>
  </si>
  <si>
    <t>Demanda Mensual de Helados</t>
  </si>
  <si>
    <t>% de Frecuencia de consumo de helados según tabla cruzada</t>
  </si>
  <si>
    <t>% Frecuencia de consumo de helados según resultados de pregunta</t>
  </si>
  <si>
    <t>Estimación Mensual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</si>
  <si>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</si>
  <si>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</si>
  <si>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</si>
  <si>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</si>
  <si>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</si>
  <si>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</si>
  <si>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</si>
  <si>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</si>
  <si>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</si>
  <si>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</si>
  <si>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</si>
  <si>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</si>
  <si>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Gastos de Administración</t>
  </si>
  <si>
    <t>Sueldo de Personal Administrativo</t>
  </si>
  <si>
    <t>Asistente Financiero</t>
  </si>
  <si>
    <t xml:space="preserve">Total </t>
  </si>
  <si>
    <t>Gastos de Publicidad</t>
  </si>
  <si>
    <t>Ponderacion</t>
  </si>
  <si>
    <t xml:space="preserve">Vallas Publicitarias Gigantes </t>
  </si>
  <si>
    <t>Televisión</t>
  </si>
  <si>
    <t>Diarios</t>
  </si>
  <si>
    <t>Fondos para la Publicidad de la Marca</t>
  </si>
  <si>
    <t>Total de Gastos de Publicidad</t>
  </si>
  <si>
    <t>Gastos de Ventas</t>
  </si>
  <si>
    <t>Total Gastos de Ventas</t>
  </si>
  <si>
    <t>Materiales Almacenamiento y Distribución</t>
  </si>
  <si>
    <t>Rollos adhesivos</t>
  </si>
  <si>
    <t>Cajas de Carton</t>
  </si>
  <si>
    <t>Total Gastos Materiales AD</t>
  </si>
  <si>
    <t>Sueldo Personal Almacenamiento y Distribución</t>
  </si>
  <si>
    <t>Total Gastos AD</t>
  </si>
  <si>
    <t>Gastos de Servicios Básicos</t>
  </si>
  <si>
    <t>Agua Potable</t>
  </si>
  <si>
    <t>Luz</t>
  </si>
  <si>
    <t>Otros Gastos de Operación</t>
  </si>
  <si>
    <t>Servicio de internet</t>
  </si>
  <si>
    <t>Servicio de telefonia</t>
  </si>
  <si>
    <t>Diesel</t>
  </si>
  <si>
    <t>Lubricantes</t>
  </si>
  <si>
    <t>Materiales de Mantenimiento</t>
  </si>
  <si>
    <t>Total OGO</t>
  </si>
  <si>
    <t>Inflación Mensual</t>
  </si>
  <si>
    <t>Incremento porcentual Inflación</t>
  </si>
  <si>
    <t>Inflación Anual</t>
  </si>
  <si>
    <t>Incremento salarial mensual</t>
  </si>
  <si>
    <t>Incremento Anual de Arriendo</t>
  </si>
  <si>
    <t>Gastos de Constitución</t>
  </si>
  <si>
    <t>Detalle</t>
  </si>
  <si>
    <t>Permiso Cuerpo de Bomberos</t>
  </si>
  <si>
    <t xml:space="preserve">Solicitud Tasa Habitacional </t>
  </si>
  <si>
    <t>Permiso Municipal por el Uso del Suelo</t>
  </si>
  <si>
    <t>Compra de Compañía Constituida</t>
  </si>
  <si>
    <t>Honorarios de Abogados</t>
  </si>
  <si>
    <t>Previsión Anual para Gastos de Publicidad</t>
  </si>
  <si>
    <t>Ponderación</t>
  </si>
  <si>
    <t>Año 1 - 2</t>
  </si>
  <si>
    <t>Año 3 - 6</t>
  </si>
  <si>
    <t>Año 7 - 10</t>
  </si>
  <si>
    <t>Estimación Anual</t>
  </si>
  <si>
    <t>Gastos de Materiales Almacenamiento y Distribución</t>
  </si>
  <si>
    <t>Gastos Personal Almacenamiento y Distribución</t>
  </si>
  <si>
    <t>Total Gastos</t>
  </si>
  <si>
    <t>Gerente</t>
  </si>
  <si>
    <t>Gerente  de Produccion</t>
  </si>
  <si>
    <t>Gerente Financiero y Contabilidad</t>
  </si>
  <si>
    <t xml:space="preserve">Vallas Gigantes </t>
  </si>
  <si>
    <t>Año 2012</t>
  </si>
  <si>
    <t>Febrero-29-2012</t>
  </si>
  <si>
    <t>Enero-31-2012</t>
  </si>
  <si>
    <t>Diciembre-31-2011</t>
  </si>
  <si>
    <t>Noviembre-30-2011</t>
  </si>
  <si>
    <t>Octubre-31-2011</t>
  </si>
  <si>
    <t>Septiembre-30-2011</t>
  </si>
  <si>
    <t>Agosto-31-2011</t>
  </si>
  <si>
    <t>Julio-31-2011</t>
  </si>
  <si>
    <t>Junio-30-2011</t>
  </si>
  <si>
    <t>Mayo-31-2011</t>
  </si>
  <si>
    <t>Abril-30-2011</t>
  </si>
  <si>
    <t>Marzo-31-2011</t>
  </si>
  <si>
    <t>Febrero-28-2011</t>
  </si>
  <si>
    <t>Enero-31-2011</t>
  </si>
  <si>
    <t>Diciembre-31-2010</t>
  </si>
  <si>
    <t>Noviembre-30-2010</t>
  </si>
  <si>
    <t>Octubre-31-2010</t>
  </si>
  <si>
    <t>Septiembre-30-2010</t>
  </si>
  <si>
    <t>Agosto-31-2010</t>
  </si>
  <si>
    <t>Julio-31-2010</t>
  </si>
  <si>
    <t>Junio-30-2010</t>
  </si>
  <si>
    <t>Mayo-31-2010</t>
  </si>
  <si>
    <t>Abril-30-2010</t>
  </si>
  <si>
    <t>Marzo-31-2010</t>
  </si>
  <si>
    <t>Enero-31-2010</t>
  </si>
  <si>
    <t>Febrero-31-2010</t>
  </si>
  <si>
    <t>Cartones</t>
  </si>
  <si>
    <t>Enero</t>
  </si>
  <si>
    <t>Gasto de Arriendo</t>
  </si>
  <si>
    <t>Incremento salarial anual a partir del 2do año</t>
  </si>
  <si>
    <t>Variacion de Inflacion</t>
  </si>
  <si>
    <t>Gastos de Alquiler</t>
  </si>
  <si>
    <t>Arriendo</t>
  </si>
  <si>
    <t>Mensual</t>
  </si>
  <si>
    <t xml:space="preserve">                                              costos para un helado de noni de 140 ml</t>
  </si>
  <si>
    <t>ingredientes</t>
  </si>
  <si>
    <t>gr</t>
  </si>
  <si>
    <t>ml</t>
  </si>
  <si>
    <t>costo por gramo</t>
  </si>
  <si>
    <t>costo por ml</t>
  </si>
  <si>
    <t>costo total</t>
  </si>
  <si>
    <t>frutilla</t>
  </si>
  <si>
    <t>noni (pulpa)</t>
  </si>
  <si>
    <t>mora</t>
  </si>
  <si>
    <t>azucar</t>
  </si>
  <si>
    <t>limon</t>
  </si>
  <si>
    <t>agua</t>
  </si>
  <si>
    <t xml:space="preserve">                                                   costo para un helado de aguacate de 140 ml</t>
  </si>
  <si>
    <t>gr.</t>
  </si>
  <si>
    <t>aguacate</t>
  </si>
  <si>
    <t xml:space="preserve">                                                   costo para un helado de kiwi de 140 ml</t>
  </si>
  <si>
    <t>Kiwi</t>
  </si>
  <si>
    <t>Endulzante</t>
  </si>
  <si>
    <t>Limon</t>
  </si>
  <si>
    <t xml:space="preserve">                                                   costo para un helado de pitahaya de 140 ml</t>
  </si>
  <si>
    <t>Pitahaya</t>
  </si>
  <si>
    <t>Datos Generales de Planta</t>
  </si>
  <si>
    <t>Porcentajes</t>
  </si>
  <si>
    <t>Unidades</t>
  </si>
  <si>
    <t>Capacidad instalada</t>
  </si>
  <si>
    <t>Capacidad utilizada</t>
  </si>
  <si>
    <t>Pérdidas</t>
  </si>
  <si>
    <t>Produccion Neta</t>
  </si>
  <si>
    <t>Produccion Mensual</t>
  </si>
  <si>
    <t>Oferta</t>
  </si>
  <si>
    <t>febrero</t>
  </si>
  <si>
    <t>Incremento Mensual</t>
  </si>
  <si>
    <t>Produccion Anual</t>
  </si>
  <si>
    <t>Incremento Anual</t>
  </si>
  <si>
    <t>Datos Generales del Mercado Guayaquileño</t>
  </si>
  <si>
    <t>Anual</t>
  </si>
  <si>
    <t>Demanda Potencial</t>
  </si>
  <si>
    <t>Factor de Captación de Mercado</t>
  </si>
  <si>
    <t xml:space="preserve">Demanda Meta </t>
  </si>
  <si>
    <t>Demanda</t>
  </si>
  <si>
    <t>Demanda Mensual</t>
  </si>
  <si>
    <t>Incremento Poblacional</t>
  </si>
  <si>
    <t>Incremento Demanda</t>
  </si>
  <si>
    <t>Demanda Anual</t>
  </si>
  <si>
    <t>Detalles de Producción</t>
  </si>
  <si>
    <t>unidades.</t>
  </si>
  <si>
    <t>cajas</t>
  </si>
  <si>
    <t>1 caja</t>
  </si>
  <si>
    <t>Peso por unidad (envase)</t>
  </si>
  <si>
    <t>Pesos de Materia Prima en Producto Terminado</t>
  </si>
  <si>
    <t>Costos Variables</t>
  </si>
  <si>
    <t>Materia Prima</t>
  </si>
  <si>
    <t>Unidades en grs.</t>
  </si>
  <si>
    <t>Costo Unitario en dolares</t>
  </si>
  <si>
    <t>Agua</t>
  </si>
  <si>
    <t>Costo Unitario</t>
  </si>
  <si>
    <t xml:space="preserve">Cantidad </t>
  </si>
  <si>
    <t>Unidad/mes</t>
  </si>
  <si>
    <t>Subtotal</t>
  </si>
  <si>
    <t>envases/mes</t>
  </si>
  <si>
    <t>Mililitros</t>
  </si>
  <si>
    <t xml:space="preserve">si tomamos en consideración que 1 litro de agua si lo colocas </t>
  </si>
  <si>
    <t xml:space="preserve">en una bascula pesara 1 kg, y un litro de agua tiene 1000 </t>
  </si>
  <si>
    <t xml:space="preserve">mililitros y un kilo tiene 1000 gramos, pues entonces </t>
  </si>
  <si>
    <t>Gramos</t>
  </si>
  <si>
    <t xml:space="preserve">después de este análisis considero que 140 mililitros de </t>
  </si>
  <si>
    <t>agua son 140 gramos.</t>
  </si>
  <si>
    <t>Noni</t>
  </si>
  <si>
    <t>Aguacate</t>
  </si>
  <si>
    <t>Costo por Unidad</t>
  </si>
  <si>
    <t>Precios Caja 18 kg</t>
  </si>
  <si>
    <t>Frutas Exoticas</t>
  </si>
  <si>
    <t>Frutas Adicionales</t>
  </si>
  <si>
    <t>Mora</t>
  </si>
  <si>
    <t>Frutilla</t>
  </si>
  <si>
    <t>Endulzantes</t>
  </si>
  <si>
    <t>Costo Ponderado por Frutas</t>
  </si>
  <si>
    <t>Costos de Producción</t>
  </si>
  <si>
    <t>Costos proyectados de Materia Prima</t>
  </si>
  <si>
    <t>Materia Prima Mensual</t>
  </si>
  <si>
    <t xml:space="preserve">Costos Variables </t>
  </si>
  <si>
    <t>Materia Prima Anual</t>
  </si>
  <si>
    <t>Proyección Mensual de Costos Variables de Producción del 2012</t>
  </si>
  <si>
    <t>Proyección Anual de Costos Variables de Producción del 2012</t>
  </si>
  <si>
    <t>Costos Fijos</t>
  </si>
  <si>
    <t>Mano de Obra Directa</t>
  </si>
  <si>
    <t>Operario</t>
  </si>
  <si>
    <t>Total Costos MOD</t>
  </si>
  <si>
    <t xml:space="preserve">Costo Unitario MOD </t>
  </si>
  <si>
    <t>Costo Unitario de Producción</t>
  </si>
  <si>
    <t>Proyección Mensual de Costos Fijos de Produccón del 2012</t>
  </si>
  <si>
    <t xml:space="preserve">Abril </t>
  </si>
  <si>
    <t xml:space="preserve">Agosto </t>
  </si>
  <si>
    <t>Costo Fijos Proyectados</t>
  </si>
  <si>
    <t>Incremento Salarial Mensual</t>
  </si>
  <si>
    <t>Proyección Anual Costos Fijos de Producción</t>
  </si>
  <si>
    <t>Incremento Salarial Anual</t>
  </si>
  <si>
    <t>Mano de obra directa e indirecta</t>
  </si>
  <si>
    <t>Mensuales</t>
  </si>
  <si>
    <t>Costos Totales de Producción</t>
  </si>
  <si>
    <t>Costos Unitarios Mensuales</t>
  </si>
  <si>
    <t xml:space="preserve"> Anuales</t>
  </si>
  <si>
    <t>Costos Unitarios Anuales</t>
  </si>
  <si>
    <t>Descripción del Producto</t>
  </si>
  <si>
    <t>Precios de la Competencia</t>
  </si>
  <si>
    <t>Cálculo de Ingresos Esperados x envase vendidos</t>
  </si>
  <si>
    <t>Precio de Base Comparativa</t>
  </si>
  <si>
    <t>Margen Ganancia sobre Costos de Producción</t>
  </si>
  <si>
    <t>Precio de Venta</t>
  </si>
  <si>
    <t>Margen de Utilidad x producto vendido</t>
  </si>
  <si>
    <t>Precio Venta al Público</t>
  </si>
  <si>
    <t>IVA</t>
  </si>
  <si>
    <t>Precio al Consumidor</t>
  </si>
  <si>
    <t>Presentacion 140 ml</t>
  </si>
  <si>
    <t>Ginos</t>
  </si>
  <si>
    <t>Pingüino</t>
  </si>
  <si>
    <t>Topsy</t>
  </si>
  <si>
    <t>Fragola</t>
  </si>
  <si>
    <t>IceDream</t>
  </si>
  <si>
    <t>Ingresos por Ventas</t>
  </si>
  <si>
    <t>Ingresos Unitarios por Ventas</t>
  </si>
  <si>
    <t>Ingresos por Ventas bajo el efecto inflacionario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</si>
  <si>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</si>
  <si>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</si>
  <si>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</si>
  <si>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</si>
  <si>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</si>
  <si>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</si>
  <si>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</si>
  <si>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</si>
  <si>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</si>
  <si>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</si>
  <si>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Beneficios</t>
  </si>
  <si>
    <t>Ingresos</t>
  </si>
  <si>
    <t>Costos</t>
  </si>
  <si>
    <t>Gastos</t>
  </si>
  <si>
    <t>Operativos</t>
  </si>
  <si>
    <t>Gastos de Almacenamiento y Distribución</t>
  </si>
  <si>
    <t>Gastos de Arriendo Pta y Ofcs.</t>
  </si>
  <si>
    <t>Depreciacion Mensual</t>
  </si>
  <si>
    <t>Total Operativos</t>
  </si>
  <si>
    <t>No operativos</t>
  </si>
  <si>
    <t>Gastos de Publicidad y Promoción</t>
  </si>
  <si>
    <t>Gasto de Interes Mensual</t>
  </si>
  <si>
    <t>Total no Operativos</t>
  </si>
  <si>
    <t>Flujo Acumulado</t>
  </si>
  <si>
    <t>Uni/Hora</t>
  </si>
  <si>
    <t>Uni/Dia</t>
  </si>
  <si>
    <t>Uni/Semana</t>
  </si>
  <si>
    <t>Uni/Anual</t>
  </si>
  <si>
    <t>Uni Mensual</t>
  </si>
  <si>
    <t>FLUJO DE CAJA</t>
  </si>
  <si>
    <t>VALOR DE DESECHO ( + )</t>
  </si>
  <si>
    <t>RECUPERACION DE CAPITAL DE TRABAJO ( + )</t>
  </si>
  <si>
    <t>PAGO DE LA DEUDA ( - )</t>
  </si>
  <si>
    <t>REINVERSIÓN EN ACTIVOS FIJOS ( - )</t>
  </si>
  <si>
    <t>PRÉSTAMO</t>
  </si>
  <si>
    <t>INVERSION DE CAPITAL DE TRABAJO ( - )</t>
  </si>
  <si>
    <t>Equipos de Oficina</t>
  </si>
  <si>
    <t>Equipos de Distribución</t>
  </si>
  <si>
    <t>Equipos de Producción</t>
  </si>
  <si>
    <t>Preadecuación del Espacio Físico</t>
  </si>
  <si>
    <t>Arriendo de Planta y Oficinas(garantía y anticipos)</t>
  </si>
  <si>
    <t>Infrastructura</t>
  </si>
  <si>
    <t>ACTIVOS FIJOS</t>
  </si>
  <si>
    <t>Gastos por Constitución de la Empresa</t>
  </si>
  <si>
    <t>INVERSIÓN INICIAL (- )</t>
  </si>
  <si>
    <t>Amortización de Gastos de Constitución</t>
  </si>
  <si>
    <t>Depreciación</t>
  </si>
  <si>
    <t>UTILIDAD NETA</t>
  </si>
  <si>
    <t>Impuesto a la Renta (24%)</t>
  </si>
  <si>
    <t>UTILIDAD ANTES DE IMPTOS</t>
  </si>
  <si>
    <t>Interes (9,5%)</t>
  </si>
  <si>
    <t>UTILIDAD OPERATIVA</t>
  </si>
  <si>
    <t>GASTOS OPERATIVOS</t>
  </si>
  <si>
    <t>UTILIDAD BRUTA</t>
  </si>
  <si>
    <t>COSTO FIJO ( - )</t>
  </si>
  <si>
    <t>Costos de Materia Prima</t>
  </si>
  <si>
    <t>COSTO VARIABLE ( - )</t>
  </si>
  <si>
    <t>INGRESOS ( + )</t>
  </si>
  <si>
    <t>Año 0</t>
  </si>
  <si>
    <t>DESCRIPCION</t>
  </si>
  <si>
    <t>ESTADO DE RESULTADOS Y FLUJO DE CAJA</t>
  </si>
  <si>
    <t>PAYBACK</t>
  </si>
  <si>
    <t>TIR</t>
  </si>
  <si>
    <t>VAN</t>
  </si>
  <si>
    <t>Participacion de Utilidades (__%)</t>
  </si>
  <si>
    <t>Años</t>
  </si>
  <si>
    <t>Impresoras</t>
  </si>
  <si>
    <t>Calendario de inversion</t>
  </si>
  <si>
    <t>Ke = rf + β (rm – rf )</t>
  </si>
  <si>
    <t>Rf</t>
  </si>
  <si>
    <t>tasa de bonos de EEUU de 10 años</t>
  </si>
  <si>
    <t>Rm</t>
  </si>
  <si>
    <t>Rendimiento de mercado de industria de alimentos procesados de los EEUU. Calculado con el expected growth</t>
  </si>
  <si>
    <t>http://pages.stern.nyu.edu/~adamodar/</t>
  </si>
  <si>
    <t>β</t>
  </si>
  <si>
    <t>beta desapalancada de la industria de alimentos procesados de los EEUU. Dato obtenido de pagina de DamoDaran</t>
  </si>
  <si>
    <t>http://pages.stern.nyu.edu/~adamodar/New_Home_Page/data.html</t>
  </si>
  <si>
    <t>Rp</t>
  </si>
  <si>
    <t>Riesgo pais</t>
  </si>
  <si>
    <t>Riesgo pais del 26 de marzo del 2012</t>
  </si>
  <si>
    <t>http://www.bce.fin.ec/resumen_ticker.php?ticker_value=riesgo_pais</t>
  </si>
  <si>
    <t>TMAR</t>
  </si>
  <si>
    <t>Resumen de escenario</t>
  </si>
  <si>
    <t>Valores actuales:</t>
  </si>
  <si>
    <t>Celdas cambiantes:</t>
  </si>
  <si>
    <t>Celdas de resultado:</t>
  </si>
  <si>
    <t>Notas: La columna de valores actuales representa los valores de las celdas cambiantes</t>
  </si>
  <si>
    <t>en el momento en que se creó el Informe resumen de escenario. Las celdas cambiantes de</t>
  </si>
  <si>
    <t>cada escenario se muestran en gris.</t>
  </si>
  <si>
    <t>Ingresos!$B$44</t>
  </si>
  <si>
    <t>Flujo de Caja!$D$88</t>
  </si>
  <si>
    <t>Precio</t>
  </si>
  <si>
    <t>CAPM!$B$44</t>
  </si>
  <si>
    <t>Endulzates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</si>
</sst>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$&quot;#,##0.00"/>
    <numFmt numFmtId="167" formatCode="&quot;$&quot;\ #,##0.00"/>
    <numFmt numFmtId="168" formatCode="0.0%"/>
    <numFmt numFmtId="169" formatCode="_([$$-300A]\ * #,##0.00_);_([$$-300A]\ * \(#,##0.00\);_([$$-300A]\ * &quot;-&quot;??_);_(@_)"/>
    <numFmt numFmtId="170" formatCode="_([$$-300A]\ * #,##0_);_([$$-300A]\ * \(#,##0\);_([$$-300A]\ * &quot;-&quot;??_);_(@_)"/>
    <numFmt numFmtId="171" formatCode="&quot;$&quot;#,##0"/>
    <numFmt numFmtId="172" formatCode="&quot;$&quot;\ #,##0"/>
    <numFmt numFmtId="173" formatCode="_(&quot;$&quot;\ * #,##0_);_(&quot;$&quot;\ * \(#,##0\);_(&quot;$&quot;\ * &quot;-&quot;??_);_(@_)"/>
    <numFmt numFmtId="174" formatCode="_(&quot;$&quot;* #,##0.00_);_(&quot;$&quot;* \(#,##0.00\);_(&quot;$&quot;* &quot;-&quot;??_);_(@_)"/>
    <numFmt numFmtId="175" formatCode="0.0000%"/>
    <numFmt numFmtId="176" formatCode="_(* #,##0_);_(* \(#,##0\);_(* &quot;-&quot;??_);_(@_)"/>
    <numFmt numFmtId="177" formatCode="#,##0.00\ _€"/>
    <numFmt numFmtId="178" formatCode="[$$-300A]\ #,##0.00"/>
    <numFmt numFmtId="179" formatCode="[$$-300A]\ #,##0"/>
    <numFmt numFmtId="180" formatCode="&quot;$&quot;#,##0.00;\-&quot;$&quot;#,##0.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9"/>
      <name val="Calibri"/>
      <family val="2"/>
    </font>
    <font>
      <b/>
      <sz val="11"/>
      <color indexed="8"/>
      <name val="Calibri"/>
      <family val="2"/>
    </font>
    <font>
      <b/>
      <u/>
      <sz val="16"/>
      <color indexed="8"/>
      <name val="Calibri"/>
      <family val="2"/>
    </font>
    <font>
      <b/>
      <u/>
      <sz val="16"/>
      <color indexed="8"/>
      <name val="Arial Narrow"/>
      <family val="2"/>
    </font>
    <font>
      <sz val="11"/>
      <color indexed="8"/>
      <name val="Arial Narrow"/>
      <family val="2"/>
    </font>
    <font>
      <b/>
      <sz val="8"/>
      <color indexed="9"/>
      <name val="Arial Narrow"/>
      <family val="2"/>
    </font>
    <font>
      <sz val="11"/>
      <name val="Calibri"/>
      <family val="2"/>
      <scheme val="minor"/>
    </font>
    <font>
      <b/>
      <u/>
      <sz val="16"/>
      <color theme="1"/>
      <name val="Arial Narrow"/>
      <family val="2"/>
    </font>
    <font>
      <b/>
      <sz val="11"/>
      <name val="Calibri"/>
      <family val="2"/>
      <scheme val="minor"/>
    </font>
    <font>
      <b/>
      <sz val="11"/>
      <color theme="1"/>
      <name val="Arial Narrow"/>
      <family val="2"/>
    </font>
    <font>
      <sz val="7.5"/>
      <color rgb="FF820024"/>
      <name val="Verdana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31849B"/>
      <name val="Arial Narrow"/>
      <family val="2"/>
    </font>
    <font>
      <sz val="14"/>
      <color theme="1"/>
      <name val="Arial Narrow"/>
      <family val="2"/>
    </font>
    <font>
      <sz val="10"/>
      <color rgb="FF333333"/>
      <name val="Arial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sz val="22"/>
      <color theme="1"/>
      <name val="Arial Narrow"/>
      <family val="2"/>
    </font>
    <font>
      <sz val="12"/>
      <color theme="0"/>
      <name val="Arial Narrow"/>
      <family val="2"/>
    </font>
    <font>
      <b/>
      <sz val="22"/>
      <color theme="0"/>
      <name val="Arial Narrow"/>
      <family val="2"/>
    </font>
    <font>
      <sz val="16"/>
      <color theme="0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0"/>
      <name val="Arial"/>
      <family val="2"/>
    </font>
    <font>
      <b/>
      <sz val="11"/>
      <color rgb="FFFFFF00"/>
      <name val="Arial Narrow"/>
      <family val="2"/>
    </font>
    <font>
      <b/>
      <sz val="28"/>
      <color theme="1"/>
      <name val="Arial Narrow"/>
      <family val="2"/>
    </font>
    <font>
      <b/>
      <sz val="26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theme="9" tint="-0.249977111117893"/>
        <bgColor indexed="7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5" fillId="0" borderId="0"/>
    <xf numFmtId="0" fontId="47" fillId="0" borderId="0" applyNumberFormat="0" applyFill="0" applyBorder="0" applyAlignment="0" applyProtection="0"/>
  </cellStyleXfs>
  <cellXfs count="72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170" fontId="7" fillId="0" borderId="2" xfId="0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70" fontId="9" fillId="0" borderId="2" xfId="3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72" fontId="7" fillId="0" borderId="3" xfId="0" applyNumberFormat="1" applyFont="1" applyBorder="1" applyAlignment="1">
      <alignment horizontal="center"/>
    </xf>
    <xf numFmtId="170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indent="14"/>
    </xf>
    <xf numFmtId="0" fontId="5" fillId="4" borderId="6" xfId="0" applyFont="1" applyFill="1" applyBorder="1" applyAlignment="1">
      <alignment horizontal="center"/>
    </xf>
    <xf numFmtId="172" fontId="5" fillId="4" borderId="6" xfId="0" applyNumberFormat="1" applyFont="1" applyFill="1" applyBorder="1" applyAlignment="1">
      <alignment horizontal="center"/>
    </xf>
    <xf numFmtId="170" fontId="6" fillId="4" borderId="6" xfId="0" applyNumberFormat="1" applyFont="1" applyFill="1" applyBorder="1" applyAlignment="1">
      <alignment horizontal="center"/>
    </xf>
    <xf numFmtId="44" fontId="6" fillId="4" borderId="6" xfId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170" fontId="7" fillId="0" borderId="6" xfId="0" applyNumberFormat="1" applyFont="1" applyBorder="1" applyAlignment="1">
      <alignment horizontal="center"/>
    </xf>
    <xf numFmtId="169" fontId="7" fillId="0" borderId="2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72" fontId="7" fillId="0" borderId="6" xfId="0" applyNumberFormat="1" applyFont="1" applyBorder="1" applyAlignment="1">
      <alignment horizontal="center"/>
    </xf>
    <xf numFmtId="173" fontId="6" fillId="4" borderId="6" xfId="1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 indent="14"/>
    </xf>
    <xf numFmtId="0" fontId="10" fillId="5" borderId="4" xfId="0" applyFont="1" applyFill="1" applyBorder="1"/>
    <xf numFmtId="172" fontId="10" fillId="5" borderId="4" xfId="0" applyNumberFormat="1" applyFont="1" applyFill="1" applyBorder="1"/>
    <xf numFmtId="170" fontId="8" fillId="5" borderId="4" xfId="0" applyNumberFormat="1" applyFont="1" applyFill="1" applyBorder="1" applyAlignment="1">
      <alignment horizontal="center"/>
    </xf>
    <xf numFmtId="167" fontId="7" fillId="0" borderId="6" xfId="0" applyNumberFormat="1" applyFont="1" applyBorder="1" applyAlignment="1">
      <alignment horizontal="center"/>
    </xf>
    <xf numFmtId="0" fontId="11" fillId="0" borderId="0" xfId="0" applyNumberFormat="1" applyFont="1" applyFill="1" applyBorder="1" applyAlignment="1" applyProtection="1"/>
    <xf numFmtId="0" fontId="11" fillId="0" borderId="15" xfId="0" applyNumberFormat="1" applyFont="1" applyFill="1" applyBorder="1" applyAlignment="1" applyProtection="1"/>
    <xf numFmtId="0" fontId="11" fillId="0" borderId="7" xfId="0" applyNumberFormat="1" applyFont="1" applyFill="1" applyBorder="1" applyAlignment="1" applyProtection="1">
      <alignment horizontal="center"/>
    </xf>
    <xf numFmtId="167" fontId="11" fillId="0" borderId="7" xfId="0" applyNumberFormat="1" applyFont="1" applyFill="1" applyBorder="1" applyAlignment="1" applyProtection="1">
      <alignment horizontal="center"/>
    </xf>
    <xf numFmtId="0" fontId="11" fillId="0" borderId="16" xfId="0" applyNumberFormat="1" applyFont="1" applyFill="1" applyBorder="1" applyAlignment="1" applyProtection="1"/>
    <xf numFmtId="167" fontId="11" fillId="0" borderId="17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1" fillId="0" borderId="10" xfId="0" applyNumberFormat="1" applyFont="1" applyFill="1" applyBorder="1" applyAlignment="1" applyProtection="1">
      <alignment horizontal="center"/>
    </xf>
    <xf numFmtId="0" fontId="11" fillId="0" borderId="18" xfId="0" applyNumberFormat="1" applyFont="1" applyFill="1" applyBorder="1" applyAlignment="1" applyProtection="1">
      <alignment horizont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170" fontId="11" fillId="0" borderId="7" xfId="0" applyNumberFormat="1" applyFont="1" applyFill="1" applyBorder="1" applyAlignment="1" applyProtection="1"/>
    <xf numFmtId="166" fontId="11" fillId="0" borderId="7" xfId="0" applyNumberFormat="1" applyFont="1" applyFill="1" applyBorder="1" applyAlignment="1" applyProtection="1">
      <alignment horizontal="center"/>
    </xf>
    <xf numFmtId="171" fontId="11" fillId="0" borderId="7" xfId="0" applyNumberFormat="1" applyFont="1" applyFill="1" applyBorder="1" applyAlignment="1" applyProtection="1">
      <alignment horizontal="center"/>
    </xf>
    <xf numFmtId="0" fontId="0" fillId="0" borderId="0" xfId="0"/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 wrapText="1"/>
    </xf>
    <xf numFmtId="171" fontId="13" fillId="5" borderId="7" xfId="0" applyNumberFormat="1" applyFont="1" applyFill="1" applyBorder="1" applyAlignment="1" applyProtection="1">
      <alignment horizontal="center"/>
    </xf>
    <xf numFmtId="166" fontId="13" fillId="5" borderId="7" xfId="0" applyNumberFormat="1" applyFont="1" applyFill="1" applyBorder="1" applyAlignment="1" applyProtection="1">
      <alignment horizontal="center"/>
    </xf>
    <xf numFmtId="0" fontId="11" fillId="3" borderId="14" xfId="0" applyNumberFormat="1" applyFont="1" applyFill="1" applyBorder="1" applyAlignment="1" applyProtection="1"/>
    <xf numFmtId="0" fontId="14" fillId="3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>
      <alignment horizontal="center"/>
    </xf>
    <xf numFmtId="168" fontId="3" fillId="0" borderId="26" xfId="0" applyNumberFormat="1" applyFont="1" applyFill="1" applyBorder="1" applyAlignment="1" applyProtection="1">
      <alignment horizontal="center"/>
    </xf>
    <xf numFmtId="166" fontId="3" fillId="0" borderId="27" xfId="0" applyNumberFormat="1" applyFont="1" applyFill="1" applyBorder="1" applyAlignment="1" applyProtection="1">
      <alignment horizontal="center"/>
    </xf>
    <xf numFmtId="166" fontId="3" fillId="0" borderId="28" xfId="0" applyNumberFormat="1" applyFont="1" applyFill="1" applyBorder="1" applyAlignment="1" applyProtection="1">
      <alignment horizontal="center"/>
    </xf>
    <xf numFmtId="166" fontId="3" fillId="0" borderId="29" xfId="0" applyNumberFormat="1" applyFont="1" applyFill="1" applyBorder="1" applyAlignment="1" applyProtection="1">
      <alignment horizontal="center"/>
    </xf>
    <xf numFmtId="0" fontId="18" fillId="5" borderId="19" xfId="0" applyNumberFormat="1" applyFont="1" applyFill="1" applyBorder="1" applyAlignment="1" applyProtection="1">
      <alignment horizontal="center" vertical="center" wrapText="1"/>
    </xf>
    <xf numFmtId="0" fontId="4" fillId="4" borderId="27" xfId="0" applyNumberFormat="1" applyFont="1" applyFill="1" applyBorder="1" applyAlignment="1" applyProtection="1">
      <alignment horizontal="center"/>
    </xf>
    <xf numFmtId="0" fontId="4" fillId="4" borderId="28" xfId="0" applyNumberFormat="1" applyFont="1" applyFill="1" applyBorder="1" applyAlignment="1" applyProtection="1">
      <alignment horizontal="center"/>
    </xf>
    <xf numFmtId="0" fontId="4" fillId="4" borderId="29" xfId="0" applyNumberFormat="1" applyFont="1" applyFill="1" applyBorder="1" applyAlignment="1" applyProtection="1">
      <alignment horizontal="center"/>
    </xf>
    <xf numFmtId="0" fontId="19" fillId="0" borderId="0" xfId="0" applyFont="1"/>
    <xf numFmtId="0" fontId="20" fillId="0" borderId="0" xfId="0" applyFont="1"/>
    <xf numFmtId="0" fontId="19" fillId="0" borderId="31" xfId="0" applyFont="1" applyBorder="1" applyAlignment="1">
      <alignment horizontal="center"/>
    </xf>
    <xf numFmtId="174" fontId="19" fillId="0" borderId="31" xfId="3" applyNumberFormat="1" applyFont="1" applyBorder="1"/>
    <xf numFmtId="0" fontId="19" fillId="0" borderId="31" xfId="0" applyFont="1" applyBorder="1"/>
    <xf numFmtId="44" fontId="19" fillId="0" borderId="31" xfId="0" applyNumberFormat="1" applyFont="1" applyBorder="1"/>
    <xf numFmtId="44" fontId="19" fillId="0" borderId="32" xfId="0" applyNumberFormat="1" applyFont="1" applyBorder="1"/>
    <xf numFmtId="44" fontId="19" fillId="0" borderId="7" xfId="0" applyNumberFormat="1" applyFont="1" applyBorder="1"/>
    <xf numFmtId="0" fontId="19" fillId="0" borderId="28" xfId="0" applyFont="1" applyBorder="1" applyAlignment="1">
      <alignment horizontal="center"/>
    </xf>
    <xf numFmtId="174" fontId="19" fillId="0" borderId="28" xfId="3" applyNumberFormat="1" applyFont="1" applyBorder="1"/>
    <xf numFmtId="0" fontId="19" fillId="0" borderId="28" xfId="0" applyFont="1" applyBorder="1"/>
    <xf numFmtId="44" fontId="19" fillId="0" borderId="28" xfId="0" applyNumberFormat="1" applyFont="1" applyBorder="1"/>
    <xf numFmtId="44" fontId="19" fillId="0" borderId="33" xfId="0" applyNumberFormat="1" applyFont="1" applyBorder="1"/>
    <xf numFmtId="174" fontId="19" fillId="0" borderId="3" xfId="3" applyNumberFormat="1" applyFont="1" applyBorder="1"/>
    <xf numFmtId="0" fontId="19" fillId="0" borderId="3" xfId="0" applyFont="1" applyBorder="1"/>
    <xf numFmtId="44" fontId="19" fillId="0" borderId="3" xfId="0" applyNumberFormat="1" applyFont="1" applyBorder="1"/>
    <xf numFmtId="44" fontId="19" fillId="0" borderId="34" xfId="0" applyNumberFormat="1" applyFont="1" applyBorder="1"/>
    <xf numFmtId="0" fontId="19" fillId="0" borderId="29" xfId="0" applyFont="1" applyBorder="1" applyAlignment="1">
      <alignment horizontal="center"/>
    </xf>
    <xf numFmtId="44" fontId="19" fillId="0" borderId="29" xfId="0" applyNumberFormat="1" applyFont="1" applyBorder="1"/>
    <xf numFmtId="0" fontId="19" fillId="0" borderId="29" xfId="0" applyFont="1" applyBorder="1"/>
    <xf numFmtId="44" fontId="19" fillId="0" borderId="35" xfId="0" applyNumberFormat="1" applyFont="1" applyBorder="1"/>
    <xf numFmtId="44" fontId="19" fillId="0" borderId="25" xfId="0" applyNumberFormat="1" applyFont="1" applyBorder="1"/>
    <xf numFmtId="44" fontId="21" fillId="0" borderId="4" xfId="0" applyNumberFormat="1" applyFont="1" applyBorder="1"/>
    <xf numFmtId="44" fontId="21" fillId="0" borderId="23" xfId="0" applyNumberFormat="1" applyFont="1" applyBorder="1"/>
    <xf numFmtId="44" fontId="21" fillId="0" borderId="30" xfId="0" applyNumberFormat="1" applyFont="1" applyBorder="1"/>
    <xf numFmtId="0" fontId="2" fillId="0" borderId="0" xfId="0" applyFont="1" applyBorder="1" applyAlignment="1">
      <alignment horizontal="center"/>
    </xf>
    <xf numFmtId="174" fontId="2" fillId="0" borderId="0" xfId="0" applyNumberFormat="1" applyFont="1" applyBorder="1" applyAlignment="1">
      <alignment horizontal="center"/>
    </xf>
    <xf numFmtId="44" fontId="19" fillId="0" borderId="0" xfId="0" applyNumberFormat="1" applyFont="1" applyBorder="1"/>
    <xf numFmtId="44" fontId="2" fillId="0" borderId="0" xfId="0" applyNumberFormat="1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44" fontId="2" fillId="0" borderId="22" xfId="0" applyNumberFormat="1" applyFont="1" applyBorder="1"/>
    <xf numFmtId="0" fontId="19" fillId="0" borderId="7" xfId="0" applyFont="1" applyBorder="1" applyAlignment="1">
      <alignment horizontal="center"/>
    </xf>
    <xf numFmtId="174" fontId="19" fillId="0" borderId="41" xfId="3" applyNumberFormat="1" applyFont="1" applyBorder="1"/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174" fontId="21" fillId="6" borderId="30" xfId="0" applyNumberFormat="1" applyFont="1" applyFill="1" applyBorder="1"/>
    <xf numFmtId="164" fontId="19" fillId="0" borderId="0" xfId="3" applyFont="1"/>
    <xf numFmtId="44" fontId="19" fillId="0" borderId="0" xfId="0" applyNumberFormat="1" applyFont="1"/>
    <xf numFmtId="44" fontId="19" fillId="0" borderId="27" xfId="0" applyNumberFormat="1" applyFont="1" applyBorder="1"/>
    <xf numFmtId="44" fontId="19" fillId="0" borderId="6" xfId="0" applyNumberFormat="1" applyFont="1" applyBorder="1"/>
    <xf numFmtId="44" fontId="19" fillId="0" borderId="30" xfId="0" applyNumberFormat="1" applyFont="1" applyBorder="1"/>
    <xf numFmtId="44" fontId="19" fillId="0" borderId="43" xfId="0" applyNumberFormat="1" applyFont="1" applyBorder="1"/>
    <xf numFmtId="0" fontId="21" fillId="0" borderId="0" xfId="0" applyFont="1"/>
    <xf numFmtId="0" fontId="2" fillId="3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 vertical="center"/>
    </xf>
    <xf numFmtId="44" fontId="21" fillId="4" borderId="4" xfId="0" applyNumberFormat="1" applyFont="1" applyFill="1" applyBorder="1"/>
    <xf numFmtId="44" fontId="21" fillId="4" borderId="7" xfId="0" applyNumberFormat="1" applyFont="1" applyFill="1" applyBorder="1"/>
    <xf numFmtId="44" fontId="21" fillId="6" borderId="30" xfId="0" applyNumberFormat="1" applyFont="1" applyFill="1" applyBorder="1"/>
    <xf numFmtId="0" fontId="7" fillId="0" borderId="7" xfId="0" applyFont="1" applyBorder="1" applyAlignment="1">
      <alignment horizontal="center" vertical="center"/>
    </xf>
    <xf numFmtId="174" fontId="19" fillId="0" borderId="7" xfId="3" applyNumberFormat="1" applyFont="1" applyBorder="1"/>
    <xf numFmtId="170" fontId="7" fillId="0" borderId="7" xfId="0" applyNumberFormat="1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170" fontId="7" fillId="0" borderId="2" xfId="0" applyNumberFormat="1" applyFont="1" applyBorder="1" applyAlignment="1"/>
    <xf numFmtId="0" fontId="0" fillId="0" borderId="0" xfId="0" applyAlignment="1">
      <alignment wrapText="1"/>
    </xf>
    <xf numFmtId="0" fontId="0" fillId="4" borderId="7" xfId="0" applyFill="1" applyBorder="1"/>
    <xf numFmtId="0" fontId="0" fillId="7" borderId="7" xfId="0" applyFill="1" applyBorder="1"/>
    <xf numFmtId="0" fontId="7" fillId="0" borderId="0" xfId="0" applyFont="1"/>
    <xf numFmtId="0" fontId="7" fillId="0" borderId="0" xfId="0" applyFont="1" applyBorder="1"/>
    <xf numFmtId="0" fontId="7" fillId="0" borderId="7" xfId="0" applyFont="1" applyBorder="1"/>
    <xf numFmtId="0" fontId="3" fillId="0" borderId="7" xfId="0" applyFont="1" applyFill="1" applyBorder="1"/>
    <xf numFmtId="0" fontId="3" fillId="0" borderId="14" xfId="0" applyFont="1" applyFill="1" applyBorder="1"/>
    <xf numFmtId="0" fontId="3" fillId="0" borderId="45" xfId="0" applyFont="1" applyFill="1" applyBorder="1"/>
    <xf numFmtId="0" fontId="7" fillId="0" borderId="16" xfId="0" applyFont="1" applyBorder="1"/>
    <xf numFmtId="174" fontId="3" fillId="0" borderId="45" xfId="0" applyNumberFormat="1" applyFont="1" applyFill="1" applyBorder="1"/>
    <xf numFmtId="0" fontId="4" fillId="0" borderId="7" xfId="0" applyFont="1" applyFill="1" applyBorder="1"/>
    <xf numFmtId="0" fontId="4" fillId="0" borderId="14" xfId="0" applyFont="1" applyFill="1" applyBorder="1"/>
    <xf numFmtId="174" fontId="4" fillId="0" borderId="45" xfId="0" applyNumberFormat="1" applyFont="1" applyFill="1" applyBorder="1"/>
    <xf numFmtId="0" fontId="3" fillId="0" borderId="7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9" fontId="3" fillId="0" borderId="7" xfId="0" applyNumberFormat="1" applyFont="1" applyFill="1" applyBorder="1"/>
    <xf numFmtId="44" fontId="3" fillId="0" borderId="14" xfId="0" applyNumberFormat="1" applyFont="1" applyFill="1" applyBorder="1"/>
    <xf numFmtId="9" fontId="4" fillId="0" borderId="0" xfId="4" applyFont="1" applyFill="1" applyBorder="1"/>
    <xf numFmtId="174" fontId="4" fillId="0" borderId="0" xfId="0" applyNumberFormat="1" applyFont="1" applyFill="1" applyBorder="1"/>
    <xf numFmtId="0" fontId="22" fillId="0" borderId="7" xfId="0" applyFont="1" applyBorder="1"/>
    <xf numFmtId="0" fontId="22" fillId="0" borderId="14" xfId="0" applyFont="1" applyBorder="1"/>
    <xf numFmtId="0" fontId="7" fillId="0" borderId="17" xfId="0" applyFont="1" applyBorder="1" applyAlignment="1">
      <alignment horizontal="left" vertical="center"/>
    </xf>
    <xf numFmtId="164" fontId="4" fillId="0" borderId="0" xfId="3" applyFont="1" applyBorder="1"/>
    <xf numFmtId="174" fontId="3" fillId="0" borderId="15" xfId="0" applyNumberFormat="1" applyFont="1" applyFill="1" applyBorder="1"/>
    <xf numFmtId="174" fontId="7" fillId="0" borderId="7" xfId="0" applyNumberFormat="1" applyFont="1" applyBorder="1"/>
    <xf numFmtId="174" fontId="4" fillId="0" borderId="0" xfId="0" applyNumberFormat="1" applyFont="1"/>
    <xf numFmtId="0" fontId="7" fillId="0" borderId="22" xfId="0" applyFont="1" applyBorder="1"/>
    <xf numFmtId="174" fontId="3" fillId="0" borderId="14" xfId="0" applyNumberFormat="1" applyFont="1" applyFill="1" applyBorder="1"/>
    <xf numFmtId="0" fontId="7" fillId="0" borderId="41" xfId="0" applyFont="1" applyBorder="1"/>
    <xf numFmtId="0" fontId="3" fillId="0" borderId="15" xfId="0" applyFont="1" applyFill="1" applyBorder="1"/>
    <xf numFmtId="0" fontId="7" fillId="0" borderId="15" xfId="0" applyFont="1" applyBorder="1"/>
    <xf numFmtId="0" fontId="3" fillId="0" borderId="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22" fillId="0" borderId="15" xfId="0" applyFont="1" applyBorder="1"/>
    <xf numFmtId="174" fontId="4" fillId="0" borderId="15" xfId="0" applyNumberFormat="1" applyFont="1" applyFill="1" applyBorder="1"/>
    <xf numFmtId="10" fontId="3" fillId="0" borderId="16" xfId="4" applyNumberFormat="1" applyFont="1" applyFill="1" applyBorder="1" applyAlignment="1">
      <alignment horizontal="right" vertical="center"/>
    </xf>
    <xf numFmtId="10" fontId="22" fillId="0" borderId="16" xfId="4" applyNumberFormat="1" applyFont="1" applyFill="1" applyBorder="1"/>
    <xf numFmtId="10" fontId="22" fillId="0" borderId="0" xfId="4" applyNumberFormat="1" applyFont="1" applyFill="1"/>
    <xf numFmtId="0" fontId="22" fillId="0" borderId="0" xfId="0" applyFont="1" applyFill="1"/>
    <xf numFmtId="0" fontId="7" fillId="0" borderId="0" xfId="0" applyFont="1" applyFill="1"/>
    <xf numFmtId="10" fontId="7" fillId="0" borderId="16" xfId="0" applyNumberFormat="1" applyFont="1" applyFill="1" applyBorder="1"/>
    <xf numFmtId="10" fontId="7" fillId="0" borderId="7" xfId="0" applyNumberFormat="1" applyFont="1" applyFill="1" applyBorder="1"/>
    <xf numFmtId="10" fontId="22" fillId="0" borderId="0" xfId="4" applyNumberFormat="1" applyFont="1"/>
    <xf numFmtId="0" fontId="22" fillId="0" borderId="14" xfId="0" applyFont="1" applyFill="1" applyBorder="1"/>
    <xf numFmtId="0" fontId="22" fillId="0" borderId="15" xfId="0" applyFont="1" applyFill="1" applyBorder="1"/>
    <xf numFmtId="0" fontId="22" fillId="0" borderId="0" xfId="0" applyFont="1"/>
    <xf numFmtId="9" fontId="7" fillId="0" borderId="13" xfId="0" applyNumberFormat="1" applyFont="1" applyBorder="1" applyAlignment="1">
      <alignment horizontal="center"/>
    </xf>
    <xf numFmtId="9" fontId="7" fillId="0" borderId="0" xfId="0" applyNumberFormat="1" applyFont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166" fontId="7" fillId="0" borderId="27" xfId="0" applyNumberFormat="1" applyFont="1" applyFill="1" applyBorder="1" applyAlignment="1">
      <alignment horizontal="center"/>
    </xf>
    <xf numFmtId="166" fontId="7" fillId="0" borderId="28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14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0" xfId="0" applyFont="1" applyBorder="1" applyAlignment="1"/>
    <xf numFmtId="44" fontId="3" fillId="0" borderId="7" xfId="0" applyNumberFormat="1" applyFont="1" applyFill="1" applyBorder="1"/>
    <xf numFmtId="9" fontId="3" fillId="0" borderId="0" xfId="0" applyNumberFormat="1" applyFont="1" applyFill="1" applyBorder="1"/>
    <xf numFmtId="44" fontId="3" fillId="0" borderId="0" xfId="0" applyNumberFormat="1" applyFont="1" applyFill="1" applyBorder="1"/>
    <xf numFmtId="169" fontId="3" fillId="0" borderId="7" xfId="3" applyNumberFormat="1" applyFont="1" applyFill="1" applyBorder="1"/>
    <xf numFmtId="174" fontId="3" fillId="0" borderId="7" xfId="0" applyNumberFormat="1" applyFont="1" applyFill="1" applyBorder="1"/>
    <xf numFmtId="9" fontId="3" fillId="0" borderId="0" xfId="4" applyFont="1" applyFill="1" applyBorder="1"/>
    <xf numFmtId="174" fontId="3" fillId="0" borderId="0" xfId="0" applyNumberFormat="1" applyFont="1" applyFill="1" applyBorder="1"/>
    <xf numFmtId="0" fontId="5" fillId="0" borderId="0" xfId="0" applyFont="1"/>
    <xf numFmtId="0" fontId="8" fillId="0" borderId="0" xfId="0" applyFont="1" applyFill="1" applyBorder="1" applyAlignment="1">
      <alignment horizontal="center" vertical="center"/>
    </xf>
    <xf numFmtId="174" fontId="3" fillId="0" borderId="16" xfId="0" applyNumberFormat="1" applyFont="1" applyFill="1" applyBorder="1"/>
    <xf numFmtId="174" fontId="4" fillId="0" borderId="16" xfId="0" applyNumberFormat="1" applyFont="1" applyFill="1" applyBorder="1"/>
    <xf numFmtId="0" fontId="8" fillId="2" borderId="7" xfId="0" applyFont="1" applyFill="1" applyBorder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22" fillId="4" borderId="7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4" borderId="46" xfId="0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 vertical="center"/>
    </xf>
    <xf numFmtId="0" fontId="8" fillId="2" borderId="19" xfId="0" applyFont="1" applyFill="1" applyBorder="1"/>
    <xf numFmtId="0" fontId="8" fillId="2" borderId="4" xfId="0" applyFont="1" applyFill="1" applyBorder="1"/>
    <xf numFmtId="0" fontId="8" fillId="2" borderId="13" xfId="0" applyFont="1" applyFill="1" applyBorder="1" applyAlignment="1">
      <alignment horizontal="center" vertical="center"/>
    </xf>
    <xf numFmtId="9" fontId="3" fillId="0" borderId="16" xfId="0" applyNumberFormat="1" applyFont="1" applyFill="1" applyBorder="1"/>
    <xf numFmtId="9" fontId="3" fillId="0" borderId="16" xfId="4" applyFont="1" applyFill="1" applyBorder="1"/>
    <xf numFmtId="0" fontId="23" fillId="9" borderId="7" xfId="0" applyFont="1" applyFill="1" applyBorder="1" applyAlignment="1">
      <alignment vertical="center" wrapText="1"/>
    </xf>
    <xf numFmtId="0" fontId="23" fillId="9" borderId="7" xfId="0" applyFont="1" applyFill="1" applyBorder="1" applyAlignment="1">
      <alignment horizontal="center" vertical="center" wrapText="1"/>
    </xf>
    <xf numFmtId="10" fontId="23" fillId="9" borderId="7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10" fontId="0" fillId="0" borderId="7" xfId="4" applyNumberFormat="1" applyFon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75" fontId="0" fillId="0" borderId="7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3" xfId="4" applyNumberFormat="1" applyFont="1" applyBorder="1" applyAlignment="1">
      <alignment horizontal="center"/>
    </xf>
    <xf numFmtId="10" fontId="23" fillId="9" borderId="7" xfId="0" applyNumberFormat="1" applyFont="1" applyFill="1" applyBorder="1" applyAlignment="1">
      <alignment horizontal="right" vertical="center" wrapText="1"/>
    </xf>
    <xf numFmtId="0" fontId="0" fillId="4" borderId="7" xfId="0" applyFill="1" applyBorder="1" applyAlignment="1">
      <alignment horizontal="center"/>
    </xf>
    <xf numFmtId="10" fontId="0" fillId="4" borderId="7" xfId="4" applyNumberFormat="1" applyFont="1" applyFill="1" applyBorder="1" applyAlignment="1">
      <alignment horizontal="center"/>
    </xf>
    <xf numFmtId="10" fontId="0" fillId="4" borderId="13" xfId="4" applyNumberFormat="1" applyFont="1" applyFill="1" applyBorder="1" applyAlignment="1">
      <alignment horizontal="center"/>
    </xf>
    <xf numFmtId="0" fontId="23" fillId="4" borderId="7" xfId="0" applyFont="1" applyFill="1" applyBorder="1" applyAlignment="1">
      <alignment vertical="center" wrapText="1"/>
    </xf>
    <xf numFmtId="10" fontId="23" fillId="4" borderId="7" xfId="0" applyNumberFormat="1" applyFont="1" applyFill="1" applyBorder="1" applyAlignment="1">
      <alignment horizontal="right" vertical="center" wrapText="1"/>
    </xf>
    <xf numFmtId="10" fontId="0" fillId="4" borderId="7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3" fillId="9" borderId="13" xfId="0" applyFont="1" applyFill="1" applyBorder="1" applyAlignment="1">
      <alignment horizontal="center" vertical="center" wrapText="1"/>
    </xf>
    <xf numFmtId="10" fontId="23" fillId="9" borderId="13" xfId="0" applyNumberFormat="1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vertical="center" wrapText="1"/>
    </xf>
    <xf numFmtId="10" fontId="23" fillId="9" borderId="13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174" fontId="3" fillId="0" borderId="18" xfId="0" applyNumberFormat="1" applyFont="1" applyFill="1" applyBorder="1"/>
    <xf numFmtId="10" fontId="3" fillId="0" borderId="0" xfId="4" applyNumberFormat="1" applyFont="1" applyFill="1" applyBorder="1" applyAlignment="1">
      <alignment horizontal="right" vertical="center"/>
    </xf>
    <xf numFmtId="10" fontId="3" fillId="0" borderId="7" xfId="4" applyNumberFormat="1" applyFont="1" applyFill="1" applyBorder="1" applyAlignment="1">
      <alignment horizontal="right" vertical="center"/>
    </xf>
    <xf numFmtId="2" fontId="0" fillId="0" borderId="7" xfId="0" applyNumberFormat="1" applyBorder="1"/>
    <xf numFmtId="0" fontId="0" fillId="0" borderId="7" xfId="0" applyFill="1" applyBorder="1"/>
    <xf numFmtId="2" fontId="0" fillId="3" borderId="7" xfId="0" applyNumberFormat="1" applyFill="1" applyBorder="1"/>
    <xf numFmtId="0" fontId="0" fillId="3" borderId="7" xfId="0" applyFill="1" applyBorder="1"/>
    <xf numFmtId="0" fontId="24" fillId="0" borderId="7" xfId="0" applyFont="1" applyFill="1" applyBorder="1" applyAlignment="1">
      <alignment horizontal="center"/>
    </xf>
    <xf numFmtId="0" fontId="25" fillId="0" borderId="0" xfId="0" applyFont="1" applyFill="1" applyBorder="1"/>
    <xf numFmtId="0" fontId="24" fillId="0" borderId="14" xfId="0" applyFont="1" applyFill="1" applyBorder="1" applyAlignment="1">
      <alignment horizontal="center"/>
    </xf>
    <xf numFmtId="9" fontId="25" fillId="0" borderId="14" xfId="0" applyNumberFormat="1" applyFont="1" applyFill="1" applyBorder="1" applyAlignment="1">
      <alignment horizontal="center"/>
    </xf>
    <xf numFmtId="1" fontId="25" fillId="0" borderId="7" xfId="2" applyNumberFormat="1" applyFont="1" applyFill="1" applyBorder="1" applyAlignment="1">
      <alignment horizontal="center"/>
    </xf>
    <xf numFmtId="1" fontId="25" fillId="0" borderId="7" xfId="0" applyNumberFormat="1" applyFont="1" applyFill="1" applyBorder="1" applyAlignment="1">
      <alignment horizontal="center"/>
    </xf>
    <xf numFmtId="1" fontId="25" fillId="0" borderId="0" xfId="2" applyNumberFormat="1" applyFont="1" applyFill="1" applyBorder="1" applyAlignment="1">
      <alignment horizontal="center"/>
    </xf>
    <xf numFmtId="9" fontId="25" fillId="0" borderId="15" xfId="4" applyFont="1" applyFill="1" applyBorder="1" applyAlignment="1">
      <alignment horizontal="center"/>
    </xf>
    <xf numFmtId="2" fontId="25" fillId="0" borderId="7" xfId="2" applyNumberFormat="1" applyFont="1" applyFill="1" applyBorder="1" applyAlignment="1">
      <alignment horizontal="center"/>
    </xf>
    <xf numFmtId="0" fontId="22" fillId="3" borderId="7" xfId="0" applyFont="1" applyFill="1" applyBorder="1" applyAlignment="1">
      <alignment horizontal="left" vertical="center"/>
    </xf>
    <xf numFmtId="0" fontId="20" fillId="4" borderId="0" xfId="0" applyFont="1" applyFill="1"/>
    <xf numFmtId="1" fontId="0" fillId="0" borderId="0" xfId="0" applyNumberFormat="1"/>
    <xf numFmtId="10" fontId="0" fillId="0" borderId="0" xfId="4" applyNumberFormat="1" applyFont="1"/>
    <xf numFmtId="168" fontId="0" fillId="0" borderId="0" xfId="0" applyNumberFormat="1"/>
    <xf numFmtId="9" fontId="25" fillId="0" borderId="0" xfId="4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5" xfId="0" applyFont="1" applyFill="1" applyBorder="1"/>
    <xf numFmtId="0" fontId="25" fillId="0" borderId="16" xfId="0" applyFont="1" applyFill="1" applyBorder="1"/>
    <xf numFmtId="0" fontId="26" fillId="10" borderId="15" xfId="0" applyFont="1" applyFill="1" applyBorder="1" applyAlignment="1">
      <alignment vertical="top"/>
    </xf>
    <xf numFmtId="9" fontId="25" fillId="0" borderId="16" xfId="0" applyNumberFormat="1" applyFont="1" applyFill="1" applyBorder="1" applyAlignment="1">
      <alignment horizontal="center"/>
    </xf>
    <xf numFmtId="10" fontId="25" fillId="0" borderId="14" xfId="4" applyNumberFormat="1" applyFont="1" applyFill="1" applyBorder="1"/>
    <xf numFmtId="10" fontId="25" fillId="0" borderId="7" xfId="4" applyNumberFormat="1" applyFont="1" applyFill="1" applyBorder="1"/>
    <xf numFmtId="2" fontId="25" fillId="0" borderId="40" xfId="0" applyNumberFormat="1" applyFont="1" applyFill="1" applyBorder="1" applyAlignment="1">
      <alignment horizontal="center"/>
    </xf>
    <xf numFmtId="168" fontId="25" fillId="0" borderId="40" xfId="4" applyNumberFormat="1" applyFont="1" applyFill="1" applyBorder="1" applyAlignment="1">
      <alignment horizontal="center"/>
    </xf>
    <xf numFmtId="10" fontId="25" fillId="0" borderId="44" xfId="4" applyNumberFormat="1" applyFont="1" applyFill="1" applyBorder="1"/>
    <xf numFmtId="0" fontId="25" fillId="0" borderId="44" xfId="0" applyFont="1" applyFill="1" applyBorder="1"/>
    <xf numFmtId="0" fontId="27" fillId="0" borderId="0" xfId="0" applyFont="1" applyAlignment="1">
      <alignment horizontal="center"/>
    </xf>
    <xf numFmtId="176" fontId="25" fillId="0" borderId="14" xfId="2" applyNumberFormat="1" applyFont="1" applyFill="1" applyBorder="1"/>
    <xf numFmtId="176" fontId="25" fillId="0" borderId="7" xfId="2" applyNumberFormat="1" applyFont="1" applyFill="1" applyBorder="1"/>
    <xf numFmtId="1" fontId="24" fillId="12" borderId="7" xfId="2" applyNumberFormat="1" applyFont="1" applyFill="1" applyBorder="1" applyAlignment="1">
      <alignment horizontal="center"/>
    </xf>
    <xf numFmtId="0" fontId="22" fillId="4" borderId="7" xfId="0" applyFont="1" applyFill="1" applyBorder="1" applyAlignment="1">
      <alignment horizontal="center" vertical="center"/>
    </xf>
    <xf numFmtId="1" fontId="0" fillId="0" borderId="7" xfId="0" applyNumberFormat="1" applyBorder="1"/>
    <xf numFmtId="10" fontId="0" fillId="0" borderId="7" xfId="4" applyNumberFormat="1" applyFont="1" applyBorder="1"/>
    <xf numFmtId="168" fontId="0" fillId="0" borderId="7" xfId="0" applyNumberFormat="1" applyBorder="1"/>
    <xf numFmtId="0" fontId="25" fillId="0" borderId="7" xfId="0" applyFont="1" applyFill="1" applyBorder="1" applyAlignment="1">
      <alignment horizontal="center"/>
    </xf>
    <xf numFmtId="2" fontId="25" fillId="0" borderId="7" xfId="0" applyNumberFormat="1" applyFont="1" applyFill="1" applyBorder="1" applyAlignment="1">
      <alignment horizontal="center"/>
    </xf>
    <xf numFmtId="0" fontId="25" fillId="0" borderId="7" xfId="0" applyFont="1" applyFill="1" applyBorder="1"/>
    <xf numFmtId="174" fontId="25" fillId="0" borderId="7" xfId="3" applyNumberFormat="1" applyFont="1" applyFill="1" applyBorder="1" applyAlignment="1">
      <alignment horizontal="center"/>
    </xf>
    <xf numFmtId="174" fontId="25" fillId="0" borderId="0" xfId="0" applyNumberFormat="1" applyFont="1" applyFill="1" applyBorder="1"/>
    <xf numFmtId="174" fontId="25" fillId="0" borderId="7" xfId="3" applyNumberFormat="1" applyFont="1" applyFill="1" applyBorder="1" applyAlignment="1">
      <alignment horizontal="center" vertical="center"/>
    </xf>
    <xf numFmtId="9" fontId="25" fillId="0" borderId="0" xfId="0" applyNumberFormat="1" applyFont="1" applyFill="1" applyBorder="1" applyAlignment="1">
      <alignment horizontal="center"/>
    </xf>
    <xf numFmtId="1" fontId="25" fillId="0" borderId="7" xfId="0" applyNumberFormat="1" applyFont="1" applyFill="1" applyBorder="1" applyAlignment="1">
      <alignment horizontal="center" wrapText="1"/>
    </xf>
    <xf numFmtId="174" fontId="25" fillId="0" borderId="7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4" fontId="24" fillId="0" borderId="0" xfId="0" applyNumberFormat="1" applyFont="1" applyFill="1" applyBorder="1" applyAlignment="1">
      <alignment horizontal="center"/>
    </xf>
    <xf numFmtId="44" fontId="25" fillId="0" borderId="0" xfId="0" applyNumberFormat="1" applyFont="1" applyFill="1" applyBorder="1"/>
    <xf numFmtId="0" fontId="28" fillId="0" borderId="0" xfId="0" applyFont="1"/>
    <xf numFmtId="1" fontId="25" fillId="0" borderId="7" xfId="3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174" fontId="25" fillId="0" borderId="14" xfId="3" applyNumberFormat="1" applyFont="1" applyFill="1" applyBorder="1" applyAlignment="1">
      <alignment horizontal="center"/>
    </xf>
    <xf numFmtId="1" fontId="25" fillId="0" borderId="14" xfId="3" applyNumberFormat="1" applyFont="1" applyFill="1" applyBorder="1" applyAlignment="1">
      <alignment horizontal="center"/>
    </xf>
    <xf numFmtId="174" fontId="25" fillId="0" borderId="50" xfId="3" applyNumberFormat="1" applyFont="1" applyFill="1" applyBorder="1" applyAlignment="1">
      <alignment horizontal="center"/>
    </xf>
    <xf numFmtId="174" fontId="25" fillId="0" borderId="45" xfId="3" applyNumberFormat="1" applyFont="1" applyFill="1" applyBorder="1" applyAlignment="1">
      <alignment horizontal="center"/>
    </xf>
    <xf numFmtId="1" fontId="25" fillId="0" borderId="50" xfId="3" applyNumberFormat="1" applyFont="1" applyFill="1" applyBorder="1" applyAlignment="1">
      <alignment horizontal="center"/>
    </xf>
    <xf numFmtId="1" fontId="25" fillId="0" borderId="45" xfId="3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left" vertical="center"/>
    </xf>
    <xf numFmtId="44" fontId="25" fillId="0" borderId="12" xfId="1" applyFont="1" applyFill="1" applyBorder="1" applyAlignment="1">
      <alignment horizontal="center"/>
    </xf>
    <xf numFmtId="44" fontId="25" fillId="0" borderId="8" xfId="1" applyFont="1" applyFill="1" applyBorder="1" applyAlignment="1">
      <alignment horizontal="center"/>
    </xf>
    <xf numFmtId="44" fontId="25" fillId="0" borderId="54" xfId="1" applyFont="1" applyFill="1" applyBorder="1" applyAlignment="1">
      <alignment horizontal="center"/>
    </xf>
    <xf numFmtId="44" fontId="25" fillId="0" borderId="55" xfId="1" applyFont="1" applyFill="1" applyBorder="1" applyAlignment="1">
      <alignment horizontal="center"/>
    </xf>
    <xf numFmtId="0" fontId="24" fillId="0" borderId="18" xfId="0" applyFont="1" applyFill="1" applyBorder="1" applyAlignment="1"/>
    <xf numFmtId="0" fontId="24" fillId="0" borderId="0" xfId="0" applyFont="1" applyFill="1" applyBorder="1"/>
    <xf numFmtId="174" fontId="24" fillId="0" borderId="0" xfId="0" applyNumberFormat="1" applyFont="1" applyFill="1" applyBorder="1"/>
    <xf numFmtId="0" fontId="24" fillId="0" borderId="7" xfId="0" applyFont="1" applyFill="1" applyBorder="1" applyAlignment="1">
      <alignment vertical="center"/>
    </xf>
    <xf numFmtId="44" fontId="24" fillId="0" borderId="7" xfId="3" applyNumberFormat="1" applyFont="1" applyFill="1" applyBorder="1" applyAlignment="1">
      <alignment wrapText="1"/>
    </xf>
    <xf numFmtId="44" fontId="24" fillId="0" borderId="7" xfId="3" applyNumberFormat="1" applyFont="1" applyFill="1" applyBorder="1" applyAlignment="1">
      <alignment horizontal="center" wrapText="1"/>
    </xf>
    <xf numFmtId="10" fontId="25" fillId="0" borderId="7" xfId="4" applyNumberFormat="1" applyFont="1" applyFill="1" applyBorder="1" applyAlignment="1">
      <alignment horizontal="right" vertical="center"/>
    </xf>
    <xf numFmtId="174" fontId="25" fillId="0" borderId="7" xfId="3" applyNumberFormat="1" applyFont="1" applyFill="1" applyBorder="1"/>
    <xf numFmtId="44" fontId="24" fillId="0" borderId="7" xfId="0" applyNumberFormat="1" applyFont="1" applyFill="1" applyBorder="1"/>
    <xf numFmtId="0" fontId="24" fillId="0" borderId="7" xfId="0" applyFont="1" applyFill="1" applyBorder="1" applyAlignment="1"/>
    <xf numFmtId="174" fontId="24" fillId="0" borderId="7" xfId="3" applyNumberFormat="1" applyFont="1" applyFill="1" applyBorder="1" applyAlignment="1">
      <alignment horizontal="left"/>
    </xf>
    <xf numFmtId="10" fontId="25" fillId="0" borderId="7" xfId="0" applyNumberFormat="1" applyFont="1" applyFill="1" applyBorder="1" applyAlignment="1">
      <alignment horizontal="right" vertical="center"/>
    </xf>
    <xf numFmtId="44" fontId="24" fillId="0" borderId="11" xfId="0" applyNumberFormat="1" applyFont="1" applyFill="1" applyBorder="1"/>
    <xf numFmtId="44" fontId="24" fillId="0" borderId="16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10" fontId="25" fillId="0" borderId="7" xfId="0" applyNumberFormat="1" applyFont="1" applyFill="1" applyBorder="1"/>
    <xf numFmtId="174" fontId="25" fillId="0" borderId="7" xfId="0" applyNumberFormat="1" applyFont="1" applyFill="1" applyBorder="1"/>
    <xf numFmtId="44" fontId="25" fillId="0" borderId="7" xfId="0" applyNumberFormat="1" applyFont="1" applyFill="1" applyBorder="1"/>
    <xf numFmtId="0" fontId="7" fillId="0" borderId="0" xfId="0" applyFont="1" applyBorder="1" applyAlignment="1">
      <alignment horizontal="center" vertical="center"/>
    </xf>
    <xf numFmtId="169" fontId="7" fillId="0" borderId="0" xfId="3" applyNumberFormat="1" applyFont="1" applyBorder="1" applyAlignment="1">
      <alignment horizontal="center" vertical="center"/>
    </xf>
    <xf numFmtId="169" fontId="22" fillId="3" borderId="7" xfId="3" applyNumberFormat="1" applyFont="1" applyFill="1" applyBorder="1" applyAlignment="1">
      <alignment horizontal="left" vertical="center"/>
    </xf>
    <xf numFmtId="169" fontId="22" fillId="3" borderId="7" xfId="4" applyNumberFormat="1" applyFont="1" applyFill="1" applyBorder="1" applyAlignment="1">
      <alignment horizontal="left" vertical="center"/>
    </xf>
    <xf numFmtId="9" fontId="22" fillId="3" borderId="7" xfId="4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left" vertical="center"/>
    </xf>
    <xf numFmtId="169" fontId="30" fillId="2" borderId="7" xfId="3" applyNumberFormat="1" applyFont="1" applyFill="1" applyBorder="1" applyAlignment="1">
      <alignment horizontal="center" vertical="center"/>
    </xf>
    <xf numFmtId="169" fontId="7" fillId="3" borderId="7" xfId="3" applyNumberFormat="1" applyFont="1" applyFill="1" applyBorder="1"/>
    <xf numFmtId="9" fontId="7" fillId="3" borderId="7" xfId="0" applyNumberFormat="1" applyFont="1" applyFill="1" applyBorder="1"/>
    <xf numFmtId="44" fontId="7" fillId="0" borderId="7" xfId="0" applyNumberFormat="1" applyFont="1" applyBorder="1"/>
    <xf numFmtId="0" fontId="3" fillId="0" borderId="0" xfId="0" applyFont="1"/>
    <xf numFmtId="44" fontId="7" fillId="0" borderId="0" xfId="0" applyNumberFormat="1" applyFont="1"/>
    <xf numFmtId="44" fontId="22" fillId="0" borderId="0" xfId="0" applyNumberFormat="1" applyFont="1"/>
    <xf numFmtId="2" fontId="7" fillId="0" borderId="0" xfId="0" applyNumberFormat="1" applyFont="1"/>
    <xf numFmtId="0" fontId="31" fillId="0" borderId="0" xfId="0" applyFont="1" applyAlignment="1"/>
    <xf numFmtId="170" fontId="1" fillId="0" borderId="7" xfId="3" applyNumberFormat="1" applyFont="1" applyBorder="1" applyAlignment="1">
      <alignment horizontal="center"/>
    </xf>
    <xf numFmtId="170" fontId="1" fillId="0" borderId="45" xfId="3" applyNumberFormat="1" applyFont="1" applyBorder="1" applyAlignment="1">
      <alignment horizontal="center"/>
    </xf>
    <xf numFmtId="44" fontId="0" fillId="0" borderId="16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44" fontId="0" fillId="0" borderId="51" xfId="0" applyNumberFormat="1" applyBorder="1" applyAlignment="1">
      <alignment horizontal="center"/>
    </xf>
    <xf numFmtId="44" fontId="0" fillId="0" borderId="52" xfId="0" applyNumberFormat="1" applyBorder="1" applyAlignment="1">
      <alignment horizontal="center"/>
    </xf>
    <xf numFmtId="170" fontId="1" fillId="0" borderId="11" xfId="3" applyNumberFormat="1" applyFont="1" applyBorder="1" applyAlignment="1">
      <alignment horizontal="center"/>
    </xf>
    <xf numFmtId="170" fontId="1" fillId="0" borderId="13" xfId="3" applyNumberFormat="1" applyFon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7" fontId="0" fillId="0" borderId="4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5" xfId="0" applyBorder="1" applyAlignment="1">
      <alignment horizontal="center"/>
    </xf>
    <xf numFmtId="169" fontId="0" fillId="0" borderId="7" xfId="0" applyNumberFormat="1" applyBorder="1" applyAlignment="1">
      <alignment horizontal="center"/>
    </xf>
    <xf numFmtId="169" fontId="1" fillId="0" borderId="16" xfId="3" applyNumberFormat="1" applyFont="1" applyFill="1" applyBorder="1" applyAlignment="1">
      <alignment horizontal="center"/>
    </xf>
    <xf numFmtId="169" fontId="1" fillId="0" borderId="7" xfId="3" applyNumberFormat="1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/>
    </xf>
    <xf numFmtId="169" fontId="1" fillId="0" borderId="7" xfId="3" applyNumberFormat="1" applyFont="1" applyBorder="1" applyAlignment="1">
      <alignment horizontal="center"/>
    </xf>
    <xf numFmtId="170" fontId="0" fillId="0" borderId="52" xfId="0" applyNumberFormat="1" applyBorder="1" applyAlignment="1">
      <alignment horizontal="center"/>
    </xf>
    <xf numFmtId="170" fontId="0" fillId="0" borderId="53" xfId="0" applyNumberFormat="1" applyBorder="1" applyAlignment="1">
      <alignment horizontal="center"/>
    </xf>
    <xf numFmtId="169" fontId="1" fillId="0" borderId="57" xfId="3" applyNumberFormat="1" applyFont="1" applyFill="1" applyBorder="1" applyAlignment="1">
      <alignment horizontal="center"/>
    </xf>
    <xf numFmtId="178" fontId="37" fillId="0" borderId="13" xfId="0" applyNumberFormat="1" applyFont="1" applyBorder="1" applyAlignment="1">
      <alignment horizontal="center"/>
    </xf>
    <xf numFmtId="170" fontId="37" fillId="0" borderId="13" xfId="0" applyNumberFormat="1" applyFont="1" applyBorder="1" applyAlignment="1">
      <alignment horizontal="center"/>
    </xf>
    <xf numFmtId="170" fontId="37" fillId="0" borderId="58" xfId="0" applyNumberFormat="1" applyFont="1" applyBorder="1" applyAlignment="1">
      <alignment horizontal="center"/>
    </xf>
    <xf numFmtId="169" fontId="0" fillId="0" borderId="11" xfId="0" applyNumberFormat="1" applyBorder="1" applyAlignment="1">
      <alignment horizontal="center"/>
    </xf>
    <xf numFmtId="169" fontId="0" fillId="0" borderId="13" xfId="0" applyNumberFormat="1" applyBorder="1" applyAlignment="1">
      <alignment horizontal="center"/>
    </xf>
    <xf numFmtId="178" fontId="37" fillId="0" borderId="7" xfId="0" applyNumberFormat="1" applyFont="1" applyBorder="1" applyAlignment="1">
      <alignment horizontal="center"/>
    </xf>
    <xf numFmtId="170" fontId="37" fillId="0" borderId="7" xfId="0" applyNumberFormat="1" applyFont="1" applyBorder="1" applyAlignment="1">
      <alignment horizontal="center"/>
    </xf>
    <xf numFmtId="170" fontId="37" fillId="0" borderId="45" xfId="0" applyNumberFormat="1" applyFon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169" fontId="0" fillId="0" borderId="52" xfId="0" applyNumberFormat="1" applyBorder="1" applyAlignment="1">
      <alignment horizontal="center"/>
    </xf>
    <xf numFmtId="169" fontId="0" fillId="0" borderId="53" xfId="0" applyNumberFormat="1" applyBorder="1" applyAlignment="1">
      <alignment horizontal="center"/>
    </xf>
    <xf numFmtId="169" fontId="0" fillId="0" borderId="57" xfId="0" applyNumberFormat="1" applyBorder="1" applyAlignment="1">
      <alignment horizontal="center"/>
    </xf>
    <xf numFmtId="169" fontId="2" fillId="0" borderId="13" xfId="0" applyNumberFormat="1" applyFont="1" applyBorder="1" applyAlignment="1">
      <alignment horizontal="center"/>
    </xf>
    <xf numFmtId="169" fontId="2" fillId="0" borderId="58" xfId="0" applyNumberFormat="1" applyFont="1" applyBorder="1" applyAlignment="1">
      <alignment horizontal="center"/>
    </xf>
    <xf numFmtId="178" fontId="37" fillId="0" borderId="12" xfId="0" applyNumberFormat="1" applyFont="1" applyBorder="1" applyAlignment="1">
      <alignment horizontal="center"/>
    </xf>
    <xf numFmtId="169" fontId="2" fillId="0" borderId="12" xfId="0" applyNumberFormat="1" applyFont="1" applyBorder="1" applyAlignment="1">
      <alignment horizontal="center"/>
    </xf>
    <xf numFmtId="169" fontId="2" fillId="0" borderId="55" xfId="0" applyNumberFormat="1" applyFont="1" applyBorder="1" applyAlignment="1">
      <alignment horizontal="center"/>
    </xf>
    <xf numFmtId="169" fontId="0" fillId="0" borderId="9" xfId="0" applyNumberFormat="1" applyBorder="1" applyAlignment="1">
      <alignment horizontal="center"/>
    </xf>
    <xf numFmtId="169" fontId="0" fillId="0" borderId="12" xfId="0" applyNumberFormat="1" applyBorder="1" applyAlignment="1">
      <alignment horizontal="center"/>
    </xf>
    <xf numFmtId="169" fontId="37" fillId="0" borderId="59" xfId="0" applyNumberFormat="1" applyFont="1" applyBorder="1" applyAlignment="1">
      <alignment horizontal="center"/>
    </xf>
    <xf numFmtId="169" fontId="37" fillId="0" borderId="60" xfId="0" applyNumberFormat="1" applyFont="1" applyBorder="1" applyAlignment="1">
      <alignment horizontal="center"/>
    </xf>
    <xf numFmtId="44" fontId="0" fillId="0" borderId="46" xfId="0" applyNumberFormat="1" applyBorder="1" applyAlignment="1">
      <alignment horizontal="center"/>
    </xf>
    <xf numFmtId="44" fontId="0" fillId="0" borderId="59" xfId="0" applyNumberFormat="1" applyBorder="1" applyAlignment="1">
      <alignment horizontal="center"/>
    </xf>
    <xf numFmtId="44" fontId="0" fillId="0" borderId="60" xfId="0" applyNumberFormat="1" applyBorder="1" applyAlignment="1">
      <alignment horizontal="center"/>
    </xf>
    <xf numFmtId="0" fontId="0" fillId="0" borderId="61" xfId="0" applyBorder="1" applyAlignment="1">
      <alignment horizontal="center"/>
    </xf>
    <xf numFmtId="169" fontId="0" fillId="0" borderId="61" xfId="0" applyNumberFormat="1" applyBorder="1" applyAlignment="1">
      <alignment horizontal="center"/>
    </xf>
    <xf numFmtId="169" fontId="0" fillId="0" borderId="62" xfId="0" applyNumberFormat="1" applyBorder="1" applyAlignment="1">
      <alignment horizontal="center"/>
    </xf>
    <xf numFmtId="179" fontId="0" fillId="0" borderId="63" xfId="0" applyNumberFormat="1" applyBorder="1" applyAlignment="1">
      <alignment horizontal="center"/>
    </xf>
    <xf numFmtId="0" fontId="32" fillId="2" borderId="0" xfId="0" applyFont="1" applyFill="1" applyBorder="1" applyAlignment="1"/>
    <xf numFmtId="0" fontId="32" fillId="2" borderId="18" xfId="0" applyFont="1" applyFill="1" applyBorder="1" applyAlignment="1"/>
    <xf numFmtId="0" fontId="34" fillId="2" borderId="7" xfId="0" applyFont="1" applyFill="1" applyBorder="1" applyAlignment="1">
      <alignment vertical="center"/>
    </xf>
    <xf numFmtId="0" fontId="35" fillId="3" borderId="32" xfId="0" applyFont="1" applyFill="1" applyBorder="1"/>
    <xf numFmtId="0" fontId="35" fillId="3" borderId="33" xfId="0" applyFont="1" applyFill="1" applyBorder="1"/>
    <xf numFmtId="0" fontId="36" fillId="3" borderId="33" xfId="0" applyFont="1" applyFill="1" applyBorder="1"/>
    <xf numFmtId="0" fontId="35" fillId="3" borderId="14" xfId="0" applyFont="1" applyFill="1" applyBorder="1" applyAlignment="1">
      <alignment horizontal="left" vertical="center"/>
    </xf>
    <xf numFmtId="0" fontId="35" fillId="3" borderId="56" xfId="0" applyFont="1" applyFill="1" applyBorder="1" applyAlignment="1">
      <alignment horizontal="left" vertical="center"/>
    </xf>
    <xf numFmtId="0" fontId="35" fillId="3" borderId="10" xfId="0" applyFont="1" applyFill="1" applyBorder="1" applyAlignment="1">
      <alignment horizontal="left" vertical="center"/>
    </xf>
    <xf numFmtId="0" fontId="35" fillId="3" borderId="15" xfId="0" applyFont="1" applyFill="1" applyBorder="1" applyAlignment="1">
      <alignment horizontal="left" vertical="center"/>
    </xf>
    <xf numFmtId="0" fontId="35" fillId="3" borderId="44" xfId="0" applyFont="1" applyFill="1" applyBorder="1" applyAlignment="1">
      <alignment horizontal="left" vertical="center"/>
    </xf>
    <xf numFmtId="0" fontId="35" fillId="3" borderId="23" xfId="0" applyFont="1" applyFill="1" applyBorder="1"/>
    <xf numFmtId="0" fontId="35" fillId="3" borderId="2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169" fontId="2" fillId="3" borderId="52" xfId="3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/>
    </xf>
    <xf numFmtId="9" fontId="25" fillId="0" borderId="7" xfId="4" applyNumberFormat="1" applyFont="1" applyFill="1" applyBorder="1" applyAlignment="1">
      <alignment horizontal="center"/>
    </xf>
    <xf numFmtId="10" fontId="25" fillId="0" borderId="15" xfId="4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0" fillId="0" borderId="7" xfId="4" applyFont="1" applyBorder="1"/>
    <xf numFmtId="0" fontId="39" fillId="0" borderId="0" xfId="0" applyFont="1" applyAlignment="1">
      <alignment textRotation="255"/>
    </xf>
    <xf numFmtId="169" fontId="7" fillId="0" borderId="45" xfId="0" applyNumberFormat="1" applyFont="1" applyFill="1" applyBorder="1"/>
    <xf numFmtId="169" fontId="7" fillId="0" borderId="7" xfId="0" applyNumberFormat="1" applyFont="1" applyFill="1" applyBorder="1"/>
    <xf numFmtId="169" fontId="7" fillId="0" borderId="16" xfId="0" applyNumberFormat="1" applyFont="1" applyFill="1" applyBorder="1"/>
    <xf numFmtId="169" fontId="7" fillId="0" borderId="67" xfId="0" applyNumberFormat="1" applyFont="1" applyFill="1" applyBorder="1"/>
    <xf numFmtId="169" fontId="7" fillId="0" borderId="29" xfId="0" applyNumberFormat="1" applyFont="1" applyFill="1" applyBorder="1"/>
    <xf numFmtId="169" fontId="7" fillId="0" borderId="28" xfId="0" applyNumberFormat="1" applyFont="1" applyFill="1" applyBorder="1"/>
    <xf numFmtId="169" fontId="22" fillId="8" borderId="45" xfId="0" applyNumberFormat="1" applyFont="1" applyFill="1" applyBorder="1"/>
    <xf numFmtId="169" fontId="22" fillId="8" borderId="7" xfId="0" applyNumberFormat="1" applyFont="1" applyFill="1" applyBorder="1"/>
    <xf numFmtId="169" fontId="22" fillId="8" borderId="16" xfId="0" applyNumberFormat="1" applyFont="1" applyFill="1" applyBorder="1"/>
    <xf numFmtId="169" fontId="22" fillId="8" borderId="67" xfId="0" applyNumberFormat="1" applyFont="1" applyFill="1" applyBorder="1"/>
    <xf numFmtId="169" fontId="7" fillId="0" borderId="6" xfId="3" applyNumberFormat="1" applyFont="1" applyFill="1" applyBorder="1"/>
    <xf numFmtId="169" fontId="7" fillId="0" borderId="29" xfId="3" applyNumberFormat="1" applyFont="1" applyFill="1" applyBorder="1"/>
    <xf numFmtId="169" fontId="7" fillId="8" borderId="45" xfId="0" applyNumberFormat="1" applyFont="1" applyFill="1" applyBorder="1"/>
    <xf numFmtId="169" fontId="7" fillId="8" borderId="7" xfId="0" applyNumberFormat="1" applyFont="1" applyFill="1" applyBorder="1"/>
    <xf numFmtId="169" fontId="7" fillId="8" borderId="67" xfId="0" applyNumberFormat="1" applyFont="1" applyFill="1" applyBorder="1"/>
    <xf numFmtId="169" fontId="7" fillId="8" borderId="16" xfId="0" applyNumberFormat="1" applyFont="1" applyFill="1" applyBorder="1"/>
    <xf numFmtId="169" fontId="7" fillId="0" borderId="39" xfId="3" applyNumberFormat="1" applyFont="1" applyFill="1" applyBorder="1"/>
    <xf numFmtId="169" fontId="7" fillId="0" borderId="50" xfId="0" applyNumberFormat="1" applyFont="1" applyFill="1" applyBorder="1"/>
    <xf numFmtId="169" fontId="7" fillId="0" borderId="0" xfId="0" applyNumberFormat="1" applyFont="1" applyFill="1" applyBorder="1"/>
    <xf numFmtId="169" fontId="7" fillId="0" borderId="22" xfId="0" applyNumberFormat="1" applyFont="1" applyFill="1" applyBorder="1"/>
    <xf numFmtId="169" fontId="7" fillId="0" borderId="68" xfId="3" applyNumberFormat="1" applyFont="1" applyFill="1" applyBorder="1"/>
    <xf numFmtId="169" fontId="7" fillId="0" borderId="27" xfId="3" applyNumberFormat="1" applyFont="1" applyFill="1" applyBorder="1"/>
    <xf numFmtId="169" fontId="7" fillId="0" borderId="6" xfId="0" applyNumberFormat="1" applyFont="1" applyFill="1" applyBorder="1"/>
    <xf numFmtId="169" fontId="7" fillId="0" borderId="3" xfId="0" applyNumberFormat="1" applyFont="1" applyFill="1" applyBorder="1"/>
    <xf numFmtId="169" fontId="7" fillId="0" borderId="4" xfId="0" applyNumberFormat="1" applyFont="1" applyFill="1" applyBorder="1"/>
    <xf numFmtId="170" fontId="7" fillId="0" borderId="16" xfId="0" applyNumberFormat="1" applyFont="1" applyFill="1" applyBorder="1"/>
    <xf numFmtId="169" fontId="7" fillId="0" borderId="58" xfId="0" applyNumberFormat="1" applyFont="1" applyFill="1" applyBorder="1"/>
    <xf numFmtId="169" fontId="7" fillId="0" borderId="13" xfId="0" applyNumberFormat="1" applyFont="1" applyFill="1" applyBorder="1"/>
    <xf numFmtId="170" fontId="7" fillId="0" borderId="11" xfId="0" applyNumberFormat="1" applyFont="1" applyFill="1" applyBorder="1"/>
    <xf numFmtId="169" fontId="7" fillId="0" borderId="69" xfId="0" applyNumberFormat="1" applyFont="1" applyFill="1" applyBorder="1"/>
    <xf numFmtId="169" fontId="7" fillId="0" borderId="11" xfId="0" applyNumberFormat="1" applyFont="1" applyFill="1" applyBorder="1"/>
    <xf numFmtId="169" fontId="7" fillId="0" borderId="27" xfId="0" applyNumberFormat="1" applyFont="1" applyFill="1" applyBorder="1"/>
    <xf numFmtId="169" fontId="7" fillId="0" borderId="60" xfId="0" applyNumberFormat="1" applyFont="1" applyFill="1" applyBorder="1"/>
    <xf numFmtId="169" fontId="7" fillId="0" borderId="59" xfId="0" applyNumberFormat="1" applyFont="1" applyFill="1" applyBorder="1"/>
    <xf numFmtId="170" fontId="7" fillId="0" borderId="70" xfId="0" applyNumberFormat="1" applyFont="1" applyFill="1" applyBorder="1"/>
    <xf numFmtId="169" fontId="7" fillId="0" borderId="36" xfId="0" applyNumberFormat="1" applyFont="1" applyFill="1" applyBorder="1"/>
    <xf numFmtId="169" fontId="7" fillId="0" borderId="71" xfId="0" applyNumberFormat="1" applyFont="1" applyFill="1" applyBorder="1"/>
    <xf numFmtId="169" fontId="7" fillId="0" borderId="72" xfId="0" applyNumberFormat="1" applyFont="1" applyBorder="1"/>
    <xf numFmtId="169" fontId="7" fillId="0" borderId="17" xfId="0" applyNumberFormat="1" applyFont="1" applyBorder="1"/>
    <xf numFmtId="169" fontId="7" fillId="0" borderId="43" xfId="0" applyNumberFormat="1" applyFont="1" applyBorder="1"/>
    <xf numFmtId="169" fontId="7" fillId="0" borderId="6" xfId="0" applyNumberFormat="1" applyFont="1" applyBorder="1"/>
    <xf numFmtId="169" fontId="7" fillId="0" borderId="0" xfId="0" applyNumberFormat="1" applyFont="1" applyBorder="1"/>
    <xf numFmtId="169" fontId="7" fillId="0" borderId="40" xfId="0" applyNumberFormat="1" applyFont="1" applyBorder="1"/>
    <xf numFmtId="170" fontId="7" fillId="0" borderId="60" xfId="0" applyNumberFormat="1" applyFont="1" applyFill="1" applyBorder="1"/>
    <xf numFmtId="170" fontId="7" fillId="0" borderId="59" xfId="0" applyNumberFormat="1" applyFont="1" applyFill="1" applyBorder="1"/>
    <xf numFmtId="169" fontId="7" fillId="0" borderId="4" xfId="0" applyNumberFormat="1" applyFont="1" applyBorder="1"/>
    <xf numFmtId="169" fontId="7" fillId="0" borderId="36" xfId="0" applyNumberFormat="1" applyFont="1" applyBorder="1"/>
    <xf numFmtId="169" fontId="7" fillId="0" borderId="71" xfId="0" applyNumberFormat="1" applyFont="1" applyBorder="1"/>
    <xf numFmtId="169" fontId="7" fillId="0" borderId="3" xfId="0" applyNumberFormat="1" applyFont="1" applyBorder="1"/>
    <xf numFmtId="169" fontId="7" fillId="0" borderId="8" xfId="0" applyNumberFormat="1" applyFont="1" applyBorder="1"/>
    <xf numFmtId="169" fontId="7" fillId="0" borderId="28" xfId="0" applyNumberFormat="1" applyFont="1" applyBorder="1"/>
    <xf numFmtId="169" fontId="7" fillId="0" borderId="14" xfId="0" applyNumberFormat="1" applyFont="1" applyBorder="1"/>
    <xf numFmtId="169" fontId="7" fillId="0" borderId="31" xfId="0" applyNumberFormat="1" applyFont="1" applyBorder="1"/>
    <xf numFmtId="169" fontId="7" fillId="0" borderId="10" xfId="0" applyNumberFormat="1" applyFont="1" applyBorder="1"/>
    <xf numFmtId="169" fontId="5" fillId="8" borderId="36" xfId="0" applyNumberFormat="1" applyFont="1" applyFill="1" applyBorder="1"/>
    <xf numFmtId="169" fontId="7" fillId="0" borderId="52" xfId="0" applyNumberFormat="1" applyFont="1" applyFill="1" applyBorder="1"/>
    <xf numFmtId="170" fontId="7" fillId="0" borderId="57" xfId="0" applyNumberFormat="1" applyFont="1" applyFill="1" applyBorder="1"/>
    <xf numFmtId="169" fontId="7" fillId="0" borderId="56" xfId="0" applyNumberFormat="1" applyFont="1" applyFill="1" applyBorder="1"/>
    <xf numFmtId="169" fontId="7" fillId="0" borderId="14" xfId="0" applyNumberFormat="1" applyFont="1" applyFill="1" applyBorder="1"/>
    <xf numFmtId="169" fontId="7" fillId="0" borderId="73" xfId="0" applyNumberFormat="1" applyFont="1" applyFill="1" applyBorder="1"/>
    <xf numFmtId="170" fontId="7" fillId="0" borderId="74" xfId="0" applyNumberFormat="1" applyFont="1" applyFill="1" applyBorder="1"/>
    <xf numFmtId="169" fontId="7" fillId="0" borderId="27" xfId="0" applyNumberFormat="1" applyFont="1" applyBorder="1"/>
    <xf numFmtId="169" fontId="7" fillId="0" borderId="75" xfId="0" applyNumberFormat="1" applyFont="1" applyBorder="1"/>
    <xf numFmtId="169" fontId="7" fillId="0" borderId="72" xfId="0" applyNumberFormat="1" applyFont="1" applyFill="1" applyBorder="1"/>
    <xf numFmtId="169" fontId="7" fillId="0" borderId="17" xfId="0" applyNumberFormat="1" applyFont="1" applyFill="1" applyBorder="1"/>
    <xf numFmtId="170" fontId="7" fillId="0" borderId="43" xfId="0" applyNumberFormat="1" applyFont="1" applyFill="1" applyBorder="1"/>
    <xf numFmtId="169" fontId="7" fillId="0" borderId="40" xfId="0" applyNumberFormat="1" applyFont="1" applyFill="1" applyBorder="1"/>
    <xf numFmtId="169" fontId="7" fillId="0" borderId="4" xfId="0" applyNumberFormat="1" applyFont="1" applyFill="1" applyBorder="1" applyAlignment="1">
      <alignment horizontal="right"/>
    </xf>
    <xf numFmtId="169" fontId="7" fillId="0" borderId="76" xfId="0" applyNumberFormat="1" applyFont="1" applyFill="1" applyBorder="1"/>
    <xf numFmtId="169" fontId="7" fillId="0" borderId="77" xfId="0" applyNumberFormat="1" applyFont="1" applyFill="1" applyBorder="1"/>
    <xf numFmtId="169" fontId="7" fillId="0" borderId="78" xfId="0" applyNumberFormat="1" applyFont="1" applyFill="1" applyBorder="1"/>
    <xf numFmtId="169" fontId="7" fillId="0" borderId="19" xfId="0" applyNumberFormat="1" applyFont="1" applyFill="1" applyBorder="1"/>
    <xf numFmtId="169" fontId="7" fillId="0" borderId="47" xfId="0" applyNumberFormat="1" applyFont="1" applyFill="1" applyBorder="1"/>
    <xf numFmtId="169" fontId="7" fillId="0" borderId="20" xfId="0" applyNumberFormat="1" applyFont="1" applyFill="1" applyBorder="1"/>
    <xf numFmtId="169" fontId="7" fillId="0" borderId="79" xfId="0" applyNumberFormat="1" applyFont="1" applyFill="1" applyBorder="1"/>
    <xf numFmtId="0" fontId="39" fillId="0" borderId="49" xfId="0" applyFont="1" applyBorder="1" applyAlignment="1"/>
    <xf numFmtId="0" fontId="0" fillId="8" borderId="0" xfId="0" applyFill="1"/>
    <xf numFmtId="0" fontId="10" fillId="8" borderId="4" xfId="0" applyFont="1" applyFill="1" applyBorder="1"/>
    <xf numFmtId="169" fontId="7" fillId="0" borderId="0" xfId="0" applyNumberFormat="1" applyFont="1"/>
    <xf numFmtId="180" fontId="8" fillId="0" borderId="0" xfId="0" applyNumberFormat="1" applyFont="1" applyFill="1" applyBorder="1"/>
    <xf numFmtId="180" fontId="38" fillId="0" borderId="0" xfId="0" applyNumberFormat="1" applyFont="1" applyFill="1" applyBorder="1"/>
    <xf numFmtId="180" fontId="8" fillId="8" borderId="0" xfId="0" applyNumberFormat="1" applyFont="1" applyFill="1" applyBorder="1"/>
    <xf numFmtId="180" fontId="38" fillId="8" borderId="0" xfId="0" applyNumberFormat="1" applyFont="1" applyFill="1" applyBorder="1"/>
    <xf numFmtId="0" fontId="7" fillId="8" borderId="0" xfId="0" applyFont="1" applyFill="1"/>
    <xf numFmtId="0" fontId="43" fillId="5" borderId="19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/>
    </xf>
    <xf numFmtId="0" fontId="35" fillId="3" borderId="78" xfId="0" applyFont="1" applyFill="1" applyBorder="1" applyAlignment="1">
      <alignment horizontal="left" vertical="center"/>
    </xf>
    <xf numFmtId="0" fontId="41" fillId="3" borderId="70" xfId="0" applyFont="1" applyFill="1" applyBorder="1"/>
    <xf numFmtId="0" fontId="35" fillId="3" borderId="43" xfId="0" applyFont="1" applyFill="1" applyBorder="1" applyAlignment="1">
      <alignment horizontal="left" vertical="center"/>
    </xf>
    <xf numFmtId="0" fontId="35" fillId="3" borderId="70" xfId="0" applyFont="1" applyFill="1" applyBorder="1" applyAlignment="1">
      <alignment horizontal="left" vertical="center"/>
    </xf>
    <xf numFmtId="0" fontId="41" fillId="3" borderId="74" xfId="0" applyFont="1" applyFill="1" applyBorder="1" applyAlignment="1">
      <alignment horizontal="left" vertical="center"/>
    </xf>
    <xf numFmtId="0" fontId="41" fillId="3" borderId="16" xfId="0" applyFont="1" applyFill="1" applyBorder="1" applyAlignment="1">
      <alignment horizontal="left" vertical="center"/>
    </xf>
    <xf numFmtId="0" fontId="41" fillId="3" borderId="57" xfId="0" applyFont="1" applyFill="1" applyBorder="1" applyAlignment="1">
      <alignment horizontal="left" vertical="center"/>
    </xf>
    <xf numFmtId="0" fontId="41" fillId="3" borderId="11" xfId="0" applyFont="1" applyFill="1" applyBorder="1" applyAlignment="1">
      <alignment horizontal="left" vertical="center"/>
    </xf>
    <xf numFmtId="0" fontId="41" fillId="3" borderId="9" xfId="0" applyFont="1" applyFill="1" applyBorder="1" applyAlignment="1">
      <alignment horizontal="left" vertical="center"/>
    </xf>
    <xf numFmtId="0" fontId="41" fillId="3" borderId="43" xfId="0" applyFont="1" applyFill="1" applyBorder="1" applyAlignment="1">
      <alignment horizontal="left" vertical="center"/>
    </xf>
    <xf numFmtId="0" fontId="35" fillId="3" borderId="70" xfId="0" applyFont="1" applyFill="1" applyBorder="1"/>
    <xf numFmtId="0" fontId="41" fillId="3" borderId="18" xfId="0" applyFont="1" applyFill="1" applyBorder="1" applyAlignment="1">
      <alignment horizontal="left" vertical="center"/>
    </xf>
    <xf numFmtId="0" fontId="41" fillId="3" borderId="15" xfId="0" applyFont="1" applyFill="1" applyBorder="1" applyAlignment="1">
      <alignment horizontal="left" vertical="center"/>
    </xf>
    <xf numFmtId="0" fontId="35" fillId="3" borderId="15" xfId="0" applyFont="1" applyFill="1" applyBorder="1"/>
    <xf numFmtId="0" fontId="35" fillId="3" borderId="36" xfId="0" applyFont="1" applyFill="1" applyBorder="1" applyAlignment="1">
      <alignment horizontal="left" vertical="center"/>
    </xf>
    <xf numFmtId="0" fontId="41" fillId="3" borderId="38" xfId="0" applyFont="1" applyFill="1" applyBorder="1" applyAlignment="1">
      <alignment horizontal="left" vertical="center"/>
    </xf>
    <xf numFmtId="0" fontId="35" fillId="3" borderId="0" xfId="0" applyFont="1" applyFill="1" applyBorder="1" applyAlignment="1">
      <alignment horizontal="left" vertical="center"/>
    </xf>
    <xf numFmtId="0" fontId="41" fillId="3" borderId="42" xfId="0" applyFont="1" applyFill="1" applyBorder="1" applyAlignment="1">
      <alignment horizontal="left" vertical="center"/>
    </xf>
    <xf numFmtId="0" fontId="35" fillId="3" borderId="27" xfId="0" applyFont="1" applyFill="1" applyBorder="1" applyAlignment="1">
      <alignment horizontal="left" vertical="center"/>
    </xf>
    <xf numFmtId="0" fontId="41" fillId="3" borderId="29" xfId="0" applyFont="1" applyFill="1" applyBorder="1" applyAlignment="1">
      <alignment horizontal="left" vertical="center"/>
    </xf>
    <xf numFmtId="0" fontId="35" fillId="3" borderId="6" xfId="0" applyFont="1" applyFill="1" applyBorder="1" applyAlignment="1">
      <alignment horizontal="left" vertical="center"/>
    </xf>
    <xf numFmtId="0" fontId="41" fillId="3" borderId="27" xfId="0" applyFont="1" applyFill="1" applyBorder="1" applyAlignment="1">
      <alignment horizontal="left" vertical="center"/>
    </xf>
    <xf numFmtId="0" fontId="8" fillId="2" borderId="4" xfId="0" applyFont="1" applyFill="1" applyBorder="1" applyAlignment="1"/>
    <xf numFmtId="0" fontId="35" fillId="4" borderId="15" xfId="0" applyFont="1" applyFill="1" applyBorder="1"/>
    <xf numFmtId="0" fontId="35" fillId="4" borderId="34" xfId="0" applyFont="1" applyFill="1" applyBorder="1"/>
    <xf numFmtId="0" fontId="10" fillId="2" borderId="4" xfId="0" applyFont="1" applyFill="1" applyBorder="1"/>
    <xf numFmtId="169" fontId="8" fillId="2" borderId="61" xfId="0" applyNumberFormat="1" applyFont="1" applyFill="1" applyBorder="1" applyAlignment="1">
      <alignment horizontal="center"/>
    </xf>
    <xf numFmtId="180" fontId="38" fillId="2" borderId="61" xfId="0" applyNumberFormat="1" applyFont="1" applyFill="1" applyBorder="1"/>
    <xf numFmtId="180" fontId="8" fillId="2" borderId="61" xfId="0" applyNumberFormat="1" applyFont="1" applyFill="1" applyBorder="1"/>
    <xf numFmtId="180" fontId="38" fillId="2" borderId="66" xfId="0" applyNumberFormat="1" applyFont="1" applyFill="1" applyBorder="1"/>
    <xf numFmtId="180" fontId="38" fillId="2" borderId="65" xfId="0" applyNumberFormat="1" applyFont="1" applyFill="1" applyBorder="1"/>
    <xf numFmtId="180" fontId="38" fillId="2" borderId="26" xfId="0" applyNumberFormat="1" applyFont="1" applyFill="1" applyBorder="1"/>
    <xf numFmtId="0" fontId="10" fillId="2" borderId="4" xfId="0" applyFont="1" applyFill="1" applyBorder="1" applyAlignment="1">
      <alignment vertical="center"/>
    </xf>
    <xf numFmtId="0" fontId="10" fillId="2" borderId="30" xfId="0" applyFont="1" applyFill="1" applyBorder="1"/>
    <xf numFmtId="0" fontId="35" fillId="3" borderId="19" xfId="0" applyFont="1" applyFill="1" applyBorder="1"/>
    <xf numFmtId="170" fontId="22" fillId="3" borderId="4" xfId="0" applyNumberFormat="1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169" fontId="8" fillId="2" borderId="4" xfId="0" applyNumberFormat="1" applyFont="1" applyFill="1" applyBorder="1" applyAlignment="1">
      <alignment horizontal="center"/>
    </xf>
    <xf numFmtId="169" fontId="22" fillId="3" borderId="7" xfId="0" applyNumberFormat="1" applyFont="1" applyFill="1" applyBorder="1"/>
    <xf numFmtId="166" fontId="6" fillId="8" borderId="23" xfId="0" applyNumberFormat="1" applyFont="1" applyFill="1" applyBorder="1" applyAlignment="1">
      <alignment horizontal="center"/>
    </xf>
    <xf numFmtId="166" fontId="7" fillId="0" borderId="35" xfId="0" applyNumberFormat="1" applyFont="1" applyFill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0" fontId="44" fillId="0" borderId="36" xfId="0" applyFont="1" applyFill="1" applyBorder="1" applyAlignment="1">
      <alignment horizontal="center"/>
    </xf>
    <xf numFmtId="0" fontId="44" fillId="0" borderId="19" xfId="0" applyNumberFormat="1" applyFont="1" applyFill="1" applyBorder="1" applyAlignment="1">
      <alignment horizontal="center"/>
    </xf>
    <xf numFmtId="0" fontId="44" fillId="0" borderId="19" xfId="0" applyFont="1" applyFill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44" fillId="0" borderId="21" xfId="0" applyFont="1" applyFill="1" applyBorder="1" applyAlignment="1">
      <alignment horizontal="center"/>
    </xf>
    <xf numFmtId="0" fontId="22" fillId="0" borderId="4" xfId="0" applyFont="1" applyBorder="1"/>
    <xf numFmtId="169" fontId="7" fillId="0" borderId="24" xfId="0" applyNumberFormat="1" applyFont="1" applyBorder="1"/>
    <xf numFmtId="0" fontId="7" fillId="0" borderId="24" xfId="0" applyFont="1" applyBorder="1"/>
    <xf numFmtId="0" fontId="7" fillId="0" borderId="4" xfId="0" applyFont="1" applyBorder="1"/>
    <xf numFmtId="174" fontId="7" fillId="0" borderId="4" xfId="0" applyNumberFormat="1" applyFont="1" applyBorder="1"/>
    <xf numFmtId="170" fontId="7" fillId="0" borderId="4" xfId="0" applyNumberFormat="1" applyFont="1" applyBorder="1"/>
    <xf numFmtId="0" fontId="44" fillId="0" borderId="36" xfId="0" applyFont="1" applyFill="1" applyBorder="1" applyAlignment="1">
      <alignment horizontal="left"/>
    </xf>
    <xf numFmtId="0" fontId="22" fillId="3" borderId="18" xfId="0" applyFont="1" applyFill="1" applyBorder="1" applyAlignment="1">
      <alignment horizontal="left" vertical="center"/>
    </xf>
    <xf numFmtId="0" fontId="22" fillId="3" borderId="15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left" vertical="center"/>
    </xf>
    <xf numFmtId="171" fontId="3" fillId="0" borderId="21" xfId="0" applyNumberFormat="1" applyFont="1" applyFill="1" applyBorder="1" applyAlignment="1" applyProtection="1">
      <alignment horizontal="center"/>
    </xf>
    <xf numFmtId="0" fontId="43" fillId="5" borderId="20" xfId="0" applyFont="1" applyFill="1" applyBorder="1" applyAlignment="1">
      <alignment horizontal="center" vertical="center"/>
    </xf>
    <xf numFmtId="169" fontId="7" fillId="0" borderId="38" xfId="0" applyNumberFormat="1" applyFont="1" applyBorder="1"/>
    <xf numFmtId="169" fontId="7" fillId="0" borderId="15" xfId="0" applyNumberFormat="1" applyFont="1" applyBorder="1"/>
    <xf numFmtId="169" fontId="7" fillId="0" borderId="15" xfId="0" applyNumberFormat="1" applyFont="1" applyFill="1" applyBorder="1"/>
    <xf numFmtId="169" fontId="7" fillId="0" borderId="42" xfId="0" applyNumberFormat="1" applyFont="1" applyFill="1" applyBorder="1"/>
    <xf numFmtId="169" fontId="7" fillId="0" borderId="18" xfId="0" applyNumberFormat="1" applyFont="1" applyBorder="1"/>
    <xf numFmtId="169" fontId="7" fillId="0" borderId="44" xfId="0" applyNumberFormat="1" applyFont="1" applyBorder="1"/>
    <xf numFmtId="169" fontId="7" fillId="0" borderId="18" xfId="0" applyNumberFormat="1" applyFont="1" applyFill="1" applyBorder="1"/>
    <xf numFmtId="169" fontId="7" fillId="0" borderId="44" xfId="0" applyNumberFormat="1" applyFont="1" applyFill="1" applyBorder="1"/>
    <xf numFmtId="169" fontId="7" fillId="0" borderId="18" xfId="3" applyNumberFormat="1" applyFont="1" applyFill="1" applyBorder="1"/>
    <xf numFmtId="169" fontId="7" fillId="0" borderId="44" xfId="3" applyNumberFormat="1" applyFont="1" applyFill="1" applyBorder="1"/>
    <xf numFmtId="169" fontId="7" fillId="0" borderId="0" xfId="3" applyNumberFormat="1" applyFont="1" applyFill="1" applyBorder="1"/>
    <xf numFmtId="169" fontId="22" fillId="3" borderId="0" xfId="0" applyNumberFormat="1" applyFont="1" applyFill="1" applyBorder="1"/>
    <xf numFmtId="10" fontId="22" fillId="3" borderId="0" xfId="0" applyNumberFormat="1" applyFont="1" applyFill="1" applyBorder="1"/>
    <xf numFmtId="10" fontId="45" fillId="13" borderId="7" xfId="6" applyNumberFormat="1" applyFont="1" applyFill="1" applyBorder="1" applyAlignment="1">
      <alignment horizontal="center"/>
    </xf>
    <xf numFmtId="0" fontId="46" fillId="0" borderId="0" xfId="0" applyFont="1"/>
    <xf numFmtId="2" fontId="45" fillId="0" borderId="7" xfId="7" applyNumberFormat="1" applyBorder="1" applyAlignment="1">
      <alignment horizontal="center"/>
    </xf>
    <xf numFmtId="0" fontId="47" fillId="0" borderId="0" xfId="8"/>
    <xf numFmtId="0" fontId="46" fillId="0" borderId="0" xfId="0" applyFont="1" applyFill="1" applyBorder="1"/>
    <xf numFmtId="0" fontId="2" fillId="0" borderId="7" xfId="0" applyFont="1" applyFill="1" applyBorder="1" applyAlignment="1">
      <alignment horizontal="center"/>
    </xf>
    <xf numFmtId="10" fontId="0" fillId="0" borderId="7" xfId="4" applyNumberFormat="1" applyFont="1" applyFill="1" applyBorder="1" applyAlignment="1">
      <alignment horizontal="center"/>
    </xf>
    <xf numFmtId="10" fontId="45" fillId="0" borderId="7" xfId="6" applyNumberFormat="1" applyFont="1" applyFill="1" applyBorder="1" applyAlignment="1">
      <alignment horizontal="center"/>
    </xf>
    <xf numFmtId="0" fontId="48" fillId="0" borderId="7" xfId="0" applyFont="1" applyFill="1" applyBorder="1" applyAlignment="1">
      <alignment horizontal="center"/>
    </xf>
    <xf numFmtId="2" fontId="45" fillId="0" borderId="7" xfId="7" applyNumberFormat="1" applyFill="1" applyBorder="1" applyAlignment="1">
      <alignment horizontal="center"/>
    </xf>
    <xf numFmtId="0" fontId="48" fillId="7" borderId="7" xfId="0" applyFont="1" applyFill="1" applyBorder="1" applyAlignment="1">
      <alignment horizontal="center"/>
    </xf>
    <xf numFmtId="10" fontId="2" fillId="0" borderId="7" xfId="0" applyNumberFormat="1" applyFont="1" applyBorder="1"/>
    <xf numFmtId="0" fontId="49" fillId="14" borderId="47" xfId="0" applyFont="1" applyFill="1" applyBorder="1" applyAlignment="1">
      <alignment horizontal="left"/>
    </xf>
    <xf numFmtId="0" fontId="50" fillId="14" borderId="47" xfId="0" applyFont="1" applyFill="1" applyBorder="1" applyAlignment="1">
      <alignment horizontal="right"/>
    </xf>
    <xf numFmtId="0" fontId="49" fillId="14" borderId="18" xfId="0" applyFont="1" applyFill="1" applyBorder="1" applyAlignment="1">
      <alignment horizontal="left"/>
    </xf>
    <xf numFmtId="0" fontId="50" fillId="14" borderId="18" xfId="0" applyFont="1" applyFill="1" applyBorder="1" applyAlignment="1">
      <alignment horizontal="right"/>
    </xf>
    <xf numFmtId="9" fontId="50" fillId="14" borderId="18" xfId="0" applyNumberFormat="1" applyFont="1" applyFill="1" applyBorder="1" applyAlignment="1">
      <alignment horizontal="right"/>
    </xf>
    <xf numFmtId="10" fontId="50" fillId="14" borderId="18" xfId="0" applyNumberFormat="1" applyFont="1" applyFill="1" applyBorder="1" applyAlignment="1">
      <alignment horizontal="right"/>
    </xf>
    <xf numFmtId="0" fontId="51" fillId="15" borderId="0" xfId="0" applyFont="1" applyFill="1" applyBorder="1" applyAlignment="1">
      <alignment horizontal="left"/>
    </xf>
    <xf numFmtId="0" fontId="52" fillId="15" borderId="15" xfId="0" applyFont="1" applyFill="1" applyBorder="1" applyAlignment="1">
      <alignment horizontal="left"/>
    </xf>
    <xf numFmtId="0" fontId="0" fillId="0" borderId="44" xfId="0" applyFill="1" applyBorder="1" applyAlignment="1"/>
    <xf numFmtId="9" fontId="0" fillId="0" borderId="7" xfId="0" applyNumberFormat="1" applyFill="1" applyBorder="1" applyAlignment="1"/>
    <xf numFmtId="9" fontId="0" fillId="16" borderId="7" xfId="0" applyNumberFormat="1" applyFill="1" applyBorder="1" applyAlignment="1"/>
    <xf numFmtId="10" fontId="0" fillId="16" borderId="7" xfId="0" applyNumberFormat="1" applyFill="1" applyBorder="1" applyAlignment="1"/>
    <xf numFmtId="0" fontId="0" fillId="0" borderId="7" xfId="0" applyFill="1" applyBorder="1" applyAlignment="1"/>
    <xf numFmtId="0" fontId="51" fillId="15" borderId="49" xfId="0" applyFont="1" applyFill="1" applyBorder="1" applyAlignment="1">
      <alignment horizontal="left"/>
    </xf>
    <xf numFmtId="1" fontId="0" fillId="0" borderId="7" xfId="0" applyNumberFormat="1" applyFill="1" applyBorder="1" applyAlignment="1"/>
    <xf numFmtId="0" fontId="50" fillId="14" borderId="18" xfId="0" applyNumberFormat="1" applyFont="1" applyFill="1" applyBorder="1" applyAlignment="1">
      <alignment horizontal="right"/>
    </xf>
    <xf numFmtId="0" fontId="0" fillId="0" borderId="44" xfId="0" applyNumberFormat="1" applyFill="1" applyBorder="1" applyAlignment="1"/>
    <xf numFmtId="0" fontId="0" fillId="0" borderId="7" xfId="0" applyNumberFormat="1" applyFill="1" applyBorder="1" applyAlignment="1"/>
    <xf numFmtId="0" fontId="0" fillId="16" borderId="7" xfId="0" applyNumberFormat="1" applyFill="1" applyBorder="1" applyAlignment="1"/>
    <xf numFmtId="9" fontId="0" fillId="0" borderId="0" xfId="0" applyNumberFormat="1"/>
    <xf numFmtId="0" fontId="0" fillId="0" borderId="0" xfId="0" applyFill="1" applyBorder="1"/>
    <xf numFmtId="9" fontId="22" fillId="3" borderId="6" xfId="0" applyNumberFormat="1" applyFont="1" applyFill="1" applyBorder="1" applyAlignment="1">
      <alignment horizontal="center"/>
    </xf>
    <xf numFmtId="173" fontId="0" fillId="3" borderId="7" xfId="1" applyNumberFormat="1" applyFont="1" applyFill="1" applyBorder="1"/>
    <xf numFmtId="9" fontId="53" fillId="2" borderId="7" xfId="0" applyNumberFormat="1" applyFont="1" applyFill="1" applyBorder="1" applyAlignment="1">
      <alignment horizontal="center"/>
    </xf>
    <xf numFmtId="9" fontId="53" fillId="17" borderId="7" xfId="0" applyNumberFormat="1" applyFont="1" applyFill="1" applyBorder="1" applyAlignment="1">
      <alignment horizontal="center"/>
    </xf>
    <xf numFmtId="0" fontId="53" fillId="2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3" fillId="2" borderId="7" xfId="0" applyNumberFormat="1" applyFont="1" applyFill="1" applyBorder="1" applyAlignment="1"/>
    <xf numFmtId="0" fontId="53" fillId="17" borderId="7" xfId="0" applyNumberFormat="1" applyFont="1" applyFill="1" applyBorder="1" applyAlignment="1"/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justify" vertical="justify"/>
    </xf>
    <xf numFmtId="0" fontId="0" fillId="4" borderId="44" xfId="0" applyFill="1" applyBorder="1" applyAlignment="1">
      <alignment horizontal="justify" vertical="justify"/>
    </xf>
    <xf numFmtId="0" fontId="0" fillId="4" borderId="9" xfId="0" applyFill="1" applyBorder="1" applyAlignment="1">
      <alignment horizontal="justify" vertical="justify"/>
    </xf>
    <xf numFmtId="0" fontId="0" fillId="4" borderId="10" xfId="0" applyFill="1" applyBorder="1" applyAlignment="1">
      <alignment horizontal="justify" vertical="justify"/>
    </xf>
    <xf numFmtId="0" fontId="0" fillId="4" borderId="18" xfId="0" applyFill="1" applyBorder="1" applyAlignment="1">
      <alignment horizontal="justify" vertical="justify"/>
    </xf>
    <xf numFmtId="0" fontId="0" fillId="4" borderId="11" xfId="0" applyFill="1" applyBorder="1" applyAlignment="1">
      <alignment horizontal="justify" vertical="justify"/>
    </xf>
    <xf numFmtId="10" fontId="0" fillId="4" borderId="8" xfId="4" applyNumberFormat="1" applyFont="1" applyFill="1" applyBorder="1" applyAlignment="1">
      <alignment horizontal="center" vertical="center" wrapText="1"/>
    </xf>
    <xf numFmtId="10" fontId="0" fillId="4" borderId="9" xfId="4" applyNumberFormat="1" applyFont="1" applyFill="1" applyBorder="1" applyAlignment="1">
      <alignment horizontal="center" vertical="center" wrapText="1"/>
    </xf>
    <xf numFmtId="10" fontId="0" fillId="4" borderId="10" xfId="4" applyNumberFormat="1" applyFont="1" applyFill="1" applyBorder="1" applyAlignment="1">
      <alignment horizontal="center" vertical="center" wrapText="1"/>
    </xf>
    <xf numFmtId="10" fontId="0" fillId="4" borderId="11" xfId="4" applyNumberFormat="1" applyFont="1" applyFill="1" applyBorder="1" applyAlignment="1">
      <alignment horizontal="center" vertical="center" wrapText="1"/>
    </xf>
    <xf numFmtId="1" fontId="0" fillId="4" borderId="14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0" fillId="7" borderId="14" xfId="0" applyNumberFormat="1" applyFill="1" applyBorder="1" applyAlignment="1">
      <alignment horizontal="center" vertical="center" wrapText="1"/>
    </xf>
    <xf numFmtId="1" fontId="0" fillId="7" borderId="16" xfId="0" applyNumberFormat="1" applyFill="1" applyBorder="1" applyAlignment="1">
      <alignment horizontal="center" vertical="center" wrapText="1"/>
    </xf>
    <xf numFmtId="0" fontId="0" fillId="4" borderId="40" xfId="0" applyFill="1" applyBorder="1" applyAlignment="1">
      <alignment horizontal="justify" vertical="justify"/>
    </xf>
    <xf numFmtId="0" fontId="0" fillId="4" borderId="0" xfId="0" applyFill="1" applyBorder="1" applyAlignment="1">
      <alignment horizontal="justify" vertical="justify"/>
    </xf>
    <xf numFmtId="0" fontId="0" fillId="4" borderId="43" xfId="0" applyFill="1" applyBorder="1" applyAlignment="1">
      <alignment horizontal="justify" vertical="justify"/>
    </xf>
    <xf numFmtId="10" fontId="0" fillId="4" borderId="40" xfId="4" applyNumberFormat="1" applyFont="1" applyFill="1" applyBorder="1" applyAlignment="1">
      <alignment horizontal="center" vertical="center" wrapText="1"/>
    </xf>
    <xf numFmtId="10" fontId="0" fillId="4" borderId="43" xfId="4" applyNumberFormat="1" applyFont="1" applyFill="1" applyBorder="1" applyAlignment="1">
      <alignment horizontal="center" vertical="center" wrapText="1"/>
    </xf>
    <xf numFmtId="10" fontId="0" fillId="4" borderId="14" xfId="4" applyNumberFormat="1" applyFont="1" applyFill="1" applyBorder="1" applyAlignment="1">
      <alignment horizontal="center" vertical="center" wrapText="1"/>
    </xf>
    <xf numFmtId="10" fontId="0" fillId="4" borderId="16" xfId="4" applyNumberFormat="1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justify" vertical="justify"/>
    </xf>
    <xf numFmtId="0" fontId="0" fillId="7" borderId="44" xfId="0" applyFill="1" applyBorder="1" applyAlignment="1">
      <alignment horizontal="justify" vertical="justify"/>
    </xf>
    <xf numFmtId="0" fontId="0" fillId="7" borderId="9" xfId="0" applyFill="1" applyBorder="1" applyAlignment="1">
      <alignment horizontal="justify" vertical="justify"/>
    </xf>
    <xf numFmtId="0" fontId="0" fillId="7" borderId="10" xfId="0" applyFill="1" applyBorder="1" applyAlignment="1">
      <alignment horizontal="justify" vertical="justify"/>
    </xf>
    <xf numFmtId="0" fontId="0" fillId="7" borderId="18" xfId="0" applyFill="1" applyBorder="1" applyAlignment="1">
      <alignment horizontal="justify" vertical="justify"/>
    </xf>
    <xf numFmtId="0" fontId="0" fillId="7" borderId="11" xfId="0" applyFill="1" applyBorder="1" applyAlignment="1">
      <alignment horizontal="justify" vertical="justify"/>
    </xf>
    <xf numFmtId="1" fontId="0" fillId="7" borderId="8" xfId="0" applyNumberFormat="1" applyFill="1" applyBorder="1" applyAlignment="1">
      <alignment horizontal="center" vertical="center" wrapText="1"/>
    </xf>
    <xf numFmtId="1" fontId="0" fillId="7" borderId="9" xfId="0" applyNumberFormat="1" applyFill="1" applyBorder="1" applyAlignment="1">
      <alignment horizontal="center" vertical="center" wrapText="1"/>
    </xf>
    <xf numFmtId="1" fontId="0" fillId="7" borderId="10" xfId="0" applyNumberFormat="1" applyFill="1" applyBorder="1" applyAlignment="1">
      <alignment horizontal="center" vertical="center" wrapText="1"/>
    </xf>
    <xf numFmtId="1" fontId="0" fillId="7" borderId="11" xfId="0" applyNumberFormat="1" applyFill="1" applyBorder="1" applyAlignment="1">
      <alignment horizontal="center" vertical="center" wrapText="1"/>
    </xf>
    <xf numFmtId="1" fontId="0" fillId="4" borderId="14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9" fontId="29" fillId="2" borderId="0" xfId="3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74" fontId="25" fillId="0" borderId="7" xfId="3" applyNumberFormat="1" applyFont="1" applyFill="1" applyBorder="1" applyAlignment="1">
      <alignment horizontal="center" vertical="top"/>
    </xf>
    <xf numFmtId="174" fontId="32" fillId="2" borderId="7" xfId="3" applyNumberFormat="1" applyFont="1" applyFill="1" applyBorder="1" applyAlignment="1">
      <alignment horizontal="center" vertical="top"/>
    </xf>
    <xf numFmtId="0" fontId="22" fillId="3" borderId="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1" fontId="32" fillId="2" borderId="7" xfId="0" applyNumberFormat="1" applyFont="1" applyFill="1" applyBorder="1" applyAlignment="1">
      <alignment horizontal="center"/>
    </xf>
    <xf numFmtId="0" fontId="24" fillId="3" borderId="12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10" fillId="11" borderId="14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2" fontId="25" fillId="0" borderId="23" xfId="5" applyNumberFormat="1" applyFont="1" applyFill="1" applyBorder="1" applyAlignment="1">
      <alignment horizontal="center" vertical="center" wrapText="1"/>
    </xf>
    <xf numFmtId="2" fontId="25" fillId="0" borderId="36" xfId="5" applyNumberFormat="1" applyFont="1" applyFill="1" applyBorder="1" applyAlignment="1">
      <alignment horizontal="center" vertical="center" wrapText="1"/>
    </xf>
    <xf numFmtId="2" fontId="25" fillId="0" borderId="24" xfId="5" applyNumberFormat="1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2" fillId="2" borderId="12" xfId="0" applyNumberFormat="1" applyFont="1" applyFill="1" applyBorder="1" applyAlignment="1" applyProtection="1">
      <alignment horizontal="center" vertical="center" wrapText="1"/>
    </xf>
    <xf numFmtId="0" fontId="12" fillId="2" borderId="13" xfId="0" applyNumberFormat="1" applyFont="1" applyFill="1" applyBorder="1" applyAlignment="1" applyProtection="1">
      <alignment horizontal="center" vertical="center" wrapText="1"/>
    </xf>
    <xf numFmtId="166" fontId="13" fillId="5" borderId="14" xfId="0" applyNumberFormat="1" applyFont="1" applyFill="1" applyBorder="1" applyAlignment="1" applyProtection="1">
      <alignment horizontal="center"/>
    </xf>
    <xf numFmtId="166" fontId="13" fillId="5" borderId="15" xfId="0" applyNumberFormat="1" applyFont="1" applyFill="1" applyBorder="1" applyAlignment="1" applyProtection="1">
      <alignment horizontal="center"/>
    </xf>
    <xf numFmtId="166" fontId="13" fillId="5" borderId="16" xfId="0" applyNumberFormat="1" applyFont="1" applyFill="1" applyBorder="1" applyAlignment="1" applyProtection="1">
      <alignment horizontal="center"/>
    </xf>
    <xf numFmtId="0" fontId="12" fillId="2" borderId="8" xfId="0" applyNumberFormat="1" applyFont="1" applyFill="1" applyBorder="1" applyAlignment="1" applyProtection="1">
      <alignment horizontal="center" vertical="center"/>
    </xf>
    <xf numFmtId="0" fontId="12" fillId="2" borderId="9" xfId="0" applyNumberFormat="1" applyFont="1" applyFill="1" applyBorder="1" applyAlignment="1" applyProtection="1">
      <alignment horizontal="center" vertical="center"/>
    </xf>
    <xf numFmtId="0" fontId="12" fillId="2" borderId="10" xfId="0" applyNumberFormat="1" applyFont="1" applyFill="1" applyBorder="1" applyAlignment="1" applyProtection="1">
      <alignment horizontal="center" vertical="center"/>
    </xf>
    <xf numFmtId="0" fontId="12" fillId="2" borderId="11" xfId="0" applyNumberFormat="1" applyFont="1" applyFill="1" applyBorder="1" applyAlignment="1" applyProtection="1">
      <alignment horizontal="center" vertical="center"/>
    </xf>
    <xf numFmtId="169" fontId="22" fillId="3" borderId="14" xfId="3" applyNumberFormat="1" applyFont="1" applyFill="1" applyBorder="1" applyAlignment="1">
      <alignment horizontal="center" vertical="center"/>
    </xf>
    <xf numFmtId="169" fontId="22" fillId="3" borderId="15" xfId="3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169" fontId="8" fillId="2" borderId="14" xfId="3" applyNumberFormat="1" applyFont="1" applyFill="1" applyBorder="1" applyAlignment="1">
      <alignment horizontal="center" vertical="center"/>
    </xf>
    <xf numFmtId="169" fontId="8" fillId="2" borderId="15" xfId="3" applyNumberFormat="1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33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164" fontId="19" fillId="0" borderId="35" xfId="3" applyFont="1" applyBorder="1" applyAlignment="1">
      <alignment horizontal="left"/>
    </xf>
    <xf numFmtId="164" fontId="19" fillId="0" borderId="42" xfId="3" applyFont="1" applyBorder="1" applyAlignment="1">
      <alignment horizontal="left"/>
    </xf>
    <xf numFmtId="0" fontId="8" fillId="2" borderId="1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8" fillId="2" borderId="30" xfId="0" applyFont="1" applyFill="1" applyBorder="1" applyAlignment="1">
      <alignment horizontal="center" vertical="center" wrapText="1"/>
    </xf>
    <xf numFmtId="0" fontId="4" fillId="4" borderId="20" xfId="0" applyNumberFormat="1" applyFont="1" applyFill="1" applyBorder="1" applyAlignment="1" applyProtection="1">
      <alignment horizontal="center"/>
    </xf>
    <xf numFmtId="0" fontId="4" fillId="4" borderId="21" xfId="0" applyNumberFormat="1" applyFont="1" applyFill="1" applyBorder="1" applyAlignment="1" applyProtection="1">
      <alignment horizontal="center"/>
    </xf>
    <xf numFmtId="0" fontId="4" fillId="4" borderId="23" xfId="0" applyNumberFormat="1" applyFont="1" applyFill="1" applyBorder="1" applyAlignment="1" applyProtection="1">
      <alignment horizontal="center"/>
    </xf>
    <xf numFmtId="0" fontId="4" fillId="4" borderId="24" xfId="0" applyNumberFormat="1" applyFont="1" applyFill="1" applyBorder="1" applyAlignment="1" applyProtection="1">
      <alignment horizontal="center"/>
    </xf>
    <xf numFmtId="0" fontId="4" fillId="4" borderId="25" xfId="0" applyNumberFormat="1" applyFont="1" applyFill="1" applyBorder="1" applyAlignment="1" applyProtection="1">
      <alignment horizontal="center"/>
    </xf>
    <xf numFmtId="0" fontId="4" fillId="4" borderId="26" xfId="0" applyNumberFormat="1" applyFont="1" applyFill="1" applyBorder="1" applyAlignment="1" applyProtection="1">
      <alignment horizontal="center"/>
    </xf>
    <xf numFmtId="0" fontId="33" fillId="2" borderId="7" xfId="0" applyFont="1" applyFill="1" applyBorder="1" applyAlignment="1">
      <alignment horizontal="center"/>
    </xf>
    <xf numFmtId="0" fontId="32" fillId="2" borderId="64" xfId="0" applyFont="1" applyFill="1" applyBorder="1" applyAlignment="1">
      <alignment horizontal="left"/>
    </xf>
    <xf numFmtId="0" fontId="33" fillId="2" borderId="7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textRotation="255"/>
    </xf>
    <xf numFmtId="0" fontId="40" fillId="0" borderId="22" xfId="0" applyFont="1" applyBorder="1" applyAlignment="1">
      <alignment horizontal="center" textRotation="255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42" fillId="5" borderId="37" xfId="0" applyFont="1" applyFill="1" applyBorder="1" applyAlignment="1">
      <alignment horizontal="center" vertical="center"/>
    </xf>
    <xf numFmtId="0" fontId="42" fillId="5" borderId="38" xfId="0" applyFont="1" applyFill="1" applyBorder="1" applyAlignment="1">
      <alignment horizontal="center" vertical="center"/>
    </xf>
    <xf numFmtId="0" fontId="42" fillId="5" borderId="80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2" fontId="0" fillId="0" borderId="18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/>
  </cellXfs>
  <cellStyles count="9">
    <cellStyle name="Hipervínculo" xfId="8" builtinId="8"/>
    <cellStyle name="Millares" xfId="5" builtinId="3"/>
    <cellStyle name="Millares 2" xfId="2"/>
    <cellStyle name="Moneda" xfId="1" builtinId="4"/>
    <cellStyle name="Moneda 2" xfId="3"/>
    <cellStyle name="Normal" xfId="0" builtinId="0"/>
    <cellStyle name="Normal 2" xfId="7"/>
    <cellStyle name="Porcentaje" xfId="4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'Analisis Sensibilidad'!$B$13</c:f>
              <c:strCache>
                <c:ptCount val="1"/>
                <c:pt idx="0">
                  <c:v>VAN</c:v>
                </c:pt>
              </c:strCache>
            </c:strRef>
          </c:tx>
          <c:spPr>
            <a:ln w="47625">
              <a:noFill/>
            </a:ln>
          </c:spPr>
          <c:xVal>
            <c:numRef>
              <c:f>'Analisis Sensibilidad'!$C$12:$H$12</c:f>
              <c:numCache>
                <c:formatCode>0%</c:formatCode>
                <c:ptCount val="6"/>
                <c:pt idx="0">
                  <c:v>0.09</c:v>
                </c:pt>
                <c:pt idx="1">
                  <c:v>0.1</c:v>
                </c:pt>
                <c:pt idx="2">
                  <c:v>0.11</c:v>
                </c:pt>
                <c:pt idx="3">
                  <c:v>0.12636290485423657</c:v>
                </c:pt>
                <c:pt idx="4">
                  <c:v>0.13</c:v>
                </c:pt>
                <c:pt idx="5">
                  <c:v>0.14000000000000001</c:v>
                </c:pt>
              </c:numCache>
            </c:numRef>
          </c:xVal>
          <c:yVal>
            <c:numRef>
              <c:f>'Analisis Sensibilidad'!$C$13:$H$13</c:f>
              <c:numCache>
                <c:formatCode>_("$"\ * #,##0_);_("$"\ * \(#,##0\);_("$"\ * "-"??_);_(@_)</c:formatCode>
                <c:ptCount val="6"/>
                <c:pt idx="0">
                  <c:v>530756.1686152633</c:v>
                </c:pt>
                <c:pt idx="1">
                  <c:v>493268.12084428465</c:v>
                </c:pt>
                <c:pt idx="2">
                  <c:v>458568.10691829911</c:v>
                </c:pt>
                <c:pt idx="3">
                  <c:v>407180.84488099569</c:v>
                </c:pt>
                <c:pt idx="4">
                  <c:v>396589.85941711254</c:v>
                </c:pt>
                <c:pt idx="5">
                  <c:v>368896.58649809152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07328"/>
        <c:axId val="133517312"/>
      </c:scatterChart>
      <c:valAx>
        <c:axId val="13350732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gradFill>
            <a:gsLst>
              <a:gs pos="0">
                <a:srgbClr val="5E9EFF"/>
              </a:gs>
              <a:gs pos="39999">
                <a:srgbClr val="85C2FF"/>
              </a:gs>
              <a:gs pos="70000">
                <a:srgbClr val="C4D6EB"/>
              </a:gs>
              <a:gs pos="100000">
                <a:srgbClr val="FFEBFA"/>
              </a:gs>
            </a:gsLst>
            <a:lin ang="5400000" scaled="0"/>
          </a:gradFill>
        </c:spPr>
        <c:crossAx val="133517312"/>
        <c:crosses val="autoZero"/>
        <c:crossBetween val="midCat"/>
      </c:valAx>
      <c:valAx>
        <c:axId val="133517312"/>
        <c:scaling>
          <c:orientation val="minMax"/>
        </c:scaling>
        <c:delete val="0"/>
        <c:axPos val="l"/>
        <c:majorGridlines/>
        <c:numFmt formatCode="_(&quot;$&quot;\ * #,##0_);_(&quot;$&quot;\ * \(#,##0\);_(&quot;$&quot;\ * &quot;-&quot;??_);_(@_)" sourceLinked="1"/>
        <c:majorTickMark val="out"/>
        <c:minorTickMark val="none"/>
        <c:tickLblPos val="nextTo"/>
        <c:spPr>
          <a:solidFill>
            <a:schemeClr val="accent1"/>
          </a:solidFill>
        </c:spPr>
        <c:crossAx val="133507328"/>
        <c:crosses val="autoZero"/>
        <c:crossBetween val="midCat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'Analisis Sensibilidad'!$B$30</c:f>
              <c:strCache>
                <c:ptCount val="1"/>
                <c:pt idx="0">
                  <c:v>VAN</c:v>
                </c:pt>
              </c:strCache>
            </c:strRef>
          </c:tx>
          <c:spPr>
            <a:ln w="47625">
              <a:noFill/>
            </a:ln>
          </c:spPr>
          <c:xVal>
            <c:numRef>
              <c:f>'Analisis Sensibilidad'!$C$29:$H$29</c:f>
              <c:numCache>
                <c:formatCode>General</c:formatCode>
                <c:ptCount val="6"/>
                <c:pt idx="0">
                  <c:v>0.5</c:v>
                </c:pt>
                <c:pt idx="1">
                  <c:v>0.52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0.57999999999999996</c:v>
                </c:pt>
                <c:pt idx="5">
                  <c:v>0.6</c:v>
                </c:pt>
              </c:numCache>
            </c:numRef>
          </c:xVal>
          <c:yVal>
            <c:numRef>
              <c:f>'Analisis Sensibilidad'!$C$30:$H$30</c:f>
              <c:numCache>
                <c:formatCode>_("$"\ * #,##0_);_("$"\ * \(#,##0\);_("$"\ * "-"??_);_(@_)</c:formatCode>
                <c:ptCount val="6"/>
                <c:pt idx="0">
                  <c:v>278355.66761778714</c:v>
                </c:pt>
                <c:pt idx="1">
                  <c:v>349747.0352422627</c:v>
                </c:pt>
                <c:pt idx="2">
                  <c:v>407180.84488099569</c:v>
                </c:pt>
                <c:pt idx="3">
                  <c:v>475648.16198388638</c:v>
                </c:pt>
                <c:pt idx="4">
                  <c:v>529905.60137848754</c:v>
                </c:pt>
                <c:pt idx="5">
                  <c:v>584163.04077308858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54176"/>
        <c:axId val="133555712"/>
      </c:scatterChart>
      <c:valAx>
        <c:axId val="13355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rgbClr val="5E9EFF"/>
              </a:gs>
              <a:gs pos="39999">
                <a:srgbClr val="85C2FF"/>
              </a:gs>
              <a:gs pos="70000">
                <a:srgbClr val="C4D6EB"/>
              </a:gs>
              <a:gs pos="100000">
                <a:srgbClr val="FFEBFA"/>
              </a:gs>
            </a:gsLst>
            <a:lin ang="5400000" scaled="0"/>
          </a:gradFill>
        </c:spPr>
        <c:crossAx val="133555712"/>
        <c:crosses val="autoZero"/>
        <c:crossBetween val="midCat"/>
      </c:valAx>
      <c:valAx>
        <c:axId val="133555712"/>
        <c:scaling>
          <c:orientation val="minMax"/>
        </c:scaling>
        <c:delete val="0"/>
        <c:axPos val="l"/>
        <c:majorGridlines/>
        <c:numFmt formatCode="_(&quot;$&quot;\ * #,##0_);_(&quot;$&quot;\ * \(#,##0\);_(&quot;$&quot;\ * &quot;-&quot;??_);_(@_)" sourceLinked="1"/>
        <c:majorTickMark val="out"/>
        <c:minorTickMark val="none"/>
        <c:tickLblPos val="nextTo"/>
        <c:spPr>
          <a:solidFill>
            <a:schemeClr val="accent1"/>
          </a:solidFill>
        </c:spPr>
        <c:crossAx val="133554176"/>
        <c:crosses val="autoZero"/>
        <c:crossBetween val="midCat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1994648</xdr:colOff>
      <xdr:row>1</xdr:row>
      <xdr:rowOff>11206</xdr:rowOff>
    </xdr:from>
    <xdr:to>
      <xdr:col>0</xdr:col>
      <xdr:colOff>2924736</xdr:colOff>
      <xdr:row>2</xdr:row>
      <xdr:rowOff>0</xdr:rowOff>
    </xdr:to>
    <xdr:sp macro="" textlink="">
      <xdr:nvSpPr>
        <xdr:cNvPr id="2" name="1 CuadroTexto"/>
        <xdr:cNvSpPr txBox="1"/>
      </xdr:nvSpPr>
      <xdr:spPr>
        <a:xfrm>
          <a:off x="1994648" y="868456"/>
          <a:ext cx="930088" cy="284069"/>
        </a:xfrm>
        <a:prstGeom prst="rect">
          <a:avLst/>
        </a:prstGeom>
        <a:solidFill>
          <a:schemeClr val="accent2"/>
        </a:solidFill>
        <a:ln w="9525" cmpd="sng">
          <a:solidFill>
            <a:schemeClr val="accent5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600" b="1">
              <a:solidFill>
                <a:schemeClr val="bg1"/>
              </a:solidFill>
              <a:latin typeface="Arial Narrow" pitchFamily="34" charset="0"/>
            </a:rPr>
            <a:t>Períodos</a:t>
          </a:r>
        </a:p>
        <a:p>
          <a:endParaRPr lang="es-EC" sz="1600" b="1">
            <a:solidFill>
              <a:schemeClr val="bg1">
                <a:lumMod val="9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33618</xdr:colOff>
      <xdr:row>1</xdr:row>
      <xdr:rowOff>268942</xdr:rowOff>
    </xdr:from>
    <xdr:to>
      <xdr:col>0</xdr:col>
      <xdr:colOff>1064559</xdr:colOff>
      <xdr:row>2</xdr:row>
      <xdr:rowOff>257736</xdr:rowOff>
    </xdr:to>
    <xdr:sp macro="" textlink="">
      <xdr:nvSpPr>
        <xdr:cNvPr id="3" name="2 CuadroTexto"/>
        <xdr:cNvSpPr txBox="1"/>
      </xdr:nvSpPr>
      <xdr:spPr>
        <a:xfrm>
          <a:off x="33618" y="1126192"/>
          <a:ext cx="1030941" cy="284069"/>
        </a:xfrm>
        <a:prstGeom prst="rect">
          <a:avLst/>
        </a:prstGeom>
        <a:solidFill>
          <a:schemeClr val="accent2"/>
        </a:solidFill>
        <a:ln w="9525" cmpd="sng">
          <a:solidFill>
            <a:schemeClr val="accent5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600" b="1">
              <a:solidFill>
                <a:schemeClr val="bg1">
                  <a:lumMod val="95000"/>
                </a:schemeClr>
              </a:solidFill>
              <a:latin typeface="Arial Narrow" pitchFamily="34" charset="0"/>
            </a:rPr>
            <a:t>Partidas</a:t>
          </a:r>
        </a:p>
        <a:p>
          <a:endParaRPr lang="es-EC" sz="1600" b="1">
            <a:solidFill>
              <a:schemeClr val="bg1">
                <a:lumMod val="95000"/>
              </a:schemeClr>
            </a:solidFill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0</xdr:row>
      <xdr:rowOff>171450</xdr:rowOff>
    </xdr:from>
    <xdr:to>
      <xdr:col>14</xdr:col>
      <xdr:colOff>466725</xdr:colOff>
      <xdr:row>15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18</xdr:row>
      <xdr:rowOff>95250</xdr:rowOff>
    </xdr:from>
    <xdr:to>
      <xdr:col>14</xdr:col>
      <xdr:colOff>476250</xdr:colOff>
      <xdr:row>32</xdr:row>
      <xdr:rowOff>142875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7</xdr:row>
      <xdr:rowOff>0</xdr:rowOff>
    </xdr:from>
    <xdr:to>
      <xdr:col>5</xdr:col>
      <xdr:colOff>276225</xdr:colOff>
      <xdr:row>18</xdr:row>
      <xdr:rowOff>28575</xdr:rowOff>
    </xdr:to>
    <xdr:pic>
      <xdr:nvPicPr>
        <xdr:cNvPr id="2" name="1 Imagen" descr="http://www.bce.fin.ec/lib/tasa.php?id=riesgo_pais&amp;factor=1.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52550"/>
          <a:ext cx="283845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bce.fin.ec/resumen_ticker.php?ticker_value=riesgo_pais" TargetMode="External"/><Relationship Id="rId1" Type="http://schemas.openxmlformats.org/officeDocument/2006/relationships/hyperlink" Target="http://pages.stern.nyu.edu/~adamodar/New_Home_Page/data.html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topLeftCell="A12" zoomScale="110" zoomScaleNormal="110" workbookViewId="0">
      <selection activeCell="H22" sqref="H22"/>
    </sheetView>
  </sheetViews>
  <sheetFormatPr baseColWidth="10" defaultRowHeight="15" x14ac:dyDescent="0.25"/>
  <cols>
    <col min="1" max="3" width="11.42578125" style="44"/>
    <col min="4" max="4" width="12.5703125" style="118" bestFit="1" customWidth="1"/>
    <col min="5" max="5" width="11.42578125" style="118"/>
    <col min="6" max="16384" width="11.42578125" style="44"/>
  </cols>
  <sheetData>
    <row r="2" spans="2:6" x14ac:dyDescent="0.25">
      <c r="B2" s="593" t="s">
        <v>144</v>
      </c>
      <c r="C2" s="594"/>
      <c r="D2" s="595"/>
      <c r="E2" s="609">
        <v>2291158</v>
      </c>
      <c r="F2" s="610"/>
    </row>
    <row r="3" spans="2:6" x14ac:dyDescent="0.25">
      <c r="B3" s="119" t="s">
        <v>145</v>
      </c>
      <c r="C3" s="119"/>
      <c r="D3" s="119"/>
      <c r="E3" s="616">
        <v>0.878</v>
      </c>
      <c r="F3" s="617"/>
    </row>
    <row r="4" spans="2:6" x14ac:dyDescent="0.25">
      <c r="B4" s="120" t="s">
        <v>146</v>
      </c>
      <c r="C4" s="120"/>
      <c r="D4" s="120"/>
      <c r="E4" s="609">
        <f>E2*E3</f>
        <v>2011636.7239999999</v>
      </c>
      <c r="F4" s="610"/>
    </row>
    <row r="5" spans="2:6" x14ac:dyDescent="0.25">
      <c r="B5" s="119" t="s">
        <v>147</v>
      </c>
      <c r="C5" s="119"/>
      <c r="D5" s="119"/>
      <c r="E5" s="616">
        <v>0.72160000000000002</v>
      </c>
      <c r="F5" s="617"/>
    </row>
    <row r="6" spans="2:6" x14ac:dyDescent="0.25">
      <c r="B6" s="618" t="s">
        <v>148</v>
      </c>
      <c r="C6" s="619"/>
      <c r="D6" s="620"/>
      <c r="E6" s="624">
        <f>E4*E5</f>
        <v>1451597.0600383999</v>
      </c>
      <c r="F6" s="625"/>
    </row>
    <row r="7" spans="2:6" ht="15" customHeight="1" x14ac:dyDescent="0.25">
      <c r="B7" s="621"/>
      <c r="C7" s="622"/>
      <c r="D7" s="623"/>
      <c r="E7" s="626"/>
      <c r="F7" s="627"/>
    </row>
    <row r="8" spans="2:6" x14ac:dyDescent="0.25">
      <c r="B8" s="596" t="s">
        <v>151</v>
      </c>
      <c r="C8" s="597"/>
      <c r="D8" s="598"/>
      <c r="E8" s="602">
        <v>0.74</v>
      </c>
      <c r="F8" s="603"/>
    </row>
    <row r="9" spans="2:6" ht="15" customHeight="1" x14ac:dyDescent="0.25">
      <c r="B9" s="599"/>
      <c r="C9" s="600"/>
      <c r="D9" s="601"/>
      <c r="E9" s="604"/>
      <c r="F9" s="605"/>
    </row>
    <row r="10" spans="2:6" x14ac:dyDescent="0.25">
      <c r="B10" s="593" t="s">
        <v>150</v>
      </c>
      <c r="C10" s="594"/>
      <c r="D10" s="595"/>
      <c r="E10" s="609">
        <f>E6*E8</f>
        <v>1074181.8244284159</v>
      </c>
      <c r="F10" s="610"/>
    </row>
    <row r="11" spans="2:6" x14ac:dyDescent="0.25">
      <c r="B11" s="596" t="s">
        <v>149</v>
      </c>
      <c r="C11" s="597"/>
      <c r="D11" s="598"/>
      <c r="E11" s="602">
        <v>0.98799999999999999</v>
      </c>
      <c r="F11" s="603"/>
    </row>
    <row r="12" spans="2:6" ht="15" customHeight="1" x14ac:dyDescent="0.25">
      <c r="B12" s="599"/>
      <c r="C12" s="600"/>
      <c r="D12" s="601"/>
      <c r="E12" s="604"/>
      <c r="F12" s="605"/>
    </row>
    <row r="13" spans="2:6" x14ac:dyDescent="0.25">
      <c r="B13" s="593" t="s">
        <v>150</v>
      </c>
      <c r="C13" s="594"/>
      <c r="D13" s="595"/>
      <c r="E13" s="609">
        <f>E10*E11</f>
        <v>1061291.6425352748</v>
      </c>
      <c r="F13" s="610"/>
    </row>
    <row r="14" spans="2:6" x14ac:dyDescent="0.25">
      <c r="B14" s="596" t="s">
        <v>152</v>
      </c>
      <c r="C14" s="597"/>
      <c r="D14" s="598"/>
      <c r="E14" s="602">
        <v>0.51</v>
      </c>
      <c r="F14" s="603"/>
    </row>
    <row r="15" spans="2:6" ht="15" customHeight="1" x14ac:dyDescent="0.25">
      <c r="B15" s="599"/>
      <c r="C15" s="600"/>
      <c r="D15" s="601"/>
      <c r="E15" s="604"/>
      <c r="F15" s="605"/>
    </row>
    <row r="16" spans="2:6" x14ac:dyDescent="0.25">
      <c r="B16" s="593" t="s">
        <v>150</v>
      </c>
      <c r="C16" s="594"/>
      <c r="D16" s="595"/>
      <c r="E16" s="609">
        <f>E13*E14</f>
        <v>541258.73769299022</v>
      </c>
      <c r="F16" s="610"/>
    </row>
    <row r="17" spans="2:10" x14ac:dyDescent="0.25">
      <c r="B17" s="596" t="s">
        <v>153</v>
      </c>
      <c r="C17" s="597"/>
      <c r="D17" s="598"/>
      <c r="E17" s="602">
        <v>0.83299999999999996</v>
      </c>
      <c r="F17" s="603"/>
    </row>
    <row r="18" spans="2:10" ht="15" customHeight="1" x14ac:dyDescent="0.25">
      <c r="B18" s="611"/>
      <c r="C18" s="612"/>
      <c r="D18" s="613"/>
      <c r="E18" s="614"/>
      <c r="F18" s="615"/>
    </row>
    <row r="19" spans="2:10" x14ac:dyDescent="0.25">
      <c r="B19" s="599"/>
      <c r="C19" s="600"/>
      <c r="D19" s="601"/>
      <c r="E19" s="604"/>
      <c r="F19" s="605"/>
    </row>
    <row r="20" spans="2:10" x14ac:dyDescent="0.25">
      <c r="B20" s="593" t="s">
        <v>150</v>
      </c>
      <c r="C20" s="594"/>
      <c r="D20" s="595"/>
      <c r="E20" s="609">
        <f>E16*E17</f>
        <v>450868.52849826083</v>
      </c>
      <c r="F20" s="610"/>
    </row>
    <row r="21" spans="2:10" x14ac:dyDescent="0.25">
      <c r="B21" s="596" t="s">
        <v>154</v>
      </c>
      <c r="C21" s="597"/>
      <c r="D21" s="598"/>
      <c r="E21" s="602">
        <v>0.53500000000000003</v>
      </c>
      <c r="F21" s="603"/>
    </row>
    <row r="22" spans="2:10" ht="15" customHeight="1" x14ac:dyDescent="0.25">
      <c r="B22" s="599"/>
      <c r="C22" s="600"/>
      <c r="D22" s="601"/>
      <c r="E22" s="604"/>
      <c r="F22" s="605"/>
    </row>
    <row r="23" spans="2:10" x14ac:dyDescent="0.25">
      <c r="B23" s="593" t="s">
        <v>150</v>
      </c>
      <c r="C23" s="594"/>
      <c r="D23" s="595"/>
      <c r="E23" s="609">
        <f>E20*E21</f>
        <v>241214.66274656955</v>
      </c>
      <c r="F23" s="610"/>
    </row>
    <row r="24" spans="2:10" x14ac:dyDescent="0.25">
      <c r="B24" s="596" t="s">
        <v>155</v>
      </c>
      <c r="C24" s="597"/>
      <c r="D24" s="598"/>
      <c r="E24" s="602">
        <v>0.78169999999999995</v>
      </c>
      <c r="F24" s="603"/>
    </row>
    <row r="25" spans="2:10" ht="15" customHeight="1" x14ac:dyDescent="0.25">
      <c r="B25" s="599"/>
      <c r="C25" s="600"/>
      <c r="D25" s="601"/>
      <c r="E25" s="604"/>
      <c r="F25" s="605"/>
    </row>
    <row r="26" spans="2:10" x14ac:dyDescent="0.25">
      <c r="B26" s="593" t="s">
        <v>150</v>
      </c>
      <c r="C26" s="594"/>
      <c r="D26" s="595"/>
      <c r="E26" s="609">
        <f>E23*E24</f>
        <v>188557.50186899339</v>
      </c>
      <c r="F26" s="610"/>
    </row>
    <row r="27" spans="2:10" x14ac:dyDescent="0.25">
      <c r="B27" s="596" t="s">
        <v>159</v>
      </c>
      <c r="C27" s="597"/>
      <c r="D27" s="598"/>
      <c r="E27" s="602">
        <f>G27+I27</f>
        <v>0.52800000000000002</v>
      </c>
      <c r="F27" s="603"/>
      <c r="G27" s="602">
        <v>0.113</v>
      </c>
      <c r="H27" s="603"/>
      <c r="I27" s="602">
        <v>0.41499999999999998</v>
      </c>
      <c r="J27" s="603"/>
    </row>
    <row r="28" spans="2:10" ht="15" customHeight="1" x14ac:dyDescent="0.25">
      <c r="B28" s="599"/>
      <c r="C28" s="600"/>
      <c r="D28" s="601"/>
      <c r="E28" s="604"/>
      <c r="F28" s="605"/>
      <c r="G28" s="604"/>
      <c r="H28" s="605"/>
      <c r="I28" s="604"/>
      <c r="J28" s="605"/>
    </row>
    <row r="29" spans="2:10" x14ac:dyDescent="0.25">
      <c r="B29" s="593" t="s">
        <v>150</v>
      </c>
      <c r="C29" s="594"/>
      <c r="D29" s="595"/>
      <c r="E29" s="609">
        <f>E26*E27</f>
        <v>99558.360986828513</v>
      </c>
      <c r="F29" s="610"/>
      <c r="G29" s="609">
        <f>E26*G27</f>
        <v>21306.997711196254</v>
      </c>
      <c r="H29" s="610"/>
      <c r="I29" s="609">
        <f>I27*E26</f>
        <v>78251.363275632248</v>
      </c>
      <c r="J29" s="610"/>
    </row>
    <row r="30" spans="2:10" ht="15" customHeight="1" x14ac:dyDescent="0.25">
      <c r="B30" s="596" t="s">
        <v>158</v>
      </c>
      <c r="C30" s="597"/>
      <c r="D30" s="598"/>
      <c r="E30" s="602">
        <v>0.88900000000000001</v>
      </c>
      <c r="F30" s="603"/>
      <c r="G30" s="602">
        <v>0.88900000000000001</v>
      </c>
      <c r="H30" s="603"/>
      <c r="I30" s="602">
        <v>0.82499999999999996</v>
      </c>
      <c r="J30" s="603"/>
    </row>
    <row r="31" spans="2:10" x14ac:dyDescent="0.25">
      <c r="B31" s="599"/>
      <c r="C31" s="600"/>
      <c r="D31" s="601"/>
      <c r="E31" s="604"/>
      <c r="F31" s="605"/>
      <c r="G31" s="604"/>
      <c r="H31" s="605"/>
      <c r="I31" s="604"/>
      <c r="J31" s="605"/>
    </row>
    <row r="32" spans="2:10" x14ac:dyDescent="0.25">
      <c r="B32" s="593" t="s">
        <v>150</v>
      </c>
      <c r="C32" s="594"/>
      <c r="D32" s="595"/>
      <c r="E32" s="609">
        <f>$E$29*E30</f>
        <v>88507.382917290553</v>
      </c>
      <c r="F32" s="610"/>
      <c r="G32" s="609">
        <f>E26*G30</f>
        <v>167627.61916153514</v>
      </c>
      <c r="H32" s="610"/>
      <c r="I32" s="609">
        <f>$E$29*I30</f>
        <v>82135.647814133525</v>
      </c>
      <c r="J32" s="610"/>
    </row>
    <row r="33" spans="2:10" x14ac:dyDescent="0.25">
      <c r="B33" s="606" t="s">
        <v>156</v>
      </c>
      <c r="C33" s="607"/>
      <c r="D33" s="608"/>
      <c r="E33" s="628">
        <v>4</v>
      </c>
      <c r="F33" s="629"/>
      <c r="G33" s="628">
        <v>30</v>
      </c>
      <c r="H33" s="629"/>
      <c r="I33" s="628">
        <v>4</v>
      </c>
      <c r="J33" s="629"/>
    </row>
    <row r="34" spans="2:10" x14ac:dyDescent="0.25">
      <c r="B34" s="593" t="s">
        <v>157</v>
      </c>
      <c r="C34" s="594"/>
      <c r="D34" s="595"/>
      <c r="E34" s="609">
        <f>E32*E33</f>
        <v>354029.53166916221</v>
      </c>
      <c r="F34" s="610"/>
      <c r="G34" s="609">
        <f>G29*G33</f>
        <v>639209.93133588764</v>
      </c>
      <c r="H34" s="610"/>
      <c r="I34" s="609">
        <f>I29*I33</f>
        <v>313005.45310252899</v>
      </c>
      <c r="J34" s="610"/>
    </row>
  </sheetData>
  <mergeCells count="55">
    <mergeCell ref="I27:J28"/>
    <mergeCell ref="I29:J29"/>
    <mergeCell ref="I30:J31"/>
    <mergeCell ref="I32:J32"/>
    <mergeCell ref="I33:J33"/>
    <mergeCell ref="G33:H33"/>
    <mergeCell ref="E32:F32"/>
    <mergeCell ref="E30:F31"/>
    <mergeCell ref="G30:H31"/>
    <mergeCell ref="G32:H32"/>
    <mergeCell ref="I34:J34"/>
    <mergeCell ref="E6:F7"/>
    <mergeCell ref="B2:D2"/>
    <mergeCell ref="G34:H34"/>
    <mergeCell ref="G27:H28"/>
    <mergeCell ref="G29:H29"/>
    <mergeCell ref="E16:F16"/>
    <mergeCell ref="E10:F10"/>
    <mergeCell ref="E29:F29"/>
    <mergeCell ref="E34:F34"/>
    <mergeCell ref="E33:F33"/>
    <mergeCell ref="B11:D12"/>
    <mergeCell ref="E8:F9"/>
    <mergeCell ref="B8:D9"/>
    <mergeCell ref="E11:F12"/>
    <mergeCell ref="B10:D10"/>
    <mergeCell ref="E2:F2"/>
    <mergeCell ref="E3:F3"/>
    <mergeCell ref="E4:F4"/>
    <mergeCell ref="E5:F5"/>
    <mergeCell ref="B6:D7"/>
    <mergeCell ref="E20:F20"/>
    <mergeCell ref="B13:D13"/>
    <mergeCell ref="B16:D16"/>
    <mergeCell ref="B20:D20"/>
    <mergeCell ref="B23:D23"/>
    <mergeCell ref="B26:D26"/>
    <mergeCell ref="B14:D15"/>
    <mergeCell ref="E14:F15"/>
    <mergeCell ref="E13:F13"/>
    <mergeCell ref="E27:F28"/>
    <mergeCell ref="B17:D19"/>
    <mergeCell ref="E17:F19"/>
    <mergeCell ref="B21:D22"/>
    <mergeCell ref="E21:F22"/>
    <mergeCell ref="E23:F23"/>
    <mergeCell ref="E26:F26"/>
    <mergeCell ref="B29:D29"/>
    <mergeCell ref="B34:D34"/>
    <mergeCell ref="B24:D25"/>
    <mergeCell ref="E24:F25"/>
    <mergeCell ref="B27:D28"/>
    <mergeCell ref="B33:D33"/>
    <mergeCell ref="B30:D31"/>
    <mergeCell ref="B32:D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5"/>
  <sheetViews>
    <sheetView topLeftCell="I3" workbookViewId="0">
      <selection activeCell="O24" sqref="O24"/>
    </sheetView>
  </sheetViews>
  <sheetFormatPr baseColWidth="10" defaultRowHeight="15" x14ac:dyDescent="0.25"/>
  <cols>
    <col min="1" max="1" width="44.85546875" bestFit="1" customWidth="1"/>
    <col min="2" max="2" width="12" bestFit="1" customWidth="1"/>
    <col min="3" max="10" width="12.7109375" bestFit="1" customWidth="1"/>
    <col min="11" max="11" width="14.140625" bestFit="1" customWidth="1"/>
    <col min="12" max="12" width="14" customWidth="1"/>
    <col min="13" max="13" width="13.42578125" bestFit="1" customWidth="1"/>
    <col min="14" max="14" width="14" customWidth="1"/>
    <col min="15" max="24" width="15.28515625" bestFit="1" customWidth="1"/>
  </cols>
  <sheetData>
    <row r="2" spans="1:24" ht="27" x14ac:dyDescent="0.25">
      <c r="A2" s="710"/>
      <c r="B2" s="371"/>
      <c r="C2" s="711">
        <v>2012</v>
      </c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09">
        <v>2012</v>
      </c>
      <c r="P2" s="709">
        <v>2013</v>
      </c>
      <c r="Q2" s="709">
        <v>2014</v>
      </c>
      <c r="R2" s="709">
        <v>2015</v>
      </c>
      <c r="S2" s="709">
        <v>2016</v>
      </c>
      <c r="T2" s="709">
        <v>2017</v>
      </c>
      <c r="U2" s="709">
        <v>2018</v>
      </c>
      <c r="V2" s="709">
        <v>2019</v>
      </c>
      <c r="W2" s="709">
        <v>2020</v>
      </c>
      <c r="X2" s="709">
        <v>2021</v>
      </c>
    </row>
    <row r="3" spans="1:24" ht="20.25" x14ac:dyDescent="0.25">
      <c r="A3" s="710"/>
      <c r="B3" s="372"/>
      <c r="C3" s="373" t="s">
        <v>161</v>
      </c>
      <c r="D3" s="373" t="s">
        <v>162</v>
      </c>
      <c r="E3" s="373" t="s">
        <v>163</v>
      </c>
      <c r="F3" s="373" t="s">
        <v>164</v>
      </c>
      <c r="G3" s="373" t="s">
        <v>165</v>
      </c>
      <c r="H3" s="373" t="s">
        <v>166</v>
      </c>
      <c r="I3" s="373" t="s">
        <v>167</v>
      </c>
      <c r="J3" s="373" t="s">
        <v>168</v>
      </c>
      <c r="K3" s="373" t="s">
        <v>169</v>
      </c>
      <c r="L3" s="373" t="s">
        <v>170</v>
      </c>
      <c r="M3" s="373" t="s">
        <v>171</v>
      </c>
      <c r="N3" s="373" t="s">
        <v>172</v>
      </c>
      <c r="O3" s="709"/>
      <c r="P3" s="709">
        <v>2013</v>
      </c>
      <c r="Q3" s="709">
        <v>2014</v>
      </c>
      <c r="R3" s="709">
        <v>2015</v>
      </c>
      <c r="S3" s="709">
        <v>2016</v>
      </c>
      <c r="T3" s="709">
        <v>2017</v>
      </c>
      <c r="U3" s="709">
        <v>2018</v>
      </c>
      <c r="V3" s="709">
        <v>2019</v>
      </c>
      <c r="W3" s="709">
        <v>2020</v>
      </c>
      <c r="X3" s="709">
        <v>2021</v>
      </c>
    </row>
    <row r="4" spans="1:24" ht="15.75" x14ac:dyDescent="0.25">
      <c r="A4" s="374" t="s">
        <v>396</v>
      </c>
      <c r="B4" s="384"/>
      <c r="C4" s="323">
        <f>Ingresos!C13</f>
        <v>178386.6843057496</v>
      </c>
      <c r="D4" s="323">
        <f>Ingresos!D13</f>
        <v>178609.6676611318</v>
      </c>
      <c r="E4" s="323">
        <f>Ingresos!E13</f>
        <v>178832.92974570821</v>
      </c>
      <c r="F4" s="323">
        <f>Ingresos!F13</f>
        <v>179056.47090789035</v>
      </c>
      <c r="G4" s="323">
        <f>Ingresos!G13</f>
        <v>179280.2914965252</v>
      </c>
      <c r="H4" s="323">
        <f>Ingresos!H13</f>
        <v>179504.39186089585</v>
      </c>
      <c r="I4" s="323">
        <f>Ingresos!I13</f>
        <v>179728.77235072196</v>
      </c>
      <c r="J4" s="323">
        <f>Ingresos!J13</f>
        <v>179953.43331616037</v>
      </c>
      <c r="K4" s="323">
        <f>Ingresos!K13</f>
        <v>180178.37510780559</v>
      </c>
      <c r="L4" s="323">
        <f>Ingresos!L13</f>
        <v>180403.59807669034</v>
      </c>
      <c r="M4" s="323">
        <f>Ingresos!M13</f>
        <v>180629.10257428623</v>
      </c>
      <c r="N4" s="323">
        <f>Ingresos!N13</f>
        <v>180854.88895250409</v>
      </c>
      <c r="O4" s="325">
        <f>SUM(C4:N4)</f>
        <v>2155418.6063560699</v>
      </c>
      <c r="P4" s="326">
        <f>Ingresos!D19</f>
        <v>2220566.1337331817</v>
      </c>
      <c r="Q4" s="326">
        <f>Ingresos!E19</f>
        <v>2253874.6257391791</v>
      </c>
      <c r="R4" s="326">
        <f>Ingresos!F19</f>
        <v>2287682.7451252667</v>
      </c>
      <c r="S4" s="326">
        <f>Ingresos!G19</f>
        <v>2321997.9863021458</v>
      </c>
      <c r="T4" s="326">
        <f>Ingresos!H19</f>
        <v>2356827.9560966776</v>
      </c>
      <c r="U4" s="326">
        <f>Ingresos!I19</f>
        <v>2392180.3754381272</v>
      </c>
      <c r="V4" s="326">
        <f>Ingresos!J19</f>
        <v>2428063.081069699</v>
      </c>
      <c r="W4" s="326">
        <f>Ingresos!K19</f>
        <v>2464484.027285744</v>
      </c>
      <c r="X4" s="326">
        <f>Ingresos!L19</f>
        <v>2501451.2876950298</v>
      </c>
    </row>
    <row r="5" spans="1:24" ht="16.5" thickBot="1" x14ac:dyDescent="0.3">
      <c r="A5" s="375" t="s">
        <v>397</v>
      </c>
      <c r="B5" s="384"/>
      <c r="C5" s="323">
        <f>-Costos!B120</f>
        <v>-155118.85591804315</v>
      </c>
      <c r="D5" s="323">
        <f>-Costos!C120</f>
        <v>-154670.83318162622</v>
      </c>
      <c r="E5" s="323">
        <f>-Costos!D120</f>
        <v>-155144.56663301028</v>
      </c>
      <c r="F5" s="323">
        <f>-Costos!E120</f>
        <v>-155424.42908403714</v>
      </c>
      <c r="G5" s="323">
        <f>-Costos!F120</f>
        <v>-155703.29409798901</v>
      </c>
      <c r="H5" s="323">
        <f>-Costos!G120</f>
        <v>-155996.60762729865</v>
      </c>
      <c r="I5" s="323">
        <f>-Costos!H120</f>
        <v>-156380.20747646078</v>
      </c>
      <c r="J5" s="323">
        <f>-Costos!I120</f>
        <v>-156612.02348712258</v>
      </c>
      <c r="K5" s="323">
        <f>-Costos!J120</f>
        <v>-156788.91978579335</v>
      </c>
      <c r="L5" s="323">
        <f>-Costos!K120</f>
        <v>-156943.29578060535</v>
      </c>
      <c r="M5" s="323">
        <f>-Costos!L120</f>
        <v>-157069.17698319937</v>
      </c>
      <c r="N5" s="323">
        <f>-Costos!M120</f>
        <v>-157295.60813945922</v>
      </c>
      <c r="O5" s="327">
        <f>SUM(C5:N5)</f>
        <v>-1873147.818194645</v>
      </c>
      <c r="P5" s="328">
        <f>-Costos!C124</f>
        <v>-1869397.8485747438</v>
      </c>
      <c r="Q5" s="328">
        <f>-Costos!D124</f>
        <v>-1872030.4817094028</v>
      </c>
      <c r="R5" s="328">
        <f>-Costos!E124</f>
        <v>-1872661.9634617781</v>
      </c>
      <c r="S5" s="328">
        <f>-Costos!F124</f>
        <v>-1873160.2896659886</v>
      </c>
      <c r="T5" s="328">
        <f>-Costos!G124</f>
        <v>-1874090.3390939375</v>
      </c>
      <c r="U5" s="328">
        <f>-Costos!H124</f>
        <v>-1874858.8452700623</v>
      </c>
      <c r="V5" s="328">
        <f>-Costos!I124</f>
        <v>-1875669.090962061</v>
      </c>
      <c r="W5" s="328">
        <f>-Costos!J124</f>
        <v>-1876519.130229247</v>
      </c>
      <c r="X5" s="328">
        <f>-Costos!K124</f>
        <v>-1877376.8974004025</v>
      </c>
    </row>
    <row r="6" spans="1:24" ht="15.75" x14ac:dyDescent="0.25">
      <c r="A6" s="375"/>
      <c r="B6" s="384"/>
      <c r="C6" s="323">
        <f t="shared" ref="C6:R6" si="0">SUM(C4:C5)</f>
        <v>23267.828387706453</v>
      </c>
      <c r="D6" s="323">
        <f t="shared" si="0"/>
        <v>23938.834479505575</v>
      </c>
      <c r="E6" s="323">
        <f t="shared" si="0"/>
        <v>23688.363112697931</v>
      </c>
      <c r="F6" s="323">
        <f t="shared" si="0"/>
        <v>23632.041823853215</v>
      </c>
      <c r="G6" s="323">
        <f t="shared" si="0"/>
        <v>23576.997398536187</v>
      </c>
      <c r="H6" s="323">
        <f t="shared" si="0"/>
        <v>23507.784233597195</v>
      </c>
      <c r="I6" s="323">
        <f t="shared" si="0"/>
        <v>23348.564874261181</v>
      </c>
      <c r="J6" s="323">
        <f t="shared" si="0"/>
        <v>23341.409829037788</v>
      </c>
      <c r="K6" s="323">
        <f t="shared" si="0"/>
        <v>23389.455322012247</v>
      </c>
      <c r="L6" s="323">
        <f t="shared" si="0"/>
        <v>23460.302296084992</v>
      </c>
      <c r="M6" s="323">
        <f t="shared" si="0"/>
        <v>23559.925591086852</v>
      </c>
      <c r="N6" s="324">
        <f t="shared" si="0"/>
        <v>23559.280813044868</v>
      </c>
      <c r="O6" s="329">
        <f t="shared" si="0"/>
        <v>282270.78816142492</v>
      </c>
      <c r="P6" s="330">
        <f t="shared" si="0"/>
        <v>351168.28515843791</v>
      </c>
      <c r="Q6" s="330">
        <f t="shared" si="0"/>
        <v>381844.14402977633</v>
      </c>
      <c r="R6" s="330">
        <f t="shared" si="0"/>
        <v>415020.7816634886</v>
      </c>
      <c r="S6" s="330">
        <f t="shared" ref="S6:X6" si="1">SUM(S4:S5)</f>
        <v>448837.69663615711</v>
      </c>
      <c r="T6" s="330">
        <f t="shared" si="1"/>
        <v>482737.61700274004</v>
      </c>
      <c r="U6" s="330">
        <f t="shared" si="1"/>
        <v>517321.53016806487</v>
      </c>
      <c r="V6" s="330">
        <f t="shared" si="1"/>
        <v>552393.99010763806</v>
      </c>
      <c r="W6" s="330">
        <f t="shared" si="1"/>
        <v>587964.89705649693</v>
      </c>
      <c r="X6" s="330">
        <f t="shared" si="1"/>
        <v>624074.39029462729</v>
      </c>
    </row>
    <row r="7" spans="1:24" ht="15.75" x14ac:dyDescent="0.25">
      <c r="A7" s="376" t="s">
        <v>398</v>
      </c>
      <c r="B7" s="384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2"/>
      <c r="O7" s="333"/>
      <c r="P7" s="202"/>
      <c r="Q7" s="202"/>
      <c r="R7" s="202"/>
      <c r="S7" s="202"/>
      <c r="T7" s="202"/>
      <c r="U7" s="202"/>
      <c r="V7" s="202"/>
      <c r="W7" s="202"/>
      <c r="X7" s="326"/>
    </row>
    <row r="8" spans="1:24" ht="15.75" x14ac:dyDescent="0.25">
      <c r="A8" s="375" t="s">
        <v>399</v>
      </c>
      <c r="B8" s="384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334"/>
      <c r="O8" s="333"/>
      <c r="P8" s="202"/>
      <c r="Q8" s="202"/>
      <c r="R8" s="202"/>
      <c r="S8" s="202"/>
      <c r="T8" s="202"/>
      <c r="U8" s="202"/>
      <c r="V8" s="202"/>
      <c r="W8" s="202"/>
      <c r="X8" s="202"/>
    </row>
    <row r="9" spans="1:24" ht="15.75" x14ac:dyDescent="0.25">
      <c r="A9" s="377" t="s">
        <v>400</v>
      </c>
      <c r="B9" s="385"/>
      <c r="C9" s="335">
        <f>Gastos!E31</f>
        <v>880</v>
      </c>
      <c r="D9" s="335">
        <f>Gastos!F31</f>
        <v>876.32159999999999</v>
      </c>
      <c r="E9" s="335">
        <f>Gastos!G31</f>
        <v>874.27977067200004</v>
      </c>
      <c r="F9" s="335">
        <f>Gastos!H31</f>
        <v>872.74890679355349</v>
      </c>
      <c r="G9" s="335">
        <f>Gastos!I31</f>
        <v>871.71775396017688</v>
      </c>
      <c r="H9" s="335">
        <f>Gastos!J31</f>
        <v>871.26363259625134</v>
      </c>
      <c r="I9" s="335">
        <f>Gastos!K31</f>
        <v>871.89375223693571</v>
      </c>
      <c r="J9" s="335">
        <f>Gastos!L31</f>
        <v>872.74596080798165</v>
      </c>
      <c r="K9" s="335">
        <f>Gastos!M31</f>
        <v>873.5081789475156</v>
      </c>
      <c r="L9" s="335">
        <f>Gastos!N31</f>
        <v>874.05164308908866</v>
      </c>
      <c r="M9" s="335">
        <f>Gastos!O31</f>
        <v>874.21400042154971</v>
      </c>
      <c r="N9" s="335">
        <f>Gastos!P31</f>
        <v>874.56223878320657</v>
      </c>
      <c r="O9" s="336">
        <f t="shared" ref="O9:O14" si="2">-SUM(C9:N9)</f>
        <v>-10487.307438308258</v>
      </c>
      <c r="P9" s="337">
        <f>Gastos!D88</f>
        <v>10465.982348473055</v>
      </c>
      <c r="Q9" s="337">
        <f>Gastos!E88</f>
        <v>10476.833665147422</v>
      </c>
      <c r="R9" s="337">
        <f>Gastos!F88</f>
        <v>10476.201966458577</v>
      </c>
      <c r="S9" s="337">
        <f>Gastos!G88</f>
        <v>10474.707477999576</v>
      </c>
      <c r="T9" s="337">
        <f>Gastos!H88</f>
        <v>10475.559877378999</v>
      </c>
      <c r="U9" s="337">
        <f>Gastos!I88</f>
        <v>10475.382709150043</v>
      </c>
      <c r="V9" s="337">
        <f>Gastos!J88</f>
        <v>10475.329216045064</v>
      </c>
      <c r="W9" s="337">
        <f>Gastos!K88</f>
        <v>10475.385489848952</v>
      </c>
      <c r="X9" s="337">
        <f>Gastos!L88</f>
        <v>10475.366268315718</v>
      </c>
    </row>
    <row r="10" spans="1:24" ht="15.75" x14ac:dyDescent="0.25">
      <c r="A10" s="377" t="s">
        <v>221</v>
      </c>
      <c r="B10" s="385"/>
      <c r="C10" s="335">
        <f>Gastos!E37</f>
        <v>2816.0270833333334</v>
      </c>
      <c r="D10" s="335">
        <f>Gastos!F37</f>
        <v>2816.2617522569453</v>
      </c>
      <c r="E10" s="335">
        <f>Gastos!G37</f>
        <v>2816.4964407363004</v>
      </c>
      <c r="F10" s="335">
        <f>Gastos!H37</f>
        <v>2816.7311487730285</v>
      </c>
      <c r="G10" s="335">
        <f>Gastos!I37</f>
        <v>2816.9658763687603</v>
      </c>
      <c r="H10" s="335">
        <f>Gastos!J37</f>
        <v>2817.2006235251242</v>
      </c>
      <c r="I10" s="335">
        <f>Gastos!K37</f>
        <v>2817.4353902437515</v>
      </c>
      <c r="J10" s="335">
        <f>Gastos!L37</f>
        <v>2817.6701765262719</v>
      </c>
      <c r="K10" s="335">
        <f>Gastos!M37</f>
        <v>2817.9049823743158</v>
      </c>
      <c r="L10" s="335">
        <f>Gastos!N37</f>
        <v>2818.1398077895146</v>
      </c>
      <c r="M10" s="335">
        <f>Gastos!O37</f>
        <v>2818.374652773497</v>
      </c>
      <c r="N10" s="335">
        <f>Gastos!P37</f>
        <v>2818.609517327895</v>
      </c>
      <c r="O10" s="336">
        <f t="shared" si="2"/>
        <v>-33807.817452028736</v>
      </c>
      <c r="P10" s="337">
        <f>Gastos!D89</f>
        <v>34653.012888329453</v>
      </c>
      <c r="Q10" s="337">
        <f>Gastos!E89</f>
        <v>35519.338210537688</v>
      </c>
      <c r="R10" s="337">
        <f>Gastos!F89</f>
        <v>36407.32166580113</v>
      </c>
      <c r="S10" s="337">
        <f>Gastos!G89</f>
        <v>37317.504707446154</v>
      </c>
      <c r="T10" s="337">
        <f>Gastos!H89</f>
        <v>38250.442325132302</v>
      </c>
      <c r="U10" s="337">
        <f>Gastos!I89</f>
        <v>39206.703383260603</v>
      </c>
      <c r="V10" s="337">
        <f>Gastos!J89</f>
        <v>40186.870967842115</v>
      </c>
      <c r="W10" s="337">
        <f>Gastos!K89</f>
        <v>41191.542742038167</v>
      </c>
      <c r="X10" s="337">
        <f>Gastos!L89</f>
        <v>42221.331310589121</v>
      </c>
    </row>
    <row r="11" spans="1:24" ht="15.75" x14ac:dyDescent="0.25">
      <c r="A11" s="377" t="s">
        <v>192</v>
      </c>
      <c r="B11" s="338"/>
      <c r="C11" s="335">
        <f>Gastos!E46</f>
        <v>2500</v>
      </c>
      <c r="D11" s="335">
        <f>Gastos!F46</f>
        <v>2500</v>
      </c>
      <c r="E11" s="335">
        <f>Gastos!G46</f>
        <v>2500</v>
      </c>
      <c r="F11" s="335">
        <f>Gastos!H46</f>
        <v>2500</v>
      </c>
      <c r="G11" s="335">
        <f>Gastos!I46</f>
        <v>2500</v>
      </c>
      <c r="H11" s="335">
        <f>Gastos!J46</f>
        <v>2500</v>
      </c>
      <c r="I11" s="335">
        <f>Gastos!K46</f>
        <v>2500</v>
      </c>
      <c r="J11" s="335">
        <f>Gastos!L46</f>
        <v>2500</v>
      </c>
      <c r="K11" s="335">
        <f>Gastos!M46</f>
        <v>2500</v>
      </c>
      <c r="L11" s="335">
        <f>Gastos!N46</f>
        <v>2500</v>
      </c>
      <c r="M11" s="335">
        <f>Gastos!O46</f>
        <v>2500</v>
      </c>
      <c r="N11" s="335">
        <f>Gastos!P46</f>
        <v>2500</v>
      </c>
      <c r="O11" s="336">
        <f t="shared" si="2"/>
        <v>-30000</v>
      </c>
      <c r="P11" s="337">
        <f>Gastos!D90</f>
        <v>29938.997431054686</v>
      </c>
      <c r="Q11" s="337">
        <f>Gastos!E90</f>
        <v>29970.038716164905</v>
      </c>
      <c r="R11" s="337">
        <f>Gastos!F90</f>
        <v>29968.231678393116</v>
      </c>
      <c r="S11" s="337">
        <f>Gastos!G90</f>
        <v>29963.956543518529</v>
      </c>
      <c r="T11" s="337">
        <f>Gastos!H90</f>
        <v>29966.394917861333</v>
      </c>
      <c r="U11" s="337">
        <f>Gastos!I90</f>
        <v>29965.888110284654</v>
      </c>
      <c r="V11" s="337">
        <f>Gastos!J90</f>
        <v>29965.735087866004</v>
      </c>
      <c r="W11" s="337">
        <f>Gastos!K90</f>
        <v>29965.896064754168</v>
      </c>
      <c r="X11" s="337">
        <f>Gastos!L90</f>
        <v>29965.84107962091</v>
      </c>
    </row>
    <row r="12" spans="1:24" ht="15.75" x14ac:dyDescent="0.25">
      <c r="A12" s="377" t="s">
        <v>401</v>
      </c>
      <c r="B12" s="202"/>
      <c r="C12" s="335">
        <f>Gastos!E41</f>
        <v>5000</v>
      </c>
      <c r="D12" s="335">
        <f>Gastos!F41</f>
        <v>5000</v>
      </c>
      <c r="E12" s="335">
        <f>Gastos!G41</f>
        <v>5000</v>
      </c>
      <c r="F12" s="335">
        <f>Gastos!H41</f>
        <v>5000</v>
      </c>
      <c r="G12" s="335">
        <f>Gastos!I41</f>
        <v>5000</v>
      </c>
      <c r="H12" s="335">
        <f>Gastos!J41</f>
        <v>5000</v>
      </c>
      <c r="I12" s="335">
        <f>Gastos!K41</f>
        <v>5000</v>
      </c>
      <c r="J12" s="335">
        <f>Gastos!L41</f>
        <v>5000</v>
      </c>
      <c r="K12" s="335">
        <f>Gastos!M41</f>
        <v>5000</v>
      </c>
      <c r="L12" s="335">
        <f>Gastos!N41</f>
        <v>5000</v>
      </c>
      <c r="M12" s="335">
        <f>Gastos!O41</f>
        <v>5000</v>
      </c>
      <c r="N12" s="335">
        <f>Gastos!P41</f>
        <v>5000</v>
      </c>
      <c r="O12" s="336">
        <f t="shared" si="2"/>
        <v>-60000</v>
      </c>
      <c r="P12" s="339">
        <f>Gastos!D84</f>
        <v>60600</v>
      </c>
      <c r="Q12" s="339">
        <f>Gastos!E84</f>
        <v>61206</v>
      </c>
      <c r="R12" s="339">
        <f>Gastos!F84</f>
        <v>61818.06</v>
      </c>
      <c r="S12" s="339">
        <f>Gastos!G84</f>
        <v>62436.240599999997</v>
      </c>
      <c r="T12" s="339">
        <f>Gastos!H84</f>
        <v>63060.603005999998</v>
      </c>
      <c r="U12" s="339">
        <f>Gastos!I84</f>
        <v>63691.209036059998</v>
      </c>
      <c r="V12" s="339">
        <f>Gastos!J84</f>
        <v>64328.121126420599</v>
      </c>
      <c r="W12" s="339">
        <f>Gastos!K84</f>
        <v>64971.402337684805</v>
      </c>
      <c r="X12" s="339">
        <f>Gastos!L84</f>
        <v>65621.11636106165</v>
      </c>
    </row>
    <row r="13" spans="1:24" ht="15.75" x14ac:dyDescent="0.25">
      <c r="A13" s="377" t="s">
        <v>195</v>
      </c>
      <c r="B13" s="338"/>
      <c r="C13" s="335">
        <f>Gastos!E55</f>
        <v>1298</v>
      </c>
      <c r="D13" s="335">
        <f>Gastos!F55</f>
        <v>1292.5743600000003</v>
      </c>
      <c r="E13" s="335">
        <f>Gastos!G55</f>
        <v>1289.5626617412001</v>
      </c>
      <c r="F13" s="335">
        <f>Gastos!H55</f>
        <v>1287.3046375204913</v>
      </c>
      <c r="G13" s="335">
        <f>Gastos!I55</f>
        <v>1285.7836870912608</v>
      </c>
      <c r="H13" s="335">
        <f>Gastos!J55</f>
        <v>1285.1138580794709</v>
      </c>
      <c r="I13" s="335">
        <f>Gastos!K55</f>
        <v>1286.0432845494802</v>
      </c>
      <c r="J13" s="335">
        <f>Gastos!L55</f>
        <v>1287.300292191773</v>
      </c>
      <c r="K13" s="335">
        <f>Gastos!M55</f>
        <v>1288.4245639475855</v>
      </c>
      <c r="L13" s="335">
        <f>Gastos!N55</f>
        <v>1289.2261735564059</v>
      </c>
      <c r="M13" s="335">
        <f>Gastos!O55</f>
        <v>1289.4656506217857</v>
      </c>
      <c r="N13" s="335">
        <f>Gastos!P55</f>
        <v>1289.9793022052297</v>
      </c>
      <c r="O13" s="336">
        <f t="shared" si="2"/>
        <v>-15468.77847150468</v>
      </c>
      <c r="P13" s="339">
        <f>Gastos!D91</f>
        <v>15437.323963997755</v>
      </c>
      <c r="Q13" s="339">
        <f>Gastos!E91</f>
        <v>15453.329656092446</v>
      </c>
      <c r="R13" s="339">
        <f>Gastos!F91</f>
        <v>15452.397900526399</v>
      </c>
      <c r="S13" s="339">
        <f>Gastos!G91</f>
        <v>15450.193530049371</v>
      </c>
      <c r="T13" s="339">
        <f>Gastos!H91</f>
        <v>15451.450819134021</v>
      </c>
      <c r="U13" s="339">
        <f>Gastos!I91</f>
        <v>15451.18949599631</v>
      </c>
      <c r="V13" s="339">
        <f>Gastos!J91</f>
        <v>15451.110593666468</v>
      </c>
      <c r="W13" s="339">
        <f>Gastos!K91</f>
        <v>15451.193597527203</v>
      </c>
      <c r="X13" s="339">
        <f>Gastos!L91</f>
        <v>15451.165245765684</v>
      </c>
    </row>
    <row r="14" spans="1:24" ht="16.5" thickBot="1" x14ac:dyDescent="0.3">
      <c r="A14" s="378" t="s">
        <v>402</v>
      </c>
      <c r="B14" s="386">
        <f>Depreciaciones!I13</f>
        <v>2325.7048855555554</v>
      </c>
      <c r="C14" s="340">
        <f t="shared" ref="C14:N14" si="3">$B$14</f>
        <v>2325.7048855555554</v>
      </c>
      <c r="D14" s="340">
        <f t="shared" si="3"/>
        <v>2325.7048855555554</v>
      </c>
      <c r="E14" s="340">
        <f t="shared" si="3"/>
        <v>2325.7048855555554</v>
      </c>
      <c r="F14" s="340">
        <f t="shared" si="3"/>
        <v>2325.7048855555554</v>
      </c>
      <c r="G14" s="340">
        <f t="shared" si="3"/>
        <v>2325.7048855555554</v>
      </c>
      <c r="H14" s="340">
        <f t="shared" si="3"/>
        <v>2325.7048855555554</v>
      </c>
      <c r="I14" s="340">
        <f t="shared" si="3"/>
        <v>2325.7048855555554</v>
      </c>
      <c r="J14" s="340">
        <f t="shared" si="3"/>
        <v>2325.7048855555554</v>
      </c>
      <c r="K14" s="340">
        <f t="shared" si="3"/>
        <v>2325.7048855555554</v>
      </c>
      <c r="L14" s="340">
        <f t="shared" si="3"/>
        <v>2325.7048855555554</v>
      </c>
      <c r="M14" s="340">
        <f t="shared" si="3"/>
        <v>2325.7048855555554</v>
      </c>
      <c r="N14" s="341">
        <f t="shared" si="3"/>
        <v>2325.7048855555554</v>
      </c>
      <c r="O14" s="342">
        <f t="shared" si="2"/>
        <v>-27908.458626666663</v>
      </c>
      <c r="P14" s="328">
        <f>Depreciaciones!$E$13</f>
        <v>27908.458626666667</v>
      </c>
      <c r="Q14" s="328">
        <f>Depreciaciones!$E$13</f>
        <v>27908.458626666667</v>
      </c>
      <c r="R14" s="328">
        <f>Depreciaciones!$E$13</f>
        <v>27908.458626666667</v>
      </c>
      <c r="S14" s="328">
        <f>Depreciaciones!$E$13</f>
        <v>27908.458626666667</v>
      </c>
      <c r="T14" s="328">
        <f>Depreciaciones!$E$13</f>
        <v>27908.458626666667</v>
      </c>
      <c r="U14" s="328">
        <f>Depreciaciones!$E$13</f>
        <v>27908.458626666667</v>
      </c>
      <c r="V14" s="328">
        <f>Depreciaciones!$E$13</f>
        <v>27908.458626666667</v>
      </c>
      <c r="W14" s="328">
        <f>Depreciaciones!$E$13</f>
        <v>27908.458626666667</v>
      </c>
      <c r="X14" s="328">
        <f>Depreciaciones!$E$13</f>
        <v>27908.458626666667</v>
      </c>
    </row>
    <row r="15" spans="1:24" ht="15.75" x14ac:dyDescent="0.25">
      <c r="A15" s="379" t="s">
        <v>403</v>
      </c>
      <c r="B15" s="343"/>
      <c r="C15" s="344">
        <f t="shared" ref="C15:N15" si="4">-SUM(C9:C14)</f>
        <v>-14819.731968888889</v>
      </c>
      <c r="D15" s="344">
        <f t="shared" si="4"/>
        <v>-14810.8625978125</v>
      </c>
      <c r="E15" s="344">
        <f t="shared" si="4"/>
        <v>-14806.043758705056</v>
      </c>
      <c r="F15" s="344">
        <f t="shared" si="4"/>
        <v>-14802.489578642628</v>
      </c>
      <c r="G15" s="344">
        <f t="shared" si="4"/>
        <v>-14800.172202975755</v>
      </c>
      <c r="H15" s="344">
        <f t="shared" si="4"/>
        <v>-14799.2829997564</v>
      </c>
      <c r="I15" s="344">
        <f t="shared" si="4"/>
        <v>-14801.077312585721</v>
      </c>
      <c r="J15" s="344">
        <f t="shared" si="4"/>
        <v>-14803.421315081581</v>
      </c>
      <c r="K15" s="344">
        <f t="shared" si="4"/>
        <v>-14805.54261082497</v>
      </c>
      <c r="L15" s="344">
        <f t="shared" si="4"/>
        <v>-14807.122509990564</v>
      </c>
      <c r="M15" s="344">
        <f t="shared" si="4"/>
        <v>-14807.759189372387</v>
      </c>
      <c r="N15" s="345">
        <f t="shared" si="4"/>
        <v>-14808.855943871886</v>
      </c>
      <c r="O15" s="346">
        <f>SUM(O9:O14)</f>
        <v>-177672.36198850835</v>
      </c>
      <c r="P15" s="347">
        <f t="shared" ref="P15:X15" si="5">-SUM(P9:P14)</f>
        <v>-179003.77525852164</v>
      </c>
      <c r="Q15" s="347">
        <f t="shared" si="5"/>
        <v>-180533.99887460913</v>
      </c>
      <c r="R15" s="347">
        <f t="shared" si="5"/>
        <v>-182030.6718378459</v>
      </c>
      <c r="S15" s="347">
        <f t="shared" si="5"/>
        <v>-183551.06148568029</v>
      </c>
      <c r="T15" s="347">
        <f t="shared" si="5"/>
        <v>-185112.90957217329</v>
      </c>
      <c r="U15" s="347">
        <f t="shared" si="5"/>
        <v>-186698.83136141827</v>
      </c>
      <c r="V15" s="347">
        <f t="shared" si="5"/>
        <v>-188315.62561850692</v>
      </c>
      <c r="W15" s="347">
        <f t="shared" si="5"/>
        <v>-189963.87885851995</v>
      </c>
      <c r="X15" s="347">
        <f t="shared" si="5"/>
        <v>-191643.27889201973</v>
      </c>
    </row>
    <row r="16" spans="1:24" ht="15.75" x14ac:dyDescent="0.25">
      <c r="A16" s="380"/>
      <c r="B16" s="348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50"/>
      <c r="O16" s="351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1:25" ht="15.75" x14ac:dyDescent="0.25">
      <c r="A17" s="375" t="s">
        <v>404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334"/>
      <c r="O17" s="333"/>
      <c r="P17" s="202"/>
      <c r="Q17" s="202"/>
      <c r="R17" s="202"/>
      <c r="S17" s="202"/>
      <c r="T17" s="202"/>
      <c r="U17" s="202"/>
      <c r="V17" s="202"/>
      <c r="W17" s="202"/>
      <c r="X17" s="202"/>
    </row>
    <row r="18" spans="1:25" ht="15.75" x14ac:dyDescent="0.25">
      <c r="A18" s="377" t="s">
        <v>173</v>
      </c>
      <c r="B18" s="338"/>
      <c r="C18" s="335">
        <f>Gastos!E11</f>
        <v>4372.5062499999995</v>
      </c>
      <c r="D18" s="335">
        <f>Gastos!F11</f>
        <v>4372.8706255208335</v>
      </c>
      <c r="E18" s="335">
        <f>Gastos!G11</f>
        <v>4373.2350314062933</v>
      </c>
      <c r="F18" s="335">
        <f>Gastos!H11</f>
        <v>4373.5994676589116</v>
      </c>
      <c r="G18" s="335">
        <f>Gastos!I11</f>
        <v>4373.963934281217</v>
      </c>
      <c r="H18" s="335">
        <f>Gastos!J11</f>
        <v>4374.3284312757405</v>
      </c>
      <c r="I18" s="335">
        <f>Gastos!K11</f>
        <v>4374.6929586450142</v>
      </c>
      <c r="J18" s="335">
        <f>Gastos!L11</f>
        <v>4375.0575163915682</v>
      </c>
      <c r="K18" s="335">
        <f>Gastos!M11</f>
        <v>4375.4221045179356</v>
      </c>
      <c r="L18" s="335">
        <f>Gastos!N11</f>
        <v>4375.7867230266456</v>
      </c>
      <c r="M18" s="335">
        <f>Gastos!O11</f>
        <v>4376.1513719202312</v>
      </c>
      <c r="N18" s="335">
        <f>Gastos!P11</f>
        <v>4376.5160512012253</v>
      </c>
      <c r="O18" s="351">
        <f>-SUM(C18:N18)</f>
        <v>-52494.130465845621</v>
      </c>
      <c r="P18" s="335">
        <f>Gastos!D85</f>
        <v>52494.130465845621</v>
      </c>
      <c r="Q18" s="335">
        <f>Gastos!E85</f>
        <v>53806.483727491759</v>
      </c>
      <c r="R18" s="335">
        <f>Gastos!F85</f>
        <v>55151.645820679048</v>
      </c>
      <c r="S18" s="335">
        <f>Gastos!G85</f>
        <v>56530.436966196023</v>
      </c>
      <c r="T18" s="335">
        <f>Gastos!H85</f>
        <v>57943.697890350915</v>
      </c>
      <c r="U18" s="335">
        <f>Gastos!I85</f>
        <v>59392.29033760968</v>
      </c>
      <c r="V18" s="335">
        <f>Gastos!J85</f>
        <v>60877.09759604992</v>
      </c>
      <c r="W18" s="335">
        <f>Gastos!K85</f>
        <v>62399.025035951163</v>
      </c>
      <c r="X18" s="335">
        <f>Gastos!L85</f>
        <v>63959.000661849939</v>
      </c>
    </row>
    <row r="19" spans="1:25" ht="15.75" x14ac:dyDescent="0.25">
      <c r="A19" s="377" t="s">
        <v>405</v>
      </c>
      <c r="B19" s="338"/>
      <c r="C19" s="335">
        <f>Gastos!E19</f>
        <v>1750</v>
      </c>
      <c r="D19" s="335">
        <f>Gastos!F19</f>
        <v>1750</v>
      </c>
      <c r="E19" s="335">
        <f>Gastos!G19</f>
        <v>1750</v>
      </c>
      <c r="F19" s="335">
        <f>Gastos!H19</f>
        <v>1750</v>
      </c>
      <c r="G19" s="335">
        <f>Gastos!I19</f>
        <v>1750</v>
      </c>
      <c r="H19" s="335">
        <f>Gastos!J19</f>
        <v>1750</v>
      </c>
      <c r="I19" s="335">
        <f>Gastos!K19</f>
        <v>1750</v>
      </c>
      <c r="J19" s="335">
        <f>Gastos!L19</f>
        <v>1750</v>
      </c>
      <c r="K19" s="335">
        <f>Gastos!M19</f>
        <v>1750</v>
      </c>
      <c r="L19" s="335">
        <f>Gastos!N19</f>
        <v>1750</v>
      </c>
      <c r="M19" s="335">
        <f>Gastos!O19</f>
        <v>1750</v>
      </c>
      <c r="N19" s="335">
        <f>Gastos!P19</f>
        <v>1750</v>
      </c>
      <c r="O19" s="351">
        <f>-SUM(C19:N19)</f>
        <v>-21000</v>
      </c>
      <c r="P19" s="335">
        <f>Gastos!D86</f>
        <v>21000</v>
      </c>
      <c r="Q19" s="335">
        <f>Gastos!E86</f>
        <v>10000</v>
      </c>
      <c r="R19" s="335">
        <f>Gastos!F86</f>
        <v>10000</v>
      </c>
      <c r="S19" s="335">
        <f>Gastos!G86</f>
        <v>10000</v>
      </c>
      <c r="T19" s="335">
        <f>Gastos!H86</f>
        <v>10000</v>
      </c>
      <c r="U19" s="335">
        <f>Gastos!I86</f>
        <v>15000</v>
      </c>
      <c r="V19" s="335">
        <f>Gastos!J86</f>
        <v>15000</v>
      </c>
      <c r="W19" s="335">
        <f>Gastos!K86</f>
        <v>15000</v>
      </c>
      <c r="X19" s="335">
        <f>Gastos!L86</f>
        <v>15000</v>
      </c>
    </row>
    <row r="20" spans="1:25" ht="15.75" x14ac:dyDescent="0.25">
      <c r="A20" s="377" t="s">
        <v>184</v>
      </c>
      <c r="B20" s="338"/>
      <c r="C20" s="335">
        <f>Gastos!E26</f>
        <v>1609.1583333333335</v>
      </c>
      <c r="D20" s="335">
        <f>Gastos!F26</f>
        <v>1609.2924298611115</v>
      </c>
      <c r="E20" s="335">
        <f>Gastos!G26</f>
        <v>1609.4265375636</v>
      </c>
      <c r="F20" s="335">
        <f>Gastos!H26</f>
        <v>1609.5606564417305</v>
      </c>
      <c r="G20" s="335">
        <f>Gastos!I26</f>
        <v>1609.6947864964343</v>
      </c>
      <c r="H20" s="335">
        <f>Gastos!J26</f>
        <v>1609.8289277286424</v>
      </c>
      <c r="I20" s="335">
        <f>Gastos!K26</f>
        <v>1609.9630801392866</v>
      </c>
      <c r="J20" s="335">
        <f>Gastos!L26</f>
        <v>1610.0972437292983</v>
      </c>
      <c r="K20" s="335">
        <f>Gastos!M26</f>
        <v>1610.2314184996092</v>
      </c>
      <c r="L20" s="335">
        <f>Gastos!N26</f>
        <v>1610.3656044511511</v>
      </c>
      <c r="M20" s="335">
        <f>Gastos!O26</f>
        <v>1610.4998015848555</v>
      </c>
      <c r="N20" s="335">
        <f>Gastos!P26</f>
        <v>1610.6340099016545</v>
      </c>
      <c r="O20" s="351">
        <f>-SUM(C20:N20)</f>
        <v>-19318.752829730711</v>
      </c>
      <c r="P20" s="335">
        <f>Gastos!D87</f>
        <v>19801.721650473977</v>
      </c>
      <c r="Q20" s="335">
        <f>Gastos!E87</f>
        <v>20296.764691735825</v>
      </c>
      <c r="R20" s="335">
        <f>Gastos!F87</f>
        <v>20804.183809029219</v>
      </c>
      <c r="S20" s="335">
        <f>Gastos!G87</f>
        <v>21324.288404254949</v>
      </c>
      <c r="T20" s="335">
        <f>Gastos!H87</f>
        <v>21857.395614361321</v>
      </c>
      <c r="U20" s="335">
        <f>Gastos!I87</f>
        <v>22403.830504720354</v>
      </c>
      <c r="V20" s="335">
        <f>Gastos!J87</f>
        <v>22963.92626733836</v>
      </c>
      <c r="W20" s="335">
        <f>Gastos!K87</f>
        <v>23538.024424021816</v>
      </c>
      <c r="X20" s="335">
        <f>Gastos!L87</f>
        <v>24126.475034622359</v>
      </c>
    </row>
    <row r="21" spans="1:25" ht="16.5" thickBot="1" x14ac:dyDescent="0.3">
      <c r="A21" s="378" t="s">
        <v>406</v>
      </c>
      <c r="B21" s="386">
        <f>Prestamo!D12</f>
        <v>28500</v>
      </c>
      <c r="C21" s="352">
        <f t="shared" ref="C21:N21" si="6">$B$21/12</f>
        <v>2375</v>
      </c>
      <c r="D21" s="352">
        <f t="shared" si="6"/>
        <v>2375</v>
      </c>
      <c r="E21" s="352">
        <f t="shared" si="6"/>
        <v>2375</v>
      </c>
      <c r="F21" s="352">
        <f t="shared" si="6"/>
        <v>2375</v>
      </c>
      <c r="G21" s="352">
        <f t="shared" si="6"/>
        <v>2375</v>
      </c>
      <c r="H21" s="352">
        <f t="shared" si="6"/>
        <v>2375</v>
      </c>
      <c r="I21" s="352">
        <f t="shared" si="6"/>
        <v>2375</v>
      </c>
      <c r="J21" s="352">
        <f t="shared" si="6"/>
        <v>2375</v>
      </c>
      <c r="K21" s="352">
        <f t="shared" si="6"/>
        <v>2375</v>
      </c>
      <c r="L21" s="352">
        <f t="shared" si="6"/>
        <v>2375</v>
      </c>
      <c r="M21" s="352">
        <f t="shared" si="6"/>
        <v>2375</v>
      </c>
      <c r="N21" s="353">
        <f t="shared" si="6"/>
        <v>2375</v>
      </c>
      <c r="O21" s="354">
        <f>-SUM(C21:N21)</f>
        <v>-28500</v>
      </c>
      <c r="P21" s="352">
        <f>Prestamo!D13</f>
        <v>26668.414677584598</v>
      </c>
      <c r="Q21" s="352">
        <f>Prestamo!D14</f>
        <v>24662.828749539738</v>
      </c>
      <c r="R21" s="352">
        <f>Prestamo!D15</f>
        <v>22466.712158330611</v>
      </c>
      <c r="S21" s="352">
        <f>Prestamo!D16</f>
        <v>20061.96449095662</v>
      </c>
      <c r="T21" s="352">
        <f>Prestamo!D17</f>
        <v>17428.765795182102</v>
      </c>
      <c r="U21" s="352">
        <f>Prestamo!D18</f>
        <v>14545.413223309</v>
      </c>
      <c r="V21" s="352">
        <f>Prestamo!D19</f>
        <v>11388.142157107955</v>
      </c>
      <c r="W21" s="352">
        <f>Prestamo!D20</f>
        <v>7930.9303396178129</v>
      </c>
      <c r="X21" s="352">
        <f>Prestamo!D21</f>
        <v>4145.2833994661069</v>
      </c>
      <c r="Y21" s="352"/>
    </row>
    <row r="22" spans="1:25" ht="15.75" x14ac:dyDescent="0.25">
      <c r="A22" s="379" t="s">
        <v>407</v>
      </c>
      <c r="B22" s="343"/>
      <c r="C22" s="355">
        <f t="shared" ref="C22:N22" si="7">-SUM(C18:C21)</f>
        <v>-10106.664583333333</v>
      </c>
      <c r="D22" s="355">
        <f t="shared" si="7"/>
        <v>-10107.163055381945</v>
      </c>
      <c r="E22" s="355">
        <f t="shared" si="7"/>
        <v>-10107.661568969894</v>
      </c>
      <c r="F22" s="355">
        <f t="shared" si="7"/>
        <v>-10108.160124100643</v>
      </c>
      <c r="G22" s="355">
        <f t="shared" si="7"/>
        <v>-10108.65872077765</v>
      </c>
      <c r="H22" s="355">
        <f t="shared" si="7"/>
        <v>-10109.157359004383</v>
      </c>
      <c r="I22" s="355">
        <f t="shared" si="7"/>
        <v>-10109.656038784302</v>
      </c>
      <c r="J22" s="355">
        <f t="shared" si="7"/>
        <v>-10110.154760120866</v>
      </c>
      <c r="K22" s="355">
        <f t="shared" si="7"/>
        <v>-10110.653523017545</v>
      </c>
      <c r="L22" s="355">
        <f t="shared" si="7"/>
        <v>-10111.152327477797</v>
      </c>
      <c r="M22" s="355">
        <f t="shared" si="7"/>
        <v>-10111.651173505086</v>
      </c>
      <c r="N22" s="356">
        <f t="shared" si="7"/>
        <v>-10112.150061102879</v>
      </c>
      <c r="O22" s="346">
        <f>SUM(O18:O21)</f>
        <v>-121312.88329557634</v>
      </c>
      <c r="P22" s="347">
        <f>-SUM(P18:P21)</f>
        <v>-119964.2667939042</v>
      </c>
      <c r="Q22" s="347">
        <f t="shared" ref="Q22:X22" si="8">-SUM(Q18:Q21)</f>
        <v>-108766.07716876733</v>
      </c>
      <c r="R22" s="347">
        <f t="shared" si="8"/>
        <v>-108422.54178803888</v>
      </c>
      <c r="S22" s="347">
        <f t="shared" si="8"/>
        <v>-107916.68986140759</v>
      </c>
      <c r="T22" s="347">
        <f t="shared" si="8"/>
        <v>-107229.85929989433</v>
      </c>
      <c r="U22" s="347">
        <f t="shared" si="8"/>
        <v>-111341.53406563905</v>
      </c>
      <c r="V22" s="347">
        <f t="shared" si="8"/>
        <v>-110229.16602049624</v>
      </c>
      <c r="W22" s="347">
        <f t="shared" si="8"/>
        <v>-108867.9797995908</v>
      </c>
      <c r="X22" s="347">
        <f t="shared" si="8"/>
        <v>-107230.75909593841</v>
      </c>
    </row>
    <row r="23" spans="1:25" ht="16.5" thickBot="1" x14ac:dyDescent="0.3">
      <c r="A23" s="381"/>
      <c r="B23" s="357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9"/>
      <c r="O23" s="360"/>
      <c r="P23" s="361"/>
      <c r="Q23" s="361"/>
      <c r="R23" s="361"/>
      <c r="S23" s="361"/>
      <c r="T23" s="361"/>
      <c r="U23" s="361"/>
      <c r="V23" s="361"/>
      <c r="W23" s="361"/>
      <c r="X23" s="361"/>
    </row>
    <row r="24" spans="1:25" ht="16.5" thickBot="1" x14ac:dyDescent="0.3">
      <c r="A24" s="382" t="s">
        <v>140</v>
      </c>
      <c r="B24" s="387"/>
      <c r="C24" s="362">
        <f t="shared" ref="C24:X24" si="9">C4+C5+C15+C22</f>
        <v>-1658.5681645157692</v>
      </c>
      <c r="D24" s="362">
        <f t="shared" si="9"/>
        <v>-979.19117368887055</v>
      </c>
      <c r="E24" s="362">
        <f t="shared" si="9"/>
        <v>-1225.3422149770195</v>
      </c>
      <c r="F24" s="362">
        <f t="shared" si="9"/>
        <v>-1278.6078788900559</v>
      </c>
      <c r="G24" s="362">
        <f t="shared" si="9"/>
        <v>-1331.8335252172183</v>
      </c>
      <c r="H24" s="362">
        <f t="shared" si="9"/>
        <v>-1400.6561251635885</v>
      </c>
      <c r="I24" s="362">
        <f t="shared" si="9"/>
        <v>-1562.1684771088421</v>
      </c>
      <c r="J24" s="362">
        <f t="shared" si="9"/>
        <v>-1572.1662461646592</v>
      </c>
      <c r="K24" s="362">
        <f t="shared" si="9"/>
        <v>-1526.7408118302683</v>
      </c>
      <c r="L24" s="362">
        <f t="shared" si="9"/>
        <v>-1457.9725413833694</v>
      </c>
      <c r="M24" s="362">
        <f t="shared" si="9"/>
        <v>-1359.4847717906214</v>
      </c>
      <c r="N24" s="363">
        <f t="shared" si="9"/>
        <v>-1361.725191929896</v>
      </c>
      <c r="O24" s="364">
        <f t="shared" si="9"/>
        <v>-16714.457122659762</v>
      </c>
      <c r="P24" s="365">
        <f t="shared" si="9"/>
        <v>52200.243106012073</v>
      </c>
      <c r="Q24" s="365">
        <f t="shared" si="9"/>
        <v>92544.067986399881</v>
      </c>
      <c r="R24" s="365">
        <f t="shared" si="9"/>
        <v>124567.56803760381</v>
      </c>
      <c r="S24" s="365">
        <f t="shared" si="9"/>
        <v>157369.94528906923</v>
      </c>
      <c r="T24" s="365">
        <f t="shared" si="9"/>
        <v>190394.84813067244</v>
      </c>
      <c r="U24" s="365">
        <f t="shared" si="9"/>
        <v>219281.16474100758</v>
      </c>
      <c r="V24" s="365">
        <f t="shared" si="9"/>
        <v>253849.19846863492</v>
      </c>
      <c r="W24" s="365">
        <f t="shared" si="9"/>
        <v>289133.03839838621</v>
      </c>
      <c r="X24" s="366">
        <f t="shared" si="9"/>
        <v>325200.35230666911</v>
      </c>
    </row>
    <row r="25" spans="1:25" ht="16.5" thickBot="1" x14ac:dyDescent="0.3">
      <c r="A25" s="383" t="s">
        <v>408</v>
      </c>
      <c r="B25" s="367"/>
      <c r="C25" s="368">
        <f>C24</f>
        <v>-1658.5681645157692</v>
      </c>
      <c r="D25" s="368">
        <f t="shared" ref="D25:N25" si="10">C25+D24</f>
        <v>-2637.7593382046398</v>
      </c>
      <c r="E25" s="368">
        <f t="shared" si="10"/>
        <v>-3863.1015531816593</v>
      </c>
      <c r="F25" s="368">
        <f t="shared" si="10"/>
        <v>-5141.7094320717151</v>
      </c>
      <c r="G25" s="368">
        <f t="shared" si="10"/>
        <v>-6473.5429572889334</v>
      </c>
      <c r="H25" s="368">
        <f t="shared" si="10"/>
        <v>-7874.1990824525219</v>
      </c>
      <c r="I25" s="368">
        <f t="shared" si="10"/>
        <v>-9436.367559561364</v>
      </c>
      <c r="J25" s="368">
        <f t="shared" si="10"/>
        <v>-11008.533805726023</v>
      </c>
      <c r="K25" s="368">
        <f t="shared" si="10"/>
        <v>-12535.274617556292</v>
      </c>
      <c r="L25" s="368">
        <f t="shared" si="10"/>
        <v>-13993.247158939661</v>
      </c>
      <c r="M25" s="368">
        <f t="shared" si="10"/>
        <v>-15352.731930730282</v>
      </c>
      <c r="N25" s="369">
        <f t="shared" si="10"/>
        <v>-16714.457122660177</v>
      </c>
      <c r="O25" s="370">
        <f t="shared" ref="O25:X25" si="11">SUM(N25+O24)</f>
        <v>-33428.914245319938</v>
      </c>
      <c r="P25" s="370">
        <f t="shared" si="11"/>
        <v>18771.328860692134</v>
      </c>
      <c r="Q25" s="370">
        <f t="shared" si="11"/>
        <v>111315.39684709202</v>
      </c>
      <c r="R25" s="370">
        <f t="shared" si="11"/>
        <v>235882.96488469583</v>
      </c>
      <c r="S25" s="370">
        <f t="shared" si="11"/>
        <v>393252.91017376503</v>
      </c>
      <c r="T25" s="370">
        <f t="shared" si="11"/>
        <v>583647.75830443751</v>
      </c>
      <c r="U25" s="370">
        <f t="shared" si="11"/>
        <v>802928.92304544512</v>
      </c>
      <c r="V25" s="370">
        <f t="shared" si="11"/>
        <v>1056778.1215140801</v>
      </c>
      <c r="W25" s="370">
        <f t="shared" si="11"/>
        <v>1345911.1599124663</v>
      </c>
      <c r="X25" s="370">
        <f t="shared" si="11"/>
        <v>1671111.5122191354</v>
      </c>
    </row>
  </sheetData>
  <mergeCells count="12">
    <mergeCell ref="X2:X3"/>
    <mergeCell ref="Q2:Q3"/>
    <mergeCell ref="R2:R3"/>
    <mergeCell ref="S2:S3"/>
    <mergeCell ref="T2:T3"/>
    <mergeCell ref="U2:U3"/>
    <mergeCell ref="V2:V3"/>
    <mergeCell ref="O2:O3"/>
    <mergeCell ref="P2:P3"/>
    <mergeCell ref="A2:A3"/>
    <mergeCell ref="C2:N2"/>
    <mergeCell ref="W2:W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workbookViewId="0">
      <selection activeCell="A91" sqref="A91"/>
    </sheetView>
  </sheetViews>
  <sheetFormatPr baseColWidth="10" defaultRowHeight="15" x14ac:dyDescent="0.25"/>
  <cols>
    <col min="1" max="1" width="6" customWidth="1"/>
    <col min="2" max="2" width="11" hidden="1" customWidth="1"/>
    <col min="3" max="3" width="44.85546875" bestFit="1" customWidth="1"/>
    <col min="4" max="4" width="13.7109375" bestFit="1" customWidth="1"/>
    <col min="5" max="5" width="7.7109375" style="44" hidden="1" customWidth="1"/>
    <col min="6" max="8" width="13" bestFit="1" customWidth="1"/>
    <col min="9" max="15" width="13.85546875" bestFit="1" customWidth="1"/>
    <col min="16" max="17" width="13" bestFit="1" customWidth="1"/>
    <col min="18" max="18" width="12" bestFit="1" customWidth="1"/>
    <col min="19" max="27" width="14.42578125" bestFit="1" customWidth="1"/>
    <col min="28" max="28" width="14" customWidth="1"/>
  </cols>
  <sheetData>
    <row r="1" spans="1:28" ht="27.75" customHeight="1" thickBot="1" x14ac:dyDescent="0.55000000000000004">
      <c r="A1" s="714" t="s">
        <v>445</v>
      </c>
      <c r="B1" s="715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</row>
    <row r="2" spans="1:28" ht="27.75" customHeight="1" x14ac:dyDescent="0.25">
      <c r="A2" s="714"/>
      <c r="B2" s="715"/>
      <c r="C2" s="716" t="s">
        <v>444</v>
      </c>
      <c r="D2" s="477"/>
      <c r="E2" s="538"/>
      <c r="F2" s="718">
        <v>2012</v>
      </c>
      <c r="G2" s="719"/>
      <c r="H2" s="719"/>
      <c r="I2" s="719"/>
      <c r="J2" s="719"/>
      <c r="K2" s="719"/>
      <c r="L2" s="719"/>
      <c r="M2" s="719"/>
      <c r="N2" s="719"/>
      <c r="O2" s="719"/>
      <c r="P2" s="719"/>
      <c r="Q2" s="720"/>
      <c r="R2" s="712">
        <v>2012</v>
      </c>
      <c r="S2" s="712">
        <v>2013</v>
      </c>
      <c r="T2" s="712">
        <v>2014</v>
      </c>
      <c r="U2" s="712">
        <v>2015</v>
      </c>
      <c r="V2" s="712">
        <v>2016</v>
      </c>
      <c r="W2" s="712">
        <v>2017</v>
      </c>
      <c r="X2" s="712">
        <v>2018</v>
      </c>
      <c r="Y2" s="712">
        <v>2019</v>
      </c>
      <c r="Z2" s="712">
        <v>2020</v>
      </c>
      <c r="AA2" s="712">
        <v>2021</v>
      </c>
    </row>
    <row r="3" spans="1:28" ht="17.25" customHeight="1" thickBot="1" x14ac:dyDescent="0.35">
      <c r="A3" s="714"/>
      <c r="B3" s="715"/>
      <c r="C3" s="717"/>
      <c r="D3" s="478" t="s">
        <v>443</v>
      </c>
      <c r="E3" s="478"/>
      <c r="F3" s="478" t="s">
        <v>161</v>
      </c>
      <c r="G3" s="478" t="s">
        <v>162</v>
      </c>
      <c r="H3" s="478" t="s">
        <v>163</v>
      </c>
      <c r="I3" s="478" t="s">
        <v>164</v>
      </c>
      <c r="J3" s="478" t="s">
        <v>165</v>
      </c>
      <c r="K3" s="478" t="s">
        <v>166</v>
      </c>
      <c r="L3" s="478" t="s">
        <v>167</v>
      </c>
      <c r="M3" s="478" t="s">
        <v>168</v>
      </c>
      <c r="N3" s="478" t="s">
        <v>169</v>
      </c>
      <c r="O3" s="478" t="s">
        <v>170</v>
      </c>
      <c r="P3" s="478" t="s">
        <v>171</v>
      </c>
      <c r="Q3" s="478" t="s">
        <v>172</v>
      </c>
      <c r="R3" s="713"/>
      <c r="S3" s="713">
        <v>2013</v>
      </c>
      <c r="T3" s="713">
        <v>2014</v>
      </c>
      <c r="U3" s="713">
        <v>2015</v>
      </c>
      <c r="V3" s="713">
        <v>2016</v>
      </c>
      <c r="W3" s="713">
        <v>2017</v>
      </c>
      <c r="X3" s="713">
        <v>2018</v>
      </c>
      <c r="Y3" s="713">
        <v>2019</v>
      </c>
      <c r="Z3" s="713">
        <v>2020</v>
      </c>
      <c r="AA3" s="713">
        <v>2021</v>
      </c>
    </row>
    <row r="4" spans="1:28" ht="17.25" thickBot="1" x14ac:dyDescent="0.35">
      <c r="A4" s="714"/>
      <c r="B4" s="715"/>
      <c r="C4" s="479" t="s">
        <v>442</v>
      </c>
      <c r="D4" s="467"/>
      <c r="E4" s="465"/>
      <c r="F4" s="466"/>
      <c r="G4" s="464"/>
      <c r="H4" s="465"/>
      <c r="I4" s="464"/>
      <c r="J4" s="465"/>
      <c r="K4" s="464"/>
      <c r="L4" s="465"/>
      <c r="M4" s="464"/>
      <c r="N4" s="465"/>
      <c r="O4" s="464"/>
      <c r="P4" s="465"/>
      <c r="Q4" s="464"/>
      <c r="R4" s="463"/>
      <c r="S4" s="462"/>
      <c r="T4" s="462"/>
      <c r="U4" s="462"/>
      <c r="V4" s="462"/>
      <c r="W4" s="462"/>
      <c r="X4" s="462"/>
      <c r="Y4" s="462"/>
      <c r="Z4" s="462"/>
      <c r="AA4" s="461"/>
    </row>
    <row r="5" spans="1:28" ht="17.25" thickBot="1" x14ac:dyDescent="0.35">
      <c r="A5" s="714"/>
      <c r="B5" s="715"/>
      <c r="C5" s="480" t="s">
        <v>382</v>
      </c>
      <c r="D5" s="429"/>
      <c r="E5" s="428"/>
      <c r="F5" s="460">
        <f>Ingresos!C13</f>
        <v>178386.6843057496</v>
      </c>
      <c r="G5" s="460">
        <f>Ingresos!D13</f>
        <v>178609.6676611318</v>
      </c>
      <c r="H5" s="460">
        <f>Ingresos!E13</f>
        <v>178832.92974570821</v>
      </c>
      <c r="I5" s="460">
        <f>Ingresos!F13</f>
        <v>179056.47090789035</v>
      </c>
      <c r="J5" s="460">
        <f>Ingresos!G13</f>
        <v>179280.2914965252</v>
      </c>
      <c r="K5" s="460">
        <f>Ingresos!H13</f>
        <v>179504.39186089585</v>
      </c>
      <c r="L5" s="460">
        <f>Ingresos!I13</f>
        <v>179728.77235072196</v>
      </c>
      <c r="M5" s="460">
        <f>Ingresos!J13</f>
        <v>179953.43331616037</v>
      </c>
      <c r="N5" s="460">
        <f>Ingresos!K13</f>
        <v>180178.37510780559</v>
      </c>
      <c r="O5" s="460">
        <f>Ingresos!L13</f>
        <v>180403.59807669034</v>
      </c>
      <c r="P5" s="460">
        <f>Ingresos!M13</f>
        <v>180629.10257428623</v>
      </c>
      <c r="Q5" s="460">
        <f>Ingresos!N13</f>
        <v>180854.88895250409</v>
      </c>
      <c r="R5" s="427">
        <f>SUM(F5:Q5)</f>
        <v>2155418.6063560699</v>
      </c>
      <c r="S5" s="426">
        <f>Ingresos!D19</f>
        <v>2220566.1337331817</v>
      </c>
      <c r="T5" s="426">
        <f>Ingresos!E19</f>
        <v>2253874.6257391791</v>
      </c>
      <c r="U5" s="426">
        <f>Ingresos!F19</f>
        <v>2287682.7451252667</v>
      </c>
      <c r="V5" s="426">
        <f>Ingresos!G19</f>
        <v>2321997.9863021458</v>
      </c>
      <c r="W5" s="426">
        <f>Ingresos!H19</f>
        <v>2356827.9560966776</v>
      </c>
      <c r="X5" s="426">
        <f>Ingresos!I19</f>
        <v>2392180.3754381272</v>
      </c>
      <c r="Y5" s="426">
        <f>Ingresos!J19</f>
        <v>2428063.081069699</v>
      </c>
      <c r="Z5" s="426">
        <f>Ingresos!K19</f>
        <v>2464484.027285744</v>
      </c>
      <c r="AA5" s="426">
        <f>Ingresos!L19</f>
        <v>2501451.2876950298</v>
      </c>
    </row>
    <row r="6" spans="1:28" ht="17.25" thickBot="1" x14ac:dyDescent="0.35">
      <c r="A6" s="714"/>
      <c r="B6" s="715"/>
      <c r="C6" s="481" t="s">
        <v>441</v>
      </c>
      <c r="D6" s="459"/>
      <c r="E6" s="411"/>
      <c r="F6" s="415"/>
      <c r="G6" s="415"/>
      <c r="H6" s="411"/>
      <c r="I6" s="415"/>
      <c r="J6" s="411"/>
      <c r="K6" s="415"/>
      <c r="L6" s="411"/>
      <c r="M6" s="415"/>
      <c r="N6" s="411"/>
      <c r="O6" s="415"/>
      <c r="P6" s="411"/>
      <c r="Q6" s="415"/>
      <c r="R6" s="458"/>
      <c r="S6" s="457"/>
      <c r="T6" s="457"/>
      <c r="U6" s="457"/>
      <c r="V6" s="457"/>
      <c r="W6" s="457"/>
      <c r="X6" s="457"/>
      <c r="Y6" s="457"/>
      <c r="Z6" s="457"/>
      <c r="AA6" s="456"/>
    </row>
    <row r="7" spans="1:28" ht="17.25" thickBot="1" x14ac:dyDescent="0.35">
      <c r="A7" s="714"/>
      <c r="B7" s="715"/>
      <c r="C7" s="480" t="s">
        <v>440</v>
      </c>
      <c r="D7" s="429"/>
      <c r="E7" s="428"/>
      <c r="F7" s="417">
        <f>-Costos!B77</f>
        <v>-152705.11841804316</v>
      </c>
      <c r="G7" s="417">
        <f>-Costos!C77</f>
        <v>-152256.89453683456</v>
      </c>
      <c r="H7" s="417">
        <f>-Costos!D77</f>
        <v>-152730.42682666489</v>
      </c>
      <c r="I7" s="417">
        <f>-Costos!E77</f>
        <v>-153010.08809937455</v>
      </c>
      <c r="J7" s="417">
        <f>-Costos!F77</f>
        <v>-153288.75191824435</v>
      </c>
      <c r="K7" s="417">
        <f>-Costos!G77</f>
        <v>-153581.8642357057</v>
      </c>
      <c r="L7" s="417">
        <f>-Costos!H77</f>
        <v>-153965.26285625185</v>
      </c>
      <c r="M7" s="417">
        <f>-Costos!I77</f>
        <v>-154196.87762152863</v>
      </c>
      <c r="N7" s="417">
        <f>-Costos!J77</f>
        <v>-154373.57265804394</v>
      </c>
      <c r="O7" s="417">
        <f>-Costos!K77</f>
        <v>-154527.74737392861</v>
      </c>
      <c r="P7" s="417">
        <f>-Costos!L77</f>
        <v>-154653.4272808221</v>
      </c>
      <c r="Q7" s="417">
        <f>-Costos!M77</f>
        <v>-154879.65712460675</v>
      </c>
      <c r="R7" s="427">
        <f>SUM(F7:Q7)</f>
        <v>-1844169.688950049</v>
      </c>
      <c r="S7" s="426">
        <f>-Costos!C83</f>
        <v>-1840419.7193301478</v>
      </c>
      <c r="T7" s="426">
        <f>-Costos!D83</f>
        <v>-1842327.8992336919</v>
      </c>
      <c r="U7" s="426">
        <f>-Costos!E83</f>
        <v>-1842216.8164241745</v>
      </c>
      <c r="V7" s="426">
        <f>-Costos!F83</f>
        <v>-1841954.0139524448</v>
      </c>
      <c r="W7" s="426">
        <f>-Costos!G83</f>
        <v>-1842103.9064875552</v>
      </c>
      <c r="X7" s="426">
        <f>-Costos!H83</f>
        <v>-1842072.7518485205</v>
      </c>
      <c r="Y7" s="426">
        <f>-Costos!I83</f>
        <v>-1842063.3452049803</v>
      </c>
      <c r="Z7" s="426">
        <f>-Costos!J83</f>
        <v>-1842073.2408282396</v>
      </c>
      <c r="AA7" s="426">
        <f>-Costos!K83</f>
        <v>-1842069.8607643698</v>
      </c>
    </row>
    <row r="8" spans="1:28" ht="17.25" thickBot="1" x14ac:dyDescent="0.35">
      <c r="A8" s="714"/>
      <c r="B8" s="715"/>
      <c r="C8" s="481" t="s">
        <v>439</v>
      </c>
      <c r="D8" s="459"/>
      <c r="E8" s="411"/>
      <c r="F8" s="415"/>
      <c r="G8" s="415"/>
      <c r="H8" s="411"/>
      <c r="I8" s="415"/>
      <c r="J8" s="411"/>
      <c r="K8" s="415"/>
      <c r="L8" s="411"/>
      <c r="M8" s="415"/>
      <c r="N8" s="411"/>
      <c r="O8" s="415"/>
      <c r="P8" s="411"/>
      <c r="Q8" s="415"/>
      <c r="R8" s="458"/>
      <c r="S8" s="457"/>
      <c r="T8" s="457"/>
      <c r="U8" s="457"/>
      <c r="V8" s="457"/>
      <c r="W8" s="457"/>
      <c r="X8" s="457"/>
      <c r="Y8" s="457"/>
      <c r="Z8" s="457"/>
      <c r="AA8" s="456"/>
    </row>
    <row r="9" spans="1:28" ht="17.25" thickBot="1" x14ac:dyDescent="0.35">
      <c r="A9" s="714"/>
      <c r="B9" s="715"/>
      <c r="C9" s="480" t="s">
        <v>340</v>
      </c>
      <c r="D9" s="429"/>
      <c r="E9" s="428"/>
      <c r="F9" s="417">
        <f>-Costos!B106</f>
        <v>-2413.7375000000002</v>
      </c>
      <c r="G9" s="417">
        <f>-Costos!C106</f>
        <v>-2413.9386447916672</v>
      </c>
      <c r="H9" s="417">
        <f>-Costos!D106</f>
        <v>-2414.1398063454003</v>
      </c>
      <c r="I9" s="417">
        <f>-Costos!E106</f>
        <v>-2414.3409846625959</v>
      </c>
      <c r="J9" s="417">
        <f>-Costos!F106</f>
        <v>-2414.5421797446515</v>
      </c>
      <c r="K9" s="417">
        <f>-Costos!G106</f>
        <v>-2414.7433915929637</v>
      </c>
      <c r="L9" s="417">
        <f>-Costos!H106</f>
        <v>-2414.9446202089298</v>
      </c>
      <c r="M9" s="417">
        <f>-Costos!I106</f>
        <v>-2415.1458655939473</v>
      </c>
      <c r="N9" s="417">
        <f>-Costos!J106</f>
        <v>-2415.3471277494136</v>
      </c>
      <c r="O9" s="417">
        <f>-Costos!K106</f>
        <v>-2415.5484066767262</v>
      </c>
      <c r="P9" s="417">
        <f>-Costos!L106</f>
        <v>-2415.749702377283</v>
      </c>
      <c r="Q9" s="417">
        <f>-Costos!M106</f>
        <v>-2415.9510148524814</v>
      </c>
      <c r="R9" s="427">
        <f>SUM(F9:Q9)</f>
        <v>-28978.129244596061</v>
      </c>
      <c r="S9" s="426">
        <f>-Costos!C113</f>
        <v>-28978.129244596061</v>
      </c>
      <c r="T9" s="426">
        <f>-Costos!D113</f>
        <v>-29702.582475710959</v>
      </c>
      <c r="U9" s="426">
        <f>-Costos!E113</f>
        <v>-30445.147037603729</v>
      </c>
      <c r="V9" s="426">
        <f>-Costos!F113</f>
        <v>-31206.275713543819</v>
      </c>
      <c r="W9" s="426">
        <f>-Costos!G113</f>
        <v>-31986.432606382412</v>
      </c>
      <c r="X9" s="426">
        <f>-Costos!H113</f>
        <v>-32786.093421541969</v>
      </c>
      <c r="Y9" s="426">
        <f>-Costos!I113</f>
        <v>-33605.745757080513</v>
      </c>
      <c r="Z9" s="426">
        <f>-Costos!J113</f>
        <v>-34445.889401007524</v>
      </c>
      <c r="AA9" s="426">
        <f>-Costos!K113</f>
        <v>-35307.03663603271</v>
      </c>
    </row>
    <row r="10" spans="1:28" ht="17.25" thickBot="1" x14ac:dyDescent="0.35">
      <c r="A10" s="714"/>
      <c r="B10" s="715"/>
      <c r="C10" s="482" t="s">
        <v>438</v>
      </c>
      <c r="D10" s="429"/>
      <c r="E10" s="428"/>
      <c r="F10" s="417">
        <f t="shared" ref="F10:AA10" si="0">SUM(F5:F9)</f>
        <v>23267.828387706442</v>
      </c>
      <c r="G10" s="417">
        <f t="shared" si="0"/>
        <v>23938.834479505571</v>
      </c>
      <c r="H10" s="428">
        <f t="shared" si="0"/>
        <v>23688.363112697927</v>
      </c>
      <c r="I10" s="417">
        <f t="shared" si="0"/>
        <v>23632.041823853207</v>
      </c>
      <c r="J10" s="428">
        <f t="shared" si="0"/>
        <v>23576.997398536198</v>
      </c>
      <c r="K10" s="417">
        <f t="shared" si="0"/>
        <v>23507.784233597187</v>
      </c>
      <c r="L10" s="428">
        <f t="shared" si="0"/>
        <v>23348.564874261181</v>
      </c>
      <c r="M10" s="417">
        <f t="shared" si="0"/>
        <v>23341.409829037791</v>
      </c>
      <c r="N10" s="428">
        <f t="shared" si="0"/>
        <v>23389.455322012243</v>
      </c>
      <c r="O10" s="417">
        <f t="shared" si="0"/>
        <v>23460.302296085003</v>
      </c>
      <c r="P10" s="428">
        <f t="shared" si="0"/>
        <v>23559.925591086845</v>
      </c>
      <c r="Q10" s="417">
        <f t="shared" si="0"/>
        <v>23559.280813044857</v>
      </c>
      <c r="R10" s="427">
        <f t="shared" si="0"/>
        <v>282270.78816142486</v>
      </c>
      <c r="S10" s="426">
        <f t="shared" si="0"/>
        <v>351168.28515843785</v>
      </c>
      <c r="T10" s="426">
        <f t="shared" si="0"/>
        <v>381844.14402977627</v>
      </c>
      <c r="U10" s="426">
        <f t="shared" si="0"/>
        <v>415020.78166348854</v>
      </c>
      <c r="V10" s="426">
        <f t="shared" si="0"/>
        <v>448837.69663615717</v>
      </c>
      <c r="W10" s="426">
        <f t="shared" si="0"/>
        <v>482737.61700273992</v>
      </c>
      <c r="X10" s="426">
        <f t="shared" si="0"/>
        <v>517321.53016806475</v>
      </c>
      <c r="Y10" s="426">
        <f t="shared" si="0"/>
        <v>552393.99010763818</v>
      </c>
      <c r="Z10" s="426">
        <f t="shared" si="0"/>
        <v>587964.89705649682</v>
      </c>
      <c r="AA10" s="425">
        <f t="shared" si="0"/>
        <v>624074.39029462717</v>
      </c>
    </row>
    <row r="11" spans="1:28" ht="17.25" thickBot="1" x14ac:dyDescent="0.35">
      <c r="A11" s="714"/>
      <c r="B11" s="715"/>
      <c r="C11" s="481" t="s">
        <v>437</v>
      </c>
      <c r="D11" s="459"/>
      <c r="E11" s="411"/>
      <c r="F11" s="415"/>
      <c r="G11" s="415"/>
      <c r="H11" s="411"/>
      <c r="I11" s="415"/>
      <c r="J11" s="411"/>
      <c r="K11" s="415"/>
      <c r="L11" s="411"/>
      <c r="M11" s="415"/>
      <c r="N11" s="411"/>
      <c r="O11" s="415"/>
      <c r="P11" s="411"/>
      <c r="Q11" s="415"/>
      <c r="R11" s="458"/>
      <c r="S11" s="457"/>
      <c r="T11" s="457"/>
      <c r="U11" s="457"/>
      <c r="V11" s="457"/>
      <c r="W11" s="457"/>
      <c r="X11" s="457"/>
      <c r="Y11" s="457"/>
      <c r="Z11" s="457"/>
      <c r="AA11" s="456"/>
      <c r="AB11" s="44"/>
    </row>
    <row r="12" spans="1:28" ht="16.5" x14ac:dyDescent="0.3">
      <c r="A12" s="714"/>
      <c r="B12" s="715"/>
      <c r="C12" s="483" t="s">
        <v>173</v>
      </c>
      <c r="D12" s="455"/>
      <c r="E12" s="539"/>
      <c r="F12" s="454">
        <f>-Gastos!E11</f>
        <v>-4372.5062499999995</v>
      </c>
      <c r="G12" s="454">
        <f>-Gastos!F11</f>
        <v>-4372.8706255208335</v>
      </c>
      <c r="H12" s="454">
        <f>-Gastos!G11</f>
        <v>-4373.2350314062933</v>
      </c>
      <c r="I12" s="454">
        <f>-Gastos!H11</f>
        <v>-4373.5994676589116</v>
      </c>
      <c r="J12" s="454">
        <f>-Gastos!I11</f>
        <v>-4373.963934281217</v>
      </c>
      <c r="K12" s="454">
        <f>-Gastos!J11</f>
        <v>-4374.3284312757405</v>
      </c>
      <c r="L12" s="454">
        <f>-Gastos!K11</f>
        <v>-4374.6929586450142</v>
      </c>
      <c r="M12" s="454">
        <f>-Gastos!L11</f>
        <v>-4375.0575163915682</v>
      </c>
      <c r="N12" s="454">
        <f>-Gastos!M11</f>
        <v>-4375.4221045179356</v>
      </c>
      <c r="O12" s="454">
        <f>-Gastos!N11</f>
        <v>-4375.7867230266456</v>
      </c>
      <c r="P12" s="454">
        <f>-Gastos!O11</f>
        <v>-4376.1513719202312</v>
      </c>
      <c r="Q12" s="454">
        <f>-Gastos!P11</f>
        <v>-4376.5160512012253</v>
      </c>
      <c r="R12" s="453">
        <f t="shared" ref="R12:R19" si="1">SUM(F12:Q12)</f>
        <v>-52494.130465845621</v>
      </c>
      <c r="S12" s="452">
        <f>-Gastos!D85</f>
        <v>-52494.130465845621</v>
      </c>
      <c r="T12" s="452">
        <f>-Gastos!E85</f>
        <v>-53806.483727491759</v>
      </c>
      <c r="U12" s="452">
        <f>-Gastos!F85</f>
        <v>-55151.645820679048</v>
      </c>
      <c r="V12" s="452">
        <f>-Gastos!G85</f>
        <v>-56530.436966196023</v>
      </c>
      <c r="W12" s="452">
        <f>-Gastos!H85</f>
        <v>-57943.697890350915</v>
      </c>
      <c r="X12" s="452">
        <f>-Gastos!I85</f>
        <v>-59392.29033760968</v>
      </c>
      <c r="Y12" s="452">
        <f>-Gastos!J85</f>
        <v>-60877.09759604992</v>
      </c>
      <c r="Z12" s="452">
        <f>-Gastos!K85</f>
        <v>-62399.025035951163</v>
      </c>
      <c r="AA12" s="452">
        <f>-Gastos!L85</f>
        <v>-63959.000661849939</v>
      </c>
      <c r="AB12" s="44"/>
    </row>
    <row r="13" spans="1:28" ht="16.5" x14ac:dyDescent="0.3">
      <c r="A13" s="714"/>
      <c r="B13" s="715"/>
      <c r="C13" s="484" t="s">
        <v>405</v>
      </c>
      <c r="D13" s="444"/>
      <c r="E13" s="540"/>
      <c r="F13" s="443">
        <f>-Gastos!E19</f>
        <v>-1750</v>
      </c>
      <c r="G13" s="443">
        <f>-Gastos!F19</f>
        <v>-1750</v>
      </c>
      <c r="H13" s="443">
        <f>-Gastos!G19</f>
        <v>-1750</v>
      </c>
      <c r="I13" s="443">
        <f>-Gastos!H19</f>
        <v>-1750</v>
      </c>
      <c r="J13" s="443">
        <f>-Gastos!I19</f>
        <v>-1750</v>
      </c>
      <c r="K13" s="443">
        <f>-Gastos!J19</f>
        <v>-1750</v>
      </c>
      <c r="L13" s="443">
        <f>-Gastos!K19</f>
        <v>-1750</v>
      </c>
      <c r="M13" s="443">
        <f>-Gastos!L19</f>
        <v>-1750</v>
      </c>
      <c r="N13" s="443">
        <f>-Gastos!M19</f>
        <v>-1750</v>
      </c>
      <c r="O13" s="443">
        <f>-Gastos!N19</f>
        <v>-1750</v>
      </c>
      <c r="P13" s="443">
        <f>-Gastos!O19</f>
        <v>-1750</v>
      </c>
      <c r="Q13" s="443">
        <f>-Gastos!P19</f>
        <v>-1750</v>
      </c>
      <c r="R13" s="418">
        <f t="shared" si="1"/>
        <v>-21000</v>
      </c>
      <c r="S13" s="394">
        <f>-Gastos!D86</f>
        <v>-21000</v>
      </c>
      <c r="T13" s="394">
        <f>-Gastos!E86</f>
        <v>-10000</v>
      </c>
      <c r="U13" s="394">
        <f>-Gastos!F86</f>
        <v>-10000</v>
      </c>
      <c r="V13" s="394">
        <f>-Gastos!G86</f>
        <v>-10000</v>
      </c>
      <c r="W13" s="394">
        <f>-Gastos!H86</f>
        <v>-10000</v>
      </c>
      <c r="X13" s="394">
        <f>-Gastos!I86</f>
        <v>-15000</v>
      </c>
      <c r="Y13" s="394">
        <f>-Gastos!J86</f>
        <v>-15000</v>
      </c>
      <c r="Z13" s="394">
        <f>-Gastos!K86</f>
        <v>-15000</v>
      </c>
      <c r="AA13" s="394">
        <f>-Gastos!L86</f>
        <v>-15000</v>
      </c>
      <c r="AB13" s="44"/>
    </row>
    <row r="14" spans="1:28" ht="16.5" x14ac:dyDescent="0.3">
      <c r="A14" s="714"/>
      <c r="B14" s="715"/>
      <c r="C14" s="484" t="s">
        <v>184</v>
      </c>
      <c r="D14" s="444"/>
      <c r="E14" s="540"/>
      <c r="F14" s="443">
        <f>-Gastos!E26</f>
        <v>-1609.1583333333335</v>
      </c>
      <c r="G14" s="443">
        <f>-Gastos!F26</f>
        <v>-1609.2924298611115</v>
      </c>
      <c r="H14" s="443">
        <f>-Gastos!G26</f>
        <v>-1609.4265375636</v>
      </c>
      <c r="I14" s="443">
        <f>-Gastos!H26</f>
        <v>-1609.5606564417305</v>
      </c>
      <c r="J14" s="443">
        <f>-Gastos!I26</f>
        <v>-1609.6947864964343</v>
      </c>
      <c r="K14" s="443">
        <f>-Gastos!J26</f>
        <v>-1609.8289277286424</v>
      </c>
      <c r="L14" s="443">
        <f>-Gastos!K26</f>
        <v>-1609.9630801392866</v>
      </c>
      <c r="M14" s="443">
        <f>-Gastos!L26</f>
        <v>-1610.0972437292983</v>
      </c>
      <c r="N14" s="443">
        <f>-Gastos!M26</f>
        <v>-1610.2314184996092</v>
      </c>
      <c r="O14" s="443">
        <f>-Gastos!N26</f>
        <v>-1610.3656044511511</v>
      </c>
      <c r="P14" s="443">
        <f>-Gastos!O26</f>
        <v>-1610.4998015848555</v>
      </c>
      <c r="Q14" s="443">
        <f>-Gastos!P26</f>
        <v>-1610.6340099016545</v>
      </c>
      <c r="R14" s="418">
        <f t="shared" si="1"/>
        <v>-19318.752829730711</v>
      </c>
      <c r="S14" s="394">
        <f>-Gastos!D87</f>
        <v>-19801.721650473977</v>
      </c>
      <c r="T14" s="394">
        <f>-Gastos!E87</f>
        <v>-20296.764691735825</v>
      </c>
      <c r="U14" s="394">
        <f>-Gastos!F87</f>
        <v>-20804.183809029219</v>
      </c>
      <c r="V14" s="394">
        <f>-Gastos!G87</f>
        <v>-21324.288404254949</v>
      </c>
      <c r="W14" s="394">
        <f>-Gastos!H87</f>
        <v>-21857.395614361321</v>
      </c>
      <c r="X14" s="394">
        <f>-Gastos!I87</f>
        <v>-22403.830504720354</v>
      </c>
      <c r="Y14" s="394">
        <f>-Gastos!J87</f>
        <v>-22963.92626733836</v>
      </c>
      <c r="Z14" s="394">
        <f>-Gastos!K87</f>
        <v>-23538.024424021816</v>
      </c>
      <c r="AA14" s="394">
        <f>-Gastos!L87</f>
        <v>-24126.475034622359</v>
      </c>
      <c r="AB14" s="44"/>
    </row>
    <row r="15" spans="1:28" ht="16.5" x14ac:dyDescent="0.3">
      <c r="A15" s="714"/>
      <c r="B15" s="715"/>
      <c r="C15" s="484" t="s">
        <v>400</v>
      </c>
      <c r="D15" s="451"/>
      <c r="E15" s="541"/>
      <c r="F15" s="398">
        <f>-Gastos!E31</f>
        <v>-880</v>
      </c>
      <c r="G15" s="398">
        <f>-Gastos!F31</f>
        <v>-876.32159999999999</v>
      </c>
      <c r="H15" s="398">
        <f>-Gastos!G31</f>
        <v>-874.27977067200004</v>
      </c>
      <c r="I15" s="398">
        <f>-Gastos!H31</f>
        <v>-872.74890679355349</v>
      </c>
      <c r="J15" s="398">
        <f>-Gastos!I31</f>
        <v>-871.71775396017688</v>
      </c>
      <c r="K15" s="398">
        <f>-Gastos!J31</f>
        <v>-871.26363259625134</v>
      </c>
      <c r="L15" s="398">
        <f>-Gastos!K31</f>
        <v>-871.89375223693571</v>
      </c>
      <c r="M15" s="398">
        <f>-Gastos!L31</f>
        <v>-872.74596080798165</v>
      </c>
      <c r="N15" s="398">
        <f>-Gastos!M31</f>
        <v>-873.5081789475156</v>
      </c>
      <c r="O15" s="398">
        <f>-Gastos!N31</f>
        <v>-874.05164308908866</v>
      </c>
      <c r="P15" s="398">
        <f>-Gastos!O31</f>
        <v>-874.21400042154971</v>
      </c>
      <c r="Q15" s="398">
        <f>-Gastos!P31</f>
        <v>-874.56223878320657</v>
      </c>
      <c r="R15" s="418">
        <f t="shared" si="1"/>
        <v>-10487.307438308258</v>
      </c>
      <c r="S15" s="394">
        <f>-Gastos!D88</f>
        <v>-10465.982348473055</v>
      </c>
      <c r="T15" s="394">
        <f>-Gastos!E88</f>
        <v>-10476.833665147422</v>
      </c>
      <c r="U15" s="394">
        <f>-Gastos!F88</f>
        <v>-10476.201966458577</v>
      </c>
      <c r="V15" s="394">
        <f>-Gastos!G88</f>
        <v>-10474.707477999576</v>
      </c>
      <c r="W15" s="394">
        <f>-Gastos!H88</f>
        <v>-10475.559877378999</v>
      </c>
      <c r="X15" s="394">
        <f>-Gastos!I88</f>
        <v>-10475.382709150043</v>
      </c>
      <c r="Y15" s="394">
        <f>-Gastos!J88</f>
        <v>-10475.329216045064</v>
      </c>
      <c r="Z15" s="394">
        <f>-Gastos!K88</f>
        <v>-10475.385489848952</v>
      </c>
      <c r="AA15" s="394">
        <f>-Gastos!L88</f>
        <v>-10475.366268315718</v>
      </c>
      <c r="AB15" s="44"/>
    </row>
    <row r="16" spans="1:28" ht="16.5" x14ac:dyDescent="0.3">
      <c r="A16" s="714"/>
      <c r="B16" s="715"/>
      <c r="C16" s="484" t="s">
        <v>221</v>
      </c>
      <c r="D16" s="451"/>
      <c r="E16" s="541"/>
      <c r="F16" s="398">
        <f>-Gastos!E37</f>
        <v>-2816.0270833333334</v>
      </c>
      <c r="G16" s="398">
        <f>-Gastos!F37</f>
        <v>-2816.2617522569453</v>
      </c>
      <c r="H16" s="398">
        <f>-Gastos!G37</f>
        <v>-2816.4964407363004</v>
      </c>
      <c r="I16" s="398">
        <f>-Gastos!H37</f>
        <v>-2816.7311487730285</v>
      </c>
      <c r="J16" s="398">
        <f>-Gastos!I37</f>
        <v>-2816.9658763687603</v>
      </c>
      <c r="K16" s="398">
        <f>-Gastos!J37</f>
        <v>-2817.2006235251242</v>
      </c>
      <c r="L16" s="398">
        <f>-Gastos!K37</f>
        <v>-2817.4353902437515</v>
      </c>
      <c r="M16" s="398">
        <f>-Gastos!L37</f>
        <v>-2817.6701765262719</v>
      </c>
      <c r="N16" s="398">
        <f>-Gastos!M37</f>
        <v>-2817.9049823743158</v>
      </c>
      <c r="O16" s="398">
        <f>-Gastos!N37</f>
        <v>-2818.1398077895146</v>
      </c>
      <c r="P16" s="398">
        <f>-Gastos!O37</f>
        <v>-2818.374652773497</v>
      </c>
      <c r="Q16" s="398">
        <f>-Gastos!P37</f>
        <v>-2818.609517327895</v>
      </c>
      <c r="R16" s="418">
        <f t="shared" si="1"/>
        <v>-33807.817452028736</v>
      </c>
      <c r="S16" s="394">
        <f>-Gastos!D89</f>
        <v>-34653.012888329453</v>
      </c>
      <c r="T16" s="394">
        <f>-Gastos!E89</f>
        <v>-35519.338210537688</v>
      </c>
      <c r="U16" s="394">
        <f>-Gastos!F89</f>
        <v>-36407.32166580113</v>
      </c>
      <c r="V16" s="394">
        <f>-Gastos!G89</f>
        <v>-37317.504707446154</v>
      </c>
      <c r="W16" s="394">
        <f>-Gastos!H89</f>
        <v>-38250.442325132302</v>
      </c>
      <c r="X16" s="394">
        <f>-Gastos!I89</f>
        <v>-39206.703383260603</v>
      </c>
      <c r="Y16" s="394">
        <f>-Gastos!J89</f>
        <v>-40186.870967842115</v>
      </c>
      <c r="Z16" s="394">
        <f>-Gastos!K89</f>
        <v>-41191.542742038167</v>
      </c>
      <c r="AA16" s="394">
        <f>-Gastos!L89</f>
        <v>-42221.331310589121</v>
      </c>
      <c r="AB16" s="44"/>
    </row>
    <row r="17" spans="1:28" ht="16.5" x14ac:dyDescent="0.3">
      <c r="A17" s="714"/>
      <c r="B17" s="715"/>
      <c r="C17" s="484" t="s">
        <v>192</v>
      </c>
      <c r="D17" s="451"/>
      <c r="E17" s="541"/>
      <c r="F17" s="398">
        <f>-Gastos!E46</f>
        <v>-2500</v>
      </c>
      <c r="G17" s="398">
        <f>-Gastos!F46</f>
        <v>-2500</v>
      </c>
      <c r="H17" s="398">
        <f>-Gastos!G46</f>
        <v>-2500</v>
      </c>
      <c r="I17" s="398">
        <f>-Gastos!H46</f>
        <v>-2500</v>
      </c>
      <c r="J17" s="398">
        <f>-Gastos!I46</f>
        <v>-2500</v>
      </c>
      <c r="K17" s="398">
        <f>-Gastos!J46</f>
        <v>-2500</v>
      </c>
      <c r="L17" s="398">
        <f>-Gastos!K46</f>
        <v>-2500</v>
      </c>
      <c r="M17" s="398">
        <f>-Gastos!L46</f>
        <v>-2500</v>
      </c>
      <c r="N17" s="398">
        <f>-Gastos!M46</f>
        <v>-2500</v>
      </c>
      <c r="O17" s="398">
        <f>-Gastos!N46</f>
        <v>-2500</v>
      </c>
      <c r="P17" s="398">
        <f>-Gastos!O46</f>
        <v>-2500</v>
      </c>
      <c r="Q17" s="398">
        <f>-Gastos!P46</f>
        <v>-2500</v>
      </c>
      <c r="R17" s="418">
        <f t="shared" si="1"/>
        <v>-30000</v>
      </c>
      <c r="S17" s="394">
        <f>-Gastos!D90</f>
        <v>-29938.997431054686</v>
      </c>
      <c r="T17" s="394">
        <f>-Gastos!E90</f>
        <v>-29970.038716164905</v>
      </c>
      <c r="U17" s="394">
        <f>-Gastos!F90</f>
        <v>-29968.231678393116</v>
      </c>
      <c r="V17" s="394">
        <f>-Gastos!G90</f>
        <v>-29963.956543518529</v>
      </c>
      <c r="W17" s="394">
        <f>-Gastos!H90</f>
        <v>-29966.394917861333</v>
      </c>
      <c r="X17" s="394">
        <f>-Gastos!I90</f>
        <v>-29965.888110284654</v>
      </c>
      <c r="Y17" s="394">
        <f>-Gastos!J90</f>
        <v>-29965.735087866004</v>
      </c>
      <c r="Z17" s="394">
        <f>-Gastos!K90</f>
        <v>-29965.896064754168</v>
      </c>
      <c r="AA17" s="394">
        <f>-Gastos!L90</f>
        <v>-29965.84107962091</v>
      </c>
    </row>
    <row r="18" spans="1:28" ht="16.5" x14ac:dyDescent="0.3">
      <c r="A18" s="714"/>
      <c r="B18" s="715"/>
      <c r="C18" s="484" t="s">
        <v>401</v>
      </c>
      <c r="D18" s="451"/>
      <c r="E18" s="541"/>
      <c r="F18" s="398">
        <f>-Gastos!E41</f>
        <v>-5000</v>
      </c>
      <c r="G18" s="398">
        <f>-Gastos!F41</f>
        <v>-5000</v>
      </c>
      <c r="H18" s="398">
        <f>-Gastos!G41</f>
        <v>-5000</v>
      </c>
      <c r="I18" s="398">
        <f>-Gastos!H41</f>
        <v>-5000</v>
      </c>
      <c r="J18" s="398">
        <f>-Gastos!I41</f>
        <v>-5000</v>
      </c>
      <c r="K18" s="398">
        <f>-Gastos!J41</f>
        <v>-5000</v>
      </c>
      <c r="L18" s="398">
        <f>-Gastos!K41</f>
        <v>-5000</v>
      </c>
      <c r="M18" s="398">
        <f>-Gastos!L41</f>
        <v>-5000</v>
      </c>
      <c r="N18" s="398">
        <f>-Gastos!M41</f>
        <v>-5000</v>
      </c>
      <c r="O18" s="398">
        <f>-Gastos!N41</f>
        <v>-5000</v>
      </c>
      <c r="P18" s="398">
        <f>-Gastos!O41</f>
        <v>-5000</v>
      </c>
      <c r="Q18" s="398">
        <f>-Gastos!P41</f>
        <v>-5000</v>
      </c>
      <c r="R18" s="418">
        <f t="shared" si="1"/>
        <v>-60000</v>
      </c>
      <c r="S18" s="394">
        <f>-Gastos!D84</f>
        <v>-60600</v>
      </c>
      <c r="T18" s="394">
        <f>-Gastos!E84</f>
        <v>-61206</v>
      </c>
      <c r="U18" s="394">
        <f>-Gastos!F84</f>
        <v>-61818.06</v>
      </c>
      <c r="V18" s="394">
        <f>-Gastos!G84</f>
        <v>-62436.240599999997</v>
      </c>
      <c r="W18" s="394">
        <f>-Gastos!H84</f>
        <v>-63060.603005999998</v>
      </c>
      <c r="X18" s="394">
        <f>-Gastos!I84</f>
        <v>-63691.209036059998</v>
      </c>
      <c r="Y18" s="394">
        <f>-Gastos!J84</f>
        <v>-64328.121126420599</v>
      </c>
      <c r="Z18" s="394">
        <f>-Gastos!K84</f>
        <v>-64971.402337684805</v>
      </c>
      <c r="AA18" s="394">
        <f>-Gastos!L84</f>
        <v>-65621.11636106165</v>
      </c>
    </row>
    <row r="19" spans="1:28" ht="17.25" thickBot="1" x14ac:dyDescent="0.35">
      <c r="A19" s="714"/>
      <c r="B19" s="715"/>
      <c r="C19" s="485" t="s">
        <v>195</v>
      </c>
      <c r="D19" s="450"/>
      <c r="E19" s="542"/>
      <c r="F19" s="397">
        <f>-Gastos!E55</f>
        <v>-1298</v>
      </c>
      <c r="G19" s="397">
        <f>-Gastos!F55</f>
        <v>-1292.5743600000003</v>
      </c>
      <c r="H19" s="397">
        <f>-Gastos!G55</f>
        <v>-1289.5626617412001</v>
      </c>
      <c r="I19" s="397">
        <f>-Gastos!H55</f>
        <v>-1287.3046375204913</v>
      </c>
      <c r="J19" s="397">
        <f>-Gastos!I55</f>
        <v>-1285.7836870912608</v>
      </c>
      <c r="K19" s="397">
        <f>-Gastos!J55</f>
        <v>-1285.1138580794709</v>
      </c>
      <c r="L19" s="397">
        <f>-Gastos!K55</f>
        <v>-1286.0432845494802</v>
      </c>
      <c r="M19" s="397">
        <f>-Gastos!L55</f>
        <v>-1287.300292191773</v>
      </c>
      <c r="N19" s="397">
        <f>-Gastos!M55</f>
        <v>-1288.4245639475855</v>
      </c>
      <c r="O19" s="397">
        <f>-Gastos!N55</f>
        <v>-1289.2261735564059</v>
      </c>
      <c r="P19" s="397">
        <f>-Gastos!O55</f>
        <v>-1289.4656506217857</v>
      </c>
      <c r="Q19" s="397">
        <f>-Gastos!P55</f>
        <v>-1289.9793022052297</v>
      </c>
      <c r="R19" s="449">
        <f t="shared" si="1"/>
        <v>-15468.77847150468</v>
      </c>
      <c r="S19" s="448">
        <f>-Gastos!D91</f>
        <v>-15437.323963997755</v>
      </c>
      <c r="T19" s="448">
        <f>-Gastos!E91</f>
        <v>-15453.329656092446</v>
      </c>
      <c r="U19" s="448">
        <f>-Gastos!F91</f>
        <v>-15452.397900526399</v>
      </c>
      <c r="V19" s="448">
        <f>-Gastos!G91</f>
        <v>-15450.193530049371</v>
      </c>
      <c r="W19" s="448">
        <f>-Gastos!H91</f>
        <v>-15451.450819134021</v>
      </c>
      <c r="X19" s="448">
        <f>-Gastos!I91</f>
        <v>-15451.18949599631</v>
      </c>
      <c r="Y19" s="448">
        <f>-Gastos!J91</f>
        <v>-15451.110593666468</v>
      </c>
      <c r="Z19" s="448">
        <f>-Gastos!K91</f>
        <v>-15451.193597527203</v>
      </c>
      <c r="AA19" s="448">
        <f>-Gastos!L91</f>
        <v>-15451.165245765684</v>
      </c>
    </row>
    <row r="20" spans="1:28" ht="17.25" thickBot="1" x14ac:dyDescent="0.35">
      <c r="A20" s="714"/>
      <c r="B20" s="715"/>
      <c r="C20" s="482" t="s">
        <v>436</v>
      </c>
      <c r="D20" s="440"/>
      <c r="E20" s="439"/>
      <c r="F20" s="438">
        <f t="shared" ref="F20:AA20" si="2">SUM(F10:F19)</f>
        <v>3042.1367210397766</v>
      </c>
      <c r="G20" s="438">
        <f t="shared" si="2"/>
        <v>3721.5137118666808</v>
      </c>
      <c r="H20" s="439">
        <f t="shared" si="2"/>
        <v>3475.3626705785337</v>
      </c>
      <c r="I20" s="438">
        <f t="shared" si="2"/>
        <v>3422.0970066654945</v>
      </c>
      <c r="J20" s="447">
        <f t="shared" si="2"/>
        <v>3368.8713603383467</v>
      </c>
      <c r="K20" s="438">
        <f t="shared" si="2"/>
        <v>3300.0487603919587</v>
      </c>
      <c r="L20" s="439">
        <f t="shared" si="2"/>
        <v>3138.5364084467142</v>
      </c>
      <c r="M20" s="438">
        <f t="shared" si="2"/>
        <v>3128.5386393909002</v>
      </c>
      <c r="N20" s="439">
        <f t="shared" si="2"/>
        <v>3173.9640737252821</v>
      </c>
      <c r="O20" s="438">
        <f t="shared" si="2"/>
        <v>3242.7323441721965</v>
      </c>
      <c r="P20" s="439">
        <f t="shared" si="2"/>
        <v>3341.2201137649276</v>
      </c>
      <c r="Q20" s="438">
        <f t="shared" si="2"/>
        <v>3338.9796936256453</v>
      </c>
      <c r="R20" s="427">
        <f t="shared" si="2"/>
        <v>39694.001504006832</v>
      </c>
      <c r="S20" s="426">
        <f t="shared" si="2"/>
        <v>106777.1164102633</v>
      </c>
      <c r="T20" s="426">
        <f t="shared" si="2"/>
        <v>145115.35536260621</v>
      </c>
      <c r="U20" s="426">
        <f t="shared" si="2"/>
        <v>174942.73882260107</v>
      </c>
      <c r="V20" s="426">
        <f t="shared" si="2"/>
        <v>205340.36840669264</v>
      </c>
      <c r="W20" s="426">
        <f t="shared" si="2"/>
        <v>235732.07255252101</v>
      </c>
      <c r="X20" s="426">
        <f t="shared" si="2"/>
        <v>261735.03659098319</v>
      </c>
      <c r="Y20" s="426">
        <f t="shared" si="2"/>
        <v>293145.79925240972</v>
      </c>
      <c r="Z20" s="426">
        <f t="shared" si="2"/>
        <v>324972.4273646705</v>
      </c>
      <c r="AA20" s="425">
        <f t="shared" si="2"/>
        <v>357254.09433280176</v>
      </c>
    </row>
    <row r="21" spans="1:28" ht="16.5" x14ac:dyDescent="0.3">
      <c r="A21" s="714"/>
      <c r="B21" s="715"/>
      <c r="C21" s="486" t="s">
        <v>431</v>
      </c>
      <c r="D21" s="446"/>
      <c r="E21" s="543"/>
      <c r="F21" s="445">
        <f>-Depreciaciones!$I$13</f>
        <v>-2325.7048855555554</v>
      </c>
      <c r="G21" s="445">
        <f>-Depreciaciones!$I$13</f>
        <v>-2325.7048855555554</v>
      </c>
      <c r="H21" s="445">
        <f>-Depreciaciones!$I$13</f>
        <v>-2325.7048855555554</v>
      </c>
      <c r="I21" s="445">
        <f>-Depreciaciones!$I$13</f>
        <v>-2325.7048855555554</v>
      </c>
      <c r="J21" s="445">
        <f>-Depreciaciones!$I$13</f>
        <v>-2325.7048855555554</v>
      </c>
      <c r="K21" s="445">
        <f>-Depreciaciones!$I$13</f>
        <v>-2325.7048855555554</v>
      </c>
      <c r="L21" s="445">
        <f>-Depreciaciones!$I$13</f>
        <v>-2325.7048855555554</v>
      </c>
      <c r="M21" s="445">
        <f>-Depreciaciones!$I$13</f>
        <v>-2325.7048855555554</v>
      </c>
      <c r="N21" s="445">
        <f>-Depreciaciones!$I$13</f>
        <v>-2325.7048855555554</v>
      </c>
      <c r="O21" s="445">
        <f>-Depreciaciones!$I$13</f>
        <v>-2325.7048855555554</v>
      </c>
      <c r="P21" s="445">
        <f>-Depreciaciones!$I$13</f>
        <v>-2325.7048855555554</v>
      </c>
      <c r="Q21" s="445">
        <f>-Depreciaciones!$I$13</f>
        <v>-2325.7048855555554</v>
      </c>
      <c r="R21" s="421">
        <f>SUM(F21:Q21)</f>
        <v>-27908.458626666663</v>
      </c>
      <c r="S21" s="420">
        <f>-Depreciaciones!$E$13</f>
        <v>-27908.458626666667</v>
      </c>
      <c r="T21" s="420">
        <f>-Depreciaciones!$E$13</f>
        <v>-27908.458626666667</v>
      </c>
      <c r="U21" s="420">
        <f>-Depreciaciones!$E$13</f>
        <v>-27908.458626666667</v>
      </c>
      <c r="V21" s="420">
        <f>-Depreciaciones!$E$13</f>
        <v>-27908.458626666667</v>
      </c>
      <c r="W21" s="420">
        <f>-Depreciaciones!$E$13</f>
        <v>-27908.458626666667</v>
      </c>
      <c r="X21" s="420">
        <f>-Depreciaciones!$E$13</f>
        <v>-27908.458626666667</v>
      </c>
      <c r="Y21" s="420">
        <f>-Depreciaciones!$E$13</f>
        <v>-27908.458626666667</v>
      </c>
      <c r="Z21" s="420">
        <f>-Depreciaciones!$E$13</f>
        <v>-27908.458626666667</v>
      </c>
      <c r="AA21" s="420">
        <f>-Depreciaciones!$E$13</f>
        <v>-27908.458626666667</v>
      </c>
    </row>
    <row r="22" spans="1:28" ht="16.5" x14ac:dyDescent="0.3">
      <c r="A22" s="714"/>
      <c r="B22" s="715"/>
      <c r="C22" s="484" t="s">
        <v>430</v>
      </c>
      <c r="D22" s="444"/>
      <c r="E22" s="540"/>
      <c r="F22" s="443">
        <f>-Gastos!$D$73</f>
        <v>-15.916666666666666</v>
      </c>
      <c r="G22" s="443">
        <f>-Gastos!$D$73</f>
        <v>-15.916666666666666</v>
      </c>
      <c r="H22" s="443">
        <f>-Gastos!$D$73</f>
        <v>-15.916666666666666</v>
      </c>
      <c r="I22" s="443">
        <f>-Gastos!$D$73</f>
        <v>-15.916666666666666</v>
      </c>
      <c r="J22" s="443">
        <f>-Gastos!$D$73</f>
        <v>-15.916666666666666</v>
      </c>
      <c r="K22" s="443">
        <f>-Gastos!$D$73</f>
        <v>-15.916666666666666</v>
      </c>
      <c r="L22" s="443">
        <f>-Gastos!$D$73</f>
        <v>-15.916666666666666</v>
      </c>
      <c r="M22" s="443">
        <f>-Gastos!$D$73</f>
        <v>-15.916666666666666</v>
      </c>
      <c r="N22" s="443">
        <f>-Gastos!$D$73</f>
        <v>-15.916666666666666</v>
      </c>
      <c r="O22" s="443">
        <f>-Gastos!$D$73</f>
        <v>-15.916666666666666</v>
      </c>
      <c r="P22" s="443">
        <f>-Gastos!$D$73</f>
        <v>-15.916666666666666</v>
      </c>
      <c r="Q22" s="443">
        <f>-Gastos!$D$73</f>
        <v>-15.916666666666666</v>
      </c>
      <c r="R22" s="418">
        <f>SUM(F22:Q22)</f>
        <v>-190.99999999999997</v>
      </c>
      <c r="S22" s="394">
        <f>-Gastos!$C$73</f>
        <v>-191</v>
      </c>
      <c r="T22" s="394">
        <f>-Gastos!$C$73</f>
        <v>-191</v>
      </c>
      <c r="U22" s="394">
        <f>-Gastos!$C$73</f>
        <v>-191</v>
      </c>
      <c r="V22" s="394">
        <f>-Gastos!$C$73</f>
        <v>-191</v>
      </c>
      <c r="W22" s="394">
        <v>0</v>
      </c>
      <c r="X22" s="394">
        <v>0</v>
      </c>
      <c r="Y22" s="394">
        <v>0</v>
      </c>
      <c r="Z22" s="394">
        <v>0</v>
      </c>
      <c r="AA22" s="393">
        <v>0</v>
      </c>
      <c r="AB22" s="459"/>
    </row>
    <row r="23" spans="1:28" ht="16.5" x14ac:dyDescent="0.3">
      <c r="A23" s="714"/>
      <c r="B23" s="715"/>
      <c r="C23" s="484" t="s">
        <v>435</v>
      </c>
      <c r="D23" s="444">
        <f>Prestamo!D11</f>
        <v>0</v>
      </c>
      <c r="E23" s="540"/>
      <c r="F23" s="443">
        <f>-Prestamo!$D$12/12</f>
        <v>-2375</v>
      </c>
      <c r="G23" s="443">
        <f>-Prestamo!$D$12/12</f>
        <v>-2375</v>
      </c>
      <c r="H23" s="443">
        <f>-Prestamo!$D$12/12</f>
        <v>-2375</v>
      </c>
      <c r="I23" s="443">
        <f>-Prestamo!$D$12/12</f>
        <v>-2375</v>
      </c>
      <c r="J23" s="443">
        <f>-Prestamo!$D$12/12</f>
        <v>-2375</v>
      </c>
      <c r="K23" s="443">
        <f>-Prestamo!$D$12/12</f>
        <v>-2375</v>
      </c>
      <c r="L23" s="443">
        <f>-Prestamo!$D$12/12</f>
        <v>-2375</v>
      </c>
      <c r="M23" s="443">
        <f>-Prestamo!$D$12/12</f>
        <v>-2375</v>
      </c>
      <c r="N23" s="443">
        <f>-Prestamo!$D$12/12</f>
        <v>-2375</v>
      </c>
      <c r="O23" s="443">
        <f>-Prestamo!$D$12/12</f>
        <v>-2375</v>
      </c>
      <c r="P23" s="443">
        <f>-Prestamo!$D$12/12</f>
        <v>-2375</v>
      </c>
      <c r="Q23" s="443">
        <f>-Prestamo!$D$12/12</f>
        <v>-2375</v>
      </c>
      <c r="R23" s="418">
        <f>SUM(F23:Q23)</f>
        <v>-28500</v>
      </c>
      <c r="S23" s="394">
        <f>-Prestamo!$D$13</f>
        <v>-26668.414677584598</v>
      </c>
      <c r="T23" s="394">
        <f>-Prestamo!$D$14</f>
        <v>-24662.828749539738</v>
      </c>
      <c r="U23" s="394">
        <f>-Prestamo!$D$15</f>
        <v>-22466.712158330611</v>
      </c>
      <c r="V23" s="394">
        <f>-Prestamo!$D$16</f>
        <v>-20061.96449095662</v>
      </c>
      <c r="W23" s="394">
        <f>-Prestamo!$D$17</f>
        <v>-17428.765795182102</v>
      </c>
      <c r="X23" s="394">
        <f>-Prestamo!$D$18</f>
        <v>-14545.413223309</v>
      </c>
      <c r="Y23" s="394">
        <f>-Prestamo!$D$19</f>
        <v>-11388.142157107955</v>
      </c>
      <c r="Z23" s="394">
        <f>-Prestamo!$D$20</f>
        <v>-7930.9303396178129</v>
      </c>
      <c r="AA23" s="394">
        <f>-Prestamo!$D$21</f>
        <v>-4145.2833994661069</v>
      </c>
    </row>
    <row r="24" spans="1:28" ht="17.25" thickBot="1" x14ac:dyDescent="0.35">
      <c r="A24" s="714"/>
      <c r="B24" s="715"/>
      <c r="C24" s="487" t="s">
        <v>449</v>
      </c>
      <c r="D24" s="442"/>
      <c r="E24" s="544"/>
      <c r="F24" s="441">
        <f>-IF(F20&gt;0,F20*0%,0)</f>
        <v>0</v>
      </c>
      <c r="G24" s="441">
        <f t="shared" ref="G24:AA24" si="3">-IF(G20&gt;0,G20*0%,0)</f>
        <v>0</v>
      </c>
      <c r="H24" s="441">
        <f t="shared" si="3"/>
        <v>0</v>
      </c>
      <c r="I24" s="441">
        <f t="shared" si="3"/>
        <v>0</v>
      </c>
      <c r="J24" s="441">
        <f t="shared" si="3"/>
        <v>0</v>
      </c>
      <c r="K24" s="441">
        <f t="shared" si="3"/>
        <v>0</v>
      </c>
      <c r="L24" s="441">
        <f t="shared" si="3"/>
        <v>0</v>
      </c>
      <c r="M24" s="441">
        <f t="shared" si="3"/>
        <v>0</v>
      </c>
      <c r="N24" s="441">
        <f t="shared" si="3"/>
        <v>0</v>
      </c>
      <c r="O24" s="441">
        <f t="shared" si="3"/>
        <v>0</v>
      </c>
      <c r="P24" s="441">
        <f t="shared" si="3"/>
        <v>0</v>
      </c>
      <c r="Q24" s="441">
        <f t="shared" si="3"/>
        <v>0</v>
      </c>
      <c r="R24" s="441">
        <f t="shared" si="3"/>
        <v>0</v>
      </c>
      <c r="S24" s="441">
        <f t="shared" si="3"/>
        <v>0</v>
      </c>
      <c r="T24" s="441">
        <f t="shared" si="3"/>
        <v>0</v>
      </c>
      <c r="U24" s="441">
        <f t="shared" si="3"/>
        <v>0</v>
      </c>
      <c r="V24" s="441">
        <f t="shared" si="3"/>
        <v>0</v>
      </c>
      <c r="W24" s="441">
        <f t="shared" si="3"/>
        <v>0</v>
      </c>
      <c r="X24" s="441">
        <f t="shared" si="3"/>
        <v>0</v>
      </c>
      <c r="Y24" s="441">
        <f t="shared" si="3"/>
        <v>0</v>
      </c>
      <c r="Z24" s="441">
        <f t="shared" si="3"/>
        <v>0</v>
      </c>
      <c r="AA24" s="441">
        <f t="shared" si="3"/>
        <v>0</v>
      </c>
    </row>
    <row r="25" spans="1:28" ht="17.25" thickBot="1" x14ac:dyDescent="0.35">
      <c r="A25" s="714"/>
      <c r="B25" s="715"/>
      <c r="C25" s="482" t="s">
        <v>434</v>
      </c>
      <c r="D25" s="440"/>
      <c r="E25" s="439"/>
      <c r="F25" s="438">
        <f t="shared" ref="F25:AA25" si="4">SUM(F20:F24)</f>
        <v>-1674.4848311824453</v>
      </c>
      <c r="G25" s="438">
        <f t="shared" si="4"/>
        <v>-995.10784035554138</v>
      </c>
      <c r="H25" s="439">
        <f t="shared" si="4"/>
        <v>-1241.2588816436885</v>
      </c>
      <c r="I25" s="438">
        <f t="shared" si="4"/>
        <v>-1294.5245455567276</v>
      </c>
      <c r="J25" s="439">
        <f t="shared" si="4"/>
        <v>-1347.7501918838755</v>
      </c>
      <c r="K25" s="438">
        <f t="shared" si="4"/>
        <v>-1416.5727918302632</v>
      </c>
      <c r="L25" s="439">
        <f t="shared" si="4"/>
        <v>-1578.0851437755077</v>
      </c>
      <c r="M25" s="438">
        <f t="shared" si="4"/>
        <v>-1588.0829128313217</v>
      </c>
      <c r="N25" s="439">
        <f t="shared" si="4"/>
        <v>-1542.6574784969398</v>
      </c>
      <c r="O25" s="438">
        <f t="shared" si="4"/>
        <v>-1473.8892080500254</v>
      </c>
      <c r="P25" s="439">
        <f t="shared" si="4"/>
        <v>-1375.4014384572943</v>
      </c>
      <c r="Q25" s="438">
        <f t="shared" si="4"/>
        <v>-1377.6418585965766</v>
      </c>
      <c r="R25" s="427">
        <f t="shared" si="4"/>
        <v>-16905.457122659831</v>
      </c>
      <c r="S25" s="437">
        <f t="shared" si="4"/>
        <v>52009.243106012029</v>
      </c>
      <c r="T25" s="437">
        <f t="shared" si="4"/>
        <v>92353.067986399808</v>
      </c>
      <c r="U25" s="437">
        <f t="shared" si="4"/>
        <v>124376.56803760379</v>
      </c>
      <c r="V25" s="437">
        <f t="shared" si="4"/>
        <v>157178.94528906935</v>
      </c>
      <c r="W25" s="437">
        <f t="shared" si="4"/>
        <v>190394.84813067224</v>
      </c>
      <c r="X25" s="437">
        <f t="shared" si="4"/>
        <v>219281.16474100752</v>
      </c>
      <c r="Y25" s="437">
        <f t="shared" si="4"/>
        <v>253849.19846863509</v>
      </c>
      <c r="Z25" s="437">
        <f t="shared" si="4"/>
        <v>289133.03839838598</v>
      </c>
      <c r="AA25" s="436">
        <f t="shared" si="4"/>
        <v>325200.35230666894</v>
      </c>
    </row>
    <row r="26" spans="1:28" ht="17.25" thickBot="1" x14ac:dyDescent="0.35">
      <c r="A26" s="714"/>
      <c r="B26" s="715"/>
      <c r="C26" s="488" t="s">
        <v>433</v>
      </c>
      <c r="D26" s="435"/>
      <c r="E26" s="434"/>
      <c r="F26" s="433">
        <f t="shared" ref="F26:AA26" si="5">IF(F25&gt;0,F25*24%,0)</f>
        <v>0</v>
      </c>
      <c r="G26" s="433">
        <f t="shared" si="5"/>
        <v>0</v>
      </c>
      <c r="H26" s="434">
        <f t="shared" si="5"/>
        <v>0</v>
      </c>
      <c r="I26" s="433">
        <f t="shared" si="5"/>
        <v>0</v>
      </c>
      <c r="J26" s="434">
        <f t="shared" si="5"/>
        <v>0</v>
      </c>
      <c r="K26" s="433">
        <f t="shared" si="5"/>
        <v>0</v>
      </c>
      <c r="L26" s="434">
        <f t="shared" si="5"/>
        <v>0</v>
      </c>
      <c r="M26" s="433">
        <f t="shared" si="5"/>
        <v>0</v>
      </c>
      <c r="N26" s="434">
        <f t="shared" si="5"/>
        <v>0</v>
      </c>
      <c r="O26" s="433">
        <f t="shared" si="5"/>
        <v>0</v>
      </c>
      <c r="P26" s="434">
        <f t="shared" si="5"/>
        <v>0</v>
      </c>
      <c r="Q26" s="433">
        <f t="shared" si="5"/>
        <v>0</v>
      </c>
      <c r="R26" s="432">
        <f t="shared" si="5"/>
        <v>0</v>
      </c>
      <c r="S26" s="431">
        <f t="shared" si="5"/>
        <v>12482.218345442887</v>
      </c>
      <c r="T26" s="431">
        <f t="shared" si="5"/>
        <v>22164.736316735954</v>
      </c>
      <c r="U26" s="431">
        <f t="shared" si="5"/>
        <v>29850.376329024908</v>
      </c>
      <c r="V26" s="431">
        <f t="shared" si="5"/>
        <v>37722.946869376639</v>
      </c>
      <c r="W26" s="431">
        <f t="shared" si="5"/>
        <v>45694.763551361335</v>
      </c>
      <c r="X26" s="431">
        <f t="shared" si="5"/>
        <v>52627.479537841806</v>
      </c>
      <c r="Y26" s="431">
        <f t="shared" si="5"/>
        <v>60923.807632472417</v>
      </c>
      <c r="Z26" s="431">
        <f t="shared" si="5"/>
        <v>69391.929215612632</v>
      </c>
      <c r="AA26" s="430">
        <f t="shared" si="5"/>
        <v>78048.084553600536</v>
      </c>
    </row>
    <row r="27" spans="1:28" ht="17.25" thickBot="1" x14ac:dyDescent="0.35">
      <c r="A27" s="714"/>
      <c r="B27" s="715"/>
      <c r="C27" s="489" t="s">
        <v>432</v>
      </c>
      <c r="D27" s="429"/>
      <c r="E27" s="428"/>
      <c r="F27" s="417">
        <f t="shared" ref="F27:AA27" si="6">F25-F26</f>
        <v>-1674.4848311824453</v>
      </c>
      <c r="G27" s="417">
        <f t="shared" si="6"/>
        <v>-995.10784035554138</v>
      </c>
      <c r="H27" s="428">
        <f t="shared" si="6"/>
        <v>-1241.2588816436885</v>
      </c>
      <c r="I27" s="417">
        <f t="shared" si="6"/>
        <v>-1294.5245455567276</v>
      </c>
      <c r="J27" s="428">
        <f t="shared" si="6"/>
        <v>-1347.7501918838755</v>
      </c>
      <c r="K27" s="417">
        <f t="shared" si="6"/>
        <v>-1416.5727918302632</v>
      </c>
      <c r="L27" s="428">
        <f t="shared" si="6"/>
        <v>-1578.0851437755077</v>
      </c>
      <c r="M27" s="417">
        <f t="shared" si="6"/>
        <v>-1588.0829128313217</v>
      </c>
      <c r="N27" s="428">
        <f t="shared" si="6"/>
        <v>-1542.6574784969398</v>
      </c>
      <c r="O27" s="417">
        <f t="shared" si="6"/>
        <v>-1473.8892080500254</v>
      </c>
      <c r="P27" s="428">
        <f t="shared" si="6"/>
        <v>-1375.4014384572943</v>
      </c>
      <c r="Q27" s="417">
        <f t="shared" si="6"/>
        <v>-1377.6418585965766</v>
      </c>
      <c r="R27" s="427">
        <f t="shared" si="6"/>
        <v>-16905.457122659831</v>
      </c>
      <c r="S27" s="426">
        <f t="shared" si="6"/>
        <v>39527.02476056914</v>
      </c>
      <c r="T27" s="426">
        <f t="shared" si="6"/>
        <v>70188.33166966385</v>
      </c>
      <c r="U27" s="426">
        <f t="shared" si="6"/>
        <v>94526.191708578888</v>
      </c>
      <c r="V27" s="426">
        <f t="shared" si="6"/>
        <v>119455.99841969271</v>
      </c>
      <c r="W27" s="426">
        <f t="shared" si="6"/>
        <v>144700.0845793109</v>
      </c>
      <c r="X27" s="426">
        <f t="shared" si="6"/>
        <v>166653.68520316572</v>
      </c>
      <c r="Y27" s="426">
        <f t="shared" si="6"/>
        <v>192925.39083616267</v>
      </c>
      <c r="Z27" s="426">
        <f t="shared" si="6"/>
        <v>219741.10918277333</v>
      </c>
      <c r="AA27" s="425">
        <f t="shared" si="6"/>
        <v>247152.26775306842</v>
      </c>
    </row>
    <row r="28" spans="1:28" ht="16.5" x14ac:dyDescent="0.3">
      <c r="A28" s="714"/>
      <c r="B28" s="715"/>
      <c r="C28" s="490" t="s">
        <v>431</v>
      </c>
      <c r="D28" s="424"/>
      <c r="E28" s="545"/>
      <c r="F28" s="423">
        <f t="shared" ref="F28:Q28" si="7">-F21</f>
        <v>2325.7048855555554</v>
      </c>
      <c r="G28" s="420">
        <f t="shared" si="7"/>
        <v>2325.7048855555554</v>
      </c>
      <c r="H28" s="420">
        <f t="shared" si="7"/>
        <v>2325.7048855555554</v>
      </c>
      <c r="I28" s="420">
        <f t="shared" si="7"/>
        <v>2325.7048855555554</v>
      </c>
      <c r="J28" s="420">
        <f t="shared" si="7"/>
        <v>2325.7048855555554</v>
      </c>
      <c r="K28" s="420">
        <f t="shared" si="7"/>
        <v>2325.7048855555554</v>
      </c>
      <c r="L28" s="420">
        <f t="shared" si="7"/>
        <v>2325.7048855555554</v>
      </c>
      <c r="M28" s="420">
        <f t="shared" si="7"/>
        <v>2325.7048855555554</v>
      </c>
      <c r="N28" s="420">
        <f t="shared" si="7"/>
        <v>2325.7048855555554</v>
      </c>
      <c r="O28" s="420">
        <f t="shared" si="7"/>
        <v>2325.7048855555554</v>
      </c>
      <c r="P28" s="420">
        <f t="shared" si="7"/>
        <v>2325.7048855555554</v>
      </c>
      <c r="Q28" s="422">
        <f t="shared" si="7"/>
        <v>2325.7048855555554</v>
      </c>
      <c r="R28" s="421">
        <f>SUM(F28:Q28)</f>
        <v>27908.458626666663</v>
      </c>
      <c r="S28" s="420">
        <f t="shared" ref="S28:AA28" si="8">-$S$21</f>
        <v>27908.458626666667</v>
      </c>
      <c r="T28" s="420">
        <f t="shared" si="8"/>
        <v>27908.458626666667</v>
      </c>
      <c r="U28" s="420">
        <f t="shared" si="8"/>
        <v>27908.458626666667</v>
      </c>
      <c r="V28" s="420">
        <f t="shared" si="8"/>
        <v>27908.458626666667</v>
      </c>
      <c r="W28" s="420">
        <f t="shared" si="8"/>
        <v>27908.458626666667</v>
      </c>
      <c r="X28" s="420">
        <f t="shared" si="8"/>
        <v>27908.458626666667</v>
      </c>
      <c r="Y28" s="420">
        <f t="shared" si="8"/>
        <v>27908.458626666667</v>
      </c>
      <c r="Z28" s="420">
        <f t="shared" si="8"/>
        <v>27908.458626666667</v>
      </c>
      <c r="AA28" s="419">
        <f t="shared" si="8"/>
        <v>27908.458626666667</v>
      </c>
    </row>
    <row r="29" spans="1:28" ht="16.5" x14ac:dyDescent="0.3">
      <c r="A29" s="714"/>
      <c r="B29" s="715"/>
      <c r="C29" s="491" t="s">
        <v>430</v>
      </c>
      <c r="D29" s="398"/>
      <c r="E29" s="541"/>
      <c r="F29" s="395">
        <f t="shared" ref="F29:Q29" si="9">-F22</f>
        <v>15.916666666666666</v>
      </c>
      <c r="G29" s="394">
        <f t="shared" si="9"/>
        <v>15.916666666666666</v>
      </c>
      <c r="H29" s="394">
        <f t="shared" si="9"/>
        <v>15.916666666666666</v>
      </c>
      <c r="I29" s="394">
        <f t="shared" si="9"/>
        <v>15.916666666666666</v>
      </c>
      <c r="J29" s="394">
        <f t="shared" si="9"/>
        <v>15.916666666666666</v>
      </c>
      <c r="K29" s="394">
        <f t="shared" si="9"/>
        <v>15.916666666666666</v>
      </c>
      <c r="L29" s="394">
        <f t="shared" si="9"/>
        <v>15.916666666666666</v>
      </c>
      <c r="M29" s="394">
        <f t="shared" si="9"/>
        <v>15.916666666666666</v>
      </c>
      <c r="N29" s="394">
        <f t="shared" si="9"/>
        <v>15.916666666666666</v>
      </c>
      <c r="O29" s="394">
        <f t="shared" si="9"/>
        <v>15.916666666666666</v>
      </c>
      <c r="P29" s="394">
        <f t="shared" si="9"/>
        <v>15.916666666666666</v>
      </c>
      <c r="Q29" s="396">
        <f t="shared" si="9"/>
        <v>15.916666666666666</v>
      </c>
      <c r="R29" s="418">
        <f>SUM(F29:Q29)</f>
        <v>190.99999999999997</v>
      </c>
      <c r="S29" s="394">
        <f>-$S$22</f>
        <v>191</v>
      </c>
      <c r="T29" s="394">
        <f>-$S$22</f>
        <v>191</v>
      </c>
      <c r="U29" s="394">
        <f>-$S$22</f>
        <v>191</v>
      </c>
      <c r="V29" s="394">
        <f>-$S$22</f>
        <v>191</v>
      </c>
      <c r="W29" s="394">
        <f>W22</f>
        <v>0</v>
      </c>
      <c r="X29" s="394">
        <f>X22</f>
        <v>0</v>
      </c>
      <c r="Y29" s="394">
        <f>Y22</f>
        <v>0</v>
      </c>
      <c r="Z29" s="394">
        <f>Z22</f>
        <v>0</v>
      </c>
      <c r="AA29" s="394">
        <f>AA22</f>
        <v>0</v>
      </c>
    </row>
    <row r="30" spans="1:28" ht="16.5" x14ac:dyDescent="0.3">
      <c r="A30" s="714"/>
      <c r="B30" s="715"/>
      <c r="C30" s="492" t="s">
        <v>429</v>
      </c>
      <c r="D30" s="398"/>
      <c r="E30" s="541"/>
      <c r="F30" s="395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6"/>
      <c r="R30" s="395"/>
      <c r="S30" s="394"/>
      <c r="T30" s="394"/>
      <c r="U30" s="394"/>
      <c r="V30" s="394"/>
      <c r="W30" s="394"/>
      <c r="X30" s="394"/>
      <c r="Y30" s="394"/>
      <c r="Z30" s="394"/>
      <c r="AA30" s="393"/>
    </row>
    <row r="31" spans="1:28" ht="17.25" thickBot="1" x14ac:dyDescent="0.35">
      <c r="A31" s="714"/>
      <c r="B31" s="715"/>
      <c r="C31" s="381" t="s">
        <v>428</v>
      </c>
      <c r="D31" s="416"/>
      <c r="E31" s="546"/>
      <c r="F31" s="395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6"/>
      <c r="R31" s="395"/>
      <c r="S31" s="394"/>
      <c r="T31" s="394"/>
      <c r="U31" s="394"/>
      <c r="V31" s="394"/>
      <c r="W31" s="394"/>
      <c r="X31" s="394"/>
      <c r="Y31" s="394"/>
      <c r="Z31" s="394"/>
      <c r="AA31" s="393"/>
    </row>
    <row r="32" spans="1:28" ht="17.25" thickBot="1" x14ac:dyDescent="0.35">
      <c r="A32" s="714"/>
      <c r="B32" s="715"/>
      <c r="C32" s="493" t="s">
        <v>207</v>
      </c>
      <c r="D32" s="417">
        <f>-Gastos!B73</f>
        <v>-955</v>
      </c>
      <c r="E32" s="411"/>
      <c r="F32" s="395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6"/>
      <c r="R32" s="395"/>
      <c r="S32" s="394"/>
      <c r="T32" s="394"/>
      <c r="U32" s="394"/>
      <c r="V32" s="394"/>
      <c r="W32" s="394"/>
      <c r="X32" s="394"/>
      <c r="Y32" s="394"/>
      <c r="Z32" s="394"/>
      <c r="AA32" s="393"/>
    </row>
    <row r="33" spans="1:27" ht="16.5" x14ac:dyDescent="0.3">
      <c r="A33" s="714"/>
      <c r="B33" s="715"/>
      <c r="C33" s="494" t="s">
        <v>427</v>
      </c>
      <c r="D33" s="398"/>
      <c r="E33" s="541"/>
      <c r="F33" s="395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396"/>
      <c r="R33" s="395"/>
      <c r="S33" s="394"/>
      <c r="T33" s="394"/>
      <c r="U33" s="394"/>
      <c r="V33" s="394"/>
      <c r="W33" s="394"/>
      <c r="X33" s="394"/>
      <c r="Y33" s="394"/>
      <c r="Z33" s="394"/>
      <c r="AA33" s="393"/>
    </row>
    <row r="34" spans="1:27" ht="17.25" thickBot="1" x14ac:dyDescent="0.35">
      <c r="A34" s="714"/>
      <c r="B34" s="715"/>
      <c r="C34" s="495" t="s">
        <v>426</v>
      </c>
      <c r="D34" s="416"/>
      <c r="E34" s="546"/>
      <c r="F34" s="395"/>
      <c r="G34" s="394"/>
      <c r="H34" s="394"/>
      <c r="I34" s="394"/>
      <c r="J34" s="394"/>
      <c r="K34" s="394"/>
      <c r="L34" s="394"/>
      <c r="M34" s="394"/>
      <c r="N34" s="394"/>
      <c r="O34" s="394"/>
      <c r="P34" s="394"/>
      <c r="Q34" s="396"/>
      <c r="R34" s="395"/>
      <c r="S34" s="394"/>
      <c r="T34" s="394"/>
      <c r="U34" s="394"/>
      <c r="V34" s="394"/>
      <c r="W34" s="394"/>
      <c r="X34" s="394"/>
      <c r="Y34" s="394"/>
      <c r="Z34" s="394"/>
      <c r="AA34" s="393"/>
    </row>
    <row r="35" spans="1:27" ht="16.5" x14ac:dyDescent="0.3">
      <c r="A35" s="714"/>
      <c r="B35" s="715"/>
      <c r="C35" s="494" t="s">
        <v>425</v>
      </c>
      <c r="D35" s="414">
        <f>-Gastos!E41*3</f>
        <v>-15000</v>
      </c>
      <c r="E35" s="547"/>
      <c r="F35" s="395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396"/>
      <c r="R35" s="395"/>
      <c r="S35" s="394"/>
      <c r="T35" s="394"/>
      <c r="U35" s="394"/>
      <c r="V35" s="394"/>
      <c r="W35" s="394"/>
      <c r="X35" s="394"/>
      <c r="Y35" s="394"/>
      <c r="Z35" s="394"/>
      <c r="AA35" s="393"/>
    </row>
    <row r="36" spans="1:27" ht="17.25" thickBot="1" x14ac:dyDescent="0.35">
      <c r="A36" s="714"/>
      <c r="B36" s="715"/>
      <c r="C36" s="496" t="s">
        <v>424</v>
      </c>
      <c r="D36" s="404">
        <f>-Inversiones!D33</f>
        <v>-11013</v>
      </c>
      <c r="E36" s="548"/>
      <c r="F36" s="395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6"/>
      <c r="R36" s="395"/>
      <c r="S36" s="394"/>
      <c r="T36" s="394"/>
      <c r="U36" s="394"/>
      <c r="V36" s="394"/>
      <c r="W36" s="394"/>
      <c r="X36" s="394"/>
      <c r="Y36" s="394"/>
      <c r="Z36" s="394"/>
      <c r="AA36" s="393"/>
    </row>
    <row r="37" spans="1:27" ht="17.25" thickBot="1" x14ac:dyDescent="0.35">
      <c r="A37" s="714"/>
      <c r="B37" s="715"/>
      <c r="C37" s="495" t="s">
        <v>423</v>
      </c>
      <c r="D37" s="415"/>
      <c r="E37" s="411"/>
      <c r="F37" s="395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6"/>
      <c r="R37" s="395"/>
      <c r="S37" s="394"/>
      <c r="T37" s="394"/>
      <c r="U37" s="394"/>
      <c r="V37" s="394"/>
      <c r="W37" s="394"/>
      <c r="X37" s="394"/>
      <c r="Y37" s="394"/>
      <c r="Z37" s="394"/>
      <c r="AA37" s="393"/>
    </row>
    <row r="38" spans="1:27" ht="17.25" thickBot="1" x14ac:dyDescent="0.35">
      <c r="A38" s="714"/>
      <c r="B38" s="715"/>
      <c r="C38" s="494" t="str">
        <f>Inversiones!A35</f>
        <v>Bomba mezcladora</v>
      </c>
      <c r="D38" s="414">
        <f>-Inversiones!D35</f>
        <v>-16500</v>
      </c>
      <c r="E38" s="547"/>
      <c r="F38" s="395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6"/>
      <c r="R38" s="395"/>
      <c r="S38" s="394"/>
      <c r="T38" s="394"/>
      <c r="U38" s="394"/>
      <c r="V38" s="394"/>
      <c r="W38" s="394"/>
      <c r="X38" s="394"/>
      <c r="Y38" s="394"/>
      <c r="Z38" s="394"/>
      <c r="AA38" s="393"/>
    </row>
    <row r="39" spans="1:27" ht="17.25" thickBot="1" x14ac:dyDescent="0.35">
      <c r="A39" s="714"/>
      <c r="B39" s="715"/>
      <c r="C39" s="494" t="str">
        <f>Inversiones!A36</f>
        <v>Homogenizador</v>
      </c>
      <c r="D39" s="414">
        <f>-Inversiones!D36</f>
        <v>-3000</v>
      </c>
      <c r="E39" s="547"/>
      <c r="F39" s="395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6"/>
      <c r="R39" s="395"/>
      <c r="S39" s="394"/>
      <c r="T39" s="394"/>
      <c r="U39" s="394"/>
      <c r="V39" s="394"/>
      <c r="W39" s="394"/>
      <c r="X39" s="394"/>
      <c r="Y39" s="394"/>
      <c r="Z39" s="394"/>
      <c r="AA39" s="393"/>
    </row>
    <row r="40" spans="1:27" ht="17.25" thickBot="1" x14ac:dyDescent="0.35">
      <c r="A40" s="714"/>
      <c r="B40" s="715"/>
      <c r="C40" s="494" t="str">
        <f>Inversiones!A37</f>
        <v>Maquina desintegradora de grasa</v>
      </c>
      <c r="D40" s="414">
        <f>-Inversiones!D37</f>
        <v>-15000</v>
      </c>
      <c r="E40" s="547"/>
      <c r="F40" s="395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6"/>
      <c r="R40" s="395"/>
      <c r="S40" s="394"/>
      <c r="T40" s="394"/>
      <c r="U40" s="394"/>
      <c r="V40" s="394"/>
      <c r="W40" s="394"/>
      <c r="X40" s="394"/>
      <c r="Y40" s="394"/>
      <c r="Z40" s="394"/>
      <c r="AA40" s="393"/>
    </row>
    <row r="41" spans="1:27" ht="17.25" thickBot="1" x14ac:dyDescent="0.35">
      <c r="A41" s="714"/>
      <c r="B41" s="715"/>
      <c r="C41" s="494" t="str">
        <f>Inversiones!A38</f>
        <v>Montacargas</v>
      </c>
      <c r="D41" s="414">
        <f>-Inversiones!D38</f>
        <v>-28000</v>
      </c>
      <c r="E41" s="547"/>
      <c r="F41" s="395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6"/>
      <c r="R41" s="395"/>
      <c r="S41" s="394"/>
      <c r="T41" s="394"/>
      <c r="U41" s="394"/>
      <c r="V41" s="394"/>
      <c r="W41" s="394"/>
      <c r="X41" s="394"/>
      <c r="Y41" s="394"/>
      <c r="Z41" s="394"/>
      <c r="AA41" s="393"/>
    </row>
    <row r="42" spans="1:27" ht="17.25" thickBot="1" x14ac:dyDescent="0.35">
      <c r="A42" s="714"/>
      <c r="B42" s="715"/>
      <c r="C42" s="494" t="str">
        <f>Inversiones!A39</f>
        <v>Cámaras de Refrigeración</v>
      </c>
      <c r="D42" s="414">
        <f>-Inversiones!D39</f>
        <v>-5000</v>
      </c>
      <c r="E42" s="547"/>
      <c r="F42" s="395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6"/>
      <c r="R42" s="395"/>
      <c r="S42" s="394"/>
      <c r="T42" s="394"/>
      <c r="U42" s="394"/>
      <c r="V42" s="394"/>
      <c r="W42" s="394"/>
      <c r="X42" s="394"/>
      <c r="Y42" s="394"/>
      <c r="Z42" s="394"/>
      <c r="AA42" s="393"/>
    </row>
    <row r="43" spans="1:27" ht="17.25" thickBot="1" x14ac:dyDescent="0.35">
      <c r="A43" s="714"/>
      <c r="B43" s="715"/>
      <c r="C43" s="494" t="str">
        <f>Inversiones!A40</f>
        <v xml:space="preserve">Mesa de empaque </v>
      </c>
      <c r="D43" s="414">
        <f>-Inversiones!D40</f>
        <v>-116000</v>
      </c>
      <c r="E43" s="547"/>
      <c r="F43" s="395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6"/>
      <c r="R43" s="395"/>
      <c r="S43" s="394"/>
      <c r="T43" s="394"/>
      <c r="U43" s="394"/>
      <c r="V43" s="394"/>
      <c r="W43" s="394"/>
      <c r="X43" s="394"/>
      <c r="Y43" s="394"/>
      <c r="Z43" s="394"/>
      <c r="AA43" s="393"/>
    </row>
    <row r="44" spans="1:27" ht="17.25" thickBot="1" x14ac:dyDescent="0.35">
      <c r="A44" s="714"/>
      <c r="B44" s="715"/>
      <c r="C44" s="494" t="str">
        <f>Inversiones!A41</f>
        <v>Cocina Semi industrial</v>
      </c>
      <c r="D44" s="414">
        <f>-Inversiones!D41</f>
        <v>-1940</v>
      </c>
      <c r="E44" s="547"/>
      <c r="F44" s="395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6"/>
      <c r="R44" s="395"/>
      <c r="S44" s="394"/>
      <c r="T44" s="394"/>
      <c r="U44" s="394"/>
      <c r="V44" s="394"/>
      <c r="W44" s="394"/>
      <c r="X44" s="394"/>
      <c r="Y44" s="394"/>
      <c r="Z44" s="394"/>
      <c r="AA44" s="393"/>
    </row>
    <row r="45" spans="1:27" ht="17.25" thickBot="1" x14ac:dyDescent="0.35">
      <c r="A45" s="714"/>
      <c r="B45" s="715"/>
      <c r="C45" s="494" t="str">
        <f>Inversiones!A42</f>
        <v>Tanques de agua</v>
      </c>
      <c r="D45" s="414">
        <f>-Inversiones!D42</f>
        <v>-600</v>
      </c>
      <c r="E45" s="547"/>
      <c r="F45" s="395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6"/>
      <c r="R45" s="395"/>
      <c r="S45" s="394"/>
      <c r="T45" s="394"/>
      <c r="U45" s="394"/>
      <c r="V45" s="394"/>
      <c r="W45" s="394"/>
      <c r="X45" s="394"/>
      <c r="Y45" s="394"/>
      <c r="Z45" s="394"/>
      <c r="AA45" s="393"/>
    </row>
    <row r="46" spans="1:27" ht="17.25" thickBot="1" x14ac:dyDescent="0.35">
      <c r="A46" s="714"/>
      <c r="B46" s="715"/>
      <c r="C46" s="494" t="str">
        <f>Inversiones!A43</f>
        <v>Balanzas</v>
      </c>
      <c r="D46" s="414">
        <f>-Inversiones!D43</f>
        <v>-405</v>
      </c>
      <c r="E46" s="547"/>
      <c r="F46" s="395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6"/>
      <c r="R46" s="395"/>
      <c r="S46" s="394"/>
      <c r="T46" s="394"/>
      <c r="U46" s="394"/>
      <c r="V46" s="394"/>
      <c r="W46" s="394"/>
      <c r="X46" s="394"/>
      <c r="Y46" s="394"/>
      <c r="Z46" s="394"/>
      <c r="AA46" s="393"/>
    </row>
    <row r="47" spans="1:27" ht="17.25" thickBot="1" x14ac:dyDescent="0.35">
      <c r="A47" s="714"/>
      <c r="B47" s="715"/>
      <c r="C47" s="494" t="str">
        <f>Inversiones!A44</f>
        <v>Tanque mezclador</v>
      </c>
      <c r="D47" s="414">
        <f>-Inversiones!D44</f>
        <v>-5000</v>
      </c>
      <c r="E47" s="547"/>
      <c r="F47" s="395"/>
      <c r="G47" s="394"/>
      <c r="H47" s="394"/>
      <c r="I47" s="394"/>
      <c r="J47" s="394"/>
      <c r="K47" s="394"/>
      <c r="L47" s="394"/>
      <c r="M47" s="394"/>
      <c r="N47" s="394"/>
      <c r="O47" s="394"/>
      <c r="P47" s="394"/>
      <c r="Q47" s="396"/>
      <c r="R47" s="395"/>
      <c r="S47" s="394"/>
      <c r="T47" s="394"/>
      <c r="U47" s="394"/>
      <c r="V47" s="394"/>
      <c r="W47" s="394"/>
      <c r="X47" s="394"/>
      <c r="Y47" s="394"/>
      <c r="Z47" s="394"/>
      <c r="AA47" s="393"/>
    </row>
    <row r="48" spans="1:27" s="44" customFormat="1" ht="17.25" thickBot="1" x14ac:dyDescent="0.35">
      <c r="A48" s="714"/>
      <c r="B48" s="715"/>
      <c r="C48" s="494" t="str">
        <f>Inversiones!A45</f>
        <v>Congeladores</v>
      </c>
      <c r="D48" s="414">
        <f>-Inversiones!D45</f>
        <v>-9720</v>
      </c>
      <c r="E48" s="547"/>
      <c r="F48" s="395"/>
      <c r="G48" s="394"/>
      <c r="H48" s="394"/>
      <c r="I48" s="394"/>
      <c r="J48" s="394"/>
      <c r="K48" s="394"/>
      <c r="L48" s="394"/>
      <c r="M48" s="394"/>
      <c r="N48" s="394"/>
      <c r="O48" s="394"/>
      <c r="P48" s="394"/>
      <c r="Q48" s="396"/>
      <c r="R48" s="395"/>
      <c r="S48" s="394"/>
      <c r="T48" s="394"/>
      <c r="U48" s="394"/>
      <c r="V48" s="394"/>
      <c r="W48" s="394"/>
      <c r="X48" s="394"/>
      <c r="Y48" s="394"/>
      <c r="Z48" s="394"/>
      <c r="AA48" s="393"/>
    </row>
    <row r="49" spans="1:27" s="44" customFormat="1" ht="17.25" thickBot="1" x14ac:dyDescent="0.35">
      <c r="A49" s="714"/>
      <c r="B49" s="715"/>
      <c r="C49" s="494" t="str">
        <f>Inversiones!A46</f>
        <v>Máquina Codificadora</v>
      </c>
      <c r="D49" s="414">
        <f>-Inversiones!D46</f>
        <v>-1200</v>
      </c>
      <c r="E49" s="547"/>
      <c r="F49" s="395"/>
      <c r="G49" s="394"/>
      <c r="H49" s="394"/>
      <c r="I49" s="394"/>
      <c r="J49" s="394"/>
      <c r="K49" s="394"/>
      <c r="L49" s="394"/>
      <c r="M49" s="394"/>
      <c r="N49" s="394"/>
      <c r="O49" s="394"/>
      <c r="P49" s="394"/>
      <c r="Q49" s="396"/>
      <c r="R49" s="395"/>
      <c r="S49" s="394"/>
      <c r="T49" s="394"/>
      <c r="U49" s="394"/>
      <c r="V49" s="394"/>
      <c r="W49" s="394"/>
      <c r="X49" s="394"/>
      <c r="Y49" s="394"/>
      <c r="Z49" s="394"/>
      <c r="AA49" s="393"/>
    </row>
    <row r="50" spans="1:27" s="44" customFormat="1" ht="17.25" thickBot="1" x14ac:dyDescent="0.35">
      <c r="A50" s="714"/>
      <c r="B50" s="715"/>
      <c r="C50" s="494" t="str">
        <f>Inversiones!A47</f>
        <v>Paletas de Almacenamiento y Transporte</v>
      </c>
      <c r="D50" s="414">
        <f>-Inversiones!D47</f>
        <v>-2000</v>
      </c>
      <c r="E50" s="547"/>
      <c r="F50" s="395"/>
      <c r="G50" s="394"/>
      <c r="H50" s="394"/>
      <c r="I50" s="394"/>
      <c r="J50" s="394"/>
      <c r="K50" s="394"/>
      <c r="L50" s="394"/>
      <c r="M50" s="394"/>
      <c r="N50" s="394"/>
      <c r="O50" s="394"/>
      <c r="P50" s="394"/>
      <c r="Q50" s="396"/>
      <c r="R50" s="395"/>
      <c r="S50" s="394"/>
      <c r="T50" s="394"/>
      <c r="U50" s="394"/>
      <c r="V50" s="394"/>
      <c r="W50" s="394"/>
      <c r="X50" s="394"/>
      <c r="Y50" s="394"/>
      <c r="Z50" s="394"/>
      <c r="AA50" s="393"/>
    </row>
    <row r="51" spans="1:27" s="44" customFormat="1" ht="17.25" thickBot="1" x14ac:dyDescent="0.35">
      <c r="A51" s="714"/>
      <c r="B51" s="715"/>
      <c r="C51" s="494" t="str">
        <f>Inversiones!A48</f>
        <v>Transpaleta</v>
      </c>
      <c r="D51" s="414">
        <f>-Inversiones!D48</f>
        <v>-620</v>
      </c>
      <c r="E51" s="547"/>
      <c r="F51" s="395"/>
      <c r="G51" s="394"/>
      <c r="H51" s="394"/>
      <c r="I51" s="394"/>
      <c r="J51" s="394"/>
      <c r="K51" s="394"/>
      <c r="L51" s="394"/>
      <c r="M51" s="394"/>
      <c r="N51" s="394"/>
      <c r="O51" s="394"/>
      <c r="P51" s="394"/>
      <c r="Q51" s="396"/>
      <c r="R51" s="395"/>
      <c r="S51" s="394"/>
      <c r="T51" s="394"/>
      <c r="U51" s="394"/>
      <c r="V51" s="394"/>
      <c r="W51" s="394"/>
      <c r="X51" s="394"/>
      <c r="Y51" s="394"/>
      <c r="Z51" s="394"/>
      <c r="AA51" s="393"/>
    </row>
    <row r="52" spans="1:27" s="44" customFormat="1" ht="17.25" thickBot="1" x14ac:dyDescent="0.35">
      <c r="A52" s="714"/>
      <c r="B52" s="715"/>
      <c r="C52" s="494" t="str">
        <f>Inversiones!A49</f>
        <v>Rollos de Plástico Polietileno</v>
      </c>
      <c r="D52" s="414">
        <f>-Inversiones!D49</f>
        <v>-750</v>
      </c>
      <c r="E52" s="547"/>
      <c r="F52" s="395"/>
      <c r="G52" s="394"/>
      <c r="H52" s="394"/>
      <c r="I52" s="394"/>
      <c r="J52" s="394"/>
      <c r="K52" s="394"/>
      <c r="L52" s="394"/>
      <c r="M52" s="394"/>
      <c r="N52" s="394"/>
      <c r="O52" s="394"/>
      <c r="P52" s="394"/>
      <c r="Q52" s="396"/>
      <c r="R52" s="395"/>
      <c r="S52" s="394"/>
      <c r="T52" s="394"/>
      <c r="U52" s="394"/>
      <c r="V52" s="394"/>
      <c r="W52" s="394"/>
      <c r="X52" s="394"/>
      <c r="Y52" s="394"/>
      <c r="Z52" s="394"/>
      <c r="AA52" s="393"/>
    </row>
    <row r="53" spans="1:27" s="44" customFormat="1" ht="17.25" thickBot="1" x14ac:dyDescent="0.35">
      <c r="A53" s="714"/>
      <c r="B53" s="715"/>
      <c r="C53" s="494" t="str">
        <f>Inversiones!A50</f>
        <v>Cartones</v>
      </c>
      <c r="D53" s="414">
        <f>-Inversiones!D50</f>
        <v>-15</v>
      </c>
      <c r="E53" s="547"/>
      <c r="F53" s="395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6"/>
      <c r="R53" s="395"/>
      <c r="S53" s="394"/>
      <c r="T53" s="394"/>
      <c r="U53" s="394"/>
      <c r="V53" s="394"/>
      <c r="W53" s="394"/>
      <c r="X53" s="394"/>
      <c r="Y53" s="394"/>
      <c r="Z53" s="394"/>
      <c r="AA53" s="393"/>
    </row>
    <row r="54" spans="1:27" ht="17.25" thickBot="1" x14ac:dyDescent="0.35">
      <c r="A54" s="714"/>
      <c r="B54" s="715"/>
      <c r="C54" s="494" t="str">
        <f>Inversiones!A51</f>
        <v>Vasos de Vainil</v>
      </c>
      <c r="D54" s="414">
        <f>-Inversiones!D51</f>
        <v>-64</v>
      </c>
      <c r="E54" s="547"/>
      <c r="F54" s="395"/>
      <c r="G54" s="394"/>
      <c r="H54" s="394"/>
      <c r="I54" s="394"/>
      <c r="J54" s="394"/>
      <c r="K54" s="394"/>
      <c r="L54" s="394"/>
      <c r="M54" s="394"/>
      <c r="N54" s="394"/>
      <c r="O54" s="394"/>
      <c r="P54" s="394"/>
      <c r="Q54" s="396"/>
      <c r="R54" s="395"/>
      <c r="S54" s="394"/>
      <c r="T54" s="394"/>
      <c r="U54" s="394"/>
      <c r="V54" s="394"/>
      <c r="W54" s="394"/>
      <c r="X54" s="394"/>
      <c r="Y54" s="394"/>
      <c r="Z54" s="394"/>
      <c r="AA54" s="393"/>
    </row>
    <row r="55" spans="1:27" ht="16.5" x14ac:dyDescent="0.3">
      <c r="A55" s="714"/>
      <c r="B55" s="715"/>
      <c r="C55" s="497" t="s">
        <v>422</v>
      </c>
      <c r="D55" s="409"/>
      <c r="E55" s="547"/>
      <c r="F55" s="410"/>
      <c r="G55" s="394"/>
      <c r="H55" s="394"/>
      <c r="I55" s="394"/>
      <c r="J55" s="394"/>
      <c r="K55" s="394"/>
      <c r="L55" s="394"/>
      <c r="M55" s="394"/>
      <c r="N55" s="394"/>
      <c r="O55" s="394"/>
      <c r="P55" s="394"/>
      <c r="Q55" s="396"/>
      <c r="R55" s="395"/>
      <c r="S55" s="394"/>
      <c r="T55" s="394"/>
      <c r="U55" s="394"/>
      <c r="V55" s="394"/>
      <c r="W55" s="394"/>
      <c r="X55" s="394"/>
      <c r="Y55" s="394"/>
      <c r="Z55" s="394"/>
      <c r="AA55" s="393"/>
    </row>
    <row r="56" spans="1:27" ht="17.25" thickBot="1" x14ac:dyDescent="0.35">
      <c r="A56" s="714"/>
      <c r="B56" s="715"/>
      <c r="C56" s="498" t="str">
        <f>Inversiones!A52</f>
        <v>Camión</v>
      </c>
      <c r="D56" s="413">
        <f>-Inversiones!D52</f>
        <v>-59808</v>
      </c>
      <c r="E56" s="548"/>
      <c r="F56" s="410"/>
      <c r="G56" s="394"/>
      <c r="H56" s="394"/>
      <c r="I56" s="394"/>
      <c r="J56" s="394"/>
      <c r="K56" s="394"/>
      <c r="L56" s="394"/>
      <c r="M56" s="394"/>
      <c r="N56" s="394"/>
      <c r="O56" s="394"/>
      <c r="P56" s="394"/>
      <c r="Q56" s="396"/>
      <c r="R56" s="395"/>
      <c r="S56" s="394"/>
      <c r="T56" s="394"/>
      <c r="U56" s="394"/>
      <c r="V56" s="394"/>
      <c r="W56" s="394"/>
      <c r="X56" s="394"/>
      <c r="Y56" s="394"/>
      <c r="Z56" s="394"/>
      <c r="AA56" s="393"/>
    </row>
    <row r="57" spans="1:27" ht="17.25" thickBot="1" x14ac:dyDescent="0.35">
      <c r="A57" s="714"/>
      <c r="B57" s="715"/>
      <c r="C57" s="499" t="s">
        <v>421</v>
      </c>
      <c r="D57" s="412"/>
      <c r="E57" s="411"/>
      <c r="F57" s="410"/>
      <c r="G57" s="394"/>
      <c r="H57" s="394"/>
      <c r="I57" s="394"/>
      <c r="J57" s="394"/>
      <c r="K57" s="394"/>
      <c r="L57" s="394"/>
      <c r="M57" s="394"/>
      <c r="N57" s="394"/>
      <c r="O57" s="394"/>
      <c r="P57" s="394"/>
      <c r="Q57" s="396"/>
      <c r="R57" s="395"/>
      <c r="S57" s="394"/>
      <c r="T57" s="394"/>
      <c r="U57" s="394"/>
      <c r="V57" s="394"/>
      <c r="W57" s="394"/>
      <c r="X57" s="394"/>
      <c r="Y57" s="394"/>
      <c r="Z57" s="394"/>
      <c r="AA57" s="393"/>
    </row>
    <row r="58" spans="1:27" ht="17.25" thickBot="1" x14ac:dyDescent="0.35">
      <c r="A58" s="714"/>
      <c r="B58" s="715"/>
      <c r="C58" s="500" t="str">
        <f>Inversiones!A4</f>
        <v>Laptops</v>
      </c>
      <c r="D58" s="409">
        <f>-Inversiones!D4</f>
        <v>-2397.0048000000002</v>
      </c>
      <c r="E58" s="547"/>
      <c r="F58" s="395"/>
      <c r="G58" s="394"/>
      <c r="H58" s="394"/>
      <c r="I58" s="394"/>
      <c r="J58" s="394"/>
      <c r="K58" s="394"/>
      <c r="L58" s="394"/>
      <c r="M58" s="394"/>
      <c r="N58" s="394"/>
      <c r="O58" s="394"/>
      <c r="P58" s="394"/>
      <c r="Q58" s="396"/>
      <c r="R58" s="395"/>
      <c r="S58" s="394"/>
      <c r="T58" s="394"/>
      <c r="U58" s="394"/>
      <c r="V58" s="394"/>
      <c r="W58" s="394"/>
      <c r="X58" s="394"/>
      <c r="Y58" s="394"/>
      <c r="Z58" s="394"/>
      <c r="AA58" s="393"/>
    </row>
    <row r="59" spans="1:27" ht="17.25" thickBot="1" x14ac:dyDescent="0.35">
      <c r="A59" s="714"/>
      <c r="B59" s="715"/>
      <c r="C59" s="500" t="str">
        <f>Inversiones!A5</f>
        <v>Computadores</v>
      </c>
      <c r="D59" s="409">
        <f>-Inversiones!D5</f>
        <v>-2380</v>
      </c>
      <c r="E59" s="547"/>
      <c r="F59" s="395"/>
      <c r="G59" s="394"/>
      <c r="H59" s="394"/>
      <c r="I59" s="394"/>
      <c r="J59" s="394"/>
      <c r="K59" s="394"/>
      <c r="L59" s="394"/>
      <c r="M59" s="394"/>
      <c r="N59" s="394"/>
      <c r="O59" s="394"/>
      <c r="P59" s="394"/>
      <c r="Q59" s="396"/>
      <c r="R59" s="395"/>
      <c r="S59" s="394"/>
      <c r="T59" s="394"/>
      <c r="U59" s="394"/>
      <c r="V59" s="394"/>
      <c r="W59" s="394"/>
      <c r="X59" s="394"/>
      <c r="Y59" s="394"/>
      <c r="Z59" s="394"/>
      <c r="AA59" s="393"/>
    </row>
    <row r="60" spans="1:27" ht="17.25" thickBot="1" x14ac:dyDescent="0.35">
      <c r="A60" s="714"/>
      <c r="B60" s="715"/>
      <c r="C60" s="500" t="str">
        <f>Inversiones!A6</f>
        <v>Aire Acondicionado 22000 Btu</v>
      </c>
      <c r="D60" s="409">
        <f>-Inversiones!D6</f>
        <v>-1891.53</v>
      </c>
      <c r="E60" s="547"/>
      <c r="F60" s="395"/>
      <c r="G60" s="394"/>
      <c r="H60" s="394"/>
      <c r="I60" s="394"/>
      <c r="J60" s="394"/>
      <c r="K60" s="394"/>
      <c r="L60" s="394"/>
      <c r="M60" s="394"/>
      <c r="N60" s="394"/>
      <c r="O60" s="394"/>
      <c r="P60" s="394"/>
      <c r="Q60" s="396"/>
      <c r="R60" s="395"/>
      <c r="S60" s="394"/>
      <c r="T60" s="394"/>
      <c r="U60" s="394"/>
      <c r="V60" s="394"/>
      <c r="W60" s="394"/>
      <c r="X60" s="394"/>
      <c r="Y60" s="394"/>
      <c r="Z60" s="394"/>
      <c r="AA60" s="393"/>
    </row>
    <row r="61" spans="1:27" ht="17.25" thickBot="1" x14ac:dyDescent="0.35">
      <c r="A61" s="714"/>
      <c r="B61" s="715"/>
      <c r="C61" s="500" t="str">
        <f>Inversiones!A7</f>
        <v>Escritorio Recepcion</v>
      </c>
      <c r="D61" s="409">
        <f>-Inversiones!D7</f>
        <v>-235.71</v>
      </c>
      <c r="E61" s="547"/>
      <c r="F61" s="395"/>
      <c r="G61" s="394"/>
      <c r="H61" s="394"/>
      <c r="I61" s="394"/>
      <c r="J61" s="394"/>
      <c r="K61" s="394"/>
      <c r="L61" s="394"/>
      <c r="M61" s="394"/>
      <c r="N61" s="394"/>
      <c r="O61" s="394"/>
      <c r="P61" s="394"/>
      <c r="Q61" s="396"/>
      <c r="R61" s="395"/>
      <c r="S61" s="394"/>
      <c r="T61" s="394"/>
      <c r="U61" s="394"/>
      <c r="V61" s="394"/>
      <c r="W61" s="394"/>
      <c r="X61" s="394"/>
      <c r="Y61" s="394"/>
      <c r="Z61" s="394"/>
      <c r="AA61" s="393"/>
    </row>
    <row r="62" spans="1:27" ht="17.25" thickBot="1" x14ac:dyDescent="0.35">
      <c r="A62" s="714"/>
      <c r="B62" s="715"/>
      <c r="C62" s="500" t="str">
        <f>Inversiones!A8</f>
        <v>Escritorios De Oficina</v>
      </c>
      <c r="D62" s="409">
        <f>-Inversiones!D8</f>
        <v>-1987.3799999999999</v>
      </c>
      <c r="E62" s="547"/>
      <c r="F62" s="395"/>
      <c r="G62" s="394"/>
      <c r="H62" s="394"/>
      <c r="I62" s="394"/>
      <c r="J62" s="394"/>
      <c r="K62" s="394"/>
      <c r="L62" s="394"/>
      <c r="M62" s="394"/>
      <c r="N62" s="394"/>
      <c r="O62" s="394"/>
      <c r="P62" s="394"/>
      <c r="Q62" s="396"/>
      <c r="R62" s="395"/>
      <c r="S62" s="394"/>
      <c r="T62" s="394"/>
      <c r="U62" s="394"/>
      <c r="V62" s="394"/>
      <c r="W62" s="394"/>
      <c r="X62" s="394"/>
      <c r="Y62" s="394"/>
      <c r="Z62" s="394"/>
      <c r="AA62" s="393"/>
    </row>
    <row r="63" spans="1:27" ht="17.25" thickBot="1" x14ac:dyDescent="0.35">
      <c r="A63" s="714"/>
      <c r="B63" s="715"/>
      <c r="C63" s="500" t="str">
        <f>Inversiones!A9</f>
        <v>Sillas De Oficina</v>
      </c>
      <c r="D63" s="409">
        <f>-Inversiones!D9</f>
        <v>-376.5</v>
      </c>
      <c r="E63" s="547"/>
      <c r="F63" s="395"/>
      <c r="G63" s="394"/>
      <c r="H63" s="394"/>
      <c r="I63" s="394"/>
      <c r="J63" s="394"/>
      <c r="K63" s="394"/>
      <c r="L63" s="394"/>
      <c r="M63" s="394"/>
      <c r="N63" s="394"/>
      <c r="O63" s="394"/>
      <c r="P63" s="394"/>
      <c r="Q63" s="396"/>
      <c r="R63" s="395"/>
      <c r="S63" s="394"/>
      <c r="T63" s="394"/>
      <c r="U63" s="394"/>
      <c r="V63" s="394"/>
      <c r="W63" s="394"/>
      <c r="X63" s="394"/>
      <c r="Y63" s="394"/>
      <c r="Z63" s="394"/>
      <c r="AA63" s="393"/>
    </row>
    <row r="64" spans="1:27" ht="17.25" thickBot="1" x14ac:dyDescent="0.35">
      <c r="A64" s="714"/>
      <c r="B64" s="715"/>
      <c r="C64" s="500" t="str">
        <f>Inversiones!A10</f>
        <v>Juego Muebles Para Hall</v>
      </c>
      <c r="D64" s="409">
        <f>-Inversiones!D10</f>
        <v>-437.48</v>
      </c>
      <c r="E64" s="547"/>
      <c r="F64" s="395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6"/>
      <c r="R64" s="395"/>
      <c r="S64" s="394"/>
      <c r="T64" s="394"/>
      <c r="U64" s="394"/>
      <c r="V64" s="394"/>
      <c r="W64" s="394"/>
      <c r="X64" s="394"/>
      <c r="Y64" s="394"/>
      <c r="Z64" s="394"/>
      <c r="AA64" s="393"/>
    </row>
    <row r="65" spans="1:27" ht="17.25" thickBot="1" x14ac:dyDescent="0.35">
      <c r="A65" s="714"/>
      <c r="B65" s="715"/>
      <c r="C65" s="500" t="str">
        <f>Inversiones!A11</f>
        <v>Mesita Para Hall</v>
      </c>
      <c r="D65" s="409">
        <f>-Inversiones!D11</f>
        <v>-60</v>
      </c>
      <c r="E65" s="547"/>
      <c r="F65" s="395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6"/>
      <c r="R65" s="395"/>
      <c r="S65" s="394"/>
      <c r="T65" s="394"/>
      <c r="U65" s="394"/>
      <c r="V65" s="394"/>
      <c r="W65" s="394"/>
      <c r="X65" s="394"/>
      <c r="Y65" s="394"/>
      <c r="Z65" s="394"/>
      <c r="AA65" s="393"/>
    </row>
    <row r="66" spans="1:27" ht="17.25" thickBot="1" x14ac:dyDescent="0.35">
      <c r="A66" s="714"/>
      <c r="B66" s="715"/>
      <c r="C66" s="500" t="str">
        <f>Inversiones!A12</f>
        <v>Archivador Aereo</v>
      </c>
      <c r="D66" s="409">
        <f>-Inversiones!D12</f>
        <v>-255</v>
      </c>
      <c r="E66" s="547"/>
      <c r="F66" s="395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6"/>
      <c r="R66" s="395"/>
      <c r="S66" s="394"/>
      <c r="T66" s="394"/>
      <c r="U66" s="394"/>
      <c r="V66" s="394"/>
      <c r="W66" s="394"/>
      <c r="X66" s="394"/>
      <c r="Y66" s="394"/>
      <c r="Z66" s="394"/>
      <c r="AA66" s="393"/>
    </row>
    <row r="67" spans="1:27" ht="17.25" thickBot="1" x14ac:dyDescent="0.35">
      <c r="A67" s="714"/>
      <c r="B67" s="715"/>
      <c r="C67" s="500" t="str">
        <f>Inversiones!A13</f>
        <v>Archivador Vertical</v>
      </c>
      <c r="D67" s="409">
        <f>-Inversiones!D13</f>
        <v>-450</v>
      </c>
      <c r="E67" s="547"/>
      <c r="F67" s="395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6"/>
      <c r="R67" s="395"/>
      <c r="S67" s="394"/>
      <c r="T67" s="394"/>
      <c r="U67" s="394"/>
      <c r="V67" s="394"/>
      <c r="W67" s="394"/>
      <c r="X67" s="394"/>
      <c r="Y67" s="394"/>
      <c r="Z67" s="394"/>
      <c r="AA67" s="393"/>
    </row>
    <row r="68" spans="1:27" ht="17.25" thickBot="1" x14ac:dyDescent="0.35">
      <c r="A68" s="714"/>
      <c r="B68" s="715"/>
      <c r="C68" s="500" t="str">
        <f>Inversiones!A14</f>
        <v>Mesas De Trabajo</v>
      </c>
      <c r="D68" s="409">
        <f>-Inversiones!D14</f>
        <v>-180</v>
      </c>
      <c r="E68" s="547"/>
      <c r="F68" s="395"/>
      <c r="G68" s="394"/>
      <c r="H68" s="394"/>
      <c r="I68" s="394"/>
      <c r="J68" s="394"/>
      <c r="K68" s="394"/>
      <c r="L68" s="394"/>
      <c r="M68" s="394"/>
      <c r="N68" s="394"/>
      <c r="O68" s="394"/>
      <c r="P68" s="394"/>
      <c r="Q68" s="396"/>
      <c r="R68" s="395"/>
      <c r="S68" s="394"/>
      <c r="T68" s="394"/>
      <c r="U68" s="394"/>
      <c r="V68" s="394"/>
      <c r="W68" s="394"/>
      <c r="X68" s="394"/>
      <c r="Y68" s="394"/>
      <c r="Z68" s="394"/>
      <c r="AA68" s="393"/>
    </row>
    <row r="69" spans="1:27" ht="17.25" thickBot="1" x14ac:dyDescent="0.35">
      <c r="A69" s="714"/>
      <c r="B69" s="715"/>
      <c r="C69" s="500" t="str">
        <f>Inversiones!A15</f>
        <v>Sillas</v>
      </c>
      <c r="D69" s="409">
        <f>-Inversiones!D15</f>
        <v>-24</v>
      </c>
      <c r="E69" s="547"/>
      <c r="F69" s="395"/>
      <c r="G69" s="394"/>
      <c r="H69" s="394"/>
      <c r="I69" s="394"/>
      <c r="J69" s="394"/>
      <c r="K69" s="394"/>
      <c r="L69" s="394"/>
      <c r="M69" s="394"/>
      <c r="N69" s="394"/>
      <c r="O69" s="394"/>
      <c r="P69" s="394"/>
      <c r="Q69" s="396"/>
      <c r="R69" s="395"/>
      <c r="S69" s="394"/>
      <c r="T69" s="394"/>
      <c r="U69" s="394"/>
      <c r="V69" s="394"/>
      <c r="W69" s="394"/>
      <c r="X69" s="394"/>
      <c r="Y69" s="394"/>
      <c r="Z69" s="394"/>
      <c r="AA69" s="393"/>
    </row>
    <row r="70" spans="1:27" ht="17.25" thickBot="1" x14ac:dyDescent="0.35">
      <c r="A70" s="714"/>
      <c r="B70" s="715"/>
      <c r="C70" s="500" t="str">
        <f>Inversiones!A16</f>
        <v>Tachos Para Basura</v>
      </c>
      <c r="D70" s="409">
        <f>-Inversiones!D16</f>
        <v>-32.299999999999997</v>
      </c>
      <c r="E70" s="547"/>
      <c r="F70" s="395"/>
      <c r="G70" s="394"/>
      <c r="H70" s="394"/>
      <c r="I70" s="394"/>
      <c r="J70" s="394"/>
      <c r="K70" s="394"/>
      <c r="L70" s="394"/>
      <c r="M70" s="394"/>
      <c r="N70" s="394"/>
      <c r="O70" s="394"/>
      <c r="P70" s="394"/>
      <c r="Q70" s="396"/>
      <c r="R70" s="395"/>
      <c r="S70" s="394"/>
      <c r="T70" s="394"/>
      <c r="U70" s="394"/>
      <c r="V70" s="394"/>
      <c r="W70" s="394"/>
      <c r="X70" s="394"/>
      <c r="Y70" s="394"/>
      <c r="Z70" s="394"/>
      <c r="AA70" s="393"/>
    </row>
    <row r="71" spans="1:27" ht="17.25" thickBot="1" x14ac:dyDescent="0.35">
      <c r="A71" s="714"/>
      <c r="B71" s="715"/>
      <c r="C71" s="500" t="str">
        <f>Inversiones!A17</f>
        <v>Central Telefónica</v>
      </c>
      <c r="D71" s="409">
        <f>-Inversiones!D17</f>
        <v>-150</v>
      </c>
      <c r="E71" s="547"/>
      <c r="F71" s="395"/>
      <c r="G71" s="394"/>
      <c r="H71" s="394"/>
      <c r="I71" s="394"/>
      <c r="J71" s="394"/>
      <c r="K71" s="394"/>
      <c r="L71" s="394"/>
      <c r="M71" s="394"/>
      <c r="N71" s="394"/>
      <c r="O71" s="394"/>
      <c r="P71" s="394"/>
      <c r="Q71" s="396"/>
      <c r="R71" s="395"/>
      <c r="S71" s="394"/>
      <c r="T71" s="394"/>
      <c r="U71" s="394"/>
      <c r="V71" s="394"/>
      <c r="W71" s="394"/>
      <c r="X71" s="394"/>
      <c r="Y71" s="394"/>
      <c r="Z71" s="394"/>
      <c r="AA71" s="393"/>
    </row>
    <row r="72" spans="1:27" ht="17.25" thickBot="1" x14ac:dyDescent="0.35">
      <c r="A72" s="714"/>
      <c r="B72" s="715"/>
      <c r="C72" s="500" t="str">
        <f>Inversiones!A18</f>
        <v>Telefonos</v>
      </c>
      <c r="D72" s="409">
        <f>-Inversiones!D18</f>
        <v>-34</v>
      </c>
      <c r="E72" s="547"/>
      <c r="F72" s="395"/>
      <c r="G72" s="394"/>
      <c r="H72" s="394"/>
      <c r="I72" s="394"/>
      <c r="J72" s="394"/>
      <c r="K72" s="394"/>
      <c r="L72" s="394"/>
      <c r="M72" s="394"/>
      <c r="N72" s="394"/>
      <c r="O72" s="394"/>
      <c r="P72" s="394"/>
      <c r="Q72" s="396"/>
      <c r="R72" s="395"/>
      <c r="S72" s="394"/>
      <c r="T72" s="394"/>
      <c r="U72" s="394"/>
      <c r="V72" s="394"/>
      <c r="W72" s="394"/>
      <c r="X72" s="394"/>
      <c r="Y72" s="394"/>
      <c r="Z72" s="394"/>
      <c r="AA72" s="393"/>
    </row>
    <row r="73" spans="1:27" ht="17.25" thickBot="1" x14ac:dyDescent="0.35">
      <c r="A73" s="714"/>
      <c r="B73" s="715"/>
      <c r="C73" s="500" t="str">
        <f>Inversiones!A19</f>
        <v>Fax</v>
      </c>
      <c r="D73" s="409">
        <f>-Inversiones!D19</f>
        <v>-68.44</v>
      </c>
      <c r="E73" s="547"/>
      <c r="F73" s="401"/>
      <c r="G73" s="400"/>
      <c r="H73" s="400"/>
      <c r="I73" s="400"/>
      <c r="J73" s="400"/>
      <c r="K73" s="400"/>
      <c r="L73" s="400"/>
      <c r="M73" s="400"/>
      <c r="N73" s="400"/>
      <c r="O73" s="400"/>
      <c r="P73" s="400"/>
      <c r="Q73" s="402"/>
      <c r="R73" s="401"/>
      <c r="S73" s="400"/>
      <c r="T73" s="400"/>
      <c r="U73" s="400"/>
      <c r="V73" s="400"/>
      <c r="W73" s="400"/>
      <c r="X73" s="400"/>
      <c r="Y73" s="400"/>
      <c r="Z73" s="400"/>
      <c r="AA73" s="399"/>
    </row>
    <row r="74" spans="1:27" ht="17.25" thickBot="1" x14ac:dyDescent="0.35">
      <c r="A74" s="714"/>
      <c r="B74" s="715"/>
      <c r="C74" s="500" t="str">
        <f>Inversiones!A20</f>
        <v>Impresora Multifuncion</v>
      </c>
      <c r="D74" s="409">
        <f>-Inversiones!D20</f>
        <v>-514.55999999999995</v>
      </c>
      <c r="E74" s="547"/>
      <c r="F74" s="408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7"/>
      <c r="R74" s="401"/>
      <c r="S74" s="400"/>
      <c r="T74" s="400"/>
      <c r="U74" s="400"/>
      <c r="V74" s="400"/>
      <c r="W74" s="406"/>
      <c r="X74" s="406"/>
      <c r="Y74" s="406"/>
      <c r="Z74" s="406"/>
      <c r="AA74" s="405"/>
    </row>
    <row r="75" spans="1:27" ht="17.25" thickBot="1" x14ac:dyDescent="0.35">
      <c r="A75" s="714"/>
      <c r="B75" s="715"/>
      <c r="C75" s="501" t="s">
        <v>25</v>
      </c>
      <c r="D75" s="403">
        <f>SUM(D32:D74)</f>
        <v>-304063.90480000002</v>
      </c>
      <c r="E75" s="549"/>
      <c r="F75" s="401"/>
      <c r="G75" s="400"/>
      <c r="H75" s="400"/>
      <c r="I75" s="400"/>
      <c r="J75" s="400"/>
      <c r="K75" s="400"/>
      <c r="L75" s="400"/>
      <c r="M75" s="400"/>
      <c r="N75" s="400"/>
      <c r="O75" s="400"/>
      <c r="P75" s="400"/>
      <c r="Q75" s="402"/>
      <c r="R75" s="401"/>
      <c r="S75" s="400"/>
      <c r="T75" s="400"/>
      <c r="U75" s="400"/>
      <c r="V75" s="400"/>
      <c r="W75" s="400"/>
      <c r="X75" s="400"/>
      <c r="Y75" s="400"/>
      <c r="Z75" s="400"/>
      <c r="AA75" s="399"/>
    </row>
    <row r="76" spans="1:27" ht="16.5" x14ac:dyDescent="0.3">
      <c r="A76" s="714"/>
      <c r="B76" s="715"/>
      <c r="C76" s="502" t="s">
        <v>420</v>
      </c>
      <c r="D76" s="398">
        <v>-100000</v>
      </c>
      <c r="E76" s="541"/>
      <c r="F76" s="395"/>
      <c r="G76" s="394"/>
      <c r="H76" s="394"/>
      <c r="I76" s="394"/>
      <c r="J76" s="394"/>
      <c r="K76" s="394"/>
      <c r="L76" s="394"/>
      <c r="M76" s="394"/>
      <c r="N76" s="394"/>
      <c r="O76" s="394"/>
      <c r="P76" s="394"/>
      <c r="Q76" s="396"/>
      <c r="R76" s="395"/>
      <c r="S76" s="394"/>
      <c r="T76" s="394"/>
      <c r="U76" s="394"/>
      <c r="V76" s="394"/>
      <c r="W76" s="394"/>
      <c r="X76" s="394"/>
      <c r="Y76" s="394"/>
      <c r="Z76" s="394"/>
      <c r="AA76" s="393"/>
    </row>
    <row r="77" spans="1:27" ht="16.5" x14ac:dyDescent="0.3">
      <c r="A77" s="714"/>
      <c r="B77" s="715"/>
      <c r="C77" s="502" t="s">
        <v>419</v>
      </c>
      <c r="D77" s="398">
        <f>Prestamo!D4</f>
        <v>300000</v>
      </c>
      <c r="E77" s="541"/>
      <c r="F77" s="395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6"/>
      <c r="R77" s="395"/>
      <c r="S77" s="394"/>
      <c r="T77" s="394"/>
      <c r="U77" s="394"/>
      <c r="V77" s="394"/>
      <c r="W77" s="394"/>
      <c r="X77" s="394"/>
      <c r="Y77" s="394"/>
      <c r="Z77" s="394"/>
      <c r="AA77" s="393"/>
    </row>
    <row r="78" spans="1:27" ht="16.5" x14ac:dyDescent="0.3">
      <c r="A78" s="714"/>
      <c r="B78" s="715"/>
      <c r="C78" s="502" t="s">
        <v>418</v>
      </c>
      <c r="D78" s="398"/>
      <c r="E78" s="541"/>
      <c r="F78" s="395"/>
      <c r="G78" s="394"/>
      <c r="H78" s="394"/>
      <c r="I78" s="394"/>
      <c r="J78" s="394"/>
      <c r="K78" s="394"/>
      <c r="L78" s="394"/>
      <c r="M78" s="394"/>
      <c r="N78" s="394"/>
      <c r="O78" s="394"/>
      <c r="P78" s="394"/>
      <c r="Q78" s="396"/>
      <c r="R78" s="395"/>
      <c r="S78" s="394"/>
      <c r="T78" s="394">
        <f>-Depreciaciones!C51</f>
        <v>-5544.0048000000006</v>
      </c>
      <c r="U78" s="394"/>
      <c r="V78" s="394">
        <f>-Depreciaciones!D51</f>
        <v>-59808</v>
      </c>
      <c r="W78" s="394">
        <f>-Depreciaciones!E51</f>
        <v>-5544.0048000000006</v>
      </c>
      <c r="X78" s="394"/>
      <c r="Y78" s="394"/>
      <c r="Z78" s="394">
        <f>-Depreciaciones!F51</f>
        <v>-5544.0048000000006</v>
      </c>
      <c r="AA78" s="393"/>
    </row>
    <row r="79" spans="1:27" ht="16.5" x14ac:dyDescent="0.3">
      <c r="A79" s="714"/>
      <c r="B79" s="715"/>
      <c r="C79" s="502" t="s">
        <v>417</v>
      </c>
      <c r="D79" s="398"/>
      <c r="E79" s="541"/>
      <c r="F79" s="395"/>
      <c r="G79" s="394"/>
      <c r="H79" s="394"/>
      <c r="I79" s="394"/>
      <c r="J79" s="394"/>
      <c r="K79" s="394"/>
      <c r="L79" s="394"/>
      <c r="M79" s="394"/>
      <c r="N79" s="394"/>
      <c r="O79" s="394"/>
      <c r="P79" s="394"/>
      <c r="Q79" s="396"/>
      <c r="R79" s="395">
        <f>-Prestamo!E12</f>
        <v>-19279.845499109462</v>
      </c>
      <c r="S79" s="395">
        <f>-Prestamo!$E$13</f>
        <v>-21111.430821524864</v>
      </c>
      <c r="T79" s="395">
        <f>-Prestamo!$E$14</f>
        <v>-23117.016749569724</v>
      </c>
      <c r="U79" s="395">
        <f>-Prestamo!$E$15</f>
        <v>-25313.133340778852</v>
      </c>
      <c r="V79" s="395">
        <f>-Prestamo!$E$16</f>
        <v>-27717.881008152843</v>
      </c>
      <c r="W79" s="395">
        <f>-Prestamo!$E$17</f>
        <v>-30351.07970392736</v>
      </c>
      <c r="X79" s="395">
        <f>-Prestamo!$E$18</f>
        <v>-33234.432275800464</v>
      </c>
      <c r="Y79" s="395">
        <f>-Prestamo!$E$19</f>
        <v>-36391.703342001507</v>
      </c>
      <c r="Z79" s="395">
        <f>-Prestamo!$E$20</f>
        <v>-39848.915159491648</v>
      </c>
      <c r="AA79" s="395">
        <f>-Prestamo!$E$21</f>
        <v>-43634.562099643357</v>
      </c>
    </row>
    <row r="80" spans="1:27" ht="16.5" x14ac:dyDescent="0.3">
      <c r="A80" s="714"/>
      <c r="B80" s="715"/>
      <c r="C80" s="502" t="s">
        <v>416</v>
      </c>
      <c r="D80" s="398"/>
      <c r="E80" s="541"/>
      <c r="F80" s="395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6"/>
      <c r="R80" s="395"/>
      <c r="S80" s="394"/>
      <c r="T80" s="394"/>
      <c r="U80" s="394"/>
      <c r="V80" s="394"/>
      <c r="W80" s="394"/>
      <c r="X80" s="394"/>
      <c r="Y80" s="394"/>
      <c r="Z80" s="394"/>
      <c r="AA80" s="393">
        <f>D76</f>
        <v>-100000</v>
      </c>
    </row>
    <row r="81" spans="1:27" ht="17.25" thickBot="1" x14ac:dyDescent="0.35">
      <c r="A81" s="392"/>
      <c r="B81" s="392"/>
      <c r="C81" s="503" t="s">
        <v>415</v>
      </c>
      <c r="D81" s="397"/>
      <c r="E81" s="546"/>
      <c r="F81" s="395"/>
      <c r="G81" s="394"/>
      <c r="H81" s="394"/>
      <c r="I81" s="394"/>
      <c r="J81" s="394"/>
      <c r="K81" s="394"/>
      <c r="L81" s="394"/>
      <c r="M81" s="394"/>
      <c r="N81" s="394"/>
      <c r="O81" s="394"/>
      <c r="P81" s="394"/>
      <c r="Q81" s="396"/>
      <c r="R81" s="395"/>
      <c r="S81" s="394"/>
      <c r="T81" s="394"/>
      <c r="U81" s="394"/>
      <c r="V81" s="394"/>
      <c r="W81" s="394"/>
      <c r="X81" s="394"/>
      <c r="Y81" s="394"/>
      <c r="Z81" s="394"/>
      <c r="AA81" s="393">
        <f>Depreciaciones!E41</f>
        <v>71953.288708333333</v>
      </c>
    </row>
    <row r="82" spans="1:27" ht="17.25" thickBot="1" x14ac:dyDescent="0.35">
      <c r="A82" s="392"/>
      <c r="B82" s="392"/>
      <c r="C82" s="504" t="s">
        <v>414</v>
      </c>
      <c r="D82" s="505">
        <f>SUM(D75:D77)</f>
        <v>-104063.90480000002</v>
      </c>
      <c r="E82" s="505"/>
      <c r="F82" s="506"/>
      <c r="G82" s="506"/>
      <c r="H82" s="506"/>
      <c r="I82" s="506"/>
      <c r="J82" s="506"/>
      <c r="K82" s="506"/>
      <c r="L82" s="506"/>
      <c r="M82" s="506"/>
      <c r="N82" s="506"/>
      <c r="O82" s="507"/>
      <c r="P82" s="507"/>
      <c r="Q82" s="508"/>
      <c r="R82" s="509">
        <f t="shared" ref="R82:AA82" si="10">SUM(R27:R81)</f>
        <v>-8085.8439951026303</v>
      </c>
      <c r="S82" s="509">
        <f t="shared" si="10"/>
        <v>46515.052565710954</v>
      </c>
      <c r="T82" s="509">
        <f t="shared" si="10"/>
        <v>69626.768746760805</v>
      </c>
      <c r="U82" s="509">
        <f t="shared" si="10"/>
        <v>97312.516994466714</v>
      </c>
      <c r="V82" s="509">
        <f t="shared" si="10"/>
        <v>60029.576038206527</v>
      </c>
      <c r="W82" s="509">
        <f t="shared" si="10"/>
        <v>136713.45870205021</v>
      </c>
      <c r="X82" s="509">
        <f t="shared" si="10"/>
        <v>161327.71155403191</v>
      </c>
      <c r="Y82" s="509">
        <f t="shared" si="10"/>
        <v>184442.14612082782</v>
      </c>
      <c r="Z82" s="509">
        <f t="shared" si="10"/>
        <v>202256.64784994835</v>
      </c>
      <c r="AA82" s="510">
        <f t="shared" si="10"/>
        <v>203379.4529884251</v>
      </c>
    </row>
    <row r="83" spans="1:27" ht="17.25" thickBot="1" x14ac:dyDescent="0.35">
      <c r="A83" s="469"/>
      <c r="B83" s="476"/>
      <c r="C83" s="470"/>
      <c r="D83" s="469"/>
      <c r="E83" s="469"/>
      <c r="F83" s="469"/>
      <c r="G83" s="469"/>
      <c r="H83" s="469"/>
      <c r="I83" s="469"/>
      <c r="J83" s="469"/>
      <c r="K83" s="469"/>
      <c r="L83" s="469"/>
      <c r="M83" s="469"/>
      <c r="N83" s="469"/>
      <c r="O83" s="469"/>
      <c r="P83" s="474"/>
      <c r="Q83" s="475"/>
      <c r="R83" s="475"/>
      <c r="S83" s="475"/>
      <c r="T83" s="474"/>
      <c r="U83" s="474"/>
      <c r="V83" s="474"/>
      <c r="W83" s="475"/>
      <c r="X83" s="475"/>
      <c r="Y83" s="475"/>
      <c r="Z83" s="475"/>
      <c r="AA83" s="474"/>
    </row>
    <row r="84" spans="1:27" ht="17.25" thickBot="1" x14ac:dyDescent="0.35">
      <c r="A84" s="44"/>
      <c r="B84" s="121"/>
      <c r="C84" s="511" t="s">
        <v>88</v>
      </c>
      <c r="D84" s="515">
        <v>0</v>
      </c>
      <c r="E84" s="515"/>
      <c r="F84" s="516">
        <v>2012</v>
      </c>
      <c r="G84" s="516">
        <v>2013</v>
      </c>
      <c r="H84" s="516">
        <v>2014</v>
      </c>
      <c r="I84" s="516">
        <v>2015</v>
      </c>
      <c r="J84" s="516">
        <v>2016</v>
      </c>
      <c r="K84" s="516">
        <v>2017</v>
      </c>
      <c r="L84" s="516">
        <v>2018</v>
      </c>
      <c r="M84" s="516">
        <v>2019</v>
      </c>
      <c r="N84" s="516">
        <v>2020</v>
      </c>
      <c r="O84" s="516">
        <v>2021</v>
      </c>
      <c r="P84" s="472"/>
      <c r="Q84" s="473"/>
      <c r="R84" s="472"/>
      <c r="S84" s="472"/>
      <c r="T84" s="472"/>
      <c r="U84" s="472"/>
      <c r="V84" s="472"/>
      <c r="W84" s="121"/>
      <c r="X84" s="121"/>
      <c r="Y84" s="121"/>
      <c r="Z84" s="121"/>
      <c r="AA84" s="121"/>
    </row>
    <row r="85" spans="1:27" ht="17.25" thickBot="1" x14ac:dyDescent="0.35">
      <c r="A85" s="44"/>
      <c r="B85" s="121"/>
      <c r="C85" s="512" t="s">
        <v>414</v>
      </c>
      <c r="D85" s="505">
        <f>D82</f>
        <v>-104063.90480000002</v>
      </c>
      <c r="E85" s="505">
        <v>-200000</v>
      </c>
      <c r="F85" s="505">
        <f t="shared" ref="F85:O85" si="11">R82</f>
        <v>-8085.8439951026303</v>
      </c>
      <c r="G85" s="505">
        <f t="shared" si="11"/>
        <v>46515.052565710954</v>
      </c>
      <c r="H85" s="505">
        <f t="shared" si="11"/>
        <v>69626.768746760805</v>
      </c>
      <c r="I85" s="505">
        <f t="shared" si="11"/>
        <v>97312.516994466714</v>
      </c>
      <c r="J85" s="505">
        <f t="shared" si="11"/>
        <v>60029.576038206527</v>
      </c>
      <c r="K85" s="505">
        <f t="shared" si="11"/>
        <v>136713.45870205021</v>
      </c>
      <c r="L85" s="505">
        <f t="shared" si="11"/>
        <v>161327.71155403191</v>
      </c>
      <c r="M85" s="505">
        <f t="shared" si="11"/>
        <v>184442.14612082782</v>
      </c>
      <c r="N85" s="505">
        <f t="shared" si="11"/>
        <v>202256.64784994835</v>
      </c>
      <c r="O85" s="505">
        <f t="shared" si="11"/>
        <v>203379.4529884251</v>
      </c>
      <c r="P85" s="472"/>
      <c r="Q85" s="473"/>
      <c r="R85" s="472"/>
      <c r="S85" s="472"/>
      <c r="T85" s="472"/>
      <c r="U85" s="472"/>
      <c r="V85" s="472"/>
      <c r="W85" s="121"/>
      <c r="X85" s="121"/>
      <c r="Y85" s="121"/>
      <c r="Z85" s="121"/>
      <c r="AA85" s="121"/>
    </row>
    <row r="86" spans="1:27" ht="17.25" thickBot="1" x14ac:dyDescent="0.35">
      <c r="A86" s="44"/>
      <c r="B86" s="121"/>
      <c r="C86" s="512"/>
      <c r="D86" s="44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473"/>
      <c r="R86" s="472"/>
      <c r="S86" s="472"/>
      <c r="T86" s="472"/>
      <c r="U86" s="472"/>
      <c r="V86" s="472"/>
      <c r="W86" s="121"/>
      <c r="X86" s="121"/>
      <c r="Y86" s="121"/>
      <c r="Z86" s="121"/>
      <c r="AA86" s="121"/>
    </row>
    <row r="87" spans="1:27" ht="17.25" thickBot="1" x14ac:dyDescent="0.35">
      <c r="A87" s="44"/>
      <c r="B87" s="121"/>
      <c r="C87" s="382" t="s">
        <v>448</v>
      </c>
      <c r="D87" s="518">
        <f>NPV(CAPM!C26,F85:O85)+D85</f>
        <v>407180.84488099569</v>
      </c>
      <c r="E87" s="550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</row>
    <row r="88" spans="1:27" ht="17.25" thickBot="1" x14ac:dyDescent="0.35">
      <c r="A88" s="44"/>
      <c r="B88" s="121"/>
      <c r="C88" s="513" t="s">
        <v>447</v>
      </c>
      <c r="D88" s="585">
        <f>IRR(D85:O85)</f>
        <v>0.20988894592572138</v>
      </c>
      <c r="E88" s="55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</row>
    <row r="89" spans="1:27" ht="17.25" thickBot="1" x14ac:dyDescent="0.35">
      <c r="A89" s="44"/>
      <c r="B89" s="121"/>
      <c r="C89" s="511" t="s">
        <v>88</v>
      </c>
      <c r="D89" s="515">
        <v>0</v>
      </c>
      <c r="E89" s="515"/>
      <c r="F89" s="516">
        <v>2012</v>
      </c>
      <c r="G89" s="516">
        <v>2013</v>
      </c>
      <c r="H89" s="516">
        <v>2014</v>
      </c>
      <c r="I89" s="516">
        <v>2015</v>
      </c>
      <c r="J89" s="516">
        <v>2016</v>
      </c>
      <c r="K89" s="516">
        <v>2017</v>
      </c>
      <c r="L89" s="516">
        <v>2018</v>
      </c>
      <c r="M89" s="516">
        <v>2019</v>
      </c>
      <c r="N89" s="516">
        <v>2020</v>
      </c>
      <c r="O89" s="516">
        <v>2021</v>
      </c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</row>
    <row r="90" spans="1:27" ht="17.25" thickBot="1" x14ac:dyDescent="0.35">
      <c r="A90" s="44"/>
      <c r="B90" s="121"/>
      <c r="C90" s="504" t="s">
        <v>446</v>
      </c>
      <c r="D90" s="517">
        <f>D85</f>
        <v>-104063.90480000002</v>
      </c>
      <c r="E90" s="517"/>
      <c r="F90" s="517">
        <f>D90+F85</f>
        <v>-112149.74879510264</v>
      </c>
      <c r="G90" s="517">
        <f t="shared" ref="G90:O90" si="12">F90+G85</f>
        <v>-65634.696229391688</v>
      </c>
      <c r="H90" s="517">
        <f t="shared" si="12"/>
        <v>3992.0725173691171</v>
      </c>
      <c r="I90" s="517">
        <f t="shared" si="12"/>
        <v>101304.58951183583</v>
      </c>
      <c r="J90" s="517">
        <f t="shared" si="12"/>
        <v>161334.16555004235</v>
      </c>
      <c r="K90" s="517">
        <f t="shared" si="12"/>
        <v>298047.62425209256</v>
      </c>
      <c r="L90" s="517">
        <f t="shared" si="12"/>
        <v>459375.33580612449</v>
      </c>
      <c r="M90" s="517">
        <f t="shared" si="12"/>
        <v>643817.48192695226</v>
      </c>
      <c r="N90" s="517">
        <f t="shared" si="12"/>
        <v>846074.12977690063</v>
      </c>
      <c r="O90" s="517">
        <f t="shared" si="12"/>
        <v>1049453.5827653257</v>
      </c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</row>
    <row r="91" spans="1:27" ht="17.25" thickBot="1" x14ac:dyDescent="0.35">
      <c r="A91" s="44"/>
      <c r="B91" s="121"/>
      <c r="C91" s="504" t="s">
        <v>446</v>
      </c>
      <c r="D91" s="514">
        <f>D82</f>
        <v>-104063.90480000002</v>
      </c>
      <c r="E91" s="514"/>
      <c r="F91" s="514">
        <f>D91+F85</f>
        <v>-112149.74879510264</v>
      </c>
      <c r="G91" s="514">
        <f t="shared" ref="G91:O91" si="13">F91+G85</f>
        <v>-65634.696229391688</v>
      </c>
      <c r="H91" s="514">
        <f t="shared" si="13"/>
        <v>3992.0725173691171</v>
      </c>
      <c r="I91" s="514">
        <f t="shared" si="13"/>
        <v>101304.58951183583</v>
      </c>
      <c r="J91" s="514">
        <f t="shared" si="13"/>
        <v>161334.16555004235</v>
      </c>
      <c r="K91" s="514">
        <f t="shared" si="13"/>
        <v>298047.62425209256</v>
      </c>
      <c r="L91" s="514">
        <f t="shared" si="13"/>
        <v>459375.33580612449</v>
      </c>
      <c r="M91" s="514">
        <f t="shared" si="13"/>
        <v>643817.48192695226</v>
      </c>
      <c r="N91" s="514">
        <f t="shared" si="13"/>
        <v>846074.12977690063</v>
      </c>
      <c r="O91" s="514">
        <f t="shared" si="13"/>
        <v>1049453.5827653257</v>
      </c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</row>
    <row r="92" spans="1:27" ht="16.5" x14ac:dyDescent="0.3">
      <c r="A92" s="44"/>
      <c r="B92" s="121"/>
      <c r="C92" s="121"/>
      <c r="D92" s="471"/>
      <c r="E92" s="47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</row>
  </sheetData>
  <mergeCells count="13">
    <mergeCell ref="A1:B80"/>
    <mergeCell ref="C2:C3"/>
    <mergeCell ref="F2:Q2"/>
    <mergeCell ref="S2:S3"/>
    <mergeCell ref="R2:R3"/>
    <mergeCell ref="Y2:Y3"/>
    <mergeCell ref="Z2:Z3"/>
    <mergeCell ref="AA2:AA3"/>
    <mergeCell ref="T2:T3"/>
    <mergeCell ref="U2:U3"/>
    <mergeCell ref="V2:V3"/>
    <mergeCell ref="W2:W3"/>
    <mergeCell ref="X2:X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5" workbookViewId="0">
      <selection activeCell="I40" sqref="I40"/>
    </sheetView>
  </sheetViews>
  <sheetFormatPr baseColWidth="10" defaultRowHeight="15" x14ac:dyDescent="0.25"/>
  <cols>
    <col min="3" max="3" width="10.7109375" customWidth="1"/>
    <col min="4" max="4" width="10.28515625" customWidth="1"/>
    <col min="5" max="5" width="10.7109375" customWidth="1"/>
    <col min="6" max="6" width="10.42578125" customWidth="1"/>
    <col min="7" max="7" width="10.28515625" customWidth="1"/>
    <col min="8" max="8" width="10.140625" customWidth="1"/>
  </cols>
  <sheetData>
    <row r="1" spans="1:8" ht="15.75" thickBot="1" x14ac:dyDescent="0.3"/>
    <row r="2" spans="1:8" ht="15.75" x14ac:dyDescent="0.25">
      <c r="A2" s="564" t="s">
        <v>467</v>
      </c>
      <c r="B2" s="564"/>
      <c r="C2" s="565"/>
      <c r="D2" s="565"/>
      <c r="E2" s="565"/>
      <c r="F2" s="565"/>
      <c r="G2" s="565"/>
      <c r="H2" s="565"/>
    </row>
    <row r="3" spans="1:8" ht="15.75" x14ac:dyDescent="0.25">
      <c r="A3" s="566"/>
      <c r="B3" s="566"/>
      <c r="C3" s="567" t="s">
        <v>468</v>
      </c>
      <c r="D3" s="568">
        <v>0.1</v>
      </c>
      <c r="E3" s="568">
        <v>0.11</v>
      </c>
      <c r="F3" s="569">
        <v>0.12636290485423657</v>
      </c>
      <c r="G3" s="568">
        <v>0.13</v>
      </c>
      <c r="H3" s="568">
        <v>0.14000000000000001</v>
      </c>
    </row>
    <row r="4" spans="1:8" x14ac:dyDescent="0.25">
      <c r="A4" s="571" t="s">
        <v>469</v>
      </c>
      <c r="B4" s="571"/>
      <c r="C4" s="572"/>
      <c r="D4" s="572"/>
      <c r="E4" s="572"/>
      <c r="F4" s="572"/>
      <c r="G4" s="572"/>
      <c r="H4" s="572"/>
    </row>
    <row r="5" spans="1:8" x14ac:dyDescent="0.25">
      <c r="A5" s="570" t="s">
        <v>477</v>
      </c>
      <c r="B5" s="570"/>
      <c r="C5" s="573">
        <v>0.09</v>
      </c>
      <c r="D5" s="574">
        <v>0.1</v>
      </c>
      <c r="E5" s="574">
        <v>0.11</v>
      </c>
      <c r="F5" s="575">
        <v>0.12636290485423657</v>
      </c>
      <c r="G5" s="574">
        <v>0.13</v>
      </c>
      <c r="H5" s="574">
        <v>0.14000000000000001</v>
      </c>
    </row>
    <row r="6" spans="1:8" x14ac:dyDescent="0.25">
      <c r="A6" s="571" t="s">
        <v>470</v>
      </c>
      <c r="B6" s="571"/>
      <c r="C6" s="576"/>
      <c r="D6" s="576"/>
      <c r="E6" s="576"/>
      <c r="F6" s="576"/>
      <c r="G6" s="576"/>
      <c r="H6" s="576"/>
    </row>
    <row r="7" spans="1:8" ht="15.75" thickBot="1" x14ac:dyDescent="0.3">
      <c r="A7" s="577" t="s">
        <v>475</v>
      </c>
      <c r="B7" s="577"/>
      <c r="C7" s="259">
        <v>530756.1686152633</v>
      </c>
      <c r="D7" s="259">
        <v>493268.12084428465</v>
      </c>
      <c r="E7" s="259">
        <v>458568.10691829911</v>
      </c>
      <c r="F7" s="578">
        <v>407180.84488099569</v>
      </c>
      <c r="G7" s="578">
        <v>396589.85941711254</v>
      </c>
      <c r="H7" s="578">
        <v>368896.58649809152</v>
      </c>
    </row>
    <row r="8" spans="1:8" x14ac:dyDescent="0.25">
      <c r="A8" s="44" t="s">
        <v>471</v>
      </c>
      <c r="B8" s="44"/>
      <c r="C8" s="44"/>
      <c r="D8" s="44"/>
      <c r="E8" s="44"/>
      <c r="F8" s="44"/>
      <c r="G8" s="44"/>
      <c r="H8" s="44"/>
    </row>
    <row r="9" spans="1:8" x14ac:dyDescent="0.25">
      <c r="A9" s="44" t="s">
        <v>472</v>
      </c>
      <c r="B9" s="44"/>
      <c r="C9" s="44"/>
      <c r="D9" s="44"/>
      <c r="E9" s="44"/>
      <c r="F9" s="44"/>
      <c r="G9" s="44"/>
      <c r="H9" s="44"/>
    </row>
    <row r="10" spans="1:8" x14ac:dyDescent="0.25">
      <c r="A10" s="44" t="s">
        <v>473</v>
      </c>
      <c r="B10" s="44"/>
      <c r="C10" s="44"/>
      <c r="D10" s="44"/>
      <c r="E10" s="44"/>
      <c r="F10" s="44"/>
      <c r="G10" s="44"/>
      <c r="H10" s="44"/>
    </row>
    <row r="11" spans="1:8" x14ac:dyDescent="0.25">
      <c r="A11" s="44"/>
      <c r="B11" s="44"/>
      <c r="C11" s="44"/>
      <c r="D11" s="44"/>
      <c r="E11" s="44"/>
      <c r="F11" s="44"/>
      <c r="G11" s="44"/>
      <c r="H11" s="44"/>
    </row>
    <row r="12" spans="1:8" x14ac:dyDescent="0.25">
      <c r="B12" s="589" t="s">
        <v>466</v>
      </c>
      <c r="C12" s="587">
        <v>0.09</v>
      </c>
      <c r="D12" s="588">
        <v>0.1</v>
      </c>
      <c r="E12" s="588">
        <v>0.11</v>
      </c>
      <c r="F12" s="588">
        <v>0.12636290485423657</v>
      </c>
      <c r="G12" s="588">
        <v>0.13</v>
      </c>
      <c r="H12" s="588">
        <v>0.14000000000000001</v>
      </c>
    </row>
    <row r="13" spans="1:8" x14ac:dyDescent="0.25">
      <c r="B13" s="590" t="s">
        <v>448</v>
      </c>
      <c r="C13" s="586">
        <f>C7</f>
        <v>530756.1686152633</v>
      </c>
      <c r="D13" s="586">
        <f t="shared" ref="D13:H13" si="0">D7</f>
        <v>493268.12084428465</v>
      </c>
      <c r="E13" s="586">
        <f t="shared" si="0"/>
        <v>458568.10691829911</v>
      </c>
      <c r="F13" s="586">
        <f t="shared" si="0"/>
        <v>407180.84488099569</v>
      </c>
      <c r="G13" s="586">
        <f t="shared" si="0"/>
        <v>396589.85941711254</v>
      </c>
      <c r="H13" s="586">
        <f t="shared" si="0"/>
        <v>368896.58649809152</v>
      </c>
    </row>
    <row r="18" spans="1:8" ht="15.75" thickBot="1" x14ac:dyDescent="0.3"/>
    <row r="19" spans="1:8" ht="15.75" x14ac:dyDescent="0.25">
      <c r="A19" s="564" t="s">
        <v>467</v>
      </c>
      <c r="B19" s="564"/>
      <c r="C19" s="565"/>
      <c r="D19" s="565"/>
      <c r="E19" s="565"/>
      <c r="F19" s="565"/>
      <c r="G19" s="565"/>
      <c r="H19" s="565"/>
    </row>
    <row r="20" spans="1:8" ht="15.75" x14ac:dyDescent="0.25">
      <c r="A20" s="566"/>
      <c r="B20" s="566"/>
      <c r="C20" s="579" t="s">
        <v>468</v>
      </c>
      <c r="D20" s="579">
        <v>0.52</v>
      </c>
      <c r="E20" s="579">
        <v>0.54</v>
      </c>
      <c r="F20" s="579">
        <v>0.56000000000000005</v>
      </c>
      <c r="G20" s="579">
        <v>0.57999999999999996</v>
      </c>
      <c r="H20" s="579">
        <v>0.6</v>
      </c>
    </row>
    <row r="21" spans="1:8" x14ac:dyDescent="0.25">
      <c r="A21" s="571" t="s">
        <v>469</v>
      </c>
      <c r="B21" s="571"/>
      <c r="C21" s="580"/>
      <c r="D21" s="580"/>
      <c r="E21" s="580"/>
      <c r="F21" s="580"/>
      <c r="G21" s="580"/>
      <c r="H21" s="580"/>
    </row>
    <row r="22" spans="1:8" x14ac:dyDescent="0.25">
      <c r="A22" s="570" t="s">
        <v>474</v>
      </c>
      <c r="B22" s="570"/>
      <c r="C22" s="581">
        <v>0.5</v>
      </c>
      <c r="D22" s="582">
        <v>0.52</v>
      </c>
      <c r="E22" s="582">
        <v>0.54</v>
      </c>
      <c r="F22" s="582">
        <v>0.56000000000000005</v>
      </c>
      <c r="G22" s="582">
        <v>0.57999999999999996</v>
      </c>
      <c r="H22" s="582">
        <v>0.6</v>
      </c>
    </row>
    <row r="23" spans="1:8" x14ac:dyDescent="0.25">
      <c r="A23" s="571" t="s">
        <v>470</v>
      </c>
      <c r="B23" s="571"/>
      <c r="C23" s="576"/>
      <c r="D23" s="576"/>
      <c r="E23" s="576"/>
      <c r="F23" s="576"/>
      <c r="G23" s="576"/>
      <c r="H23" s="576"/>
    </row>
    <row r="24" spans="1:8" ht="15.75" thickBot="1" x14ac:dyDescent="0.3">
      <c r="A24" s="577" t="s">
        <v>475</v>
      </c>
      <c r="B24" s="577"/>
      <c r="C24" s="578">
        <v>278355.66761778714</v>
      </c>
      <c r="D24" s="259">
        <v>349747.0352422627</v>
      </c>
      <c r="E24" s="578">
        <v>407180.84488099569</v>
      </c>
      <c r="F24" s="578">
        <v>475648.16198388638</v>
      </c>
      <c r="G24" s="259">
        <v>529905.60137848754</v>
      </c>
      <c r="H24" s="259">
        <v>584163.04077308858</v>
      </c>
    </row>
    <row r="25" spans="1:8" x14ac:dyDescent="0.25">
      <c r="A25" s="44" t="s">
        <v>471</v>
      </c>
      <c r="B25" s="44"/>
      <c r="C25" s="44"/>
      <c r="D25" s="44"/>
      <c r="E25" s="44"/>
      <c r="F25" s="44"/>
      <c r="G25" s="44"/>
      <c r="H25" s="44"/>
    </row>
    <row r="26" spans="1:8" x14ac:dyDescent="0.25">
      <c r="A26" s="44" t="s">
        <v>472</v>
      </c>
      <c r="B26" s="44"/>
      <c r="C26" s="44"/>
      <c r="D26" s="44"/>
      <c r="E26" s="44"/>
      <c r="F26" s="44"/>
      <c r="G26" s="44"/>
      <c r="H26" s="44"/>
    </row>
    <row r="27" spans="1:8" x14ac:dyDescent="0.25">
      <c r="A27" s="44" t="s">
        <v>473</v>
      </c>
      <c r="B27" s="44"/>
      <c r="C27" s="44"/>
      <c r="D27" s="44"/>
      <c r="E27" s="44"/>
      <c r="F27" s="44"/>
      <c r="G27" s="44"/>
      <c r="H27" s="44"/>
    </row>
    <row r="28" spans="1:8" x14ac:dyDescent="0.25">
      <c r="A28" s="44"/>
      <c r="B28" s="44"/>
      <c r="C28" s="44"/>
      <c r="D28" s="44"/>
      <c r="E28" s="44"/>
      <c r="F28" s="44"/>
      <c r="G28" s="44"/>
      <c r="H28" s="44"/>
    </row>
    <row r="29" spans="1:8" x14ac:dyDescent="0.25">
      <c r="B29" s="589" t="s">
        <v>476</v>
      </c>
      <c r="C29" s="591">
        <v>0.5</v>
      </c>
      <c r="D29" s="592">
        <v>0.52</v>
      </c>
      <c r="E29" s="592">
        <v>0.54</v>
      </c>
      <c r="F29" s="592">
        <v>0.56000000000000005</v>
      </c>
      <c r="G29" s="592">
        <v>0.57999999999999996</v>
      </c>
      <c r="H29" s="592">
        <v>0.6</v>
      </c>
    </row>
    <row r="30" spans="1:8" x14ac:dyDescent="0.25">
      <c r="B30" s="590" t="s">
        <v>448</v>
      </c>
      <c r="C30" s="586">
        <f>C24</f>
        <v>278355.66761778714</v>
      </c>
      <c r="D30" s="586">
        <f t="shared" ref="D30:H30" si="1">D24</f>
        <v>349747.0352422627</v>
      </c>
      <c r="E30" s="586">
        <f t="shared" si="1"/>
        <v>407180.84488099569</v>
      </c>
      <c r="F30" s="586">
        <f t="shared" si="1"/>
        <v>475648.16198388638</v>
      </c>
      <c r="G30" s="586">
        <f t="shared" si="1"/>
        <v>529905.60137848754</v>
      </c>
      <c r="H30" s="586">
        <f t="shared" si="1"/>
        <v>584163.04077308858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workbookViewId="0">
      <selection activeCell="A18" sqref="A18"/>
    </sheetView>
  </sheetViews>
  <sheetFormatPr baseColWidth="10" defaultRowHeight="15" x14ac:dyDescent="0.25"/>
  <sheetData>
    <row r="2" spans="2:13" x14ac:dyDescent="0.25">
      <c r="B2" s="44" t="s">
        <v>453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2:13" x14ac:dyDescent="0.25">
      <c r="B3" s="44" t="s">
        <v>454</v>
      </c>
      <c r="C3" s="240">
        <v>2.2100000000000002E-2</v>
      </c>
      <c r="D3" s="44" t="s">
        <v>455</v>
      </c>
      <c r="E3" s="44"/>
      <c r="F3" s="44"/>
      <c r="G3" s="44"/>
      <c r="H3" s="44"/>
      <c r="I3" s="44"/>
      <c r="J3" s="44"/>
      <c r="K3" s="44"/>
      <c r="L3" s="44"/>
      <c r="M3" s="44"/>
    </row>
    <row r="4" spans="2:13" ht="15.75" x14ac:dyDescent="0.25">
      <c r="B4" s="44" t="s">
        <v>456</v>
      </c>
      <c r="C4" s="552">
        <v>5.3100000000000001E-2</v>
      </c>
      <c r="D4" s="44" t="s">
        <v>457</v>
      </c>
      <c r="E4" s="44"/>
      <c r="F4" s="44"/>
      <c r="G4" s="44"/>
      <c r="H4" s="44"/>
      <c r="I4" s="44"/>
      <c r="J4" s="44"/>
      <c r="K4" s="44" t="s">
        <v>458</v>
      </c>
      <c r="L4" s="44"/>
      <c r="M4" s="44"/>
    </row>
    <row r="5" spans="2:13" ht="15.75" x14ac:dyDescent="0.25">
      <c r="B5" s="553" t="s">
        <v>459</v>
      </c>
      <c r="C5" s="554">
        <v>0.76977112433021144</v>
      </c>
      <c r="D5" s="44" t="s">
        <v>460</v>
      </c>
      <c r="E5" s="44"/>
      <c r="F5" s="44"/>
      <c r="G5" s="44"/>
      <c r="H5" s="44"/>
      <c r="I5" s="44"/>
      <c r="J5" s="44"/>
      <c r="K5" s="44"/>
      <c r="L5" s="44"/>
      <c r="M5" s="555" t="s">
        <v>461</v>
      </c>
    </row>
    <row r="6" spans="2:13" x14ac:dyDescent="0.25">
      <c r="B6" s="556" t="s">
        <v>462</v>
      </c>
      <c r="C6" s="240">
        <v>8.0399999999999999E-2</v>
      </c>
      <c r="D6" s="44" t="s">
        <v>463</v>
      </c>
      <c r="E6" s="44" t="s">
        <v>464</v>
      </c>
      <c r="F6" s="44"/>
      <c r="G6" s="44"/>
      <c r="H6" s="555" t="s">
        <v>465</v>
      </c>
      <c r="I6" s="44"/>
      <c r="J6" s="44"/>
      <c r="K6" s="44"/>
      <c r="L6" s="44"/>
      <c r="M6" s="44"/>
    </row>
    <row r="7" spans="2:13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2:13" x14ac:dyDescent="0.25">
      <c r="B8" s="44"/>
      <c r="C8" s="44"/>
      <c r="D8" s="44"/>
      <c r="E8" s="44"/>
      <c r="F8" s="44"/>
      <c r="G8" s="44"/>
      <c r="H8" s="44"/>
      <c r="K8" s="44"/>
      <c r="L8" s="44"/>
      <c r="M8" s="44"/>
    </row>
    <row r="9" spans="2:13" x14ac:dyDescent="0.25">
      <c r="B9" s="44"/>
      <c r="C9" s="44"/>
      <c r="D9" s="44"/>
      <c r="E9" s="44"/>
      <c r="F9" s="44"/>
      <c r="G9" s="44"/>
      <c r="H9" s="44"/>
      <c r="K9" s="44"/>
      <c r="L9" s="44"/>
      <c r="M9" s="44"/>
    </row>
    <row r="10" spans="2:13" x14ac:dyDescent="0.25">
      <c r="B10" s="44"/>
      <c r="C10" s="44"/>
      <c r="D10" s="44"/>
      <c r="E10" s="44"/>
      <c r="F10" s="44"/>
      <c r="G10" s="44"/>
      <c r="H10" s="44"/>
      <c r="K10" s="44"/>
      <c r="L10" s="44"/>
      <c r="M10" s="44"/>
    </row>
    <row r="11" spans="2:13" x14ac:dyDescent="0.25">
      <c r="B11" s="44"/>
      <c r="C11" s="44"/>
      <c r="D11" s="44"/>
      <c r="E11" s="44"/>
      <c r="F11" s="44"/>
      <c r="G11" s="44"/>
      <c r="H11" s="44"/>
      <c r="K11" s="44"/>
      <c r="L11" s="44"/>
      <c r="M11" s="44"/>
    </row>
    <row r="12" spans="2:13" x14ac:dyDescent="0.25">
      <c r="B12" s="44"/>
      <c r="C12" s="44"/>
      <c r="D12" s="44"/>
      <c r="E12" s="44"/>
      <c r="F12" s="44"/>
      <c r="G12" s="44"/>
      <c r="H12" s="44"/>
      <c r="K12" s="44"/>
      <c r="L12" s="44"/>
      <c r="M12" s="44"/>
    </row>
    <row r="13" spans="2:13" x14ac:dyDescent="0.25">
      <c r="B13" s="44"/>
      <c r="C13" s="44"/>
      <c r="D13" s="44"/>
      <c r="E13" s="44"/>
      <c r="F13" s="44"/>
      <c r="G13" s="44"/>
      <c r="H13" s="44"/>
      <c r="K13" s="44"/>
      <c r="L13" s="44"/>
      <c r="M13" s="44"/>
    </row>
    <row r="14" spans="2:13" x14ac:dyDescent="0.25">
      <c r="B14" s="44"/>
      <c r="C14" s="44"/>
      <c r="D14" s="44"/>
      <c r="E14" s="44"/>
      <c r="F14" s="44"/>
      <c r="G14" s="44"/>
      <c r="H14" s="44"/>
      <c r="K14" s="44"/>
      <c r="L14" s="44"/>
      <c r="M14" s="44"/>
    </row>
    <row r="15" spans="2:13" x14ac:dyDescent="0.25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2:13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2:13" x14ac:dyDescent="0.25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2:13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20" spans="2:13" x14ac:dyDescent="0.25">
      <c r="B20" s="721" t="s">
        <v>466</v>
      </c>
      <c r="C20" s="721"/>
    </row>
    <row r="21" spans="2:13" x14ac:dyDescent="0.25">
      <c r="B21" s="557" t="s">
        <v>454</v>
      </c>
      <c r="C21" s="558">
        <v>2.2100000000000002E-2</v>
      </c>
    </row>
    <row r="22" spans="2:13" ht="15.75" x14ac:dyDescent="0.25">
      <c r="B22" s="557" t="s">
        <v>456</v>
      </c>
      <c r="C22" s="559">
        <v>5.3100000000000001E-2</v>
      </c>
    </row>
    <row r="23" spans="2:13" ht="15.75" x14ac:dyDescent="0.25">
      <c r="B23" s="560" t="s">
        <v>459</v>
      </c>
      <c r="C23" s="561">
        <v>0.76977112433021144</v>
      </c>
    </row>
    <row r="24" spans="2:13" x14ac:dyDescent="0.25">
      <c r="B24" s="560" t="s">
        <v>462</v>
      </c>
      <c r="C24" s="558">
        <v>8.0399999999999999E-2</v>
      </c>
    </row>
    <row r="25" spans="2:13" x14ac:dyDescent="0.25">
      <c r="B25" s="44"/>
      <c r="C25" s="44"/>
    </row>
    <row r="26" spans="2:13" x14ac:dyDescent="0.25">
      <c r="B26" s="562" t="s">
        <v>466</v>
      </c>
      <c r="C26" s="563">
        <f>(C21+C23*(C22-C21))+C24</f>
        <v>0.12636290485423657</v>
      </c>
      <c r="D26" s="583"/>
      <c r="E26" s="583"/>
      <c r="F26" s="583"/>
      <c r="G26" s="583"/>
      <c r="H26" s="583"/>
    </row>
  </sheetData>
  <mergeCells count="1">
    <mergeCell ref="B20:C20"/>
  </mergeCells>
  <hyperlinks>
    <hyperlink ref="M5" r:id="rId1"/>
    <hyperlink ref="H6" r:id="rId2"/>
  </hyperlinks>
  <pageMargins left="0.7" right="0.7" top="0.75" bottom="0.75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A10" workbookViewId="0">
      <selection activeCell="J32" sqref="J32"/>
    </sheetView>
  </sheetViews>
  <sheetFormatPr baseColWidth="10" defaultRowHeight="15" x14ac:dyDescent="0.25"/>
  <sheetData>
    <row r="1" spans="1:26" s="44" customFormat="1" x14ac:dyDescent="0.25">
      <c r="A1" s="722">
        <f>A2/SUM(A2:F2)</f>
        <v>0.16666666666666666</v>
      </c>
      <c r="B1" s="722"/>
      <c r="C1" s="722">
        <f>C2/SUM(A2:F2)</f>
        <v>0.33333333333333331</v>
      </c>
      <c r="D1" s="722"/>
      <c r="E1" s="722">
        <f>E2/SUM(A2:F2)</f>
        <v>0.5</v>
      </c>
      <c r="F1" s="722"/>
    </row>
    <row r="2" spans="1:26" s="44" customFormat="1" x14ac:dyDescent="0.25">
      <c r="A2" s="724">
        <v>1</v>
      </c>
      <c r="B2" s="724"/>
      <c r="C2" s="724">
        <v>2</v>
      </c>
      <c r="D2" s="724"/>
      <c r="E2" s="724">
        <v>3</v>
      </c>
      <c r="F2" s="724"/>
    </row>
    <row r="3" spans="1:26" s="201" customFormat="1" x14ac:dyDescent="0.25">
      <c r="A3" s="723">
        <v>2010</v>
      </c>
      <c r="B3" s="723"/>
      <c r="C3" s="723">
        <v>2011</v>
      </c>
      <c r="D3" s="723"/>
      <c r="E3" s="723">
        <v>2012</v>
      </c>
      <c r="F3" s="723"/>
      <c r="G3" s="723">
        <v>2013</v>
      </c>
      <c r="H3" s="723"/>
      <c r="I3" s="723">
        <v>2014</v>
      </c>
      <c r="J3" s="723"/>
      <c r="K3" s="723">
        <v>2015</v>
      </c>
      <c r="L3" s="723"/>
      <c r="M3" s="723">
        <v>2016</v>
      </c>
      <c r="N3" s="723"/>
      <c r="O3" s="723">
        <v>2017</v>
      </c>
      <c r="P3" s="723"/>
      <c r="Q3" s="723">
        <v>2018</v>
      </c>
      <c r="R3" s="723"/>
      <c r="S3" s="723">
        <v>2019</v>
      </c>
      <c r="T3" s="723"/>
      <c r="U3" s="723">
        <v>2020</v>
      </c>
      <c r="V3" s="723"/>
      <c r="W3" s="723">
        <v>2021</v>
      </c>
      <c r="X3" s="723"/>
      <c r="Y3" s="723">
        <v>2022</v>
      </c>
      <c r="Z3" s="723"/>
    </row>
    <row r="4" spans="1:26" x14ac:dyDescent="0.25">
      <c r="A4" s="216" t="s">
        <v>252</v>
      </c>
      <c r="B4" s="217">
        <v>3.85E-2</v>
      </c>
      <c r="C4" s="218" t="s">
        <v>241</v>
      </c>
      <c r="D4" s="219">
        <v>3.1699999999999999E-2</v>
      </c>
      <c r="E4" s="218" t="s">
        <v>229</v>
      </c>
      <c r="F4" s="219">
        <v>5.2900000000000003E-2</v>
      </c>
      <c r="G4" s="220" t="s">
        <v>255</v>
      </c>
      <c r="H4" s="207">
        <f t="shared" ref="H4:H16" si="0">($A$1*B4)+($C$1*D4)+($E$1*F4)</f>
        <v>4.3433333333333331E-2</v>
      </c>
      <c r="I4" s="220" t="s">
        <v>255</v>
      </c>
      <c r="J4" s="207">
        <f t="shared" ref="J4:J15" si="1">($A$1*D4)+($C$1*F4)+($E$1*H4)</f>
        <v>4.463333333333333E-2</v>
      </c>
      <c r="K4" s="220" t="s">
        <v>255</v>
      </c>
      <c r="L4" s="207">
        <f>($A$1*F4)+($C$1*H4)+($E$1*J4)</f>
        <v>4.5611111111111109E-2</v>
      </c>
      <c r="M4" s="220" t="s">
        <v>255</v>
      </c>
      <c r="N4" s="207">
        <f>($A$1*H4)+($C$1*J4)+($E$1*L4)</f>
        <v>4.4922222222222224E-2</v>
      </c>
      <c r="O4" s="220" t="s">
        <v>255</v>
      </c>
      <c r="P4" s="207">
        <f>($A$1*J4)+($C$1*L4)+($E$1*N4)</f>
        <v>4.5103703703703701E-2</v>
      </c>
      <c r="Q4" s="220" t="s">
        <v>255</v>
      </c>
      <c r="R4" s="207">
        <f>($A$1*L4)+($C$1*N4)+($E$1*P4)</f>
        <v>4.5127777777777774E-2</v>
      </c>
      <c r="S4" s="220" t="s">
        <v>255</v>
      </c>
      <c r="T4" s="207">
        <f>($A$1*N4)+($C$1*P4)+($E$1*R4)</f>
        <v>4.508549382716049E-2</v>
      </c>
      <c r="U4" s="220" t="s">
        <v>255</v>
      </c>
      <c r="V4" s="207">
        <f>($A$1*P4)+($C$1*R4)+($E$1*T4)</f>
        <v>4.5102623456790114E-2</v>
      </c>
      <c r="W4" s="220" t="s">
        <v>255</v>
      </c>
      <c r="X4" s="207">
        <f>($A$1*R4)+($C$1*T4)+($E$1*V4)</f>
        <v>4.5101105967078184E-2</v>
      </c>
      <c r="Y4" s="220" t="s">
        <v>255</v>
      </c>
      <c r="Z4" s="207">
        <f>($A$1*T4)+($C$1*V4)+($E$1*X4)</f>
        <v>4.5099009773662546E-2</v>
      </c>
    </row>
    <row r="5" spans="1:26" ht="19.5" x14ac:dyDescent="0.25">
      <c r="A5" s="199" t="s">
        <v>253</v>
      </c>
      <c r="B5" s="200">
        <v>3.3399999999999999E-2</v>
      </c>
      <c r="C5" s="198" t="s">
        <v>240</v>
      </c>
      <c r="D5" s="208">
        <v>3.39E-2</v>
      </c>
      <c r="E5" s="212" t="s">
        <v>228</v>
      </c>
      <c r="F5" s="213">
        <v>5.5300000000000002E-2</v>
      </c>
      <c r="G5" s="202" t="s">
        <v>162</v>
      </c>
      <c r="H5" s="203">
        <f t="shared" si="0"/>
        <v>4.4516666666666663E-2</v>
      </c>
      <c r="I5" s="202" t="s">
        <v>162</v>
      </c>
      <c r="J5" s="203">
        <f t="shared" si="1"/>
        <v>4.6341666666666663E-2</v>
      </c>
      <c r="K5" s="202" t="s">
        <v>162</v>
      </c>
      <c r="L5" s="203">
        <f>($A$1*F5)+($C$1*H5)+($E$1*J5)</f>
        <v>4.7226388888888887E-2</v>
      </c>
      <c r="M5" s="202" t="s">
        <v>162</v>
      </c>
      <c r="N5" s="203">
        <f>($A$1*H5)+($C$1*J5)+($E$1*L5)</f>
        <v>4.6479861111111104E-2</v>
      </c>
      <c r="O5" s="202" t="s">
        <v>162</v>
      </c>
      <c r="P5" s="203">
        <f>($A$1*J5)+($C$1*L5)+($E$1*N5)</f>
        <v>4.670567129629629E-2</v>
      </c>
      <c r="Q5" s="202" t="s">
        <v>162</v>
      </c>
      <c r="R5" s="203">
        <f>($A$1*L5)+($C$1*N5)+($E$1*P5)</f>
        <v>4.6717187499999993E-2</v>
      </c>
      <c r="S5" s="202" t="s">
        <v>162</v>
      </c>
      <c r="T5" s="203">
        <f>($A$1*N5)+($C$1*P5)+($E$1*R5)</f>
        <v>4.6673794367283944E-2</v>
      </c>
      <c r="U5" s="202" t="s">
        <v>162</v>
      </c>
      <c r="V5" s="203">
        <f>($A$1*P5)+($C$1*R5)+($E$1*T5)</f>
        <v>4.6693571566358019E-2</v>
      </c>
      <c r="W5" s="202" t="s">
        <v>162</v>
      </c>
      <c r="X5" s="203">
        <f>($A$1*R5)+($C$1*T5)+($E$1*V5)</f>
        <v>4.6690915155606985E-2</v>
      </c>
      <c r="Y5" s="202" t="s">
        <v>162</v>
      </c>
      <c r="Z5" s="203">
        <f>($A$1*T5)+($C$1*V5)+($E$1*X5)</f>
        <v>4.6688947161136821E-2</v>
      </c>
    </row>
    <row r="6" spans="1:26" x14ac:dyDescent="0.25">
      <c r="A6" s="198" t="s">
        <v>251</v>
      </c>
      <c r="B6" s="208">
        <v>3.3500000000000002E-2</v>
      </c>
      <c r="C6" s="198" t="s">
        <v>239</v>
      </c>
      <c r="D6" s="208">
        <v>3.5700000000000003E-2</v>
      </c>
      <c r="E6" s="209" t="s">
        <v>163</v>
      </c>
      <c r="F6" s="210">
        <f>(F5*50%)+(F4*20%)+(D6*20%)+(B6*10%)</f>
        <v>4.8719999999999999E-2</v>
      </c>
      <c r="G6" s="202" t="s">
        <v>163</v>
      </c>
      <c r="H6" s="203">
        <f t="shared" si="0"/>
        <v>4.184333333333333E-2</v>
      </c>
      <c r="I6" s="202" t="s">
        <v>163</v>
      </c>
      <c r="J6" s="203">
        <f t="shared" si="1"/>
        <v>4.3111666666666659E-2</v>
      </c>
      <c r="K6" s="202" t="s">
        <v>163</v>
      </c>
      <c r="L6" s="203">
        <f>($A$1*F6)+($C$1*H6)+($E$1*J6)</f>
        <v>4.3623611111111106E-2</v>
      </c>
      <c r="M6" s="202" t="s">
        <v>163</v>
      </c>
      <c r="N6" s="203">
        <f>($A$1*H6)+($C$1*J6)+($E$1*L6)</f>
        <v>4.3156249999999993E-2</v>
      </c>
      <c r="O6" s="202" t="s">
        <v>163</v>
      </c>
      <c r="P6" s="203">
        <f>($A$1*J6)+($C$1*L6)+($E$1*N6)</f>
        <v>4.3304606481481475E-2</v>
      </c>
      <c r="Q6" s="202" t="s">
        <v>163</v>
      </c>
      <c r="R6" s="203">
        <f>($A$1*L6)+($C$1*N6)+($E$1*P6)</f>
        <v>4.330832175925925E-2</v>
      </c>
      <c r="S6" s="202" t="s">
        <v>163</v>
      </c>
      <c r="T6" s="203">
        <f>($A$1*N6)+($C$1*P6)+($E$1*R6)</f>
        <v>4.3281738040123446E-2</v>
      </c>
      <c r="U6" s="202" t="s">
        <v>163</v>
      </c>
      <c r="V6" s="203">
        <f>($A$1*P6)+($C$1*R6)+($E$1*T6)</f>
        <v>4.3294410686728388E-2</v>
      </c>
      <c r="W6" s="202" t="s">
        <v>163</v>
      </c>
      <c r="X6" s="203">
        <f>($A$1*R6)+($C$1*T6)+($E$1*V6)</f>
        <v>4.3292504983281882E-2</v>
      </c>
      <c r="Y6" s="202" t="s">
        <v>163</v>
      </c>
      <c r="Z6" s="203">
        <f>($A$1*T6)+($C$1*V6)+($E$1*X6)</f>
        <v>4.329134572723764E-2</v>
      </c>
    </row>
    <row r="7" spans="1:26" x14ac:dyDescent="0.25">
      <c r="A7" s="198" t="s">
        <v>250</v>
      </c>
      <c r="B7" s="208">
        <v>3.2099999999999997E-2</v>
      </c>
      <c r="C7" s="198" t="s">
        <v>238</v>
      </c>
      <c r="D7" s="208">
        <v>3.8800000000000001E-2</v>
      </c>
      <c r="E7" s="209" t="s">
        <v>164</v>
      </c>
      <c r="F7" s="210">
        <f>(F6*50%)+(F5*20%)+(D7*20%)+(B7*10%)</f>
        <v>4.6390000000000001E-2</v>
      </c>
      <c r="G7" s="202" t="s">
        <v>164</v>
      </c>
      <c r="H7" s="203">
        <f t="shared" si="0"/>
        <v>4.1478333333333332E-2</v>
      </c>
      <c r="I7" s="202" t="s">
        <v>164</v>
      </c>
      <c r="J7" s="203">
        <f t="shared" si="1"/>
        <v>4.2669166666666661E-2</v>
      </c>
      <c r="K7" s="202" t="s">
        <v>164</v>
      </c>
      <c r="L7" s="203">
        <f t="shared" ref="L7:L15" si="2">($A$1*F7)+($C$1*H7)+($E$1*J7)</f>
        <v>4.289236111111111E-2</v>
      </c>
      <c r="M7" s="202" t="s">
        <v>164</v>
      </c>
      <c r="N7" s="203">
        <f t="shared" ref="N7:N15" si="3">($A$1*H7)+($C$1*J7)+($E$1*L7)</f>
        <v>4.2582291666666661E-2</v>
      </c>
      <c r="O7" s="202" t="s">
        <v>164</v>
      </c>
      <c r="P7" s="203">
        <f t="shared" ref="P7:P15" si="4">($A$1*J7)+($C$1*L7)+($E$1*N7)</f>
        <v>4.2700127314814811E-2</v>
      </c>
      <c r="Q7" s="202" t="s">
        <v>164</v>
      </c>
      <c r="R7" s="203">
        <f t="shared" ref="R7:R15" si="5">($A$1*L7)+($C$1*N7)+($E$1*P7)</f>
        <v>4.2692887731481471E-2</v>
      </c>
      <c r="S7" s="202" t="s">
        <v>164</v>
      </c>
      <c r="T7" s="203">
        <f t="shared" ref="T7:T15" si="6">($A$1*N7)+($C$1*P7)+($E$1*R7)</f>
        <v>4.2676868248456783E-2</v>
      </c>
      <c r="U7" s="202" t="s">
        <v>164</v>
      </c>
      <c r="V7" s="203">
        <f t="shared" ref="V7:V15" si="7">($A$1*P7)+($C$1*R7)+($E$1*T7)</f>
        <v>4.268608458719135E-2</v>
      </c>
      <c r="W7" s="202" t="s">
        <v>164</v>
      </c>
      <c r="X7" s="203">
        <f t="shared" ref="X7:X15" si="8">($A$1*R7)+($C$1*T7)+($E$1*V7)</f>
        <v>4.268414633166151E-2</v>
      </c>
      <c r="Y7" s="202" t="s">
        <v>164</v>
      </c>
      <c r="Z7" s="203">
        <f t="shared" ref="Z7:Z15" si="9">($A$1*T7)+($C$1*V7)+($E$1*X7)</f>
        <v>4.268357940297067E-2</v>
      </c>
    </row>
    <row r="8" spans="1:26" x14ac:dyDescent="0.25">
      <c r="A8" s="198" t="s">
        <v>249</v>
      </c>
      <c r="B8" s="208">
        <v>3.2399999999999998E-2</v>
      </c>
      <c r="C8" s="198" t="s">
        <v>237</v>
      </c>
      <c r="D8" s="208">
        <v>4.2299999999999997E-2</v>
      </c>
      <c r="E8" s="209" t="s">
        <v>165</v>
      </c>
      <c r="F8" s="210">
        <f>(F7*50%)+(F6*20%)+(D8*20%)+(B8*10%)</f>
        <v>4.4639000000000005E-2</v>
      </c>
      <c r="G8" s="202" t="s">
        <v>165</v>
      </c>
      <c r="H8" s="203">
        <f t="shared" si="0"/>
        <v>4.1819499999999996E-2</v>
      </c>
      <c r="I8" s="202" t="s">
        <v>165</v>
      </c>
      <c r="J8" s="203">
        <f t="shared" si="1"/>
        <v>4.2839416666666665E-2</v>
      </c>
      <c r="K8" s="202" t="s">
        <v>165</v>
      </c>
      <c r="L8" s="203">
        <f t="shared" si="2"/>
        <v>4.2799375000000001E-2</v>
      </c>
      <c r="M8" s="202" t="s">
        <v>165</v>
      </c>
      <c r="N8" s="203">
        <f t="shared" si="3"/>
        <v>4.2649409722222219E-2</v>
      </c>
      <c r="O8" s="202" t="s">
        <v>165</v>
      </c>
      <c r="P8" s="203">
        <f t="shared" si="4"/>
        <v>4.2731065972222218E-2</v>
      </c>
      <c r="Q8" s="202" t="s">
        <v>165</v>
      </c>
      <c r="R8" s="203">
        <f t="shared" si="5"/>
        <v>4.2715232060185182E-2</v>
      </c>
      <c r="S8" s="202" t="s">
        <v>165</v>
      </c>
      <c r="T8" s="203">
        <f t="shared" si="6"/>
        <v>4.2709539641203699E-2</v>
      </c>
      <c r="U8" s="202" t="s">
        <v>165</v>
      </c>
      <c r="V8" s="203">
        <f t="shared" si="7"/>
        <v>4.2715024836033941E-2</v>
      </c>
      <c r="W8" s="202" t="s">
        <v>165</v>
      </c>
      <c r="X8" s="203">
        <f t="shared" si="8"/>
        <v>4.2713230975115729E-2</v>
      </c>
      <c r="Y8" s="202" t="s">
        <v>165</v>
      </c>
      <c r="Z8" s="203">
        <f t="shared" si="9"/>
        <v>4.2713213706436465E-2</v>
      </c>
    </row>
    <row r="9" spans="1:26" x14ac:dyDescent="0.25">
      <c r="A9" s="198" t="s">
        <v>248</v>
      </c>
      <c r="B9" s="208">
        <v>3.3000000000000002E-2</v>
      </c>
      <c r="C9" s="198" t="s">
        <v>236</v>
      </c>
      <c r="D9" s="208">
        <v>4.2799999999999998E-2</v>
      </c>
      <c r="E9" s="209" t="s">
        <v>166</v>
      </c>
      <c r="F9" s="210">
        <f t="shared" ref="F9:F15" si="10">(F8*50%)+(F7*20%)+(D9*20%)+(B9*10%)</f>
        <v>4.3457499999999996E-2</v>
      </c>
      <c r="G9" s="202" t="s">
        <v>166</v>
      </c>
      <c r="H9" s="203">
        <f t="shared" si="0"/>
        <v>4.149541666666666E-2</v>
      </c>
      <c r="I9" s="202" t="s">
        <v>166</v>
      </c>
      <c r="J9" s="203">
        <f t="shared" si="1"/>
        <v>4.2366874999999998E-2</v>
      </c>
      <c r="K9" s="202" t="s">
        <v>166</v>
      </c>
      <c r="L9" s="203">
        <f t="shared" si="2"/>
        <v>4.2258159722222216E-2</v>
      </c>
      <c r="M9" s="202" t="s">
        <v>166</v>
      </c>
      <c r="N9" s="203">
        <f t="shared" si="3"/>
        <v>4.2167274305555551E-2</v>
      </c>
      <c r="O9" s="202" t="s">
        <v>166</v>
      </c>
      <c r="P9" s="203">
        <f t="shared" si="4"/>
        <v>4.2230836226851851E-2</v>
      </c>
      <c r="Q9" s="202" t="s">
        <v>166</v>
      </c>
      <c r="R9" s="203">
        <f t="shared" si="5"/>
        <v>4.221420283564814E-2</v>
      </c>
      <c r="S9" s="202" t="s">
        <v>166</v>
      </c>
      <c r="T9" s="203">
        <f t="shared" si="6"/>
        <v>4.2211925877700611E-2</v>
      </c>
      <c r="U9" s="202" t="s">
        <v>166</v>
      </c>
      <c r="V9" s="203">
        <f t="shared" si="7"/>
        <v>4.2215836588541659E-2</v>
      </c>
      <c r="W9" s="202" t="s">
        <v>166</v>
      </c>
      <c r="X9" s="203">
        <f t="shared" si="8"/>
        <v>4.2214260726112389E-2</v>
      </c>
      <c r="Y9" s="202" t="s">
        <v>166</v>
      </c>
      <c r="Z9" s="203">
        <f t="shared" si="9"/>
        <v>4.2214396872186852E-2</v>
      </c>
    </row>
    <row r="10" spans="1:26" x14ac:dyDescent="0.25">
      <c r="A10" s="198" t="s">
        <v>247</v>
      </c>
      <c r="B10" s="208">
        <v>3.4000000000000002E-2</v>
      </c>
      <c r="C10" s="198" t="s">
        <v>235</v>
      </c>
      <c r="D10" s="208">
        <v>4.4400000000000002E-2</v>
      </c>
      <c r="E10" s="209" t="s">
        <v>167</v>
      </c>
      <c r="F10" s="210">
        <f t="shared" si="10"/>
        <v>4.2936549999999997E-2</v>
      </c>
      <c r="G10" s="202" t="s">
        <v>167</v>
      </c>
      <c r="H10" s="203">
        <f t="shared" si="0"/>
        <v>4.193494166666667E-2</v>
      </c>
      <c r="I10" s="202" t="s">
        <v>167</v>
      </c>
      <c r="J10" s="203">
        <f t="shared" si="1"/>
        <v>4.2679654166666664E-2</v>
      </c>
      <c r="K10" s="202" t="s">
        <v>167</v>
      </c>
      <c r="L10" s="203">
        <f t="shared" si="2"/>
        <v>4.2474232638888887E-2</v>
      </c>
      <c r="M10" s="202" t="s">
        <v>167</v>
      </c>
      <c r="N10" s="203">
        <f t="shared" si="3"/>
        <v>4.2452824652777776E-2</v>
      </c>
      <c r="O10" s="202" t="s">
        <v>167</v>
      </c>
      <c r="P10" s="203">
        <f t="shared" si="4"/>
        <v>4.2497765567129628E-2</v>
      </c>
      <c r="Q10" s="202" t="s">
        <v>167</v>
      </c>
      <c r="R10" s="203">
        <f t="shared" si="5"/>
        <v>4.247886310763889E-2</v>
      </c>
      <c r="S10" s="202" t="s">
        <v>167</v>
      </c>
      <c r="T10" s="203">
        <f t="shared" si="6"/>
        <v>4.2480824184992286E-2</v>
      </c>
      <c r="U10" s="202" t="s">
        <v>167</v>
      </c>
      <c r="V10" s="203">
        <f t="shared" si="7"/>
        <v>4.2482994056230711E-2</v>
      </c>
      <c r="W10" s="202" t="s">
        <v>167</v>
      </c>
      <c r="X10" s="203">
        <f t="shared" si="8"/>
        <v>4.2481582274385934E-2</v>
      </c>
      <c r="Y10" s="202" t="s">
        <v>167</v>
      </c>
      <c r="Z10" s="203">
        <f t="shared" si="9"/>
        <v>4.2481926520101916E-2</v>
      </c>
    </row>
    <row r="11" spans="1:26" ht="19.5" x14ac:dyDescent="0.25">
      <c r="A11" s="198" t="s">
        <v>246</v>
      </c>
      <c r="B11" s="208">
        <v>3.8199999999999998E-2</v>
      </c>
      <c r="C11" s="198" t="s">
        <v>234</v>
      </c>
      <c r="D11" s="208">
        <v>4.8399999999999999E-2</v>
      </c>
      <c r="E11" s="209" t="s">
        <v>168</v>
      </c>
      <c r="F11" s="210">
        <f t="shared" si="10"/>
        <v>4.3659774999999998E-2</v>
      </c>
      <c r="G11" s="202" t="s">
        <v>168</v>
      </c>
      <c r="H11" s="203">
        <f t="shared" si="0"/>
        <v>4.4329887499999998E-2</v>
      </c>
      <c r="I11" s="202" t="s">
        <v>168</v>
      </c>
      <c r="J11" s="203">
        <f t="shared" si="1"/>
        <v>4.4784868749999998E-2</v>
      </c>
      <c r="K11" s="202" t="s">
        <v>168</v>
      </c>
      <c r="L11" s="203">
        <f t="shared" si="2"/>
        <v>4.4445692708333331E-2</v>
      </c>
      <c r="M11" s="202" t="s">
        <v>168</v>
      </c>
      <c r="N11" s="203">
        <f t="shared" si="3"/>
        <v>4.4539450520833329E-2</v>
      </c>
      <c r="O11" s="202" t="s">
        <v>168</v>
      </c>
      <c r="P11" s="203">
        <f t="shared" si="4"/>
        <v>4.4549100954861108E-2</v>
      </c>
      <c r="Q11" s="202" t="s">
        <v>168</v>
      </c>
      <c r="R11" s="203">
        <f t="shared" si="5"/>
        <v>4.4528649435763887E-2</v>
      </c>
      <c r="S11" s="202" t="s">
        <v>168</v>
      </c>
      <c r="T11" s="203">
        <f t="shared" si="6"/>
        <v>4.4537266789641199E-2</v>
      </c>
      <c r="U11" s="202" t="s">
        <v>168</v>
      </c>
      <c r="V11" s="203">
        <f t="shared" si="7"/>
        <v>4.4536366699218746E-2</v>
      </c>
      <c r="W11" s="202" t="s">
        <v>168</v>
      </c>
      <c r="X11" s="203">
        <f t="shared" si="8"/>
        <v>4.4535380518783751E-2</v>
      </c>
      <c r="Y11" s="202" t="s">
        <v>168</v>
      </c>
      <c r="Z11" s="203">
        <f t="shared" si="9"/>
        <v>4.4536023624071656E-2</v>
      </c>
    </row>
    <row r="12" spans="1:26" ht="19.5" x14ac:dyDescent="0.25">
      <c r="A12" s="198" t="s">
        <v>245</v>
      </c>
      <c r="B12" s="208">
        <v>3.44E-2</v>
      </c>
      <c r="C12" s="198" t="s">
        <v>233</v>
      </c>
      <c r="D12" s="208">
        <v>5.3900000000000003E-2</v>
      </c>
      <c r="E12" s="209" t="s">
        <v>169</v>
      </c>
      <c r="F12" s="210">
        <f t="shared" si="10"/>
        <v>4.4637197500000003E-2</v>
      </c>
      <c r="G12" s="202" t="s">
        <v>169</v>
      </c>
      <c r="H12" s="203">
        <f t="shared" si="0"/>
        <v>4.601859875E-2</v>
      </c>
      <c r="I12" s="202" t="s">
        <v>169</v>
      </c>
      <c r="J12" s="203">
        <f t="shared" si="1"/>
        <v>4.6871698541666666E-2</v>
      </c>
      <c r="K12" s="202" t="s">
        <v>169</v>
      </c>
      <c r="L12" s="203">
        <f t="shared" si="2"/>
        <v>4.6214915104166671E-2</v>
      </c>
      <c r="M12" s="202" t="s">
        <v>169</v>
      </c>
      <c r="N12" s="203">
        <f t="shared" si="3"/>
        <v>4.640112352430556E-2</v>
      </c>
      <c r="O12" s="202" t="s">
        <v>169</v>
      </c>
      <c r="P12" s="203">
        <f t="shared" si="4"/>
        <v>4.6417483220486111E-2</v>
      </c>
      <c r="Q12" s="202" t="s">
        <v>169</v>
      </c>
      <c r="R12" s="203">
        <f t="shared" si="5"/>
        <v>4.6378268635706016E-2</v>
      </c>
      <c r="S12" s="202" t="s">
        <v>169</v>
      </c>
      <c r="T12" s="203">
        <f t="shared" si="6"/>
        <v>4.6395149312065967E-2</v>
      </c>
      <c r="U12" s="202" t="s">
        <v>169</v>
      </c>
      <c r="V12" s="203">
        <f t="shared" si="7"/>
        <v>4.639324473801601E-2</v>
      </c>
      <c r="W12" s="202" t="s">
        <v>169</v>
      </c>
      <c r="X12" s="203">
        <f t="shared" si="8"/>
        <v>4.6391383578980996E-2</v>
      </c>
      <c r="Y12" s="202" t="s">
        <v>169</v>
      </c>
      <c r="Z12" s="203">
        <f t="shared" si="9"/>
        <v>4.6392631587506825E-2</v>
      </c>
    </row>
    <row r="13" spans="1:26" ht="19.5" x14ac:dyDescent="0.25">
      <c r="A13" s="198" t="s">
        <v>244</v>
      </c>
      <c r="B13" s="208">
        <v>3.4599999999999999E-2</v>
      </c>
      <c r="C13" s="198" t="s">
        <v>232</v>
      </c>
      <c r="D13" s="208">
        <v>5.5E-2</v>
      </c>
      <c r="E13" s="209" t="s">
        <v>170</v>
      </c>
      <c r="F13" s="210">
        <f t="shared" si="10"/>
        <v>4.5510553750000002E-2</v>
      </c>
      <c r="G13" s="202" t="s">
        <v>170</v>
      </c>
      <c r="H13" s="203">
        <f t="shared" si="0"/>
        <v>4.6855276875000004E-2</v>
      </c>
      <c r="I13" s="202" t="s">
        <v>170</v>
      </c>
      <c r="J13" s="203">
        <f t="shared" si="1"/>
        <v>4.7764489687500002E-2</v>
      </c>
      <c r="K13" s="202" t="s">
        <v>170</v>
      </c>
      <c r="L13" s="203">
        <f t="shared" si="2"/>
        <v>4.7085762760416663E-2</v>
      </c>
      <c r="M13" s="202" t="s">
        <v>170</v>
      </c>
      <c r="N13" s="203">
        <f t="shared" si="3"/>
        <v>4.7273590755208331E-2</v>
      </c>
      <c r="O13" s="202" t="s">
        <v>170</v>
      </c>
      <c r="P13" s="203">
        <f t="shared" si="4"/>
        <v>4.7292797912326386E-2</v>
      </c>
      <c r="Q13" s="202" t="s">
        <v>170</v>
      </c>
      <c r="R13" s="203">
        <f t="shared" si="5"/>
        <v>4.7251889667968741E-2</v>
      </c>
      <c r="S13" s="202" t="s">
        <v>170</v>
      </c>
      <c r="T13" s="203">
        <f t="shared" si="6"/>
        <v>4.7269142597294547E-2</v>
      </c>
      <c r="U13" s="202" t="s">
        <v>170</v>
      </c>
      <c r="V13" s="203">
        <f t="shared" si="7"/>
        <v>4.7267334173357919E-2</v>
      </c>
      <c r="W13" s="202" t="s">
        <v>170</v>
      </c>
      <c r="X13" s="203">
        <f t="shared" si="8"/>
        <v>4.7265362897105263E-2</v>
      </c>
      <c r="Y13" s="202" t="s">
        <v>170</v>
      </c>
      <c r="Z13" s="203">
        <f t="shared" si="9"/>
        <v>4.7266649939221028E-2</v>
      </c>
    </row>
    <row r="14" spans="1:26" ht="19.5" x14ac:dyDescent="0.25">
      <c r="A14" s="198" t="s">
        <v>243</v>
      </c>
      <c r="B14" s="208">
        <v>3.39E-2</v>
      </c>
      <c r="C14" s="198" t="s">
        <v>231</v>
      </c>
      <c r="D14" s="208">
        <v>5.5300000000000002E-2</v>
      </c>
      <c r="E14" s="209" t="s">
        <v>171</v>
      </c>
      <c r="F14" s="210">
        <f t="shared" si="10"/>
        <v>4.6132716375E-2</v>
      </c>
      <c r="G14" s="202" t="s">
        <v>171</v>
      </c>
      <c r="H14" s="203">
        <f t="shared" si="0"/>
        <v>4.7149691520833328E-2</v>
      </c>
      <c r="I14" s="202" t="s">
        <v>171</v>
      </c>
      <c r="J14" s="203">
        <f t="shared" si="1"/>
        <v>4.8169084552083331E-2</v>
      </c>
      <c r="K14" s="202" t="s">
        <v>171</v>
      </c>
      <c r="L14" s="203">
        <f t="shared" si="2"/>
        <v>4.7489892178819437E-2</v>
      </c>
      <c r="M14" s="202" t="s">
        <v>171</v>
      </c>
      <c r="N14" s="203">
        <f t="shared" si="3"/>
        <v>4.7659589526909713E-2</v>
      </c>
      <c r="O14" s="202" t="s">
        <v>171</v>
      </c>
      <c r="P14" s="203">
        <f t="shared" si="4"/>
        <v>4.7687939581741889E-2</v>
      </c>
      <c r="Q14" s="202" t="s">
        <v>171</v>
      </c>
      <c r="R14" s="203">
        <f t="shared" si="5"/>
        <v>4.7645481662977419E-2</v>
      </c>
      <c r="S14" s="202" t="s">
        <v>171</v>
      </c>
      <c r="T14" s="203">
        <f t="shared" si="6"/>
        <v>4.7661985613220957E-2</v>
      </c>
      <c r="U14" s="202" t="s">
        <v>171</v>
      </c>
      <c r="V14" s="203">
        <f t="shared" si="7"/>
        <v>4.7660809957893263E-2</v>
      </c>
      <c r="W14" s="202" t="s">
        <v>171</v>
      </c>
      <c r="X14" s="203">
        <f t="shared" si="8"/>
        <v>4.7658647127183186E-2</v>
      </c>
      <c r="Y14" s="202" t="s">
        <v>171</v>
      </c>
      <c r="Z14" s="203">
        <f t="shared" si="9"/>
        <v>4.7659924485092833E-2</v>
      </c>
    </row>
    <row r="15" spans="1:26" ht="19.5" x14ac:dyDescent="0.25">
      <c r="A15" s="198" t="s">
        <v>242</v>
      </c>
      <c r="B15" s="208">
        <v>3.3300000000000003E-2</v>
      </c>
      <c r="C15" s="198" t="s">
        <v>230</v>
      </c>
      <c r="D15" s="208">
        <v>5.4100000000000002E-2</v>
      </c>
      <c r="E15" s="209" t="s">
        <v>172</v>
      </c>
      <c r="F15" s="210">
        <f t="shared" si="10"/>
        <v>4.6318468937500003E-2</v>
      </c>
      <c r="G15" s="202" t="s">
        <v>172</v>
      </c>
      <c r="H15" s="203">
        <f t="shared" si="0"/>
        <v>4.6742567802083329E-2</v>
      </c>
      <c r="I15" s="202" t="s">
        <v>172</v>
      </c>
      <c r="J15" s="203">
        <f t="shared" si="1"/>
        <v>4.7827440213541662E-2</v>
      </c>
      <c r="K15" s="202" t="s">
        <v>172</v>
      </c>
      <c r="L15" s="203">
        <f t="shared" si="2"/>
        <v>4.721432086371527E-2</v>
      </c>
      <c r="M15" s="202" t="s">
        <v>172</v>
      </c>
      <c r="N15" s="203">
        <f t="shared" si="3"/>
        <v>4.734006847005208E-2</v>
      </c>
      <c r="O15" s="202" t="s">
        <v>172</v>
      </c>
      <c r="P15" s="203">
        <f t="shared" si="4"/>
        <v>4.7379381225188075E-2</v>
      </c>
      <c r="Q15" s="202" t="s">
        <v>172</v>
      </c>
      <c r="R15" s="203">
        <f t="shared" si="5"/>
        <v>4.7338766913230607E-2</v>
      </c>
      <c r="S15" s="202" t="s">
        <v>172</v>
      </c>
      <c r="T15" s="203">
        <f t="shared" si="6"/>
        <v>4.7352521943353335E-2</v>
      </c>
      <c r="U15" s="202" t="s">
        <v>172</v>
      </c>
      <c r="V15" s="203">
        <f t="shared" si="7"/>
        <v>4.7352413480284877E-2</v>
      </c>
      <c r="W15" s="202" t="s">
        <v>172</v>
      </c>
      <c r="X15" s="203">
        <f t="shared" si="8"/>
        <v>4.7350175206798649E-2</v>
      </c>
      <c r="Y15" s="202" t="s">
        <v>172</v>
      </c>
      <c r="Z15" s="203">
        <f t="shared" si="9"/>
        <v>4.735131242071984E-2</v>
      </c>
    </row>
    <row r="16" spans="1:26" x14ac:dyDescent="0.25">
      <c r="B16" s="206">
        <f>AVERAGE(B4:B15)</f>
        <v>3.4275E-2</v>
      </c>
      <c r="D16" s="206">
        <f>AVERAGE(D4:D15)</f>
        <v>4.4691666666666664E-2</v>
      </c>
      <c r="E16" s="215">
        <v>2012</v>
      </c>
      <c r="F16" s="211">
        <f>AVERAGE(F4:F15)</f>
        <v>4.6716813463541673E-2</v>
      </c>
      <c r="H16" s="203">
        <f t="shared" si="0"/>
        <v>4.396812895399306E-2</v>
      </c>
      <c r="J16" s="204">
        <f>AVERAGE(J4:J15)</f>
        <v>4.5004946742621531E-2</v>
      </c>
      <c r="L16" s="204">
        <f>AVERAGE(L4:L15)</f>
        <v>4.4944651933232056E-2</v>
      </c>
      <c r="N16" s="205">
        <f>AVERAGE(N4:N15)</f>
        <v>4.4801996373155385E-2</v>
      </c>
      <c r="P16" s="205">
        <f>AVERAGE(P4:P15)</f>
        <v>4.4883373288091964E-2</v>
      </c>
      <c r="R16" s="205">
        <f>AVERAGE(R4:R15)</f>
        <v>4.4866460757303113E-2</v>
      </c>
      <c r="T16" s="205">
        <f>AVERAGE(T4:T15)</f>
        <v>4.4861354203541433E-2</v>
      </c>
      <c r="V16" s="205">
        <f>AVERAGE(V4:V15)</f>
        <v>4.4866726235553746E-2</v>
      </c>
      <c r="X16" s="205">
        <f>AVERAGE(X4:X15)</f>
        <v>4.4864891311841203E-2</v>
      </c>
      <c r="Z16" s="204">
        <f>AVERAGE(Z4:Z15)</f>
        <v>4.4864913435028762E-2</v>
      </c>
    </row>
    <row r="17" spans="5:10" x14ac:dyDescent="0.25">
      <c r="E17" s="209">
        <v>2013</v>
      </c>
      <c r="F17" s="214">
        <f>H16</f>
        <v>4.396812895399306E-2</v>
      </c>
    </row>
    <row r="18" spans="5:10" x14ac:dyDescent="0.25">
      <c r="E18" s="209">
        <v>2014</v>
      </c>
      <c r="F18" s="214">
        <f>J16</f>
        <v>4.5004946742621531E-2</v>
      </c>
    </row>
    <row r="19" spans="5:10" x14ac:dyDescent="0.25">
      <c r="E19" s="209">
        <v>2015</v>
      </c>
      <c r="F19" s="214">
        <f>L16</f>
        <v>4.4944651933232056E-2</v>
      </c>
    </row>
    <row r="20" spans="5:10" x14ac:dyDescent="0.25">
      <c r="E20" s="209">
        <v>2016</v>
      </c>
      <c r="F20" s="214">
        <f>N16</f>
        <v>4.4801996373155385E-2</v>
      </c>
    </row>
    <row r="21" spans="5:10" x14ac:dyDescent="0.25">
      <c r="E21" s="209">
        <v>2017</v>
      </c>
      <c r="F21" s="214">
        <f>P16</f>
        <v>4.4883373288091964E-2</v>
      </c>
    </row>
    <row r="22" spans="5:10" x14ac:dyDescent="0.25">
      <c r="E22" s="209">
        <v>2018</v>
      </c>
      <c r="F22" s="214">
        <f>R16</f>
        <v>4.4866460757303113E-2</v>
      </c>
      <c r="H22" s="725"/>
      <c r="I22" s="725"/>
      <c r="J22" s="725"/>
    </row>
    <row r="23" spans="5:10" x14ac:dyDescent="0.25">
      <c r="E23" s="209">
        <v>2019</v>
      </c>
      <c r="F23" s="214">
        <f>T16</f>
        <v>4.4861354203541433E-2</v>
      </c>
      <c r="H23" s="725"/>
      <c r="I23" s="725"/>
      <c r="J23" s="725"/>
    </row>
    <row r="24" spans="5:10" x14ac:dyDescent="0.25">
      <c r="E24" s="209">
        <v>2020</v>
      </c>
      <c r="F24" s="214">
        <f>V16</f>
        <v>4.4866726235553746E-2</v>
      </c>
      <c r="H24" s="725"/>
      <c r="I24" s="725"/>
      <c r="J24" s="725"/>
    </row>
    <row r="25" spans="5:10" x14ac:dyDescent="0.25">
      <c r="E25" s="209">
        <v>2021</v>
      </c>
      <c r="F25" s="214">
        <f>X16</f>
        <v>4.4864891311841203E-2</v>
      </c>
      <c r="H25" s="725"/>
      <c r="I25" s="725"/>
      <c r="J25" s="725"/>
    </row>
    <row r="26" spans="5:10" x14ac:dyDescent="0.25">
      <c r="E26" s="209">
        <v>2022</v>
      </c>
      <c r="F26" s="214">
        <f>Z16</f>
        <v>4.4864913435028762E-2</v>
      </c>
      <c r="H26" s="725"/>
      <c r="I26" s="725"/>
      <c r="J26" s="725"/>
    </row>
    <row r="27" spans="5:10" x14ac:dyDescent="0.25">
      <c r="H27" s="725"/>
      <c r="I27" s="725"/>
      <c r="J27" s="725"/>
    </row>
    <row r="28" spans="5:10" x14ac:dyDescent="0.25">
      <c r="H28" s="725"/>
      <c r="I28" s="725"/>
      <c r="J28" s="725"/>
    </row>
    <row r="29" spans="5:10" x14ac:dyDescent="0.25">
      <c r="H29" s="725"/>
      <c r="I29" s="725"/>
      <c r="J29" s="725"/>
    </row>
  </sheetData>
  <mergeCells count="19">
    <mergeCell ref="W3:X3"/>
    <mergeCell ref="Y3:Z3"/>
    <mergeCell ref="K3:L3"/>
    <mergeCell ref="M3:N3"/>
    <mergeCell ref="O3:P3"/>
    <mergeCell ref="Q3:R3"/>
    <mergeCell ref="S3:T3"/>
    <mergeCell ref="U3:V3"/>
    <mergeCell ref="A1:B1"/>
    <mergeCell ref="E1:F1"/>
    <mergeCell ref="C1:D1"/>
    <mergeCell ref="G3:H3"/>
    <mergeCell ref="I3:J3"/>
    <mergeCell ref="C3:D3"/>
    <mergeCell ref="E3:F3"/>
    <mergeCell ref="A3:B3"/>
    <mergeCell ref="A2:B2"/>
    <mergeCell ref="C2:D2"/>
    <mergeCell ref="E2:F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1" workbookViewId="0">
      <selection activeCell="B42" sqref="B42"/>
    </sheetView>
  </sheetViews>
  <sheetFormatPr baseColWidth="10" defaultRowHeight="15" x14ac:dyDescent="0.25"/>
  <cols>
    <col min="1" max="1" width="74.7109375" bestFit="1" customWidth="1"/>
    <col min="4" max="4" width="25.28515625" style="2" customWidth="1"/>
  </cols>
  <sheetData>
    <row r="1" spans="1:4" ht="15.75" thickBot="1" x14ac:dyDescent="0.3"/>
    <row r="2" spans="1:4" ht="17.25" thickBot="1" x14ac:dyDescent="0.35">
      <c r="A2" s="12" t="s">
        <v>27</v>
      </c>
      <c r="B2" s="12"/>
      <c r="C2" s="12"/>
      <c r="D2" s="12"/>
    </row>
    <row r="3" spans="1:4" ht="16.5" x14ac:dyDescent="0.3">
      <c r="A3" s="12" t="s">
        <v>0</v>
      </c>
      <c r="B3" s="12" t="s">
        <v>1</v>
      </c>
      <c r="C3" s="12" t="s">
        <v>2</v>
      </c>
      <c r="D3" s="12" t="s">
        <v>3</v>
      </c>
    </row>
    <row r="4" spans="1:4" ht="16.5" x14ac:dyDescent="0.3">
      <c r="A4" s="13" t="s">
        <v>4</v>
      </c>
      <c r="B4" s="3">
        <v>3</v>
      </c>
      <c r="C4" s="4">
        <v>799.00160000000005</v>
      </c>
      <c r="D4" s="4">
        <f>B4*C4</f>
        <v>2397.0048000000002</v>
      </c>
    </row>
    <row r="5" spans="1:4" ht="16.5" x14ac:dyDescent="0.3">
      <c r="A5" s="13" t="s">
        <v>5</v>
      </c>
      <c r="B5" s="3">
        <v>5</v>
      </c>
      <c r="C5" s="4">
        <v>476</v>
      </c>
      <c r="D5" s="4">
        <f t="shared" ref="D5:D13" si="0">B5*C5</f>
        <v>2380</v>
      </c>
    </row>
    <row r="6" spans="1:4" ht="16.5" x14ac:dyDescent="0.3">
      <c r="A6" s="13" t="s">
        <v>6</v>
      </c>
      <c r="B6" s="3">
        <v>3</v>
      </c>
      <c r="C6" s="4">
        <v>630.51</v>
      </c>
      <c r="D6" s="4">
        <f t="shared" si="0"/>
        <v>1891.53</v>
      </c>
    </row>
    <row r="7" spans="1:4" ht="16.5" x14ac:dyDescent="0.3">
      <c r="A7" s="13" t="s">
        <v>7</v>
      </c>
      <c r="B7" s="3">
        <v>1</v>
      </c>
      <c r="C7" s="4">
        <v>235.71</v>
      </c>
      <c r="D7" s="4">
        <f t="shared" si="0"/>
        <v>235.71</v>
      </c>
    </row>
    <row r="8" spans="1:4" ht="16.5" x14ac:dyDescent="0.3">
      <c r="A8" s="13" t="s">
        <v>8</v>
      </c>
      <c r="B8" s="3">
        <v>9</v>
      </c>
      <c r="C8" s="4">
        <v>220.82</v>
      </c>
      <c r="D8" s="4">
        <f t="shared" si="0"/>
        <v>1987.3799999999999</v>
      </c>
    </row>
    <row r="9" spans="1:4" ht="16.5" x14ac:dyDescent="0.3">
      <c r="A9" s="13" t="s">
        <v>9</v>
      </c>
      <c r="B9" s="3">
        <v>10</v>
      </c>
      <c r="C9" s="4">
        <v>37.65</v>
      </c>
      <c r="D9" s="4">
        <f t="shared" si="0"/>
        <v>376.5</v>
      </c>
    </row>
    <row r="10" spans="1:4" ht="16.5" x14ac:dyDescent="0.3">
      <c r="A10" s="13" t="s">
        <v>10</v>
      </c>
      <c r="B10" s="3">
        <v>1</v>
      </c>
      <c r="C10" s="4">
        <v>437.48</v>
      </c>
      <c r="D10" s="4">
        <f t="shared" si="0"/>
        <v>437.48</v>
      </c>
    </row>
    <row r="11" spans="1:4" ht="16.5" x14ac:dyDescent="0.3">
      <c r="A11" s="13" t="s">
        <v>11</v>
      </c>
      <c r="B11" s="3">
        <v>1</v>
      </c>
      <c r="C11" s="4">
        <v>60</v>
      </c>
      <c r="D11" s="4">
        <f t="shared" si="0"/>
        <v>60</v>
      </c>
    </row>
    <row r="12" spans="1:4" ht="16.5" x14ac:dyDescent="0.3">
      <c r="A12" s="13" t="s">
        <v>12</v>
      </c>
      <c r="B12" s="3">
        <v>3</v>
      </c>
      <c r="C12" s="4">
        <v>85</v>
      </c>
      <c r="D12" s="4">
        <f t="shared" si="0"/>
        <v>255</v>
      </c>
    </row>
    <row r="13" spans="1:4" ht="16.5" x14ac:dyDescent="0.3">
      <c r="A13" s="13" t="s">
        <v>13</v>
      </c>
      <c r="B13" s="3">
        <v>3</v>
      </c>
      <c r="C13" s="4">
        <v>150</v>
      </c>
      <c r="D13" s="4">
        <f t="shared" si="0"/>
        <v>450</v>
      </c>
    </row>
    <row r="14" spans="1:4" s="44" customFormat="1" ht="16.5" x14ac:dyDescent="0.3">
      <c r="A14" s="13" t="s">
        <v>19</v>
      </c>
      <c r="B14" s="3">
        <v>1</v>
      </c>
      <c r="C14" s="4">
        <v>180</v>
      </c>
      <c r="D14" s="4">
        <f t="shared" ref="D14:D20" si="1">B14*C14</f>
        <v>180</v>
      </c>
    </row>
    <row r="15" spans="1:4" s="44" customFormat="1" ht="16.5" x14ac:dyDescent="0.3">
      <c r="A15" s="13" t="s">
        <v>20</v>
      </c>
      <c r="B15" s="3">
        <v>4</v>
      </c>
      <c r="C15" s="4">
        <v>6</v>
      </c>
      <c r="D15" s="4">
        <f t="shared" si="1"/>
        <v>24</v>
      </c>
    </row>
    <row r="16" spans="1:4" ht="16.5" x14ac:dyDescent="0.3">
      <c r="A16" s="13" t="s">
        <v>18</v>
      </c>
      <c r="B16" s="7">
        <v>10</v>
      </c>
      <c r="C16" s="4">
        <v>3.23</v>
      </c>
      <c r="D16" s="4">
        <f t="shared" si="1"/>
        <v>32.299999999999997</v>
      </c>
    </row>
    <row r="17" spans="1:4" ht="16.5" x14ac:dyDescent="0.3">
      <c r="A17" s="13" t="s">
        <v>14</v>
      </c>
      <c r="B17" s="3">
        <v>1</v>
      </c>
      <c r="C17" s="4">
        <v>150</v>
      </c>
      <c r="D17" s="4">
        <f t="shared" si="1"/>
        <v>150</v>
      </c>
    </row>
    <row r="18" spans="1:4" ht="16.5" x14ac:dyDescent="0.3">
      <c r="A18" s="13" t="s">
        <v>15</v>
      </c>
      <c r="B18" s="3">
        <v>2</v>
      </c>
      <c r="C18" s="4">
        <v>17</v>
      </c>
      <c r="D18" s="4">
        <f t="shared" si="1"/>
        <v>34</v>
      </c>
    </row>
    <row r="19" spans="1:4" ht="16.5" x14ac:dyDescent="0.3">
      <c r="A19" s="13" t="s">
        <v>16</v>
      </c>
      <c r="B19" s="5">
        <v>1</v>
      </c>
      <c r="C19" s="6">
        <v>68.44</v>
      </c>
      <c r="D19" s="4">
        <f t="shared" si="1"/>
        <v>68.44</v>
      </c>
    </row>
    <row r="20" spans="1:4" s="44" customFormat="1" ht="16.5" x14ac:dyDescent="0.3">
      <c r="A20" s="13" t="s">
        <v>17</v>
      </c>
      <c r="B20" s="3">
        <v>2</v>
      </c>
      <c r="C20" s="4">
        <v>257.27999999999997</v>
      </c>
      <c r="D20" s="4">
        <f t="shared" si="1"/>
        <v>514.55999999999995</v>
      </c>
    </row>
    <row r="21" spans="1:4" ht="17.25" thickBot="1" x14ac:dyDescent="0.35">
      <c r="A21" s="14" t="s">
        <v>21</v>
      </c>
      <c r="B21" s="15"/>
      <c r="C21" s="16"/>
      <c r="D21" s="17">
        <f>SUM(D4:D20)</f>
        <v>11473.904799999998</v>
      </c>
    </row>
    <row r="22" spans="1:4" ht="16.5" x14ac:dyDescent="0.3">
      <c r="A22" s="12" t="s">
        <v>22</v>
      </c>
      <c r="B22" s="12"/>
      <c r="C22" s="12"/>
      <c r="D22" s="12"/>
    </row>
    <row r="23" spans="1:4" ht="16.5" x14ac:dyDescent="0.3">
      <c r="A23" s="13" t="s">
        <v>50</v>
      </c>
      <c r="B23" s="8"/>
      <c r="C23" s="9"/>
      <c r="D23" s="10"/>
    </row>
    <row r="24" spans="1:4" s="1" customFormat="1" ht="16.5" x14ac:dyDescent="0.3">
      <c r="A24" s="19" t="s">
        <v>52</v>
      </c>
      <c r="B24" s="22">
        <v>200</v>
      </c>
      <c r="C24" s="29">
        <v>7</v>
      </c>
      <c r="D24" s="4">
        <f>B24*C24</f>
        <v>1400</v>
      </c>
    </row>
    <row r="25" spans="1:4" s="1" customFormat="1" ht="16.5" x14ac:dyDescent="0.3">
      <c r="A25" s="19" t="s">
        <v>45</v>
      </c>
      <c r="B25" s="22">
        <v>40</v>
      </c>
      <c r="C25" s="29">
        <v>5.34</v>
      </c>
      <c r="D25" s="4">
        <f t="shared" ref="D25:D32" si="2">B25*C25</f>
        <v>213.6</v>
      </c>
    </row>
    <row r="26" spans="1:4" s="1" customFormat="1" ht="16.5" x14ac:dyDescent="0.3">
      <c r="A26" s="19" t="s">
        <v>46</v>
      </c>
      <c r="B26" s="22">
        <v>500</v>
      </c>
      <c r="C26" s="29">
        <v>6.89</v>
      </c>
      <c r="D26" s="4">
        <f t="shared" si="2"/>
        <v>3445</v>
      </c>
    </row>
    <row r="27" spans="1:4" s="1" customFormat="1" ht="16.5" x14ac:dyDescent="0.3">
      <c r="A27" s="19" t="s">
        <v>47</v>
      </c>
      <c r="B27" s="22">
        <v>1000</v>
      </c>
      <c r="C27" s="29">
        <v>0.5</v>
      </c>
      <c r="D27" s="4">
        <f t="shared" si="2"/>
        <v>500</v>
      </c>
    </row>
    <row r="28" spans="1:4" s="1" customFormat="1" ht="16.5" x14ac:dyDescent="0.3">
      <c r="A28" s="19" t="s">
        <v>49</v>
      </c>
      <c r="B28" s="22">
        <v>20</v>
      </c>
      <c r="C28" s="29">
        <v>13.8</v>
      </c>
      <c r="D28" s="4">
        <f t="shared" si="2"/>
        <v>276</v>
      </c>
    </row>
    <row r="29" spans="1:4" s="1" customFormat="1" ht="16.5" x14ac:dyDescent="0.3">
      <c r="A29" s="19" t="s">
        <v>48</v>
      </c>
      <c r="B29" s="22">
        <v>40</v>
      </c>
      <c r="C29" s="29">
        <v>9.4600000000000009</v>
      </c>
      <c r="D29" s="4">
        <f t="shared" si="2"/>
        <v>378.40000000000003</v>
      </c>
    </row>
    <row r="30" spans="1:4" s="1" customFormat="1" ht="16.5" x14ac:dyDescent="0.3">
      <c r="A30" s="19" t="s">
        <v>53</v>
      </c>
      <c r="B30" s="22">
        <v>1</v>
      </c>
      <c r="C30" s="23">
        <v>800</v>
      </c>
      <c r="D30" s="4">
        <f t="shared" si="2"/>
        <v>800</v>
      </c>
    </row>
    <row r="31" spans="1:4" s="1" customFormat="1" ht="16.5" x14ac:dyDescent="0.3">
      <c r="A31" s="19" t="s">
        <v>54</v>
      </c>
      <c r="B31" s="22">
        <v>1</v>
      </c>
      <c r="C31" s="23">
        <v>1500</v>
      </c>
      <c r="D31" s="4">
        <f t="shared" si="2"/>
        <v>1500</v>
      </c>
    </row>
    <row r="32" spans="1:4" s="1" customFormat="1" ht="16.5" customHeight="1" x14ac:dyDescent="0.3">
      <c r="A32" s="19" t="s">
        <v>51</v>
      </c>
      <c r="B32" s="22">
        <v>5</v>
      </c>
      <c r="C32" s="23">
        <v>500</v>
      </c>
      <c r="D32" s="20">
        <f t="shared" si="2"/>
        <v>2500</v>
      </c>
    </row>
    <row r="33" spans="1:4" ht="17.25" thickBot="1" x14ac:dyDescent="0.35">
      <c r="A33" s="14" t="s">
        <v>23</v>
      </c>
      <c r="B33" s="14"/>
      <c r="C33" s="14"/>
      <c r="D33" s="24">
        <f>SUM(D24:D32)</f>
        <v>11013</v>
      </c>
    </row>
    <row r="34" spans="1:4" ht="16.5" x14ac:dyDescent="0.3">
      <c r="A34" s="12" t="s">
        <v>26</v>
      </c>
      <c r="B34" s="12"/>
      <c r="C34" s="12"/>
      <c r="D34" s="12"/>
    </row>
    <row r="35" spans="1:4" ht="16.5" x14ac:dyDescent="0.3">
      <c r="A35" s="19" t="s">
        <v>28</v>
      </c>
      <c r="B35" s="116">
        <v>1</v>
      </c>
      <c r="C35" s="4">
        <v>16500</v>
      </c>
      <c r="D35" s="117">
        <f t="shared" ref="D35:D48" si="3">B35*C35</f>
        <v>16500</v>
      </c>
    </row>
    <row r="36" spans="1:4" ht="16.5" x14ac:dyDescent="0.3">
      <c r="A36" s="19" t="s">
        <v>30</v>
      </c>
      <c r="B36" s="116">
        <v>1</v>
      </c>
      <c r="C36" s="4">
        <v>3000</v>
      </c>
      <c r="D36" s="117">
        <f t="shared" si="3"/>
        <v>3000</v>
      </c>
    </row>
    <row r="37" spans="1:4" ht="16.5" x14ac:dyDescent="0.3">
      <c r="A37" s="19" t="s">
        <v>32</v>
      </c>
      <c r="B37" s="116">
        <v>1</v>
      </c>
      <c r="C37" s="4">
        <v>15000</v>
      </c>
      <c r="D37" s="117">
        <f t="shared" si="3"/>
        <v>15000</v>
      </c>
    </row>
    <row r="38" spans="1:4" s="1" customFormat="1" ht="16.5" x14ac:dyDescent="0.3">
      <c r="A38" s="19" t="s">
        <v>42</v>
      </c>
      <c r="B38" s="113">
        <v>1</v>
      </c>
      <c r="C38" s="115">
        <v>28000</v>
      </c>
      <c r="D38" s="117">
        <f t="shared" si="3"/>
        <v>28000</v>
      </c>
    </row>
    <row r="39" spans="1:4" ht="16.5" x14ac:dyDescent="0.3">
      <c r="A39" s="19" t="s">
        <v>40</v>
      </c>
      <c r="B39" s="113">
        <v>1</v>
      </c>
      <c r="C39" s="115">
        <v>5000</v>
      </c>
      <c r="D39" s="117">
        <f t="shared" si="3"/>
        <v>5000</v>
      </c>
    </row>
    <row r="40" spans="1:4" ht="16.5" x14ac:dyDescent="0.3">
      <c r="A40" s="19" t="s">
        <v>35</v>
      </c>
      <c r="B40" s="116">
        <v>2</v>
      </c>
      <c r="C40" s="4">
        <v>58000</v>
      </c>
      <c r="D40" s="117">
        <f t="shared" si="3"/>
        <v>116000</v>
      </c>
    </row>
    <row r="41" spans="1:4" ht="16.5" x14ac:dyDescent="0.3">
      <c r="A41" s="19" t="s">
        <v>31</v>
      </c>
      <c r="B41" s="116">
        <v>1</v>
      </c>
      <c r="C41" s="4">
        <v>1940</v>
      </c>
      <c r="D41" s="117">
        <f t="shared" si="3"/>
        <v>1940</v>
      </c>
    </row>
    <row r="42" spans="1:4" ht="16.5" x14ac:dyDescent="0.3">
      <c r="A42" s="19" t="s">
        <v>33</v>
      </c>
      <c r="B42" s="116">
        <v>3</v>
      </c>
      <c r="C42" s="4">
        <v>200</v>
      </c>
      <c r="D42" s="117">
        <f t="shared" si="3"/>
        <v>600</v>
      </c>
    </row>
    <row r="43" spans="1:4" ht="16.5" x14ac:dyDescent="0.3">
      <c r="A43" s="19" t="s">
        <v>34</v>
      </c>
      <c r="B43" s="116">
        <v>3</v>
      </c>
      <c r="C43" s="4">
        <v>135</v>
      </c>
      <c r="D43" s="117">
        <f t="shared" si="3"/>
        <v>405</v>
      </c>
    </row>
    <row r="44" spans="1:4" ht="16.5" x14ac:dyDescent="0.3">
      <c r="A44" s="19" t="s">
        <v>29</v>
      </c>
      <c r="B44" s="116">
        <v>2</v>
      </c>
      <c r="C44" s="4">
        <v>2500</v>
      </c>
      <c r="D44" s="117">
        <f t="shared" si="3"/>
        <v>5000</v>
      </c>
    </row>
    <row r="45" spans="1:4" ht="16.5" x14ac:dyDescent="0.3">
      <c r="A45" s="19" t="s">
        <v>44</v>
      </c>
      <c r="B45" s="116">
        <v>12</v>
      </c>
      <c r="C45" s="4">
        <v>810</v>
      </c>
      <c r="D45" s="117">
        <f t="shared" si="3"/>
        <v>9720</v>
      </c>
    </row>
    <row r="46" spans="1:4" ht="16.5" x14ac:dyDescent="0.3">
      <c r="A46" s="19" t="s">
        <v>36</v>
      </c>
      <c r="B46" s="116">
        <v>1</v>
      </c>
      <c r="C46" s="4">
        <v>1200</v>
      </c>
      <c r="D46" s="117">
        <f t="shared" si="3"/>
        <v>1200</v>
      </c>
    </row>
    <row r="47" spans="1:4" s="1" customFormat="1" ht="16.5" x14ac:dyDescent="0.3">
      <c r="A47" s="19" t="s">
        <v>39</v>
      </c>
      <c r="B47" s="113">
        <v>50</v>
      </c>
      <c r="C47" s="115">
        <v>40</v>
      </c>
      <c r="D47" s="117">
        <f t="shared" si="3"/>
        <v>2000</v>
      </c>
    </row>
    <row r="48" spans="1:4" s="1" customFormat="1" ht="16.5" x14ac:dyDescent="0.3">
      <c r="A48" s="19" t="s">
        <v>41</v>
      </c>
      <c r="B48" s="113">
        <v>1</v>
      </c>
      <c r="C48" s="115">
        <v>620</v>
      </c>
      <c r="D48" s="117">
        <f t="shared" si="3"/>
        <v>620</v>
      </c>
    </row>
    <row r="49" spans="1:4" s="1" customFormat="1" ht="16.5" x14ac:dyDescent="0.3">
      <c r="A49" s="19" t="s">
        <v>37</v>
      </c>
      <c r="B49" s="11">
        <v>150</v>
      </c>
      <c r="C49" s="4">
        <v>5</v>
      </c>
      <c r="D49" s="117">
        <f>B49*C49</f>
        <v>750</v>
      </c>
    </row>
    <row r="50" spans="1:4" s="1" customFormat="1" ht="16.5" x14ac:dyDescent="0.3">
      <c r="A50" s="19" t="s">
        <v>254</v>
      </c>
      <c r="B50" s="11">
        <v>300</v>
      </c>
      <c r="C50" s="21">
        <v>0.05</v>
      </c>
      <c r="D50" s="117">
        <f>B50*C50</f>
        <v>15</v>
      </c>
    </row>
    <row r="51" spans="1:4" s="1" customFormat="1" ht="16.5" x14ac:dyDescent="0.3">
      <c r="A51" s="19" t="s">
        <v>38</v>
      </c>
      <c r="B51" s="11">
        <v>320</v>
      </c>
      <c r="C51" s="21">
        <v>0.2</v>
      </c>
      <c r="D51" s="117">
        <f>B51*C51</f>
        <v>64</v>
      </c>
    </row>
    <row r="52" spans="1:4" s="1" customFormat="1" ht="16.5" x14ac:dyDescent="0.3">
      <c r="A52" s="19" t="s">
        <v>43</v>
      </c>
      <c r="B52" s="11">
        <v>2</v>
      </c>
      <c r="C52" s="4">
        <v>29904</v>
      </c>
      <c r="D52" s="117">
        <f>B52*C52</f>
        <v>59808</v>
      </c>
    </row>
    <row r="53" spans="1:4" ht="17.25" thickBot="1" x14ac:dyDescent="0.35">
      <c r="A53" s="14" t="s">
        <v>24</v>
      </c>
      <c r="B53" s="14"/>
      <c r="C53" s="14"/>
      <c r="D53" s="18">
        <f>SUM(D35:D52)</f>
        <v>265622</v>
      </c>
    </row>
    <row r="54" spans="1:4" ht="17.25" thickBot="1" x14ac:dyDescent="0.35">
      <c r="A54" s="25" t="s">
        <v>25</v>
      </c>
      <c r="B54" s="26"/>
      <c r="C54" s="27"/>
      <c r="D54" s="28">
        <f>D21+D33+D53</f>
        <v>288108.90480000002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topLeftCell="B112" zoomScale="90" zoomScaleNormal="90" workbookViewId="0">
      <selection activeCell="K125" sqref="K125"/>
    </sheetView>
  </sheetViews>
  <sheetFormatPr baseColWidth="10" defaultRowHeight="15" x14ac:dyDescent="0.25"/>
  <cols>
    <col min="1" max="1" width="29.7109375" customWidth="1"/>
    <col min="2" max="2" width="15.7109375" customWidth="1"/>
    <col min="3" max="3" width="15.7109375" style="44" customWidth="1"/>
    <col min="4" max="4" width="14.140625" customWidth="1"/>
    <col min="5" max="5" width="13.7109375" customWidth="1"/>
    <col min="6" max="6" width="15.140625" customWidth="1"/>
    <col min="7" max="7" width="13.7109375" customWidth="1"/>
    <col min="8" max="8" width="14" customWidth="1"/>
    <col min="9" max="9" width="13.42578125" customWidth="1"/>
    <col min="10" max="11" width="14.140625" customWidth="1"/>
    <col min="12" max="13" width="12.28515625" customWidth="1"/>
  </cols>
  <sheetData>
    <row r="1" spans="1:18" s="44" customFormat="1" ht="20.25" x14ac:dyDescent="0.3">
      <c r="A1" s="238" t="s">
        <v>284</v>
      </c>
      <c r="B1" s="238"/>
      <c r="C1" s="645">
        <v>2012</v>
      </c>
      <c r="D1" s="645"/>
      <c r="E1" s="645"/>
      <c r="F1" s="645"/>
      <c r="G1" s="645"/>
      <c r="H1" s="646"/>
      <c r="I1" s="186">
        <v>2013</v>
      </c>
      <c r="J1" s="186">
        <v>2014</v>
      </c>
      <c r="K1" s="186">
        <v>2015</v>
      </c>
      <c r="L1" s="186">
        <v>2016</v>
      </c>
      <c r="M1" s="186">
        <v>2017</v>
      </c>
      <c r="N1" s="186">
        <v>2018</v>
      </c>
      <c r="O1" s="186">
        <v>2019</v>
      </c>
      <c r="P1" s="186">
        <v>2020</v>
      </c>
      <c r="Q1" s="186">
        <v>2021</v>
      </c>
      <c r="R1" s="186">
        <v>2022</v>
      </c>
    </row>
    <row r="2" spans="1:18" s="44" customFormat="1" ht="15.75" x14ac:dyDescent="0.25">
      <c r="A2" s="229"/>
      <c r="B2" s="230" t="s">
        <v>285</v>
      </c>
      <c r="C2" s="228" t="s">
        <v>286</v>
      </c>
      <c r="D2" s="228" t="s">
        <v>409</v>
      </c>
      <c r="E2" s="228" t="s">
        <v>410</v>
      </c>
      <c r="F2" s="228" t="s">
        <v>411</v>
      </c>
      <c r="G2" s="228" t="s">
        <v>413</v>
      </c>
      <c r="H2" s="228" t="s">
        <v>412</v>
      </c>
      <c r="I2" s="228" t="s">
        <v>412</v>
      </c>
      <c r="J2" s="228" t="s">
        <v>412</v>
      </c>
      <c r="K2" s="228" t="s">
        <v>412</v>
      </c>
      <c r="L2" s="228" t="s">
        <v>412</v>
      </c>
      <c r="M2" s="228" t="s">
        <v>412</v>
      </c>
      <c r="N2" s="228" t="s">
        <v>412</v>
      </c>
      <c r="O2" s="228" t="s">
        <v>412</v>
      </c>
      <c r="P2" s="228" t="s">
        <v>412</v>
      </c>
      <c r="Q2" s="228" t="s">
        <v>412</v>
      </c>
      <c r="R2" s="228" t="s">
        <v>412</v>
      </c>
    </row>
    <row r="3" spans="1:18" s="44" customFormat="1" ht="16.5" x14ac:dyDescent="0.25">
      <c r="A3" s="189" t="s">
        <v>287</v>
      </c>
      <c r="B3" s="231">
        <v>1</v>
      </c>
      <c r="C3" s="232">
        <v>60</v>
      </c>
      <c r="D3" s="232">
        <f>C3*60</f>
        <v>3600</v>
      </c>
      <c r="E3" s="232">
        <f>D3*8</f>
        <v>28800</v>
      </c>
      <c r="F3" s="232">
        <f>E3*5</f>
        <v>144000</v>
      </c>
      <c r="G3" s="232">
        <f>F3*4</f>
        <v>576000</v>
      </c>
      <c r="H3" s="232">
        <f>G3*12</f>
        <v>6912000</v>
      </c>
      <c r="I3" s="232">
        <f>H3</f>
        <v>6912000</v>
      </c>
      <c r="J3" s="232">
        <f t="shared" ref="J3:R3" si="0">I3</f>
        <v>6912000</v>
      </c>
      <c r="K3" s="232">
        <f t="shared" si="0"/>
        <v>6912000</v>
      </c>
      <c r="L3" s="232">
        <f t="shared" si="0"/>
        <v>6912000</v>
      </c>
      <c r="M3" s="232">
        <f t="shared" si="0"/>
        <v>6912000</v>
      </c>
      <c r="N3" s="232">
        <f t="shared" si="0"/>
        <v>6912000</v>
      </c>
      <c r="O3" s="232">
        <f t="shared" si="0"/>
        <v>6912000</v>
      </c>
      <c r="P3" s="232">
        <f t="shared" si="0"/>
        <v>6912000</v>
      </c>
      <c r="Q3" s="232">
        <f t="shared" si="0"/>
        <v>6912000</v>
      </c>
      <c r="R3" s="232">
        <f t="shared" si="0"/>
        <v>6912000</v>
      </c>
    </row>
    <row r="4" spans="1:18" ht="16.5" x14ac:dyDescent="0.25">
      <c r="A4" s="189" t="s">
        <v>288</v>
      </c>
      <c r="B4" s="388">
        <v>0.53</v>
      </c>
      <c r="C4" s="234">
        <f>B4*C3</f>
        <v>31.8</v>
      </c>
      <c r="D4" s="234">
        <f>D3*B4</f>
        <v>1908</v>
      </c>
      <c r="E4" s="232">
        <f>D4*9</f>
        <v>17172</v>
      </c>
      <c r="F4" s="232">
        <f>E4*5</f>
        <v>85860</v>
      </c>
      <c r="G4" s="232">
        <f>F4*4</f>
        <v>343440</v>
      </c>
      <c r="H4" s="232">
        <f>G4*12</f>
        <v>4121280</v>
      </c>
      <c r="I4" s="391">
        <f>(B13/I3)-4%</f>
        <v>0.54168828283435189</v>
      </c>
      <c r="J4" s="391">
        <f t="shared" ref="J4:R4" si="1">(C13/J3)-4%</f>
        <v>0.55041360707686715</v>
      </c>
      <c r="K4" s="391">
        <f t="shared" si="1"/>
        <v>0.5592698111830201</v>
      </c>
      <c r="L4" s="391">
        <f t="shared" si="1"/>
        <v>0.56825885835076539</v>
      </c>
      <c r="M4" s="391">
        <f t="shared" si="1"/>
        <v>0.57738274122602684</v>
      </c>
      <c r="N4" s="391">
        <f t="shared" si="1"/>
        <v>0.5866434823444171</v>
      </c>
      <c r="O4" s="391">
        <f t="shared" si="1"/>
        <v>0.59604313457958336</v>
      </c>
      <c r="P4" s="391">
        <f t="shared" si="1"/>
        <v>0.60558378159827697</v>
      </c>
      <c r="Q4" s="391">
        <f t="shared" si="1"/>
        <v>0.61526753832225112</v>
      </c>
      <c r="R4" s="391">
        <f t="shared" si="1"/>
        <v>0.62509655139708475</v>
      </c>
    </row>
    <row r="5" spans="1:18" ht="16.5" x14ac:dyDescent="0.25">
      <c r="A5" s="189" t="s">
        <v>289</v>
      </c>
      <c r="B5" s="235">
        <v>0.04</v>
      </c>
      <c r="C5" s="236">
        <f>B5*C4</f>
        <v>1.272</v>
      </c>
      <c r="D5" s="232">
        <f>D4*B5</f>
        <v>76.320000000000007</v>
      </c>
      <c r="E5" s="232">
        <f>D5*7</f>
        <v>534.24</v>
      </c>
      <c r="F5" s="232">
        <f>E5*5</f>
        <v>2671.2</v>
      </c>
      <c r="G5" s="232">
        <f>F5*4</f>
        <v>10684.8</v>
      </c>
      <c r="H5" s="232">
        <f>G5*12</f>
        <v>128217.59999999999</v>
      </c>
    </row>
    <row r="6" spans="1:18" ht="16.5" x14ac:dyDescent="0.25">
      <c r="A6" s="189" t="s">
        <v>290</v>
      </c>
      <c r="B6" s="389">
        <f t="shared" ref="B6:H6" si="2">B4-B5</f>
        <v>0.49000000000000005</v>
      </c>
      <c r="C6" s="236">
        <f t="shared" si="2"/>
        <v>30.528000000000002</v>
      </c>
      <c r="D6" s="232">
        <f t="shared" si="2"/>
        <v>1831.68</v>
      </c>
      <c r="E6" s="232">
        <f t="shared" si="2"/>
        <v>16637.759999999998</v>
      </c>
      <c r="F6" s="232">
        <f t="shared" si="2"/>
        <v>83188.800000000003</v>
      </c>
      <c r="G6" s="232">
        <f t="shared" si="2"/>
        <v>332755.20000000001</v>
      </c>
      <c r="H6" s="232">
        <f t="shared" si="2"/>
        <v>3993062.4</v>
      </c>
      <c r="I6" s="239"/>
      <c r="J6" s="239"/>
      <c r="K6" s="239"/>
      <c r="L6" s="239"/>
      <c r="M6" s="239"/>
      <c r="N6" s="239"/>
      <c r="O6" s="239"/>
      <c r="P6" s="239"/>
      <c r="Q6" s="239"/>
      <c r="R6" s="239"/>
    </row>
    <row r="7" spans="1:18" x14ac:dyDescent="0.25">
      <c r="C7"/>
      <c r="D7" s="44"/>
      <c r="E7" s="44"/>
    </row>
    <row r="8" spans="1:18" s="2" customFormat="1" ht="16.5" x14ac:dyDescent="0.25">
      <c r="A8" s="258" t="s">
        <v>292</v>
      </c>
      <c r="B8" s="258" t="s">
        <v>255</v>
      </c>
      <c r="C8" s="258" t="s">
        <v>293</v>
      </c>
      <c r="D8" s="258" t="s">
        <v>163</v>
      </c>
      <c r="E8" s="258" t="s">
        <v>164</v>
      </c>
      <c r="F8" s="258" t="s">
        <v>165</v>
      </c>
      <c r="G8" s="258" t="s">
        <v>166</v>
      </c>
      <c r="H8" s="258" t="s">
        <v>167</v>
      </c>
      <c r="I8" s="258" t="s">
        <v>168</v>
      </c>
      <c r="J8" s="258" t="s">
        <v>169</v>
      </c>
      <c r="K8" s="258" t="s">
        <v>170</v>
      </c>
      <c r="L8" s="258" t="s">
        <v>171</v>
      </c>
      <c r="M8" s="258" t="s">
        <v>172</v>
      </c>
    </row>
    <row r="9" spans="1:18" s="44" customFormat="1" ht="16.5" x14ac:dyDescent="0.25">
      <c r="A9" s="189" t="s">
        <v>291</v>
      </c>
      <c r="B9" s="259">
        <f>G6</f>
        <v>332755.20000000001</v>
      </c>
      <c r="C9" s="259">
        <f>B9*(1+$B$10)</f>
        <v>333171.14400000003</v>
      </c>
      <c r="D9" s="259">
        <f t="shared" ref="D9:M9" si="3">C9*(1+$B$10)</f>
        <v>333587.60793</v>
      </c>
      <c r="E9" s="259">
        <f t="shared" si="3"/>
        <v>334004.59243991249</v>
      </c>
      <c r="F9" s="259">
        <f t="shared" si="3"/>
        <v>334422.09818046237</v>
      </c>
      <c r="G9" s="259">
        <f t="shared" si="3"/>
        <v>334840.12580318796</v>
      </c>
      <c r="H9" s="259">
        <f t="shared" si="3"/>
        <v>335258.67596044193</v>
      </c>
      <c r="I9" s="259">
        <f t="shared" si="3"/>
        <v>335677.7493053925</v>
      </c>
      <c r="J9" s="259">
        <f t="shared" si="3"/>
        <v>336097.34649202425</v>
      </c>
      <c r="K9" s="259">
        <f t="shared" si="3"/>
        <v>336517.46817513928</v>
      </c>
      <c r="L9" s="259">
        <f t="shared" si="3"/>
        <v>336938.11501035822</v>
      </c>
      <c r="M9" s="259">
        <f t="shared" si="3"/>
        <v>337359.28765412117</v>
      </c>
    </row>
    <row r="10" spans="1:18" s="44" customFormat="1" ht="16.5" x14ac:dyDescent="0.25">
      <c r="A10" s="189" t="s">
        <v>294</v>
      </c>
      <c r="B10" s="260">
        <f>B14/12</f>
        <v>1.25E-3</v>
      </c>
    </row>
    <row r="11" spans="1:18" s="44" customFormat="1" x14ac:dyDescent="0.25"/>
    <row r="12" spans="1:18" s="44" customFormat="1" ht="16.5" x14ac:dyDescent="0.25">
      <c r="A12" s="258" t="s">
        <v>292</v>
      </c>
      <c r="B12" s="258">
        <v>2012</v>
      </c>
      <c r="C12" s="258">
        <v>2013</v>
      </c>
      <c r="D12" s="258">
        <v>2014</v>
      </c>
      <c r="E12" s="258">
        <v>2015</v>
      </c>
      <c r="F12" s="258">
        <v>2016</v>
      </c>
      <c r="G12" s="258">
        <v>2017</v>
      </c>
      <c r="H12" s="258">
        <v>2018</v>
      </c>
      <c r="I12" s="258">
        <v>2019</v>
      </c>
      <c r="J12" s="258">
        <v>2020</v>
      </c>
      <c r="K12" s="258">
        <v>2021</v>
      </c>
      <c r="L12" s="258">
        <v>2022</v>
      </c>
    </row>
    <row r="13" spans="1:18" s="44" customFormat="1" ht="16.5" x14ac:dyDescent="0.25">
      <c r="A13" s="189" t="s">
        <v>295</v>
      </c>
      <c r="B13" s="259">
        <f>SUM(B9:M9)</f>
        <v>4020629.4109510407</v>
      </c>
      <c r="C13" s="259">
        <f>B13*(1+$B$14)</f>
        <v>4080938.8521153061</v>
      </c>
      <c r="D13" s="259">
        <f t="shared" ref="D13:L13" si="4">C13*(1+$B$14)</f>
        <v>4142152.9348970354</v>
      </c>
      <c r="E13" s="259">
        <f t="shared" si="4"/>
        <v>4204285.2289204905</v>
      </c>
      <c r="F13" s="259">
        <f t="shared" si="4"/>
        <v>4267349.5073542977</v>
      </c>
      <c r="G13" s="259">
        <f t="shared" si="4"/>
        <v>4331359.7499646116</v>
      </c>
      <c r="H13" s="259">
        <f t="shared" si="4"/>
        <v>4396330.14621408</v>
      </c>
      <c r="I13" s="259">
        <f t="shared" si="4"/>
        <v>4462275.0984072909</v>
      </c>
      <c r="J13" s="259">
        <f t="shared" si="4"/>
        <v>4529209.2248833999</v>
      </c>
      <c r="K13" s="259">
        <f t="shared" si="4"/>
        <v>4597147.36325665</v>
      </c>
      <c r="L13" s="259">
        <f t="shared" si="4"/>
        <v>4666104.5737054991</v>
      </c>
    </row>
    <row r="14" spans="1:18" s="44" customFormat="1" ht="16.5" x14ac:dyDescent="0.25">
      <c r="A14" s="189" t="s">
        <v>296</v>
      </c>
      <c r="B14" s="261">
        <v>1.4999999999999999E-2</v>
      </c>
    </row>
    <row r="15" spans="1:18" s="44" customFormat="1" x14ac:dyDescent="0.25">
      <c r="B15" s="241"/>
      <c r="E15" s="240"/>
    </row>
    <row r="16" spans="1:18" s="44" customFormat="1" ht="15.75" thickBot="1" x14ac:dyDescent="0.3">
      <c r="B16" s="241"/>
    </row>
    <row r="17" spans="1:13" s="44" customFormat="1" ht="16.5" x14ac:dyDescent="0.3">
      <c r="A17" s="647" t="s">
        <v>297</v>
      </c>
      <c r="B17" s="648"/>
      <c r="C17" s="648"/>
      <c r="D17" s="648"/>
      <c r="E17" s="648"/>
      <c r="F17" s="648"/>
      <c r="G17" s="649"/>
      <c r="H17" s="243"/>
      <c r="I17" s="243"/>
      <c r="J17" s="243"/>
      <c r="K17" s="243"/>
      <c r="L17" s="229"/>
      <c r="M17" s="229"/>
    </row>
    <row r="18" spans="1:13" s="44" customFormat="1" ht="18" x14ac:dyDescent="0.25">
      <c r="F18" s="254" t="s">
        <v>261</v>
      </c>
      <c r="G18" s="254" t="s">
        <v>298</v>
      </c>
      <c r="H18" s="243"/>
      <c r="I18" s="243"/>
      <c r="J18" s="243"/>
      <c r="K18" s="243"/>
      <c r="L18" s="229"/>
      <c r="M18" s="229"/>
    </row>
    <row r="19" spans="1:13" s="44" customFormat="1" ht="16.5" x14ac:dyDescent="0.25">
      <c r="A19" s="189" t="s">
        <v>299</v>
      </c>
      <c r="B19" s="244"/>
      <c r="C19" s="244"/>
      <c r="D19" s="244"/>
      <c r="E19" s="245"/>
      <c r="F19" s="233" t="e">
        <f>#REF!</f>
        <v>#REF!</v>
      </c>
      <c r="G19" s="233" t="e">
        <f>F19*12</f>
        <v>#REF!</v>
      </c>
      <c r="H19" s="243"/>
      <c r="I19" s="243"/>
      <c r="J19" s="243"/>
      <c r="K19" s="243"/>
      <c r="L19" s="229"/>
      <c r="M19" s="229"/>
    </row>
    <row r="20" spans="1:13" s="44" customFormat="1" ht="16.5" x14ac:dyDescent="0.25">
      <c r="A20" s="189" t="s">
        <v>300</v>
      </c>
      <c r="B20" s="246"/>
      <c r="C20" s="244"/>
      <c r="D20" s="244"/>
      <c r="E20" s="245"/>
      <c r="F20" s="242" t="e">
        <f>(B9*100%)/F19</f>
        <v>#REF!</v>
      </c>
      <c r="G20" s="247"/>
      <c r="H20" s="243"/>
      <c r="I20" s="243"/>
      <c r="J20" s="243"/>
      <c r="K20" s="243"/>
      <c r="L20" s="229"/>
      <c r="M20" s="229"/>
    </row>
    <row r="21" spans="1:13" s="44" customFormat="1" ht="16.5" x14ac:dyDescent="0.25">
      <c r="A21" s="189" t="s">
        <v>301</v>
      </c>
      <c r="B21" s="244"/>
      <c r="C21" s="244"/>
      <c r="D21" s="244"/>
      <c r="E21" s="245"/>
      <c r="F21" s="257" t="e">
        <f>F19*F20</f>
        <v>#REF!</v>
      </c>
      <c r="G21" s="257" t="e">
        <f>F21*12</f>
        <v>#REF!</v>
      </c>
      <c r="H21" s="243"/>
      <c r="I21" s="243"/>
      <c r="J21" s="243"/>
      <c r="K21" s="243"/>
      <c r="L21" s="229"/>
      <c r="M21" s="229"/>
    </row>
    <row r="22" spans="1:13" s="44" customFormat="1" ht="16.5" thickBot="1" x14ac:dyDescent="0.3">
      <c r="A22" s="650" t="s">
        <v>302</v>
      </c>
      <c r="B22" s="651"/>
      <c r="C22" s="651"/>
      <c r="D22" s="651"/>
      <c r="E22" s="651"/>
      <c r="F22" s="651"/>
      <c r="G22" s="651"/>
      <c r="H22" s="651"/>
      <c r="I22" s="651"/>
      <c r="J22" s="651"/>
      <c r="K22" s="651"/>
      <c r="L22" s="651"/>
      <c r="M22" s="652"/>
    </row>
    <row r="23" spans="1:13" s="44" customFormat="1" ht="16.5" x14ac:dyDescent="0.3">
      <c r="A23" s="107" t="s">
        <v>303</v>
      </c>
      <c r="B23" s="107" t="s">
        <v>161</v>
      </c>
      <c r="C23" s="107" t="s">
        <v>162</v>
      </c>
      <c r="D23" s="107" t="s">
        <v>163</v>
      </c>
      <c r="E23" s="107" t="s">
        <v>164</v>
      </c>
      <c r="F23" s="107" t="s">
        <v>165</v>
      </c>
      <c r="G23" s="107" t="s">
        <v>166</v>
      </c>
      <c r="H23" s="107" t="s">
        <v>167</v>
      </c>
      <c r="I23" s="107" t="s">
        <v>168</v>
      </c>
      <c r="J23" s="107" t="s">
        <v>169</v>
      </c>
      <c r="K23" s="107" t="s">
        <v>170</v>
      </c>
      <c r="L23" s="107" t="s">
        <v>171</v>
      </c>
      <c r="M23" s="107" t="s">
        <v>172</v>
      </c>
    </row>
    <row r="24" spans="1:13" s="44" customFormat="1" ht="16.5" x14ac:dyDescent="0.25">
      <c r="A24" s="237" t="s">
        <v>299</v>
      </c>
      <c r="B24" s="255" t="e">
        <f>F19</f>
        <v>#REF!</v>
      </c>
      <c r="C24" s="255" t="e">
        <f t="shared" ref="C24:M24" si="5">B24*(1+$B$25)</f>
        <v>#REF!</v>
      </c>
      <c r="D24" s="255" t="e">
        <f t="shared" si="5"/>
        <v>#REF!</v>
      </c>
      <c r="E24" s="255" t="e">
        <f t="shared" si="5"/>
        <v>#REF!</v>
      </c>
      <c r="F24" s="255" t="e">
        <f t="shared" si="5"/>
        <v>#REF!</v>
      </c>
      <c r="G24" s="255" t="e">
        <f t="shared" si="5"/>
        <v>#REF!</v>
      </c>
      <c r="H24" s="255" t="e">
        <f t="shared" si="5"/>
        <v>#REF!</v>
      </c>
      <c r="I24" s="255" t="e">
        <f t="shared" si="5"/>
        <v>#REF!</v>
      </c>
      <c r="J24" s="255" t="e">
        <f t="shared" si="5"/>
        <v>#REF!</v>
      </c>
      <c r="K24" s="255" t="e">
        <f t="shared" si="5"/>
        <v>#REF!</v>
      </c>
      <c r="L24" s="255" t="e">
        <f t="shared" si="5"/>
        <v>#REF!</v>
      </c>
      <c r="M24" s="255" t="e">
        <f t="shared" si="5"/>
        <v>#REF!</v>
      </c>
    </row>
    <row r="25" spans="1:13" ht="14.25" customHeight="1" x14ac:dyDescent="0.25">
      <c r="A25" s="237" t="s">
        <v>304</v>
      </c>
      <c r="B25" s="248">
        <f>$B$32/12</f>
        <v>1.25E-3</v>
      </c>
      <c r="C25" s="248">
        <f t="shared" ref="C25:M25" si="6">$B$32/12</f>
        <v>1.25E-3</v>
      </c>
      <c r="D25" s="248">
        <f t="shared" si="6"/>
        <v>1.25E-3</v>
      </c>
      <c r="E25" s="248">
        <f t="shared" si="6"/>
        <v>1.25E-3</v>
      </c>
      <c r="F25" s="248">
        <f t="shared" si="6"/>
        <v>1.25E-3</v>
      </c>
      <c r="G25" s="248">
        <f t="shared" si="6"/>
        <v>1.25E-3</v>
      </c>
      <c r="H25" s="248">
        <f t="shared" si="6"/>
        <v>1.25E-3</v>
      </c>
      <c r="I25" s="248">
        <f t="shared" si="6"/>
        <v>1.25E-3</v>
      </c>
      <c r="J25" s="248">
        <f t="shared" si="6"/>
        <v>1.25E-3</v>
      </c>
      <c r="K25" s="248">
        <f t="shared" si="6"/>
        <v>1.25E-3</v>
      </c>
      <c r="L25" s="248">
        <f t="shared" si="6"/>
        <v>1.25E-3</v>
      </c>
      <c r="M25" s="248">
        <f t="shared" si="6"/>
        <v>1.25E-3</v>
      </c>
    </row>
    <row r="26" spans="1:13" ht="16.5" x14ac:dyDescent="0.25">
      <c r="A26" s="237" t="s">
        <v>300</v>
      </c>
      <c r="B26" s="248" t="e">
        <f>F21/F19</f>
        <v>#REF!</v>
      </c>
      <c r="C26" s="248" t="e">
        <f t="shared" ref="C26:M26" si="7">C27/C24</f>
        <v>#REF!</v>
      </c>
      <c r="D26" s="248" t="e">
        <f t="shared" si="7"/>
        <v>#REF!</v>
      </c>
      <c r="E26" s="248" t="e">
        <f t="shared" si="7"/>
        <v>#REF!</v>
      </c>
      <c r="F26" s="248" t="e">
        <f t="shared" si="7"/>
        <v>#REF!</v>
      </c>
      <c r="G26" s="248" t="e">
        <f t="shared" si="7"/>
        <v>#REF!</v>
      </c>
      <c r="H26" s="248" t="e">
        <f t="shared" si="7"/>
        <v>#REF!</v>
      </c>
      <c r="I26" s="248" t="e">
        <f t="shared" si="7"/>
        <v>#REF!</v>
      </c>
      <c r="J26" s="248" t="e">
        <f t="shared" si="7"/>
        <v>#REF!</v>
      </c>
      <c r="K26" s="248" t="e">
        <f t="shared" si="7"/>
        <v>#REF!</v>
      </c>
      <c r="L26" s="248" t="e">
        <f t="shared" si="7"/>
        <v>#REF!</v>
      </c>
      <c r="M26" s="248" t="e">
        <f t="shared" si="7"/>
        <v>#REF!</v>
      </c>
    </row>
    <row r="27" spans="1:13" ht="16.5" x14ac:dyDescent="0.25">
      <c r="A27" s="237" t="s">
        <v>301</v>
      </c>
      <c r="B27" s="255" t="e">
        <f>F21</f>
        <v>#REF!</v>
      </c>
      <c r="C27" s="255" t="e">
        <f>B27*(1+$B$28)</f>
        <v>#REF!</v>
      </c>
      <c r="D27" s="255" t="e">
        <f t="shared" ref="D27:M27" si="8">C27*(1+$B$28)</f>
        <v>#REF!</v>
      </c>
      <c r="E27" s="255" t="e">
        <f t="shared" si="8"/>
        <v>#REF!</v>
      </c>
      <c r="F27" s="255" t="e">
        <f t="shared" si="8"/>
        <v>#REF!</v>
      </c>
      <c r="G27" s="255" t="e">
        <f t="shared" si="8"/>
        <v>#REF!</v>
      </c>
      <c r="H27" s="255" t="e">
        <f t="shared" si="8"/>
        <v>#REF!</v>
      </c>
      <c r="I27" s="255" t="e">
        <f t="shared" si="8"/>
        <v>#REF!</v>
      </c>
      <c r="J27" s="255" t="e">
        <f t="shared" si="8"/>
        <v>#REF!</v>
      </c>
      <c r="K27" s="255" t="e">
        <f t="shared" si="8"/>
        <v>#REF!</v>
      </c>
      <c r="L27" s="255" t="e">
        <f t="shared" si="8"/>
        <v>#REF!</v>
      </c>
      <c r="M27" s="255" t="e">
        <f t="shared" si="8"/>
        <v>#REF!</v>
      </c>
    </row>
    <row r="28" spans="1:13" ht="16.5" x14ac:dyDescent="0.25">
      <c r="A28" s="237" t="s">
        <v>305</v>
      </c>
      <c r="B28" s="249">
        <v>1.2999999999999999E-3</v>
      </c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</row>
    <row r="29" spans="1:13" ht="16.5" thickBot="1" x14ac:dyDescent="0.3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</row>
    <row r="30" spans="1:13" ht="16.5" x14ac:dyDescent="0.3">
      <c r="A30" s="107" t="s">
        <v>306</v>
      </c>
      <c r="B30" s="107">
        <v>2012</v>
      </c>
      <c r="C30" s="107">
        <v>2013</v>
      </c>
      <c r="D30" s="107">
        <v>2014</v>
      </c>
      <c r="E30" s="107">
        <v>2015</v>
      </c>
      <c r="F30" s="107">
        <v>2016</v>
      </c>
      <c r="G30" s="107">
        <v>2017</v>
      </c>
      <c r="H30" s="107">
        <v>2018</v>
      </c>
      <c r="I30" s="107">
        <v>2019</v>
      </c>
      <c r="J30" s="107">
        <v>2020</v>
      </c>
      <c r="K30" s="107">
        <v>2021</v>
      </c>
      <c r="L30" s="229"/>
      <c r="M30" s="229"/>
    </row>
    <row r="31" spans="1:13" ht="16.5" x14ac:dyDescent="0.25">
      <c r="A31" s="237" t="s">
        <v>299</v>
      </c>
      <c r="B31" s="256" t="e">
        <f>SUM(B24:M24)</f>
        <v>#REF!</v>
      </c>
      <c r="C31" s="256" t="e">
        <f t="shared" ref="C31:K31" si="9">B31*(1+C32)</f>
        <v>#REF!</v>
      </c>
      <c r="D31" s="256" t="e">
        <f t="shared" si="9"/>
        <v>#REF!</v>
      </c>
      <c r="E31" s="256" t="e">
        <f t="shared" si="9"/>
        <v>#REF!</v>
      </c>
      <c r="F31" s="256" t="e">
        <f t="shared" si="9"/>
        <v>#REF!</v>
      </c>
      <c r="G31" s="256" t="e">
        <f t="shared" si="9"/>
        <v>#REF!</v>
      </c>
      <c r="H31" s="256" t="e">
        <f t="shared" si="9"/>
        <v>#REF!</v>
      </c>
      <c r="I31" s="256" t="e">
        <f t="shared" si="9"/>
        <v>#REF!</v>
      </c>
      <c r="J31" s="256" t="e">
        <f t="shared" si="9"/>
        <v>#REF!</v>
      </c>
      <c r="K31" s="256" t="e">
        <f t="shared" si="9"/>
        <v>#REF!</v>
      </c>
      <c r="L31" s="250"/>
      <c r="M31" s="229"/>
    </row>
    <row r="32" spans="1:13" ht="16.5" x14ac:dyDescent="0.25">
      <c r="A32" s="237" t="s">
        <v>304</v>
      </c>
      <c r="B32" s="249">
        <v>1.4999999999999999E-2</v>
      </c>
      <c r="C32" s="249">
        <f t="shared" ref="C32:K32" si="10">B32</f>
        <v>1.4999999999999999E-2</v>
      </c>
      <c r="D32" s="249">
        <f t="shared" si="10"/>
        <v>1.4999999999999999E-2</v>
      </c>
      <c r="E32" s="249">
        <f t="shared" si="10"/>
        <v>1.4999999999999999E-2</v>
      </c>
      <c r="F32" s="249">
        <f t="shared" si="10"/>
        <v>1.4999999999999999E-2</v>
      </c>
      <c r="G32" s="249">
        <f t="shared" si="10"/>
        <v>1.4999999999999999E-2</v>
      </c>
      <c r="H32" s="249">
        <f t="shared" si="10"/>
        <v>1.4999999999999999E-2</v>
      </c>
      <c r="I32" s="249">
        <f t="shared" si="10"/>
        <v>1.4999999999999999E-2</v>
      </c>
      <c r="J32" s="249">
        <f t="shared" si="10"/>
        <v>1.4999999999999999E-2</v>
      </c>
      <c r="K32" s="249">
        <f t="shared" si="10"/>
        <v>1.4999999999999999E-2</v>
      </c>
      <c r="L32" s="229"/>
      <c r="M32" s="229"/>
    </row>
    <row r="33" spans="1:13" ht="16.5" x14ac:dyDescent="0.25">
      <c r="A33" s="237" t="s">
        <v>300</v>
      </c>
      <c r="B33" s="249" t="e">
        <f>AVERAGE(B26:M26)</f>
        <v>#REF!</v>
      </c>
      <c r="C33" s="249" t="e">
        <f>C34/C31</f>
        <v>#REF!</v>
      </c>
      <c r="D33" s="249" t="e">
        <f t="shared" ref="C33:K33" si="11">D34/D31</f>
        <v>#REF!</v>
      </c>
      <c r="E33" s="249" t="e">
        <f t="shared" si="11"/>
        <v>#REF!</v>
      </c>
      <c r="F33" s="249" t="e">
        <f t="shared" si="11"/>
        <v>#REF!</v>
      </c>
      <c r="G33" s="249" t="e">
        <f t="shared" si="11"/>
        <v>#REF!</v>
      </c>
      <c r="H33" s="249" t="e">
        <f t="shared" si="11"/>
        <v>#REF!</v>
      </c>
      <c r="I33" s="249" t="e">
        <f t="shared" si="11"/>
        <v>#REF!</v>
      </c>
      <c r="J33" s="249" t="e">
        <f t="shared" si="11"/>
        <v>#REF!</v>
      </c>
      <c r="K33" s="249" t="e">
        <f t="shared" si="11"/>
        <v>#REF!</v>
      </c>
      <c r="L33" s="251"/>
      <c r="M33" s="229"/>
    </row>
    <row r="34" spans="1:13" ht="16.5" x14ac:dyDescent="0.25">
      <c r="A34" s="237" t="s">
        <v>301</v>
      </c>
      <c r="B34" s="256" t="e">
        <f>SUM(B27:M27)</f>
        <v>#REF!</v>
      </c>
      <c r="C34" s="256" t="e">
        <f t="shared" ref="C34:K34" si="12">B34*(1+$B$35)</f>
        <v>#REF!</v>
      </c>
      <c r="D34" s="256" t="e">
        <f t="shared" si="12"/>
        <v>#REF!</v>
      </c>
      <c r="E34" s="256" t="e">
        <f t="shared" si="12"/>
        <v>#REF!</v>
      </c>
      <c r="F34" s="256" t="e">
        <f t="shared" si="12"/>
        <v>#REF!</v>
      </c>
      <c r="G34" s="256" t="e">
        <f t="shared" si="12"/>
        <v>#REF!</v>
      </c>
      <c r="H34" s="256" t="e">
        <f t="shared" si="12"/>
        <v>#REF!</v>
      </c>
      <c r="I34" s="256" t="e">
        <f t="shared" si="12"/>
        <v>#REF!</v>
      </c>
      <c r="J34" s="256" t="e">
        <f t="shared" si="12"/>
        <v>#REF!</v>
      </c>
      <c r="K34" s="256" t="e">
        <f t="shared" si="12"/>
        <v>#REF!</v>
      </c>
      <c r="L34" s="229"/>
      <c r="M34" s="229"/>
    </row>
    <row r="35" spans="1:13" ht="16.5" x14ac:dyDescent="0.25">
      <c r="A35" s="237" t="s">
        <v>305</v>
      </c>
      <c r="B35" s="249">
        <f>$B$28*12</f>
        <v>1.5599999999999999E-2</v>
      </c>
      <c r="C35" s="229"/>
      <c r="D35" s="252"/>
      <c r="E35" s="253"/>
      <c r="F35" s="229"/>
      <c r="G35" s="252"/>
      <c r="H35" s="253"/>
      <c r="I35" s="229"/>
      <c r="J35" s="229"/>
      <c r="K35" s="229"/>
      <c r="L35" s="229"/>
      <c r="M35" s="229"/>
    </row>
    <row r="36" spans="1:13" x14ac:dyDescent="0.25">
      <c r="A36" s="44"/>
      <c r="B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ht="15.75" thickBot="1" x14ac:dyDescent="0.3">
      <c r="A37" s="44"/>
      <c r="B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.75" customHeight="1" x14ac:dyDescent="0.25">
      <c r="A38" s="653" t="s">
        <v>307</v>
      </c>
      <c r="B38" s="654"/>
      <c r="C38" s="654"/>
      <c r="D38" s="654"/>
      <c r="E38" s="655"/>
      <c r="F38" s="229"/>
      <c r="G38" s="274" t="s">
        <v>324</v>
      </c>
      <c r="H38" s="44"/>
      <c r="I38" s="44"/>
      <c r="J38" s="44"/>
      <c r="K38" s="44"/>
      <c r="L38" s="44"/>
      <c r="M38" s="44"/>
    </row>
    <row r="39" spans="1:13" ht="16.5" customHeight="1" thickBot="1" x14ac:dyDescent="0.3">
      <c r="A39" s="656"/>
      <c r="B39" s="657"/>
      <c r="C39" s="657"/>
      <c r="D39" s="657"/>
      <c r="E39" s="658"/>
      <c r="F39" s="229"/>
      <c r="G39" s="44" t="s">
        <v>325</v>
      </c>
      <c r="H39" s="44"/>
      <c r="I39" s="44"/>
      <c r="J39" s="44"/>
      <c r="K39" s="44"/>
      <c r="L39" s="44"/>
      <c r="M39" s="44"/>
    </row>
    <row r="40" spans="1:13" ht="16.5" x14ac:dyDescent="0.3">
      <c r="A40" s="229"/>
      <c r="B40" s="107" t="s">
        <v>308</v>
      </c>
      <c r="C40" s="107" t="s">
        <v>323</v>
      </c>
      <c r="D40" s="107" t="s">
        <v>327</v>
      </c>
      <c r="E40" s="107" t="s">
        <v>309</v>
      </c>
      <c r="F40" s="229"/>
      <c r="G40" s="44" t="s">
        <v>326</v>
      </c>
      <c r="I40" s="44"/>
      <c r="J40" s="44"/>
      <c r="K40" s="44"/>
      <c r="L40" s="44"/>
      <c r="M40" s="44"/>
    </row>
    <row r="41" spans="1:13" ht="16.5" x14ac:dyDescent="0.25">
      <c r="A41" s="237" t="s">
        <v>310</v>
      </c>
      <c r="B41" s="262">
        <v>24</v>
      </c>
      <c r="C41" s="262">
        <f>B41*C42</f>
        <v>3360</v>
      </c>
      <c r="D41" s="262">
        <f>(C41*B41)/D42</f>
        <v>576</v>
      </c>
      <c r="E41" s="262">
        <v>1</v>
      </c>
      <c r="F41" s="229"/>
      <c r="G41" t="s">
        <v>328</v>
      </c>
      <c r="I41" s="44"/>
      <c r="J41" s="44"/>
      <c r="K41" s="44"/>
      <c r="L41" s="44"/>
      <c r="M41" s="44"/>
    </row>
    <row r="42" spans="1:13" ht="16.5" x14ac:dyDescent="0.25">
      <c r="A42" s="237" t="s">
        <v>311</v>
      </c>
      <c r="B42" s="262">
        <v>1</v>
      </c>
      <c r="C42" s="262">
        <v>140</v>
      </c>
      <c r="D42" s="262">
        <v>140</v>
      </c>
      <c r="E42" s="263">
        <f>B42/24</f>
        <v>4.1666666666666664E-2</v>
      </c>
      <c r="F42" s="229"/>
      <c r="G42" t="s">
        <v>329</v>
      </c>
      <c r="I42" s="44"/>
      <c r="J42" s="44"/>
      <c r="K42" s="44"/>
      <c r="L42" s="44"/>
      <c r="M42" s="44"/>
    </row>
    <row r="43" spans="1:13" ht="16.5" x14ac:dyDescent="0.3">
      <c r="A43" s="121"/>
      <c r="B43" s="121"/>
      <c r="C43" s="121"/>
      <c r="D43" s="121"/>
      <c r="E43" s="121"/>
      <c r="F43" s="229"/>
    </row>
    <row r="44" spans="1:13" ht="16.5" thickBot="1" x14ac:dyDescent="0.3">
      <c r="F44" s="229"/>
    </row>
    <row r="45" spans="1:13" ht="16.5" x14ac:dyDescent="0.3">
      <c r="A45" s="229"/>
      <c r="B45" s="107" t="s">
        <v>330</v>
      </c>
      <c r="C45" s="107" t="s">
        <v>279</v>
      </c>
      <c r="D45" s="107" t="s">
        <v>331</v>
      </c>
      <c r="E45" s="276" t="s">
        <v>283</v>
      </c>
      <c r="F45" s="107" t="s">
        <v>336</v>
      </c>
      <c r="G45" s="107" t="s">
        <v>337</v>
      </c>
      <c r="H45" s="107" t="s">
        <v>281</v>
      </c>
    </row>
    <row r="46" spans="1:13" ht="16.5" x14ac:dyDescent="0.25">
      <c r="A46" s="237" t="s">
        <v>333</v>
      </c>
      <c r="B46" s="265">
        <v>18</v>
      </c>
      <c r="C46" s="265">
        <v>15</v>
      </c>
      <c r="D46" s="265">
        <v>20</v>
      </c>
      <c r="E46" s="277">
        <v>18</v>
      </c>
      <c r="F46" s="279">
        <v>18.5</v>
      </c>
      <c r="G46" s="265">
        <v>19</v>
      </c>
      <c r="H46" s="280">
        <v>18</v>
      </c>
    </row>
    <row r="47" spans="1:13" s="44" customFormat="1" ht="16.5" x14ac:dyDescent="0.25">
      <c r="A47" s="237" t="s">
        <v>286</v>
      </c>
      <c r="B47" s="275">
        <v>36</v>
      </c>
      <c r="C47" s="275">
        <v>40</v>
      </c>
      <c r="D47" s="275">
        <v>35</v>
      </c>
      <c r="E47" s="278">
        <v>35</v>
      </c>
      <c r="F47" s="281">
        <v>84</v>
      </c>
      <c r="G47" s="275">
        <v>75</v>
      </c>
      <c r="H47" s="282">
        <v>85</v>
      </c>
    </row>
    <row r="48" spans="1:13" ht="17.25" thickBot="1" x14ac:dyDescent="0.3">
      <c r="A48" s="237" t="s">
        <v>332</v>
      </c>
      <c r="B48" s="284">
        <f t="shared" ref="B48:H48" si="13">B46/B47</f>
        <v>0.5</v>
      </c>
      <c r="C48" s="284">
        <f t="shared" si="13"/>
        <v>0.375</v>
      </c>
      <c r="D48" s="284">
        <f t="shared" si="13"/>
        <v>0.5714285714285714</v>
      </c>
      <c r="E48" s="285">
        <f t="shared" si="13"/>
        <v>0.51428571428571423</v>
      </c>
      <c r="F48" s="286">
        <f t="shared" si="13"/>
        <v>0.22023809523809523</v>
      </c>
      <c r="G48" s="284">
        <f t="shared" si="13"/>
        <v>0.25333333333333335</v>
      </c>
      <c r="H48" s="287">
        <f t="shared" si="13"/>
        <v>0.21176470588235294</v>
      </c>
    </row>
    <row r="49" spans="1:9" s="44" customFormat="1" ht="17.25" thickBot="1" x14ac:dyDescent="0.3">
      <c r="A49" s="283" t="s">
        <v>339</v>
      </c>
      <c r="B49" s="659">
        <f>(B48/4)+(C48/4)+(D48/4)+(E48/4)</f>
        <v>0.49017857142857141</v>
      </c>
      <c r="C49" s="660"/>
      <c r="D49" s="660"/>
      <c r="E49" s="661"/>
      <c r="F49" s="659">
        <f>(F48/3)+(G48/3)+(H48/3)</f>
        <v>0.22844537815126051</v>
      </c>
      <c r="G49" s="660"/>
      <c r="H49" s="661"/>
    </row>
    <row r="50" spans="1:9" ht="15.75" x14ac:dyDescent="0.25">
      <c r="A50" s="229"/>
      <c r="B50" s="229"/>
      <c r="C50" s="229"/>
      <c r="D50" s="229"/>
      <c r="E50" s="229"/>
      <c r="F50" s="229"/>
    </row>
    <row r="51" spans="1:9" ht="17.25" thickBot="1" x14ac:dyDescent="0.35">
      <c r="A51" s="662" t="s">
        <v>312</v>
      </c>
      <c r="B51" s="645"/>
      <c r="C51" s="229"/>
      <c r="D51" s="663" t="s">
        <v>313</v>
      </c>
      <c r="E51" s="664"/>
      <c r="F51" s="229"/>
    </row>
    <row r="52" spans="1:9" ht="16.5" x14ac:dyDescent="0.3">
      <c r="A52" s="237" t="s">
        <v>334</v>
      </c>
      <c r="B52" s="262">
        <v>0.76</v>
      </c>
      <c r="C52" s="229"/>
      <c r="D52" s="665" t="s">
        <v>314</v>
      </c>
      <c r="E52" s="666"/>
      <c r="F52" s="632" t="s">
        <v>315</v>
      </c>
      <c r="G52" s="637"/>
      <c r="H52" s="632" t="s">
        <v>316</v>
      </c>
      <c r="I52" s="633"/>
    </row>
    <row r="53" spans="1:9" ht="16.5" x14ac:dyDescent="0.25">
      <c r="A53" s="237" t="s">
        <v>317</v>
      </c>
      <c r="B53" s="263">
        <v>4.4499999999999998E-2</v>
      </c>
      <c r="C53" s="229"/>
      <c r="D53" s="636" t="s">
        <v>334</v>
      </c>
      <c r="E53" s="636"/>
      <c r="F53" s="638">
        <f>B52*$D$42</f>
        <v>106.4</v>
      </c>
      <c r="G53" s="638"/>
      <c r="H53" s="634">
        <f>(F53/$F$57)*$B$49</f>
        <v>0.37086681362440443</v>
      </c>
      <c r="I53" s="634"/>
    </row>
    <row r="54" spans="1:9" ht="16.5" x14ac:dyDescent="0.25">
      <c r="A54" s="237" t="s">
        <v>478</v>
      </c>
      <c r="B54" s="262">
        <v>0.08</v>
      </c>
      <c r="C54" s="229"/>
      <c r="D54" s="636" t="s">
        <v>317</v>
      </c>
      <c r="E54" s="636"/>
      <c r="F54" s="639">
        <f>B53*$D$42</f>
        <v>6.2299999999999995</v>
      </c>
      <c r="G54" s="640"/>
      <c r="H54" s="634">
        <f>(F54/$F$57)*$B$49</f>
        <v>2.1715227903007887E-2</v>
      </c>
      <c r="I54" s="634"/>
    </row>
    <row r="55" spans="1:9" ht="16.5" x14ac:dyDescent="0.25">
      <c r="A55" s="237" t="s">
        <v>335</v>
      </c>
      <c r="B55" s="262">
        <v>0.12</v>
      </c>
      <c r="C55" s="268"/>
      <c r="D55" s="636" t="s">
        <v>338</v>
      </c>
      <c r="E55" s="636"/>
      <c r="F55" s="639">
        <f>B54*$D$42</f>
        <v>11.200000000000001</v>
      </c>
      <c r="G55" s="640"/>
      <c r="H55" s="634">
        <f>(F55/$F$57)*$B$49</f>
        <v>3.9038611960463626E-2</v>
      </c>
      <c r="I55" s="634"/>
    </row>
    <row r="56" spans="1:9" ht="16.5" x14ac:dyDescent="0.25">
      <c r="A56" s="237" t="s">
        <v>129</v>
      </c>
      <c r="B56" s="263">
        <f>SUM(B52:B55)</f>
        <v>1.0044999999999999</v>
      </c>
      <c r="C56" s="268"/>
      <c r="D56" s="636" t="s">
        <v>335</v>
      </c>
      <c r="E56" s="636"/>
      <c r="F56" s="639">
        <f>B55*$D$42</f>
        <v>16.8</v>
      </c>
      <c r="G56" s="640"/>
      <c r="H56" s="634">
        <f>(F56/$F$57)*$F$49</f>
        <v>2.7290637509359141E-2</v>
      </c>
      <c r="I56" s="634"/>
    </row>
    <row r="57" spans="1:9" ht="16.5" x14ac:dyDescent="0.25">
      <c r="A57" s="229"/>
      <c r="B57" s="229"/>
      <c r="C57" s="268"/>
      <c r="D57" s="636" t="s">
        <v>318</v>
      </c>
      <c r="E57" s="636"/>
      <c r="F57" s="641">
        <f>SUM(F53:G56)</f>
        <v>140.63000000000002</v>
      </c>
      <c r="G57" s="641"/>
      <c r="H57" s="635">
        <f>SUM(H53:I56)</f>
        <v>0.45891129099723504</v>
      </c>
      <c r="I57" s="635"/>
    </row>
    <row r="58" spans="1:9" ht="15.75" x14ac:dyDescent="0.25">
      <c r="A58" s="229"/>
      <c r="B58" s="229"/>
      <c r="C58" s="229"/>
      <c r="D58" s="229"/>
      <c r="E58" s="229"/>
      <c r="F58" s="229"/>
    </row>
    <row r="59" spans="1:9" ht="16.5" thickBot="1" x14ac:dyDescent="0.3">
      <c r="A59" s="229"/>
      <c r="B59" s="229"/>
      <c r="C59" s="229"/>
      <c r="D59" s="229"/>
      <c r="E59" s="229"/>
      <c r="F59" s="229"/>
    </row>
    <row r="60" spans="1:9" ht="17.25" thickBot="1" x14ac:dyDescent="0.35">
      <c r="A60" s="642" t="s">
        <v>314</v>
      </c>
      <c r="B60" s="107" t="s">
        <v>261</v>
      </c>
      <c r="C60" s="107" t="s">
        <v>319</v>
      </c>
      <c r="D60" s="107" t="s">
        <v>320</v>
      </c>
      <c r="E60" s="107" t="s">
        <v>318</v>
      </c>
      <c r="F60" s="107" t="s">
        <v>321</v>
      </c>
    </row>
    <row r="61" spans="1:9" ht="16.5" x14ac:dyDescent="0.3">
      <c r="A61" s="643"/>
      <c r="B61" s="237" t="s">
        <v>255</v>
      </c>
      <c r="C61" s="269">
        <f>$B$9</f>
        <v>332755.20000000001</v>
      </c>
      <c r="D61" s="107" t="s">
        <v>322</v>
      </c>
      <c r="E61" s="270">
        <f>H57</f>
        <v>0.45891129099723504</v>
      </c>
      <c r="F61" s="270">
        <f>C61*$E$61</f>
        <v>152705.11841804316</v>
      </c>
    </row>
    <row r="62" spans="1:9" ht="16.5" x14ac:dyDescent="0.25">
      <c r="A62" s="643"/>
      <c r="B62" s="237" t="s">
        <v>162</v>
      </c>
      <c r="C62" s="269">
        <f>$C$9</f>
        <v>333171.14400000003</v>
      </c>
      <c r="D62" s="271"/>
      <c r="E62" s="272"/>
      <c r="F62" s="270">
        <f t="shared" ref="F62:F72" si="14">C62*$E$61</f>
        <v>152895.99981606571</v>
      </c>
    </row>
    <row r="63" spans="1:9" ht="16.5" x14ac:dyDescent="0.25">
      <c r="A63" s="643"/>
      <c r="B63" s="237" t="s">
        <v>163</v>
      </c>
      <c r="C63" s="269">
        <f>$D$9</f>
        <v>333587.60793</v>
      </c>
      <c r="D63" s="272"/>
      <c r="E63" s="273"/>
      <c r="F63" s="270">
        <f t="shared" si="14"/>
        <v>153087.11981583579</v>
      </c>
    </row>
    <row r="64" spans="1:9" ht="16.5" x14ac:dyDescent="0.25">
      <c r="A64" s="643"/>
      <c r="B64" s="237" t="s">
        <v>164</v>
      </c>
      <c r="C64" s="269">
        <f>$E$9</f>
        <v>334004.59243991249</v>
      </c>
      <c r="D64" s="272"/>
      <c r="E64" s="273"/>
      <c r="F64" s="270">
        <f t="shared" si="14"/>
        <v>153278.47871560557</v>
      </c>
    </row>
    <row r="65" spans="1:13" ht="16.5" x14ac:dyDescent="0.25">
      <c r="A65" s="643"/>
      <c r="B65" s="237" t="s">
        <v>165</v>
      </c>
      <c r="C65" s="269">
        <f>$F$9</f>
        <v>334422.09818046237</v>
      </c>
      <c r="D65" s="272"/>
      <c r="E65" s="273"/>
      <c r="F65" s="270">
        <f t="shared" si="14"/>
        <v>153470.07681400009</v>
      </c>
    </row>
    <row r="66" spans="1:13" ht="16.5" x14ac:dyDescent="0.25">
      <c r="A66" s="643"/>
      <c r="B66" s="237" t="s">
        <v>166</v>
      </c>
      <c r="C66" s="269">
        <f>$G$9</f>
        <v>334840.12580318796</v>
      </c>
      <c r="D66" s="272"/>
      <c r="E66" s="273"/>
      <c r="F66" s="270">
        <f t="shared" si="14"/>
        <v>153661.91441001758</v>
      </c>
    </row>
    <row r="67" spans="1:13" ht="16.5" x14ac:dyDescent="0.25">
      <c r="A67" s="643"/>
      <c r="B67" s="237" t="s">
        <v>167</v>
      </c>
      <c r="C67" s="269">
        <f>$H$9</f>
        <v>335258.67596044193</v>
      </c>
      <c r="D67" s="272"/>
      <c r="E67" s="273"/>
      <c r="F67" s="270">
        <f t="shared" si="14"/>
        <v>153853.99180303011</v>
      </c>
    </row>
    <row r="68" spans="1:13" ht="16.5" x14ac:dyDescent="0.25">
      <c r="A68" s="643"/>
      <c r="B68" s="237" t="s">
        <v>168</v>
      </c>
      <c r="C68" s="269">
        <f>$I$9</f>
        <v>335677.7493053925</v>
      </c>
      <c r="D68" s="272"/>
      <c r="E68" s="273"/>
      <c r="F68" s="270">
        <f t="shared" si="14"/>
        <v>154046.3092927839</v>
      </c>
    </row>
    <row r="69" spans="1:13" ht="16.5" x14ac:dyDescent="0.25">
      <c r="A69" s="643"/>
      <c r="B69" s="237" t="s">
        <v>169</v>
      </c>
      <c r="C69" s="269">
        <f>$J$9</f>
        <v>336097.34649202425</v>
      </c>
      <c r="D69" s="272"/>
      <c r="E69" s="273"/>
      <c r="F69" s="270">
        <f t="shared" si="14"/>
        <v>154238.86717939988</v>
      </c>
    </row>
    <row r="70" spans="1:13" ht="16.5" x14ac:dyDescent="0.25">
      <c r="A70" s="643"/>
      <c r="B70" s="237" t="s">
        <v>170</v>
      </c>
      <c r="C70" s="269">
        <f>$K$9</f>
        <v>336517.46817513928</v>
      </c>
      <c r="D70" s="272"/>
      <c r="E70" s="273"/>
      <c r="F70" s="270">
        <f t="shared" si="14"/>
        <v>154431.66576337413</v>
      </c>
    </row>
    <row r="71" spans="1:13" ht="16.5" x14ac:dyDescent="0.25">
      <c r="A71" s="643"/>
      <c r="B71" s="237" t="s">
        <v>171</v>
      </c>
      <c r="C71" s="269">
        <f>$L$9</f>
        <v>336938.11501035822</v>
      </c>
      <c r="D71" s="272"/>
      <c r="E71" s="273"/>
      <c r="F71" s="270">
        <f t="shared" si="14"/>
        <v>154624.70534557835</v>
      </c>
    </row>
    <row r="72" spans="1:13" ht="16.5" x14ac:dyDescent="0.25">
      <c r="A72" s="644"/>
      <c r="B72" s="237" t="s">
        <v>172</v>
      </c>
      <c r="C72" s="269">
        <f>$M$9</f>
        <v>337359.28765412117</v>
      </c>
      <c r="D72" s="229"/>
      <c r="E72" s="229"/>
      <c r="F72" s="270">
        <f t="shared" si="14"/>
        <v>154817.98622726032</v>
      </c>
    </row>
    <row r="73" spans="1:13" x14ac:dyDescent="0.25">
      <c r="A73" s="44"/>
      <c r="B73" s="44"/>
      <c r="D73" s="44"/>
      <c r="E73" s="44"/>
      <c r="F73" s="44"/>
    </row>
    <row r="74" spans="1:13" ht="20.25" x14ac:dyDescent="0.3">
      <c r="A74" s="63" t="s">
        <v>340</v>
      </c>
      <c r="B74" s="288"/>
      <c r="C74" s="229"/>
      <c r="D74" s="289"/>
      <c r="E74" s="229"/>
      <c r="F74" s="229"/>
      <c r="G74" s="229"/>
      <c r="H74" s="290"/>
      <c r="I74" s="229"/>
      <c r="J74" s="229"/>
      <c r="K74" s="229"/>
      <c r="L74" s="229"/>
      <c r="M74" s="229"/>
    </row>
    <row r="75" spans="1:13" ht="16.5" thickBot="1" x14ac:dyDescent="0.3">
      <c r="A75" s="291" t="s">
        <v>345</v>
      </c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</row>
    <row r="76" spans="1:13" ht="16.5" x14ac:dyDescent="0.3">
      <c r="A76" s="107" t="s">
        <v>313</v>
      </c>
      <c r="B76" s="107" t="s">
        <v>255</v>
      </c>
      <c r="C76" s="107" t="s">
        <v>162</v>
      </c>
      <c r="D76" s="107" t="s">
        <v>163</v>
      </c>
      <c r="E76" s="107" t="s">
        <v>164</v>
      </c>
      <c r="F76" s="107" t="s">
        <v>165</v>
      </c>
      <c r="G76" s="107" t="s">
        <v>166</v>
      </c>
      <c r="H76" s="107" t="s">
        <v>167</v>
      </c>
      <c r="I76" s="107" t="s">
        <v>168</v>
      </c>
      <c r="J76" s="107" t="s">
        <v>169</v>
      </c>
      <c r="K76" s="107" t="s">
        <v>170</v>
      </c>
      <c r="L76" s="107" t="s">
        <v>171</v>
      </c>
      <c r="M76" s="107" t="s">
        <v>172</v>
      </c>
    </row>
    <row r="77" spans="1:13" ht="16.5" x14ac:dyDescent="0.25">
      <c r="A77" s="237" t="s">
        <v>341</v>
      </c>
      <c r="B77" s="292">
        <f>B80*(1+B78)</f>
        <v>152705.11841804316</v>
      </c>
      <c r="C77" s="292">
        <f>C80*(1+C78)</f>
        <v>152256.89453683456</v>
      </c>
      <c r="D77" s="292">
        <f>D80*(1+D78)</f>
        <v>152730.42682666489</v>
      </c>
      <c r="E77" s="292">
        <f t="shared" ref="E77:K77" si="15">E80*(1+E78)</f>
        <v>153010.08809937455</v>
      </c>
      <c r="F77" s="293">
        <f t="shared" si="15"/>
        <v>153288.75191824435</v>
      </c>
      <c r="G77" s="292">
        <f t="shared" si="15"/>
        <v>153581.8642357057</v>
      </c>
      <c r="H77" s="292">
        <f t="shared" si="15"/>
        <v>153965.26285625185</v>
      </c>
      <c r="I77" s="292">
        <f t="shared" si="15"/>
        <v>154196.87762152863</v>
      </c>
      <c r="J77" s="292">
        <f t="shared" si="15"/>
        <v>154373.57265804394</v>
      </c>
      <c r="K77" s="292">
        <f t="shared" si="15"/>
        <v>154527.74737392861</v>
      </c>
      <c r="L77" s="292">
        <f>L80*(1+L78)</f>
        <v>154653.4272808221</v>
      </c>
      <c r="M77" s="292">
        <f>M80*(1+M78)</f>
        <v>154879.65712460675</v>
      </c>
    </row>
    <row r="78" spans="1:13" ht="16.5" x14ac:dyDescent="0.25">
      <c r="A78" s="237" t="s">
        <v>202</v>
      </c>
      <c r="B78" s="294"/>
      <c r="C78" s="294">
        <f>Gastos!F57</f>
        <v>-4.1800000000000032E-3</v>
      </c>
      <c r="D78" s="294">
        <f>Gastos!G57</f>
        <v>-2.3299999999999987E-3</v>
      </c>
      <c r="E78" s="294">
        <f>Gastos!H57</f>
        <v>-1.7509999999999956E-3</v>
      </c>
      <c r="F78" s="294">
        <f>Gastos!I57</f>
        <v>-1.1815000000000089E-3</v>
      </c>
      <c r="G78" s="294">
        <f>Gastos!J57</f>
        <v>-5.2094999999999919E-4</v>
      </c>
      <c r="H78" s="294">
        <f>Gastos!K57</f>
        <v>7.2322500000000095E-4</v>
      </c>
      <c r="I78" s="294">
        <f>Gastos!L57</f>
        <v>9.774225000000053E-4</v>
      </c>
      <c r="J78" s="294">
        <f>Gastos!M57</f>
        <v>8.7335624999999861E-4</v>
      </c>
      <c r="K78" s="294">
        <f>Gastos!N57</f>
        <v>6.2216262499999869E-4</v>
      </c>
      <c r="L78" s="294">
        <f>Gastos!O57</f>
        <v>1.8575256250000227E-4</v>
      </c>
      <c r="M78" s="294">
        <f>Gastos!P57</f>
        <v>3.9834452604167042E-4</v>
      </c>
    </row>
    <row r="79" spans="1:13" ht="16.5" x14ac:dyDescent="0.25">
      <c r="A79" s="237"/>
      <c r="B79" s="249"/>
      <c r="C79" s="295"/>
      <c r="D79" s="264"/>
      <c r="E79" s="264"/>
      <c r="F79" s="262"/>
      <c r="G79" s="264"/>
      <c r="H79" s="264"/>
      <c r="I79" s="264"/>
      <c r="J79" s="264"/>
      <c r="K79" s="264"/>
      <c r="L79" s="264"/>
      <c r="M79" s="264"/>
    </row>
    <row r="80" spans="1:13" ht="16.5" x14ac:dyDescent="0.25">
      <c r="A80" s="237" t="s">
        <v>342</v>
      </c>
      <c r="B80" s="296">
        <f>$F$61</f>
        <v>152705.11841804316</v>
      </c>
      <c r="C80" s="296">
        <f>$F$62</f>
        <v>152895.99981606571</v>
      </c>
      <c r="D80" s="296">
        <f>$F$63</f>
        <v>153087.11981583579</v>
      </c>
      <c r="E80" s="296">
        <f>$F$64</f>
        <v>153278.47871560557</v>
      </c>
      <c r="F80" s="296">
        <f>$F$65</f>
        <v>153470.07681400009</v>
      </c>
      <c r="G80" s="296">
        <f>$F$66</f>
        <v>153661.91441001758</v>
      </c>
      <c r="H80" s="296">
        <f>$F$67</f>
        <v>153853.99180303011</v>
      </c>
      <c r="I80" s="296">
        <f>$F$68</f>
        <v>154046.3092927839</v>
      </c>
      <c r="J80" s="296">
        <f>$F$69</f>
        <v>154238.86717939988</v>
      </c>
      <c r="K80" s="296">
        <f>$F$70</f>
        <v>154431.66576337413</v>
      </c>
      <c r="L80" s="296">
        <f>$F$71</f>
        <v>154624.70534557835</v>
      </c>
      <c r="M80" s="296">
        <f>$F$72</f>
        <v>154817.98622726032</v>
      </c>
    </row>
    <row r="81" spans="1:13" ht="16.5" thickBot="1" x14ac:dyDescent="0.3">
      <c r="A81" s="297" t="s">
        <v>346</v>
      </c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29"/>
      <c r="M81" s="229"/>
    </row>
    <row r="82" spans="1:13" ht="16.5" x14ac:dyDescent="0.3">
      <c r="A82" s="107" t="s">
        <v>343</v>
      </c>
      <c r="B82" s="107">
        <v>2012</v>
      </c>
      <c r="C82" s="107">
        <v>2013</v>
      </c>
      <c r="D82" s="107">
        <v>2014</v>
      </c>
      <c r="E82" s="107">
        <v>2015</v>
      </c>
      <c r="F82" s="107">
        <v>2016</v>
      </c>
      <c r="G82" s="107">
        <v>2017</v>
      </c>
      <c r="H82" s="107">
        <v>2018</v>
      </c>
      <c r="I82" s="107">
        <v>2019</v>
      </c>
      <c r="J82" s="107">
        <v>2020</v>
      </c>
      <c r="K82" s="107">
        <v>2021</v>
      </c>
      <c r="L82" s="229"/>
      <c r="M82" s="229"/>
    </row>
    <row r="83" spans="1:13" ht="16.5" x14ac:dyDescent="0.25">
      <c r="A83" s="237" t="s">
        <v>341</v>
      </c>
      <c r="B83" s="298">
        <f>B85</f>
        <v>1844169.688950049</v>
      </c>
      <c r="C83" s="298">
        <f>B83*(1+C84)</f>
        <v>1840419.7193301478</v>
      </c>
      <c r="D83" s="298">
        <f>C83*(1+D84)</f>
        <v>1842327.8992336919</v>
      </c>
      <c r="E83" s="298">
        <f t="shared" ref="E83:J83" si="16">D83*(1+E84)</f>
        <v>1842216.8164241745</v>
      </c>
      <c r="F83" s="298">
        <f t="shared" si="16"/>
        <v>1841954.0139524448</v>
      </c>
      <c r="G83" s="298">
        <f t="shared" si="16"/>
        <v>1842103.9064875552</v>
      </c>
      <c r="H83" s="298">
        <f t="shared" si="16"/>
        <v>1842072.7518485205</v>
      </c>
      <c r="I83" s="298">
        <f t="shared" si="16"/>
        <v>1842063.3452049803</v>
      </c>
      <c r="J83" s="298">
        <f t="shared" si="16"/>
        <v>1842073.2408282396</v>
      </c>
      <c r="K83" s="298">
        <f>J83*(1+K84)</f>
        <v>1842069.8607643698</v>
      </c>
      <c r="L83" s="229"/>
      <c r="M83" s="229"/>
    </row>
    <row r="84" spans="1:13" ht="16.5" x14ac:dyDescent="0.25">
      <c r="A84" s="237" t="s">
        <v>204</v>
      </c>
      <c r="B84" s="299"/>
      <c r="C84" s="299">
        <f>Gastos!F60</f>
        <v>-2.0334189648437556E-3</v>
      </c>
      <c r="D84" s="299">
        <f>Gastos!G60</f>
        <v>1.0368177886284705E-3</v>
      </c>
      <c r="E84" s="299">
        <f>Gastos!H60</f>
        <v>-6.0294809389474513E-5</v>
      </c>
      <c r="F84" s="299">
        <f>Gastos!I60</f>
        <v>-1.4265556007667102E-4</v>
      </c>
      <c r="G84" s="299">
        <f>Gastos!J60</f>
        <v>8.1376914936578948E-5</v>
      </c>
      <c r="H84" s="299">
        <f>Gastos!K60</f>
        <v>-1.6912530788851243E-5</v>
      </c>
      <c r="I84" s="299">
        <f>Gastos!L60</f>
        <v>-5.1065537616801215E-6</v>
      </c>
      <c r="J84" s="299">
        <f>Gastos!M60</f>
        <v>5.372032012312955E-6</v>
      </c>
      <c r="K84" s="299">
        <f>Gastos!N60</f>
        <v>-1.8349237125431239E-6</v>
      </c>
      <c r="L84" s="229"/>
      <c r="M84" s="229"/>
    </row>
    <row r="85" spans="1:13" ht="16.5" x14ac:dyDescent="0.25">
      <c r="A85" s="237" t="s">
        <v>344</v>
      </c>
      <c r="B85" s="296">
        <f>B77+C77+D77+E77+F77+G77+H77+I77+J77+K77+L77+M77</f>
        <v>1844169.688950049</v>
      </c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</row>
    <row r="86" spans="1:13" x14ac:dyDescent="0.25">
      <c r="A86" s="44"/>
      <c r="B86" s="44"/>
      <c r="D86" s="44"/>
      <c r="E86" s="44"/>
      <c r="F86" s="44"/>
    </row>
    <row r="87" spans="1:13" ht="21" thickBot="1" x14ac:dyDescent="0.35">
      <c r="A87" s="63" t="s">
        <v>347</v>
      </c>
      <c r="B87" s="229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</row>
    <row r="88" spans="1:13" ht="16.5" x14ac:dyDescent="0.3">
      <c r="A88" s="107" t="s">
        <v>348</v>
      </c>
      <c r="B88" s="228"/>
      <c r="C88" s="229"/>
      <c r="D88" s="229"/>
      <c r="E88" s="229"/>
      <c r="F88" s="229"/>
      <c r="G88" s="229"/>
      <c r="H88" s="229"/>
      <c r="I88" s="229"/>
      <c r="J88" s="229"/>
      <c r="K88" s="229"/>
      <c r="L88" s="229"/>
      <c r="M88" s="229"/>
    </row>
    <row r="89" spans="1:13" ht="16.5" x14ac:dyDescent="0.25">
      <c r="A89" s="237" t="s">
        <v>349</v>
      </c>
      <c r="B89" s="267">
        <f>'Sueldos Y Salarios'!H28</f>
        <v>402.28958333333338</v>
      </c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</row>
    <row r="90" spans="1:13" ht="16.5" x14ac:dyDescent="0.25">
      <c r="A90" s="237" t="s">
        <v>349</v>
      </c>
      <c r="B90" s="267">
        <f>'Sueldos Y Salarios'!H29</f>
        <v>402.28958333333338</v>
      </c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</row>
    <row r="91" spans="1:13" ht="16.5" x14ac:dyDescent="0.25">
      <c r="A91" s="237" t="s">
        <v>349</v>
      </c>
      <c r="B91" s="267">
        <f>'Sueldos Y Salarios'!H30</f>
        <v>402.28958333333338</v>
      </c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</row>
    <row r="92" spans="1:13" s="44" customFormat="1" ht="16.5" x14ac:dyDescent="0.25">
      <c r="A92" s="237" t="s">
        <v>349</v>
      </c>
      <c r="B92" s="267">
        <f>'Sueldos Y Salarios'!H31</f>
        <v>402.28958333333338</v>
      </c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</row>
    <row r="93" spans="1:13" s="44" customFormat="1" ht="16.5" x14ac:dyDescent="0.25">
      <c r="A93" s="237" t="s">
        <v>349</v>
      </c>
      <c r="B93" s="267">
        <f>'Sueldos Y Salarios'!H32</f>
        <v>402.28958333333338</v>
      </c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</row>
    <row r="94" spans="1:13" ht="16.5" x14ac:dyDescent="0.25">
      <c r="A94" s="237" t="s">
        <v>349</v>
      </c>
      <c r="B94" s="267">
        <f>'Sueldos Y Salarios'!H33</f>
        <v>402.28958333333338</v>
      </c>
      <c r="C94" s="229"/>
      <c r="D94" s="229"/>
      <c r="E94" s="229"/>
      <c r="F94" s="229"/>
      <c r="G94" s="229"/>
      <c r="H94" s="229"/>
      <c r="I94" s="229"/>
      <c r="J94" s="229"/>
      <c r="K94" s="229"/>
      <c r="L94" s="229"/>
      <c r="M94" s="229"/>
    </row>
    <row r="95" spans="1:13" ht="15.75" x14ac:dyDescent="0.25">
      <c r="A95" s="229"/>
      <c r="B95" s="244"/>
      <c r="C95" s="229"/>
      <c r="D95" s="229"/>
      <c r="E95" s="229"/>
      <c r="F95" s="229"/>
      <c r="G95" s="229"/>
      <c r="H95" s="229"/>
      <c r="I95" s="229"/>
      <c r="J95" s="229"/>
      <c r="K95" s="229"/>
      <c r="L95" s="229"/>
      <c r="M95" s="229"/>
    </row>
    <row r="96" spans="1:13" ht="16.5" x14ac:dyDescent="0.25">
      <c r="A96" s="237" t="s">
        <v>350</v>
      </c>
      <c r="B96" s="300">
        <f>SUM(B89:B94)</f>
        <v>2413.7375000000002</v>
      </c>
      <c r="C96" s="229"/>
      <c r="D96" s="229"/>
      <c r="E96" s="229"/>
      <c r="F96" s="229"/>
      <c r="G96" s="229"/>
      <c r="H96" s="229"/>
      <c r="I96" s="229"/>
      <c r="J96" s="229"/>
      <c r="K96" s="229"/>
      <c r="L96" s="229"/>
      <c r="M96" s="229"/>
    </row>
    <row r="97" spans="1:13" ht="16.5" x14ac:dyDescent="0.25">
      <c r="A97" s="237" t="s">
        <v>351</v>
      </c>
      <c r="B97" s="301">
        <f>B96/C61</f>
        <v>7.2537934794106905E-3</v>
      </c>
      <c r="C97" s="229"/>
      <c r="D97" s="302"/>
      <c r="E97" s="266"/>
      <c r="F97" s="229"/>
      <c r="G97" s="229"/>
      <c r="H97" s="229"/>
      <c r="I97" s="229"/>
      <c r="J97" s="229"/>
      <c r="K97" s="229"/>
      <c r="L97" s="229"/>
      <c r="M97" s="229"/>
    </row>
    <row r="98" spans="1:13" ht="15.75" x14ac:dyDescent="0.25">
      <c r="A98" s="229"/>
      <c r="B98" s="229"/>
      <c r="C98" s="303"/>
      <c r="D98" s="229"/>
      <c r="E98" s="304"/>
      <c r="F98" s="303"/>
      <c r="G98" s="303"/>
      <c r="H98" s="229"/>
      <c r="I98" s="229"/>
      <c r="J98" s="229"/>
      <c r="K98" s="229"/>
      <c r="L98" s="229"/>
      <c r="M98" s="229"/>
    </row>
    <row r="99" spans="1:13" ht="15.75" customHeight="1" x14ac:dyDescent="0.25">
      <c r="A99" s="631" t="s">
        <v>352</v>
      </c>
      <c r="B99" s="631"/>
      <c r="C99" s="630">
        <f>E61+B97</f>
        <v>0.46616508447664573</v>
      </c>
      <c r="D99" s="229"/>
      <c r="E99" s="229"/>
      <c r="F99" s="229"/>
      <c r="G99" s="303"/>
      <c r="H99" s="229"/>
      <c r="I99" s="229"/>
      <c r="J99" s="229"/>
      <c r="K99" s="229"/>
      <c r="L99" s="229"/>
      <c r="M99" s="229"/>
    </row>
    <row r="100" spans="1:13" ht="15.75" customHeight="1" x14ac:dyDescent="0.25">
      <c r="A100" s="631"/>
      <c r="B100" s="631"/>
      <c r="C100" s="630"/>
      <c r="D100" s="273"/>
      <c r="E100" s="229"/>
      <c r="F100" s="229"/>
      <c r="G100" s="303"/>
      <c r="H100" s="229"/>
      <c r="I100" s="229"/>
      <c r="J100" s="229"/>
      <c r="K100" s="229"/>
      <c r="L100" s="229"/>
      <c r="M100" s="229"/>
    </row>
    <row r="101" spans="1:13" ht="15.75" x14ac:dyDescent="0.25">
      <c r="A101" s="229"/>
      <c r="B101" s="229"/>
      <c r="C101" s="303"/>
      <c r="D101" s="229"/>
      <c r="E101" s="229"/>
      <c r="F101" s="229"/>
      <c r="G101" s="303"/>
      <c r="H101" s="229"/>
      <c r="I101" s="229"/>
      <c r="J101" s="229"/>
      <c r="K101" s="229"/>
      <c r="L101" s="229"/>
      <c r="M101" s="229"/>
    </row>
    <row r="102" spans="1:13" ht="15.75" x14ac:dyDescent="0.25">
      <c r="A102" s="229"/>
      <c r="B102" s="229"/>
      <c r="C102" s="303"/>
      <c r="D102" s="229"/>
      <c r="E102" s="229"/>
      <c r="F102" s="229"/>
      <c r="G102" s="303"/>
      <c r="H102" s="229"/>
      <c r="I102" s="229"/>
      <c r="J102" s="229"/>
      <c r="K102" s="229"/>
      <c r="L102" s="229"/>
      <c r="M102" s="229"/>
    </row>
    <row r="103" spans="1:13" ht="15.75" x14ac:dyDescent="0.25">
      <c r="A103" s="229"/>
      <c r="B103" s="229"/>
      <c r="C103" s="303"/>
      <c r="D103" s="229"/>
      <c r="E103" s="229"/>
      <c r="F103" s="229"/>
      <c r="G103" s="303"/>
      <c r="H103" s="229"/>
      <c r="I103" s="229"/>
      <c r="J103" s="229"/>
      <c r="K103" s="229"/>
      <c r="L103" s="229"/>
      <c r="M103" s="229"/>
    </row>
    <row r="104" spans="1:13" ht="16.5" thickBot="1" x14ac:dyDescent="0.3">
      <c r="A104" s="297" t="s">
        <v>353</v>
      </c>
      <c r="B104" s="264"/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</row>
    <row r="105" spans="1:13" ht="16.5" x14ac:dyDescent="0.3">
      <c r="A105" s="107" t="s">
        <v>347</v>
      </c>
      <c r="B105" s="107" t="s">
        <v>255</v>
      </c>
      <c r="C105" s="107" t="s">
        <v>162</v>
      </c>
      <c r="D105" s="107" t="s">
        <v>163</v>
      </c>
      <c r="E105" s="107" t="s">
        <v>354</v>
      </c>
      <c r="F105" s="107" t="s">
        <v>165</v>
      </c>
      <c r="G105" s="107" t="s">
        <v>166</v>
      </c>
      <c r="H105" s="107" t="s">
        <v>167</v>
      </c>
      <c r="I105" s="107" t="s">
        <v>355</v>
      </c>
      <c r="J105" s="107" t="s">
        <v>169</v>
      </c>
      <c r="K105" s="107" t="s">
        <v>170</v>
      </c>
      <c r="L105" s="107" t="s">
        <v>171</v>
      </c>
      <c r="M105" s="107" t="s">
        <v>172</v>
      </c>
    </row>
    <row r="106" spans="1:13" ht="16.5" x14ac:dyDescent="0.25">
      <c r="A106" s="237" t="s">
        <v>356</v>
      </c>
      <c r="B106" s="295">
        <f>B108</f>
        <v>2413.7375000000002</v>
      </c>
      <c r="C106" s="295">
        <f>B106*(1+$B$107)</f>
        <v>2413.9386447916672</v>
      </c>
      <c r="D106" s="295">
        <f t="shared" ref="D106:M106" si="17">C106*(1+$B$107)</f>
        <v>2414.1398063454003</v>
      </c>
      <c r="E106" s="295">
        <f t="shared" si="17"/>
        <v>2414.3409846625959</v>
      </c>
      <c r="F106" s="295">
        <f t="shared" si="17"/>
        <v>2414.5421797446515</v>
      </c>
      <c r="G106" s="295">
        <f t="shared" si="17"/>
        <v>2414.7433915929637</v>
      </c>
      <c r="H106" s="295">
        <f t="shared" si="17"/>
        <v>2414.9446202089298</v>
      </c>
      <c r="I106" s="295">
        <f t="shared" si="17"/>
        <v>2415.1458655939473</v>
      </c>
      <c r="J106" s="295">
        <f t="shared" si="17"/>
        <v>2415.3471277494136</v>
      </c>
      <c r="K106" s="295">
        <f t="shared" si="17"/>
        <v>2415.5484066767262</v>
      </c>
      <c r="L106" s="295">
        <f t="shared" si="17"/>
        <v>2415.749702377283</v>
      </c>
      <c r="M106" s="295">
        <f t="shared" si="17"/>
        <v>2415.9510148524814</v>
      </c>
    </row>
    <row r="107" spans="1:13" ht="16.5" x14ac:dyDescent="0.25">
      <c r="A107" s="237" t="s">
        <v>357</v>
      </c>
      <c r="B107" s="305">
        <f>Gastos!E62</f>
        <v>8.3333333333333263E-5</v>
      </c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</row>
    <row r="108" spans="1:13" ht="16.5" x14ac:dyDescent="0.25">
      <c r="A108" s="237" t="s">
        <v>348</v>
      </c>
      <c r="B108" s="295">
        <f>B96</f>
        <v>2413.7375000000002</v>
      </c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</row>
    <row r="109" spans="1:13" ht="15.75" x14ac:dyDescent="0.25">
      <c r="A109" s="229"/>
      <c r="B109" s="229"/>
      <c r="C109" s="229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</row>
    <row r="110" spans="1:13" ht="15.75" x14ac:dyDescent="0.25">
      <c r="A110" s="229"/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</row>
    <row r="111" spans="1:13" ht="16.5" thickBot="1" x14ac:dyDescent="0.3">
      <c r="A111" s="297" t="s">
        <v>358</v>
      </c>
      <c r="B111" s="264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</row>
    <row r="112" spans="1:13" ht="16.5" x14ac:dyDescent="0.3">
      <c r="A112" s="107" t="s">
        <v>347</v>
      </c>
      <c r="B112" s="107">
        <v>2012</v>
      </c>
      <c r="C112" s="107">
        <v>2013</v>
      </c>
      <c r="D112" s="107">
        <v>2014</v>
      </c>
      <c r="E112" s="107">
        <v>2015</v>
      </c>
      <c r="F112" s="107">
        <v>2016</v>
      </c>
      <c r="G112" s="107">
        <v>2017</v>
      </c>
      <c r="H112" s="107">
        <v>2018</v>
      </c>
      <c r="I112" s="107">
        <v>2019</v>
      </c>
      <c r="J112" s="107">
        <v>2020</v>
      </c>
      <c r="K112" s="107">
        <v>2021</v>
      </c>
      <c r="L112" s="229"/>
      <c r="M112" s="229"/>
    </row>
    <row r="113" spans="1:13" ht="16.5" x14ac:dyDescent="0.25">
      <c r="A113" s="237" t="s">
        <v>356</v>
      </c>
      <c r="B113" s="306">
        <f>SUM(B106:M106)</f>
        <v>28978.129244596061</v>
      </c>
      <c r="C113" s="295">
        <f>B113</f>
        <v>28978.129244596061</v>
      </c>
      <c r="D113" s="295">
        <f>C113*(1+$B$114)</f>
        <v>29702.582475710959</v>
      </c>
      <c r="E113" s="295">
        <f t="shared" ref="E113:K113" si="18">D113*(1+$B$114)</f>
        <v>30445.147037603729</v>
      </c>
      <c r="F113" s="295">
        <f t="shared" si="18"/>
        <v>31206.275713543819</v>
      </c>
      <c r="G113" s="295">
        <f t="shared" si="18"/>
        <v>31986.432606382412</v>
      </c>
      <c r="H113" s="295">
        <f t="shared" si="18"/>
        <v>32786.093421541969</v>
      </c>
      <c r="I113" s="295">
        <f t="shared" si="18"/>
        <v>33605.745757080513</v>
      </c>
      <c r="J113" s="295">
        <f t="shared" si="18"/>
        <v>34445.889401007524</v>
      </c>
      <c r="K113" s="295">
        <f t="shared" si="18"/>
        <v>35307.03663603271</v>
      </c>
      <c r="L113" s="229"/>
      <c r="M113" s="229"/>
    </row>
    <row r="114" spans="1:13" ht="16.5" x14ac:dyDescent="0.25">
      <c r="A114" s="237" t="s">
        <v>359</v>
      </c>
      <c r="B114" s="305">
        <f>Gastos!E63</f>
        <v>2.5000000000000001E-2</v>
      </c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</row>
    <row r="115" spans="1:13" ht="16.5" x14ac:dyDescent="0.25">
      <c r="A115" s="237" t="s">
        <v>360</v>
      </c>
      <c r="B115" s="306">
        <f>B106+C106+D106+E106+F106+G106+H106+I106+J106+K106+L106+M106</f>
        <v>28978.129244596061</v>
      </c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</row>
    <row r="116" spans="1:13" ht="15.75" x14ac:dyDescent="0.25">
      <c r="A116" s="229"/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</row>
    <row r="117" spans="1:13" ht="15.75" x14ac:dyDescent="0.25">
      <c r="A117" s="229"/>
      <c r="B117" s="229"/>
      <c r="C117" s="229"/>
      <c r="D117" s="229"/>
      <c r="E117" s="229"/>
      <c r="F117" s="229"/>
      <c r="G117" s="229"/>
      <c r="H117" s="229"/>
      <c r="I117" s="229"/>
      <c r="J117" s="229"/>
      <c r="K117" s="229"/>
      <c r="L117" s="229"/>
      <c r="M117" s="229"/>
    </row>
    <row r="118" spans="1:13" ht="16.5" thickBot="1" x14ac:dyDescent="0.3">
      <c r="A118" s="229"/>
      <c r="B118" s="229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</row>
    <row r="119" spans="1:13" ht="16.5" x14ac:dyDescent="0.3">
      <c r="A119" s="107" t="s">
        <v>361</v>
      </c>
      <c r="B119" s="107" t="s">
        <v>255</v>
      </c>
      <c r="C119" s="107" t="s">
        <v>162</v>
      </c>
      <c r="D119" s="107" t="s">
        <v>163</v>
      </c>
      <c r="E119" s="107" t="s">
        <v>354</v>
      </c>
      <c r="F119" s="107" t="s">
        <v>165</v>
      </c>
      <c r="G119" s="107" t="s">
        <v>166</v>
      </c>
      <c r="H119" s="107" t="s">
        <v>167</v>
      </c>
      <c r="I119" s="107" t="s">
        <v>355</v>
      </c>
      <c r="J119" s="107" t="s">
        <v>169</v>
      </c>
      <c r="K119" s="107" t="s">
        <v>170</v>
      </c>
      <c r="L119" s="107" t="s">
        <v>171</v>
      </c>
      <c r="M119" s="107" t="s">
        <v>172</v>
      </c>
    </row>
    <row r="120" spans="1:13" ht="16.5" x14ac:dyDescent="0.25">
      <c r="A120" s="189" t="s">
        <v>362</v>
      </c>
      <c r="B120" s="307">
        <f>B77+B106</f>
        <v>155118.85591804315</v>
      </c>
      <c r="C120" s="307">
        <f t="shared" ref="C120:M120" si="19">C77+C106</f>
        <v>154670.83318162622</v>
      </c>
      <c r="D120" s="307">
        <f t="shared" si="19"/>
        <v>155144.56663301028</v>
      </c>
      <c r="E120" s="307">
        <f t="shared" si="19"/>
        <v>155424.42908403714</v>
      </c>
      <c r="F120" s="307">
        <f t="shared" si="19"/>
        <v>155703.29409798901</v>
      </c>
      <c r="G120" s="307">
        <f t="shared" si="19"/>
        <v>155996.60762729865</v>
      </c>
      <c r="H120" s="307">
        <f t="shared" si="19"/>
        <v>156380.20747646078</v>
      </c>
      <c r="I120" s="307">
        <f t="shared" si="19"/>
        <v>156612.02348712258</v>
      </c>
      <c r="J120" s="307">
        <f t="shared" si="19"/>
        <v>156788.91978579335</v>
      </c>
      <c r="K120" s="307">
        <f t="shared" si="19"/>
        <v>156943.29578060535</v>
      </c>
      <c r="L120" s="307">
        <f t="shared" si="19"/>
        <v>157069.17698319937</v>
      </c>
      <c r="M120" s="307">
        <f t="shared" si="19"/>
        <v>157295.60813945922</v>
      </c>
    </row>
    <row r="121" spans="1:13" ht="16.5" x14ac:dyDescent="0.25">
      <c r="A121" s="189" t="s">
        <v>363</v>
      </c>
      <c r="B121" s="296">
        <f>B120/B9</f>
        <v>0.46616508447664573</v>
      </c>
      <c r="C121" s="296">
        <f t="shared" ref="C121:M121" si="20">C120/C9</f>
        <v>0.46423838308646026</v>
      </c>
      <c r="D121" s="296">
        <f>D120/D9</f>
        <v>0.46507892662957018</v>
      </c>
      <c r="E121" s="296">
        <f t="shared" si="20"/>
        <v>0.46533620375892892</v>
      </c>
      <c r="F121" s="296">
        <f t="shared" si="20"/>
        <v>0.46558913105666749</v>
      </c>
      <c r="G121" s="296">
        <f t="shared" si="20"/>
        <v>0.46588385204164628</v>
      </c>
      <c r="H121" s="296">
        <f t="shared" si="20"/>
        <v>0.466446414931593</v>
      </c>
      <c r="I121" s="296">
        <f t="shared" si="20"/>
        <v>0.4665546757602938</v>
      </c>
      <c r="J121" s="296">
        <f t="shared" si="20"/>
        <v>0.46649853508889283</v>
      </c>
      <c r="K121" s="296">
        <f t="shared" si="20"/>
        <v>0.46637488577242231</v>
      </c>
      <c r="L121" s="296">
        <f t="shared" si="20"/>
        <v>0.46616624829865483</v>
      </c>
      <c r="M121" s="296">
        <f t="shared" si="20"/>
        <v>0.46625545492829917</v>
      </c>
    </row>
    <row r="122" spans="1:13" ht="16.5" thickBot="1" x14ac:dyDescent="0.3">
      <c r="A122" s="229"/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</row>
    <row r="123" spans="1:13" ht="16.5" x14ac:dyDescent="0.3">
      <c r="A123" s="107" t="s">
        <v>364</v>
      </c>
      <c r="B123" s="107">
        <v>2012</v>
      </c>
      <c r="C123" s="107">
        <v>2013</v>
      </c>
      <c r="D123" s="107">
        <v>2014</v>
      </c>
      <c r="E123" s="107">
        <v>2015</v>
      </c>
      <c r="F123" s="107">
        <v>2016</v>
      </c>
      <c r="G123" s="107">
        <v>2017</v>
      </c>
      <c r="H123" s="107">
        <v>2018</v>
      </c>
      <c r="I123" s="107">
        <v>2019</v>
      </c>
      <c r="J123" s="107">
        <v>2020</v>
      </c>
      <c r="K123" s="107">
        <v>2021</v>
      </c>
      <c r="L123" s="229"/>
      <c r="M123" s="229"/>
    </row>
    <row r="124" spans="1:13" ht="16.5" x14ac:dyDescent="0.25">
      <c r="A124" s="237" t="s">
        <v>362</v>
      </c>
      <c r="B124" s="307">
        <f>B83+B113</f>
        <v>1873147.818194645</v>
      </c>
      <c r="C124" s="307">
        <f t="shared" ref="C124:K124" si="21">C83+C113</f>
        <v>1869397.8485747438</v>
      </c>
      <c r="D124" s="307">
        <f t="shared" si="21"/>
        <v>1872030.4817094028</v>
      </c>
      <c r="E124" s="307">
        <f t="shared" si="21"/>
        <v>1872661.9634617781</v>
      </c>
      <c r="F124" s="307">
        <f t="shared" si="21"/>
        <v>1873160.2896659886</v>
      </c>
      <c r="G124" s="307">
        <f t="shared" si="21"/>
        <v>1874090.3390939375</v>
      </c>
      <c r="H124" s="307">
        <f t="shared" si="21"/>
        <v>1874858.8452700623</v>
      </c>
      <c r="I124" s="307">
        <f t="shared" si="21"/>
        <v>1875669.090962061</v>
      </c>
      <c r="J124" s="307">
        <f t="shared" si="21"/>
        <v>1876519.130229247</v>
      </c>
      <c r="K124" s="307">
        <f t="shared" si="21"/>
        <v>1877376.8974004025</v>
      </c>
      <c r="L124" s="229"/>
      <c r="M124" s="229"/>
    </row>
    <row r="125" spans="1:13" ht="16.5" x14ac:dyDescent="0.25">
      <c r="A125" s="237" t="s">
        <v>365</v>
      </c>
      <c r="B125" s="296">
        <f>B124/C13</f>
        <v>0.45899923671331688</v>
      </c>
      <c r="C125" s="296">
        <f t="shared" ref="B125:K125" si="22">C124/D13</f>
        <v>0.45131067779398948</v>
      </c>
      <c r="D125" s="296">
        <f t="shared" si="22"/>
        <v>0.44526724039369542</v>
      </c>
      <c r="E125" s="296">
        <f t="shared" si="22"/>
        <v>0.43883491620136938</v>
      </c>
      <c r="F125" s="296">
        <f t="shared" si="22"/>
        <v>0.43246472188815371</v>
      </c>
      <c r="G125" s="296">
        <f t="shared" si="22"/>
        <v>0.42628516893978469</v>
      </c>
      <c r="H125" s="296">
        <f t="shared" si="22"/>
        <v>0.42015761106688632</v>
      </c>
      <c r="I125" s="296">
        <f t="shared" si="22"/>
        <v>0.41412727869959426</v>
      </c>
      <c r="J125" s="296">
        <f t="shared" si="22"/>
        <v>0.40819207694484438</v>
      </c>
      <c r="K125" s="296">
        <f t="shared" si="22"/>
        <v>0.40234351111199357</v>
      </c>
      <c r="L125" s="289"/>
      <c r="M125" s="289"/>
    </row>
    <row r="126" spans="1:13" x14ac:dyDescent="0.25">
      <c r="A126" s="44"/>
      <c r="B126" s="44"/>
      <c r="D126" s="44"/>
      <c r="E126" s="44"/>
      <c r="F126" s="44"/>
    </row>
    <row r="127" spans="1:13" x14ac:dyDescent="0.25">
      <c r="A127" s="44"/>
      <c r="B127" s="44"/>
      <c r="D127" s="44"/>
      <c r="E127" s="44"/>
      <c r="F127" s="44"/>
    </row>
    <row r="128" spans="1:13" x14ac:dyDescent="0.25">
      <c r="A128" s="44"/>
      <c r="B128" s="44"/>
      <c r="D128" s="44"/>
      <c r="E128" s="44"/>
      <c r="F128" s="44"/>
    </row>
    <row r="130" spans="1:7" x14ac:dyDescent="0.25">
      <c r="A130" s="44" t="s">
        <v>262</v>
      </c>
      <c r="B130" s="44"/>
      <c r="D130" s="44"/>
      <c r="E130" s="44"/>
      <c r="F130" s="44"/>
    </row>
    <row r="131" spans="1:7" x14ac:dyDescent="0.25">
      <c r="A131" s="44"/>
      <c r="B131" s="44"/>
      <c r="D131" s="44"/>
      <c r="E131" s="44"/>
      <c r="F131" s="44"/>
    </row>
    <row r="132" spans="1:7" x14ac:dyDescent="0.25">
      <c r="A132" s="201" t="s">
        <v>263</v>
      </c>
      <c r="B132" s="202" t="s">
        <v>264</v>
      </c>
      <c r="C132" s="202"/>
      <c r="D132" s="202" t="s">
        <v>265</v>
      </c>
      <c r="E132" s="201" t="s">
        <v>266</v>
      </c>
      <c r="F132" s="201" t="s">
        <v>267</v>
      </c>
      <c r="G132" s="201" t="s">
        <v>268</v>
      </c>
    </row>
    <row r="133" spans="1:7" x14ac:dyDescent="0.25">
      <c r="A133" s="201" t="s">
        <v>269</v>
      </c>
      <c r="B133" s="201">
        <v>62.5</v>
      </c>
      <c r="C133" s="201"/>
      <c r="D133" s="201"/>
      <c r="E133" s="201">
        <v>2.5000000000000001E-3</v>
      </c>
      <c r="F133" s="201"/>
      <c r="G133" s="201">
        <f>B133*E133</f>
        <v>0.15625</v>
      </c>
    </row>
    <row r="134" spans="1:7" x14ac:dyDescent="0.25">
      <c r="A134" s="201" t="s">
        <v>270</v>
      </c>
      <c r="B134" s="201">
        <v>62.5</v>
      </c>
      <c r="C134" s="201"/>
      <c r="D134" s="201"/>
      <c r="E134" s="201">
        <v>2E-3</v>
      </c>
      <c r="F134" s="201"/>
      <c r="G134" s="224">
        <f>B134*E134</f>
        <v>0.125</v>
      </c>
    </row>
    <row r="135" spans="1:7" x14ac:dyDescent="0.25">
      <c r="A135" s="201" t="s">
        <v>271</v>
      </c>
      <c r="B135" s="201">
        <v>62.5</v>
      </c>
      <c r="C135" s="201"/>
      <c r="D135" s="201"/>
      <c r="E135" s="201">
        <v>6.0299999999999998E-3</v>
      </c>
      <c r="F135" s="201"/>
      <c r="G135" s="201">
        <f>B133*E135</f>
        <v>0.37687499999999996</v>
      </c>
    </row>
    <row r="136" spans="1:7" x14ac:dyDescent="0.25">
      <c r="A136" s="201" t="s">
        <v>272</v>
      </c>
      <c r="B136" s="201">
        <v>5</v>
      </c>
      <c r="C136" s="201"/>
      <c r="D136" s="201"/>
      <c r="E136" s="201">
        <v>0.02</v>
      </c>
      <c r="F136" s="201"/>
      <c r="G136" s="201">
        <f>B136*E136</f>
        <v>0.1</v>
      </c>
    </row>
    <row r="137" spans="1:7" x14ac:dyDescent="0.25">
      <c r="A137" s="201" t="s">
        <v>273</v>
      </c>
      <c r="B137" s="44"/>
      <c r="D137" s="201">
        <v>5</v>
      </c>
      <c r="E137" s="201">
        <v>0.01</v>
      </c>
      <c r="F137" s="201"/>
      <c r="G137" s="201">
        <f>D137*E137</f>
        <v>0.05</v>
      </c>
    </row>
    <row r="138" spans="1:7" x14ac:dyDescent="0.25">
      <c r="A138" s="225" t="s">
        <v>274</v>
      </c>
      <c r="B138" s="201"/>
      <c r="C138" s="201"/>
      <c r="D138" s="201">
        <v>300</v>
      </c>
      <c r="E138" s="201"/>
      <c r="F138" s="201">
        <v>2.9999999999999997E-4</v>
      </c>
      <c r="G138" s="201">
        <f>D138*F138</f>
        <v>0.09</v>
      </c>
    </row>
    <row r="139" spans="1:7" x14ac:dyDescent="0.25">
      <c r="A139" s="201"/>
      <c r="B139" s="201">
        <f>SUM(B133:B136)</f>
        <v>192.5</v>
      </c>
      <c r="C139" s="201"/>
      <c r="D139" s="201"/>
      <c r="E139" s="201"/>
      <c r="F139" s="201"/>
      <c r="G139" s="226">
        <f>SUM(G133:G138)</f>
        <v>0.89812499999999995</v>
      </c>
    </row>
    <row r="140" spans="1:7" x14ac:dyDescent="0.25">
      <c r="A140" s="44"/>
      <c r="B140" s="44"/>
      <c r="D140" s="44"/>
      <c r="E140" s="44"/>
      <c r="F140" s="44"/>
      <c r="G140" s="44"/>
    </row>
    <row r="141" spans="1:7" x14ac:dyDescent="0.25">
      <c r="A141" s="44" t="s">
        <v>275</v>
      </c>
      <c r="B141" s="44"/>
      <c r="D141" s="44"/>
      <c r="E141" s="44"/>
      <c r="F141" s="44"/>
      <c r="G141" s="44"/>
    </row>
    <row r="142" spans="1:7" x14ac:dyDescent="0.25">
      <c r="A142" s="44"/>
      <c r="B142" s="44"/>
      <c r="D142" s="44"/>
      <c r="E142" s="44"/>
      <c r="F142" s="44"/>
      <c r="G142" s="44"/>
    </row>
    <row r="143" spans="1:7" x14ac:dyDescent="0.25">
      <c r="A143" s="201" t="s">
        <v>263</v>
      </c>
      <c r="B143" s="201" t="s">
        <v>276</v>
      </c>
      <c r="C143" s="201"/>
      <c r="D143" s="201" t="s">
        <v>265</v>
      </c>
      <c r="E143" s="201" t="s">
        <v>266</v>
      </c>
      <c r="F143" s="201" t="s">
        <v>267</v>
      </c>
      <c r="G143" s="201" t="s">
        <v>268</v>
      </c>
    </row>
    <row r="144" spans="1:7" x14ac:dyDescent="0.25">
      <c r="A144" s="201" t="s">
        <v>277</v>
      </c>
      <c r="B144" s="201">
        <v>62.5</v>
      </c>
      <c r="C144" s="201"/>
      <c r="D144" s="201"/>
      <c r="E144" s="201">
        <v>8.0000000000000002E-3</v>
      </c>
      <c r="F144" s="201"/>
      <c r="G144" s="201">
        <f>B144*E144</f>
        <v>0.5</v>
      </c>
    </row>
    <row r="145" spans="1:7" x14ac:dyDescent="0.25">
      <c r="A145" s="201" t="s">
        <v>272</v>
      </c>
      <c r="B145" s="201">
        <v>5</v>
      </c>
      <c r="C145" s="201"/>
      <c r="D145" s="201"/>
      <c r="E145" s="201">
        <v>0.02</v>
      </c>
      <c r="F145" s="201"/>
      <c r="G145" s="201">
        <f>B145*E145</f>
        <v>0.1</v>
      </c>
    </row>
    <row r="146" spans="1:7" x14ac:dyDescent="0.25">
      <c r="A146" s="201" t="s">
        <v>273</v>
      </c>
      <c r="B146" s="201"/>
      <c r="C146" s="201"/>
      <c r="D146" s="201">
        <v>10</v>
      </c>
      <c r="E146" s="201"/>
      <c r="F146" s="201">
        <v>0.01</v>
      </c>
      <c r="G146" s="201">
        <f>D146*F146</f>
        <v>0.1</v>
      </c>
    </row>
    <row r="147" spans="1:7" x14ac:dyDescent="0.25">
      <c r="A147" s="201"/>
      <c r="B147" s="201">
        <f>B144+B145</f>
        <v>67.5</v>
      </c>
      <c r="C147" s="201"/>
      <c r="D147" s="201"/>
      <c r="E147" s="201"/>
      <c r="F147" s="201"/>
      <c r="G147" s="227">
        <f>SUM(G144:G146)</f>
        <v>0.7</v>
      </c>
    </row>
    <row r="148" spans="1:7" x14ac:dyDescent="0.25">
      <c r="A148" s="44"/>
      <c r="B148" s="44"/>
      <c r="D148" s="44"/>
      <c r="E148" s="44"/>
      <c r="F148" s="44"/>
      <c r="G148" s="44"/>
    </row>
    <row r="149" spans="1:7" x14ac:dyDescent="0.25">
      <c r="A149" s="44" t="s">
        <v>278</v>
      </c>
      <c r="B149" s="44"/>
      <c r="D149" s="44"/>
      <c r="E149" s="44"/>
      <c r="F149" s="44"/>
      <c r="G149" s="44"/>
    </row>
    <row r="150" spans="1:7" x14ac:dyDescent="0.25">
      <c r="A150" s="44"/>
      <c r="B150" s="44"/>
      <c r="D150" s="44"/>
      <c r="E150" s="44"/>
      <c r="F150" s="44"/>
      <c r="G150" s="44"/>
    </row>
    <row r="151" spans="1:7" x14ac:dyDescent="0.25">
      <c r="A151" s="201" t="s">
        <v>263</v>
      </c>
      <c r="B151" s="201" t="s">
        <v>276</v>
      </c>
      <c r="C151" s="201"/>
      <c r="D151" s="201" t="s">
        <v>265</v>
      </c>
      <c r="E151" s="201" t="s">
        <v>266</v>
      </c>
      <c r="F151" s="201" t="s">
        <v>267</v>
      </c>
      <c r="G151" s="201" t="s">
        <v>268</v>
      </c>
    </row>
    <row r="152" spans="1:7" x14ac:dyDescent="0.25">
      <c r="A152" s="201" t="s">
        <v>279</v>
      </c>
      <c r="B152" s="201">
        <v>90</v>
      </c>
      <c r="C152" s="201"/>
      <c r="D152" s="201"/>
      <c r="E152" s="201">
        <v>2.4599999999999999E-3</v>
      </c>
      <c r="F152" s="201"/>
      <c r="G152" s="201">
        <f>B152*E152</f>
        <v>0.22139999999999999</v>
      </c>
    </row>
    <row r="153" spans="1:7" x14ac:dyDescent="0.25">
      <c r="A153" s="201" t="s">
        <v>280</v>
      </c>
      <c r="B153" s="201">
        <v>6.25</v>
      </c>
      <c r="C153" s="201"/>
      <c r="D153" s="201"/>
      <c r="E153" s="201">
        <v>0.02</v>
      </c>
      <c r="F153" s="201"/>
      <c r="G153" s="201">
        <f>B153*E153</f>
        <v>0.125</v>
      </c>
    </row>
    <row r="154" spans="1:7" x14ac:dyDescent="0.25">
      <c r="A154" s="201" t="s">
        <v>281</v>
      </c>
      <c r="B154" s="201"/>
      <c r="C154" s="201"/>
      <c r="D154" s="201">
        <v>10</v>
      </c>
      <c r="E154" s="201"/>
      <c r="F154" s="201">
        <v>0.01</v>
      </c>
      <c r="G154" s="201">
        <f>D154*F154</f>
        <v>0.1</v>
      </c>
    </row>
    <row r="155" spans="1:7" x14ac:dyDescent="0.25">
      <c r="A155" s="201"/>
      <c r="B155" s="201">
        <f>B152+B153</f>
        <v>96.25</v>
      </c>
      <c r="C155" s="201"/>
      <c r="D155" s="201"/>
      <c r="E155" s="201"/>
      <c r="F155" s="201"/>
      <c r="G155" s="227">
        <f>SUM(G152:G154)</f>
        <v>0.44640000000000002</v>
      </c>
    </row>
    <row r="156" spans="1:7" x14ac:dyDescent="0.25">
      <c r="A156" s="44"/>
      <c r="B156" s="44"/>
      <c r="D156" s="44"/>
      <c r="E156" s="44"/>
      <c r="F156" s="44"/>
      <c r="G156" s="44"/>
    </row>
    <row r="157" spans="1:7" x14ac:dyDescent="0.25">
      <c r="A157" s="44" t="s">
        <v>282</v>
      </c>
      <c r="B157" s="44"/>
      <c r="D157" s="44"/>
      <c r="E157" s="44"/>
      <c r="F157" s="44"/>
      <c r="G157" s="44"/>
    </row>
    <row r="158" spans="1:7" x14ac:dyDescent="0.25">
      <c r="A158" s="44"/>
      <c r="B158" s="44"/>
      <c r="D158" s="44"/>
      <c r="E158" s="44"/>
      <c r="F158" s="44"/>
      <c r="G158" s="44"/>
    </row>
    <row r="159" spans="1:7" x14ac:dyDescent="0.25">
      <c r="A159" s="201" t="s">
        <v>263</v>
      </c>
      <c r="B159" s="201" t="s">
        <v>276</v>
      </c>
      <c r="C159" s="201"/>
      <c r="D159" s="201" t="s">
        <v>265</v>
      </c>
      <c r="E159" s="201" t="s">
        <v>266</v>
      </c>
      <c r="F159" s="201" t="s">
        <v>267</v>
      </c>
      <c r="G159" s="201" t="s">
        <v>268</v>
      </c>
    </row>
    <row r="160" spans="1:7" x14ac:dyDescent="0.25">
      <c r="A160" s="201" t="s">
        <v>283</v>
      </c>
      <c r="B160" s="201">
        <v>150</v>
      </c>
      <c r="C160" s="201"/>
      <c r="D160" s="201"/>
      <c r="E160" s="201">
        <v>3.7000000000000002E-3</v>
      </c>
      <c r="F160" s="201"/>
      <c r="G160" s="201">
        <f>B160*E160</f>
        <v>0.55500000000000005</v>
      </c>
    </row>
    <row r="161" spans="1:7" x14ac:dyDescent="0.25">
      <c r="A161" s="201" t="s">
        <v>280</v>
      </c>
      <c r="B161" s="201">
        <v>3.8</v>
      </c>
      <c r="C161" s="201"/>
      <c r="D161" s="201"/>
      <c r="E161" s="201">
        <v>0.02</v>
      </c>
      <c r="F161" s="201"/>
      <c r="G161" s="201">
        <f>B161*E161</f>
        <v>7.5999999999999998E-2</v>
      </c>
    </row>
    <row r="162" spans="1:7" x14ac:dyDescent="0.25">
      <c r="A162" s="201" t="s">
        <v>281</v>
      </c>
      <c r="B162" s="201"/>
      <c r="C162" s="201"/>
      <c r="D162" s="201">
        <v>10</v>
      </c>
      <c r="E162" s="201"/>
      <c r="F162" s="201">
        <v>0.01</v>
      </c>
      <c r="G162" s="201">
        <f>D162*F162</f>
        <v>0.1</v>
      </c>
    </row>
    <row r="163" spans="1:7" x14ac:dyDescent="0.25">
      <c r="A163" s="201"/>
      <c r="B163" s="201">
        <f>B160+B161</f>
        <v>153.80000000000001</v>
      </c>
      <c r="C163" s="201"/>
      <c r="D163" s="201"/>
      <c r="E163" s="201"/>
      <c r="F163" s="201"/>
      <c r="G163" s="227">
        <f>SUM(G160:G162)</f>
        <v>0.73099999999999998</v>
      </c>
    </row>
  </sheetData>
  <mergeCells count="29">
    <mergeCell ref="D55:E55"/>
    <mergeCell ref="C1:H1"/>
    <mergeCell ref="A17:G17"/>
    <mergeCell ref="A22:M22"/>
    <mergeCell ref="D54:E54"/>
    <mergeCell ref="F54:G54"/>
    <mergeCell ref="A38:E39"/>
    <mergeCell ref="B49:E49"/>
    <mergeCell ref="F49:H49"/>
    <mergeCell ref="A51:B51"/>
    <mergeCell ref="D51:E51"/>
    <mergeCell ref="D52:E52"/>
    <mergeCell ref="D53:E53"/>
    <mergeCell ref="C99:C100"/>
    <mergeCell ref="A99:B100"/>
    <mergeCell ref="H52:I52"/>
    <mergeCell ref="H53:I53"/>
    <mergeCell ref="H55:I55"/>
    <mergeCell ref="H56:I56"/>
    <mergeCell ref="H57:I57"/>
    <mergeCell ref="H54:I54"/>
    <mergeCell ref="D57:E57"/>
    <mergeCell ref="F52:G52"/>
    <mergeCell ref="F53:G53"/>
    <mergeCell ref="F55:G55"/>
    <mergeCell ref="F56:G56"/>
    <mergeCell ref="F57:G57"/>
    <mergeCell ref="A60:A72"/>
    <mergeCell ref="D56:E5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G29" sqref="G29"/>
    </sheetView>
  </sheetViews>
  <sheetFormatPr baseColWidth="10" defaultRowHeight="15" x14ac:dyDescent="0.25"/>
  <cols>
    <col min="1" max="1" width="27.5703125" bestFit="1" customWidth="1"/>
    <col min="2" max="11" width="14.42578125" bestFit="1" customWidth="1"/>
    <col min="12" max="13" width="12.85546875" bestFit="1" customWidth="1"/>
  </cols>
  <sheetData>
    <row r="1" spans="1:13" ht="15.75" thickBot="1" x14ac:dyDescent="0.3"/>
    <row r="2" spans="1:13" ht="16.5" x14ac:dyDescent="0.3">
      <c r="A2" s="107" t="s">
        <v>361</v>
      </c>
      <c r="B2" s="107" t="s">
        <v>255</v>
      </c>
      <c r="C2" s="107" t="s">
        <v>162</v>
      </c>
      <c r="D2" s="107" t="s">
        <v>163</v>
      </c>
      <c r="E2" s="107" t="s">
        <v>354</v>
      </c>
      <c r="F2" s="107" t="s">
        <v>165</v>
      </c>
      <c r="G2" s="107" t="s">
        <v>166</v>
      </c>
      <c r="H2" s="107" t="s">
        <v>167</v>
      </c>
      <c r="I2" s="107" t="s">
        <v>355</v>
      </c>
      <c r="J2" s="107" t="s">
        <v>169</v>
      </c>
      <c r="K2" s="107" t="s">
        <v>170</v>
      </c>
      <c r="L2" s="107" t="s">
        <v>171</v>
      </c>
      <c r="M2" s="107" t="s">
        <v>172</v>
      </c>
    </row>
    <row r="3" spans="1:13" ht="16.5" x14ac:dyDescent="0.25">
      <c r="A3" s="237" t="s">
        <v>362</v>
      </c>
      <c r="B3" s="307">
        <f>Costos!B120</f>
        <v>155118.85591804315</v>
      </c>
      <c r="C3" s="307">
        <f>Costos!C120</f>
        <v>154670.83318162622</v>
      </c>
      <c r="D3" s="307">
        <f>Costos!D120</f>
        <v>155144.56663301028</v>
      </c>
      <c r="E3" s="307">
        <f>Costos!E120</f>
        <v>155424.42908403714</v>
      </c>
      <c r="F3" s="307">
        <f>Costos!F120</f>
        <v>155703.29409798901</v>
      </c>
      <c r="G3" s="307">
        <f>Costos!G120</f>
        <v>155996.60762729865</v>
      </c>
      <c r="H3" s="307">
        <f>Costos!H120</f>
        <v>156380.20747646078</v>
      </c>
      <c r="I3" s="307">
        <f>Costos!I120</f>
        <v>156612.02348712258</v>
      </c>
      <c r="J3" s="307">
        <f>Costos!J120</f>
        <v>156788.91978579335</v>
      </c>
      <c r="K3" s="307">
        <f>Costos!K120</f>
        <v>156943.29578060535</v>
      </c>
      <c r="L3" s="307">
        <f>Costos!L120</f>
        <v>157069.17698319937</v>
      </c>
      <c r="M3" s="307">
        <f>Costos!M120</f>
        <v>157295.60813945922</v>
      </c>
    </row>
    <row r="4" spans="1:13" ht="16.5" x14ac:dyDescent="0.25">
      <c r="A4" s="237" t="s">
        <v>363</v>
      </c>
      <c r="B4" s="296">
        <f>Costos!B121</f>
        <v>0.46616508447664573</v>
      </c>
      <c r="C4" s="296">
        <f>Costos!C121</f>
        <v>0.46423838308646026</v>
      </c>
      <c r="D4" s="296">
        <f>Costos!D121</f>
        <v>0.46507892662957018</v>
      </c>
      <c r="E4" s="296">
        <f>Costos!E121</f>
        <v>0.46533620375892892</v>
      </c>
      <c r="F4" s="296">
        <f>Costos!F121</f>
        <v>0.46558913105666749</v>
      </c>
      <c r="G4" s="296">
        <f>Costos!G121</f>
        <v>0.46588385204164628</v>
      </c>
      <c r="H4" s="296">
        <f>Costos!H121</f>
        <v>0.466446414931593</v>
      </c>
      <c r="I4" s="296">
        <f>Costos!I121</f>
        <v>0.4665546757602938</v>
      </c>
      <c r="J4" s="296">
        <f>Costos!J121</f>
        <v>0.46649853508889283</v>
      </c>
      <c r="K4" s="296">
        <f>Costos!K121</f>
        <v>0.46637488577242231</v>
      </c>
      <c r="L4" s="296">
        <f>Costos!L121</f>
        <v>0.46616624829865483</v>
      </c>
      <c r="M4" s="296">
        <f>Costos!M121</f>
        <v>0.46625545492829917</v>
      </c>
    </row>
    <row r="5" spans="1:13" ht="16.5" thickBot="1" x14ac:dyDescent="0.3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</row>
    <row r="6" spans="1:13" ht="16.5" x14ac:dyDescent="0.3">
      <c r="A6" s="107" t="s">
        <v>364</v>
      </c>
      <c r="B6" s="107">
        <v>2012</v>
      </c>
      <c r="C6" s="107">
        <v>2013</v>
      </c>
      <c r="D6" s="107">
        <v>2014</v>
      </c>
      <c r="E6" s="107">
        <v>2015</v>
      </c>
      <c r="F6" s="107">
        <v>2016</v>
      </c>
      <c r="G6" s="107">
        <v>2017</v>
      </c>
      <c r="H6" s="107">
        <v>2018</v>
      </c>
      <c r="I6" s="107">
        <v>2019</v>
      </c>
      <c r="J6" s="107">
        <v>2020</v>
      </c>
      <c r="K6" s="107">
        <v>2021</v>
      </c>
      <c r="L6" s="229"/>
      <c r="M6" s="229"/>
    </row>
    <row r="7" spans="1:13" ht="16.5" x14ac:dyDescent="0.25">
      <c r="A7" s="237" t="s">
        <v>362</v>
      </c>
      <c r="B7" s="307">
        <f>Costos!B124</f>
        <v>1873147.818194645</v>
      </c>
      <c r="C7" s="307">
        <f>Costos!C124</f>
        <v>1869397.8485747438</v>
      </c>
      <c r="D7" s="307">
        <f>Costos!D124</f>
        <v>1872030.4817094028</v>
      </c>
      <c r="E7" s="307">
        <f>Costos!E124</f>
        <v>1872661.9634617781</v>
      </c>
      <c r="F7" s="307">
        <f>Costos!F124</f>
        <v>1873160.2896659886</v>
      </c>
      <c r="G7" s="307">
        <f>Costos!G124</f>
        <v>1874090.3390939375</v>
      </c>
      <c r="H7" s="307">
        <f>Costos!H124</f>
        <v>1874858.8452700623</v>
      </c>
      <c r="I7" s="307">
        <f>Costos!I124</f>
        <v>1875669.090962061</v>
      </c>
      <c r="J7" s="307">
        <f>Costos!J124</f>
        <v>1876519.130229247</v>
      </c>
      <c r="K7" s="307">
        <f>Costos!K124</f>
        <v>1877376.8974004025</v>
      </c>
      <c r="L7" s="229"/>
      <c r="M7" s="229"/>
    </row>
    <row r="8" spans="1:13" ht="16.5" x14ac:dyDescent="0.25">
      <c r="A8" s="237" t="s">
        <v>365</v>
      </c>
      <c r="B8" s="307">
        <f>Costos!B125</f>
        <v>0.45899923671331688</v>
      </c>
      <c r="C8" s="307">
        <f>Costos!C125</f>
        <v>0.45131067779398948</v>
      </c>
      <c r="D8" s="307">
        <f>Costos!D125</f>
        <v>0.44526724039369542</v>
      </c>
      <c r="E8" s="307">
        <f>Costos!E125</f>
        <v>0.43883491620136938</v>
      </c>
      <c r="F8" s="307">
        <f>Costos!F125</f>
        <v>0.43246472188815371</v>
      </c>
      <c r="G8" s="307">
        <f>Costos!G125</f>
        <v>0.42628516893978469</v>
      </c>
      <c r="H8" s="307">
        <f>Costos!H125</f>
        <v>0.42015761106688632</v>
      </c>
      <c r="I8" s="307">
        <f>Costos!I125</f>
        <v>0.41412727869959426</v>
      </c>
      <c r="J8" s="307">
        <f>Costos!J125</f>
        <v>0.40819207694484438</v>
      </c>
      <c r="K8" s="307">
        <f>Costos!K125</f>
        <v>0.40234351111199357</v>
      </c>
      <c r="L8" s="289"/>
      <c r="M8" s="289"/>
    </row>
    <row r="9" spans="1:13" ht="16.5" x14ac:dyDescent="0.3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ht="17.25" thickBot="1" x14ac:dyDescent="0.3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ht="16.5" x14ac:dyDescent="0.3">
      <c r="A11" s="107" t="s">
        <v>160</v>
      </c>
      <c r="B11" s="107" t="s">
        <v>161</v>
      </c>
      <c r="C11" s="107" t="s">
        <v>162</v>
      </c>
      <c r="D11" s="107" t="s">
        <v>163</v>
      </c>
      <c r="E11" s="107" t="s">
        <v>164</v>
      </c>
      <c r="F11" s="107" t="s">
        <v>165</v>
      </c>
      <c r="G11" s="107" t="s">
        <v>166</v>
      </c>
      <c r="H11" s="107" t="s">
        <v>167</v>
      </c>
      <c r="I11" s="107" t="s">
        <v>168</v>
      </c>
      <c r="J11" s="107" t="s">
        <v>169</v>
      </c>
      <c r="K11" s="107" t="s">
        <v>170</v>
      </c>
      <c r="L11" s="107" t="s">
        <v>171</v>
      </c>
      <c r="M11" s="107" t="s">
        <v>172</v>
      </c>
    </row>
    <row r="12" spans="1:13" ht="16.5" x14ac:dyDescent="0.3">
      <c r="A12" s="237" t="s">
        <v>382</v>
      </c>
      <c r="B12" s="317">
        <f>Ingresos!C13</f>
        <v>178386.6843057496</v>
      </c>
      <c r="C12" s="317">
        <f>Ingresos!D13</f>
        <v>178609.6676611318</v>
      </c>
      <c r="D12" s="317">
        <f>Ingresos!E13</f>
        <v>178832.92974570821</v>
      </c>
      <c r="E12" s="317">
        <f>Ingresos!F13</f>
        <v>179056.47090789035</v>
      </c>
      <c r="F12" s="317">
        <f>Ingresos!G13</f>
        <v>179280.2914965252</v>
      </c>
      <c r="G12" s="317">
        <f>Ingresos!H13</f>
        <v>179504.39186089585</v>
      </c>
      <c r="H12" s="317">
        <f>Ingresos!I13</f>
        <v>179728.77235072196</v>
      </c>
      <c r="I12" s="317">
        <f>Ingresos!J13</f>
        <v>179953.43331616037</v>
      </c>
      <c r="J12" s="317">
        <f>Ingresos!K13</f>
        <v>180178.37510780559</v>
      </c>
      <c r="K12" s="317">
        <f>Ingresos!L13</f>
        <v>180403.59807669034</v>
      </c>
      <c r="L12" s="317">
        <f>Ingresos!M13</f>
        <v>180629.10257428623</v>
      </c>
      <c r="M12" s="317">
        <f>Ingresos!N13</f>
        <v>180854.88895250409</v>
      </c>
    </row>
    <row r="13" spans="1:13" ht="17.25" thickBot="1" x14ac:dyDescent="0.35">
      <c r="A13" s="318"/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  <row r="14" spans="1:13" ht="16.5" x14ac:dyDescent="0.3">
      <c r="A14" s="107" t="s">
        <v>219</v>
      </c>
      <c r="B14" s="107" t="s">
        <v>385</v>
      </c>
      <c r="C14" s="107" t="s">
        <v>386</v>
      </c>
      <c r="D14" s="107" t="s">
        <v>387</v>
      </c>
      <c r="E14" s="107" t="s">
        <v>388</v>
      </c>
      <c r="F14" s="107" t="s">
        <v>389</v>
      </c>
      <c r="G14" s="107" t="s">
        <v>390</v>
      </c>
      <c r="H14" s="107" t="s">
        <v>391</v>
      </c>
      <c r="I14" s="107" t="s">
        <v>392</v>
      </c>
      <c r="J14" s="107" t="s">
        <v>393</v>
      </c>
      <c r="K14" s="107" t="s">
        <v>394</v>
      </c>
      <c r="L14" s="319"/>
      <c r="M14" s="319"/>
    </row>
    <row r="15" spans="1:13" ht="16.5" x14ac:dyDescent="0.3">
      <c r="A15" s="237" t="s">
        <v>382</v>
      </c>
      <c r="B15" s="317">
        <f>Ingresos!C19</f>
        <v>2155418.6063560699</v>
      </c>
      <c r="C15" s="317">
        <f>Ingresos!D19</f>
        <v>2220566.1337331817</v>
      </c>
      <c r="D15" s="317">
        <f>Ingresos!E19</f>
        <v>2253874.6257391791</v>
      </c>
      <c r="E15" s="317">
        <f>Ingresos!F19</f>
        <v>2287682.7451252667</v>
      </c>
      <c r="F15" s="317">
        <f>Ingresos!G19</f>
        <v>2321997.9863021458</v>
      </c>
      <c r="G15" s="317">
        <f>Ingresos!H19</f>
        <v>2356827.9560966776</v>
      </c>
      <c r="H15" s="317">
        <f>Ingresos!I19</f>
        <v>2392180.3754381272</v>
      </c>
      <c r="I15" s="317">
        <f>Ingresos!J19</f>
        <v>2428063.081069699</v>
      </c>
      <c r="J15" s="317">
        <f>Ingresos!K19</f>
        <v>2464484.027285744</v>
      </c>
      <c r="K15" s="317">
        <f>Ingresos!L19</f>
        <v>2501451.2876950298</v>
      </c>
      <c r="L15" s="121"/>
      <c r="M15" s="121"/>
    </row>
    <row r="16" spans="1:13" ht="16.5" x14ac:dyDescent="0.3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ht="17.25" thickBot="1" x14ac:dyDescent="0.3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ht="16.5" x14ac:dyDescent="0.3">
      <c r="A18" s="107" t="s">
        <v>361</v>
      </c>
      <c r="B18" s="107" t="s">
        <v>161</v>
      </c>
      <c r="C18" s="107" t="s">
        <v>162</v>
      </c>
      <c r="D18" s="107" t="s">
        <v>163</v>
      </c>
      <c r="E18" s="107" t="s">
        <v>164</v>
      </c>
      <c r="F18" s="107" t="s">
        <v>165</v>
      </c>
      <c r="G18" s="107" t="s">
        <v>166</v>
      </c>
      <c r="H18" s="107" t="s">
        <v>167</v>
      </c>
      <c r="I18" s="107" t="s">
        <v>168</v>
      </c>
      <c r="J18" s="107" t="s">
        <v>169</v>
      </c>
      <c r="K18" s="107" t="s">
        <v>170</v>
      </c>
      <c r="L18" s="107" t="s">
        <v>171</v>
      </c>
      <c r="M18" s="107" t="s">
        <v>172</v>
      </c>
    </row>
    <row r="19" spans="1:13" ht="16.5" x14ac:dyDescent="0.3">
      <c r="A19" s="237" t="s">
        <v>395</v>
      </c>
      <c r="B19" s="317">
        <f>B12-B3</f>
        <v>23267.828387706453</v>
      </c>
      <c r="C19" s="317">
        <f t="shared" ref="C19:M19" si="0">C12-C3</f>
        <v>23938.834479505575</v>
      </c>
      <c r="D19" s="317">
        <f t="shared" si="0"/>
        <v>23688.363112697931</v>
      </c>
      <c r="E19" s="317">
        <f t="shared" si="0"/>
        <v>23632.041823853215</v>
      </c>
      <c r="F19" s="317">
        <f t="shared" si="0"/>
        <v>23576.997398536187</v>
      </c>
      <c r="G19" s="317">
        <f t="shared" si="0"/>
        <v>23507.784233597195</v>
      </c>
      <c r="H19" s="317">
        <f t="shared" si="0"/>
        <v>23348.564874261181</v>
      </c>
      <c r="I19" s="317">
        <f t="shared" si="0"/>
        <v>23341.409829037788</v>
      </c>
      <c r="J19" s="317">
        <f t="shared" si="0"/>
        <v>23389.455322012247</v>
      </c>
      <c r="K19" s="317">
        <f t="shared" si="0"/>
        <v>23460.302296084992</v>
      </c>
      <c r="L19" s="317">
        <f t="shared" si="0"/>
        <v>23559.925591086852</v>
      </c>
      <c r="M19" s="317">
        <f t="shared" si="0"/>
        <v>23559.280813044868</v>
      </c>
    </row>
    <row r="20" spans="1:13" ht="17.25" thickBot="1" x14ac:dyDescent="0.35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ht="16.5" x14ac:dyDescent="0.3">
      <c r="A21" s="107" t="s">
        <v>364</v>
      </c>
      <c r="B21" s="107" t="s">
        <v>385</v>
      </c>
      <c r="C21" s="107" t="s">
        <v>386</v>
      </c>
      <c r="D21" s="107" t="s">
        <v>387</v>
      </c>
      <c r="E21" s="107" t="s">
        <v>388</v>
      </c>
      <c r="F21" s="107" t="s">
        <v>389</v>
      </c>
      <c r="G21" s="107" t="s">
        <v>390</v>
      </c>
      <c r="H21" s="107" t="s">
        <v>391</v>
      </c>
      <c r="I21" s="107" t="s">
        <v>392</v>
      </c>
      <c r="J21" s="107" t="s">
        <v>393</v>
      </c>
      <c r="K21" s="107" t="s">
        <v>394</v>
      </c>
      <c r="L21" s="121"/>
      <c r="M21" s="121"/>
    </row>
    <row r="22" spans="1:13" ht="16.5" x14ac:dyDescent="0.3">
      <c r="A22" s="237" t="s">
        <v>395</v>
      </c>
      <c r="B22" s="317">
        <f>B15-B7</f>
        <v>282270.78816142492</v>
      </c>
      <c r="C22" s="317">
        <f t="shared" ref="C22:K22" si="1">C15-C7</f>
        <v>351168.28515843791</v>
      </c>
      <c r="D22" s="317">
        <f t="shared" si="1"/>
        <v>381844.14402977633</v>
      </c>
      <c r="E22" s="317">
        <f t="shared" si="1"/>
        <v>415020.7816634886</v>
      </c>
      <c r="F22" s="317">
        <f t="shared" si="1"/>
        <v>448837.69663615711</v>
      </c>
      <c r="G22" s="317">
        <f t="shared" si="1"/>
        <v>482737.61700274004</v>
      </c>
      <c r="H22" s="317">
        <f t="shared" si="1"/>
        <v>517321.53016806487</v>
      </c>
      <c r="I22" s="317">
        <f t="shared" si="1"/>
        <v>552393.99010763806</v>
      </c>
      <c r="J22" s="317">
        <f t="shared" si="1"/>
        <v>587964.89705649693</v>
      </c>
      <c r="K22" s="317">
        <f t="shared" si="1"/>
        <v>624074.39029462729</v>
      </c>
      <c r="L22" s="121"/>
      <c r="M22" s="1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workbookViewId="0">
      <selection activeCell="B82" sqref="B82"/>
    </sheetView>
  </sheetViews>
  <sheetFormatPr baseColWidth="10" defaultRowHeight="15" x14ac:dyDescent="0.25"/>
  <cols>
    <col min="1" max="1" width="48.140625" style="44" customWidth="1"/>
    <col min="2" max="2" width="11.28515625" style="44" customWidth="1"/>
    <col min="3" max="3" width="10.85546875" style="44" customWidth="1"/>
    <col min="4" max="4" width="16.5703125" style="44" bestFit="1" customWidth="1"/>
    <col min="5" max="5" width="15.140625" style="44" customWidth="1"/>
    <col min="6" max="12" width="12.5703125" style="44" bestFit="1" customWidth="1"/>
    <col min="13" max="13" width="13" style="44" bestFit="1" customWidth="1"/>
    <col min="14" max="14" width="13.5703125" style="44" customWidth="1"/>
    <col min="15" max="15" width="12.42578125" style="44" customWidth="1"/>
    <col min="16" max="16" width="11" style="44" bestFit="1" customWidth="1"/>
  </cols>
  <sheetData>
    <row r="1" spans="1:16" ht="16.5" x14ac:dyDescent="0.3">
      <c r="A1" s="121"/>
      <c r="B1" s="121"/>
      <c r="C1" s="121"/>
      <c r="D1" s="121"/>
      <c r="E1" s="122"/>
      <c r="F1" s="122"/>
      <c r="G1" s="122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188" customFormat="1" ht="16.5" x14ac:dyDescent="0.3">
      <c r="A2" s="186" t="s">
        <v>160</v>
      </c>
      <c r="B2" s="187"/>
      <c r="C2" s="187"/>
      <c r="D2" s="187"/>
      <c r="E2" s="667" t="s">
        <v>227</v>
      </c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9"/>
    </row>
    <row r="3" spans="1:16" ht="16.5" x14ac:dyDescent="0.3">
      <c r="A3" s="123"/>
      <c r="B3" s="121"/>
      <c r="C3" s="121"/>
      <c r="D3" s="121"/>
      <c r="E3" s="186" t="s">
        <v>161</v>
      </c>
      <c r="F3" s="186" t="s">
        <v>162</v>
      </c>
      <c r="G3" s="186" t="s">
        <v>163</v>
      </c>
      <c r="H3" s="186" t="s">
        <v>164</v>
      </c>
      <c r="I3" s="186" t="s">
        <v>165</v>
      </c>
      <c r="J3" s="186" t="s">
        <v>166</v>
      </c>
      <c r="K3" s="186" t="s">
        <v>167</v>
      </c>
      <c r="L3" s="186" t="s">
        <v>168</v>
      </c>
      <c r="M3" s="186" t="s">
        <v>169</v>
      </c>
      <c r="N3" s="186" t="s">
        <v>170</v>
      </c>
      <c r="O3" s="186" t="s">
        <v>171</v>
      </c>
      <c r="P3" s="186" t="s">
        <v>172</v>
      </c>
    </row>
    <row r="4" spans="1:16" ht="16.5" x14ac:dyDescent="0.3">
      <c r="A4" s="186" t="s">
        <v>173</v>
      </c>
      <c r="B4" s="124"/>
      <c r="C4" s="125"/>
      <c r="D4" s="126"/>
      <c r="E4" s="127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ht="16.5" x14ac:dyDescent="0.3">
      <c r="A5" s="186" t="s">
        <v>174</v>
      </c>
      <c r="B5" s="124"/>
      <c r="C5" s="125"/>
      <c r="D5" s="126"/>
      <c r="E5" s="127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6.5" x14ac:dyDescent="0.25">
      <c r="A6" s="189" t="s">
        <v>223</v>
      </c>
      <c r="B6" s="124"/>
      <c r="C6" s="125"/>
      <c r="D6" s="128">
        <f>'Sueldos Y Salarios'!H17</f>
        <v>1314.5166666666667</v>
      </c>
      <c r="E6" s="128">
        <f>D6</f>
        <v>1314.5166666666667</v>
      </c>
      <c r="F6" s="128">
        <f t="shared" ref="F6:P6" si="0">E6*(1+$E$62)</f>
        <v>1314.6262097222223</v>
      </c>
      <c r="G6" s="128">
        <f t="shared" si="0"/>
        <v>1314.735761906366</v>
      </c>
      <c r="H6" s="128">
        <f t="shared" si="0"/>
        <v>1314.8453232198583</v>
      </c>
      <c r="I6" s="128">
        <f t="shared" si="0"/>
        <v>1314.9548936634601</v>
      </c>
      <c r="J6" s="128">
        <f t="shared" si="0"/>
        <v>1315.0644732379321</v>
      </c>
      <c r="K6" s="128">
        <f t="shared" si="0"/>
        <v>1315.1740619440354</v>
      </c>
      <c r="L6" s="128">
        <f t="shared" si="0"/>
        <v>1315.283659782531</v>
      </c>
      <c r="M6" s="128">
        <f t="shared" si="0"/>
        <v>1315.3932667541796</v>
      </c>
      <c r="N6" s="128">
        <f t="shared" si="0"/>
        <v>1315.5028828597426</v>
      </c>
      <c r="O6" s="128">
        <f t="shared" si="0"/>
        <v>1315.6125080999811</v>
      </c>
      <c r="P6" s="128">
        <f t="shared" si="0"/>
        <v>1315.7221424756563</v>
      </c>
    </row>
    <row r="7" spans="1:16" ht="16.5" x14ac:dyDescent="0.25">
      <c r="A7" s="189" t="s">
        <v>224</v>
      </c>
      <c r="B7" s="124"/>
      <c r="C7" s="125"/>
      <c r="D7" s="128">
        <f>'Sueldos Y Salarios'!H18</f>
        <v>885.23333333333323</v>
      </c>
      <c r="E7" s="128">
        <f>D7</f>
        <v>885.23333333333323</v>
      </c>
      <c r="F7" s="128">
        <f t="shared" ref="F7:P7" si="1">E7*(1+$E$62)</f>
        <v>885.3071027777778</v>
      </c>
      <c r="G7" s="128">
        <f t="shared" si="1"/>
        <v>885.380878369676</v>
      </c>
      <c r="H7" s="128">
        <f t="shared" si="1"/>
        <v>885.45466010954021</v>
      </c>
      <c r="I7" s="128">
        <f t="shared" si="1"/>
        <v>885.52844799788272</v>
      </c>
      <c r="J7" s="128">
        <f t="shared" si="1"/>
        <v>885.60224203521602</v>
      </c>
      <c r="K7" s="128">
        <f t="shared" si="1"/>
        <v>885.67604222205239</v>
      </c>
      <c r="L7" s="128">
        <f t="shared" si="1"/>
        <v>885.74984855890432</v>
      </c>
      <c r="M7" s="128">
        <f t="shared" si="1"/>
        <v>885.82366104628431</v>
      </c>
      <c r="N7" s="128">
        <f t="shared" si="1"/>
        <v>885.89747968470488</v>
      </c>
      <c r="O7" s="128">
        <f t="shared" si="1"/>
        <v>885.97130447467873</v>
      </c>
      <c r="P7" s="128">
        <f t="shared" si="1"/>
        <v>886.04513541671838</v>
      </c>
    </row>
    <row r="8" spans="1:16" ht="16.5" x14ac:dyDescent="0.25">
      <c r="A8" s="189" t="s">
        <v>225</v>
      </c>
      <c r="B8" s="124"/>
      <c r="C8" s="125"/>
      <c r="D8" s="128">
        <f>'Sueldos Y Salarios'!H20</f>
        <v>885.23333333333323</v>
      </c>
      <c r="E8" s="128">
        <f>D8</f>
        <v>885.23333333333323</v>
      </c>
      <c r="F8" s="128">
        <f t="shared" ref="F8:P8" si="2">E8*(1+$E$62)</f>
        <v>885.3071027777778</v>
      </c>
      <c r="G8" s="128">
        <f t="shared" si="2"/>
        <v>885.380878369676</v>
      </c>
      <c r="H8" s="128">
        <f t="shared" si="2"/>
        <v>885.45466010954021</v>
      </c>
      <c r="I8" s="128">
        <f t="shared" si="2"/>
        <v>885.52844799788272</v>
      </c>
      <c r="J8" s="128">
        <f t="shared" si="2"/>
        <v>885.60224203521602</v>
      </c>
      <c r="K8" s="128">
        <f t="shared" si="2"/>
        <v>885.67604222205239</v>
      </c>
      <c r="L8" s="128">
        <f t="shared" si="2"/>
        <v>885.74984855890432</v>
      </c>
      <c r="M8" s="128">
        <f t="shared" si="2"/>
        <v>885.82366104628431</v>
      </c>
      <c r="N8" s="128">
        <f t="shared" si="2"/>
        <v>885.89747968470488</v>
      </c>
      <c r="O8" s="128">
        <f t="shared" si="2"/>
        <v>885.97130447467873</v>
      </c>
      <c r="P8" s="128">
        <f t="shared" si="2"/>
        <v>886.04513541671838</v>
      </c>
    </row>
    <row r="9" spans="1:16" ht="16.5" x14ac:dyDescent="0.25">
      <c r="A9" s="189" t="s">
        <v>100</v>
      </c>
      <c r="B9" s="124"/>
      <c r="C9" s="125"/>
      <c r="D9" s="128">
        <f>'Sueldos Y Salarios'!H19</f>
        <v>885.23333333333323</v>
      </c>
      <c r="E9" s="128">
        <f>D9</f>
        <v>885.23333333333323</v>
      </c>
      <c r="F9" s="128">
        <f t="shared" ref="F9:P9" si="3">E9*(1+$E$62)</f>
        <v>885.3071027777778</v>
      </c>
      <c r="G9" s="128">
        <f t="shared" si="3"/>
        <v>885.380878369676</v>
      </c>
      <c r="H9" s="128">
        <f t="shared" si="3"/>
        <v>885.45466010954021</v>
      </c>
      <c r="I9" s="128">
        <f t="shared" si="3"/>
        <v>885.52844799788272</v>
      </c>
      <c r="J9" s="128">
        <f t="shared" si="3"/>
        <v>885.60224203521602</v>
      </c>
      <c r="K9" s="128">
        <f t="shared" si="3"/>
        <v>885.67604222205239</v>
      </c>
      <c r="L9" s="128">
        <f t="shared" si="3"/>
        <v>885.74984855890432</v>
      </c>
      <c r="M9" s="128">
        <f t="shared" si="3"/>
        <v>885.82366104628431</v>
      </c>
      <c r="N9" s="128">
        <f t="shared" si="3"/>
        <v>885.89747968470488</v>
      </c>
      <c r="O9" s="128">
        <f t="shared" si="3"/>
        <v>885.97130447467873</v>
      </c>
      <c r="P9" s="128">
        <f t="shared" si="3"/>
        <v>886.04513541671838</v>
      </c>
    </row>
    <row r="10" spans="1:16" ht="16.5" x14ac:dyDescent="0.25">
      <c r="A10" s="189" t="s">
        <v>175</v>
      </c>
      <c r="B10" s="124"/>
      <c r="C10" s="125"/>
      <c r="D10" s="128">
        <f>'Sueldos Y Salarios'!H21</f>
        <v>402.28958333333338</v>
      </c>
      <c r="E10" s="128">
        <f>D10</f>
        <v>402.28958333333338</v>
      </c>
      <c r="F10" s="128">
        <f t="shared" ref="F10:P10" si="4">E10*(1+$E$62)</f>
        <v>402.32310746527787</v>
      </c>
      <c r="G10" s="128">
        <f t="shared" si="4"/>
        <v>402.35663439090001</v>
      </c>
      <c r="H10" s="128">
        <f t="shared" si="4"/>
        <v>402.39016411043264</v>
      </c>
      <c r="I10" s="128">
        <f t="shared" si="4"/>
        <v>402.42369662410857</v>
      </c>
      <c r="J10" s="128">
        <f t="shared" si="4"/>
        <v>402.4572319321606</v>
      </c>
      <c r="K10" s="128">
        <f t="shared" si="4"/>
        <v>402.49077003482165</v>
      </c>
      <c r="L10" s="128">
        <f t="shared" si="4"/>
        <v>402.52431093232457</v>
      </c>
      <c r="M10" s="128">
        <f t="shared" si="4"/>
        <v>402.55785462490229</v>
      </c>
      <c r="N10" s="128">
        <f t="shared" si="4"/>
        <v>402.59140111278776</v>
      </c>
      <c r="O10" s="128">
        <f t="shared" si="4"/>
        <v>402.62495039621388</v>
      </c>
      <c r="P10" s="128">
        <f t="shared" si="4"/>
        <v>402.65850247541363</v>
      </c>
    </row>
    <row r="11" spans="1:16" ht="16.5" x14ac:dyDescent="0.25">
      <c r="A11" s="189" t="s">
        <v>176</v>
      </c>
      <c r="B11" s="129"/>
      <c r="C11" s="130"/>
      <c r="D11" s="131">
        <f t="shared" ref="D11:P11" si="5">SUM(D6:D10)</f>
        <v>4372.5062499999995</v>
      </c>
      <c r="E11" s="131">
        <f t="shared" si="5"/>
        <v>4372.5062499999995</v>
      </c>
      <c r="F11" s="131">
        <f t="shared" si="5"/>
        <v>4372.8706255208335</v>
      </c>
      <c r="G11" s="131">
        <f t="shared" si="5"/>
        <v>4373.2350314062933</v>
      </c>
      <c r="H11" s="131">
        <f t="shared" si="5"/>
        <v>4373.5994676589116</v>
      </c>
      <c r="I11" s="131">
        <f t="shared" si="5"/>
        <v>4373.963934281217</v>
      </c>
      <c r="J11" s="131">
        <f t="shared" si="5"/>
        <v>4374.3284312757405</v>
      </c>
      <c r="K11" s="131">
        <f t="shared" si="5"/>
        <v>4374.6929586450142</v>
      </c>
      <c r="L11" s="131">
        <f t="shared" si="5"/>
        <v>4375.0575163915682</v>
      </c>
      <c r="M11" s="131">
        <f t="shared" si="5"/>
        <v>4375.4221045179356</v>
      </c>
      <c r="N11" s="131">
        <f t="shared" si="5"/>
        <v>4375.7867230266456</v>
      </c>
      <c r="O11" s="131">
        <f t="shared" si="5"/>
        <v>4376.1513719202312</v>
      </c>
      <c r="P11" s="131">
        <f t="shared" si="5"/>
        <v>4376.5160512012253</v>
      </c>
    </row>
    <row r="12" spans="1:16" x14ac:dyDescent="0.25">
      <c r="A12" s="124"/>
      <c r="B12" s="124"/>
      <c r="C12" s="125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</row>
    <row r="13" spans="1:16" ht="16.5" x14ac:dyDescent="0.3">
      <c r="A13" s="121"/>
      <c r="B13" s="121"/>
      <c r="C13" s="121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</row>
    <row r="14" spans="1:16" ht="16.5" x14ac:dyDescent="0.3">
      <c r="A14" s="186" t="s">
        <v>177</v>
      </c>
      <c r="B14" s="132" t="s">
        <v>178</v>
      </c>
      <c r="C14" s="133" t="s">
        <v>129</v>
      </c>
      <c r="D14" s="121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</row>
    <row r="15" spans="1:16" ht="16.5" x14ac:dyDescent="0.25">
      <c r="A15" s="189" t="s">
        <v>226</v>
      </c>
      <c r="B15" s="134">
        <v>0.4</v>
      </c>
      <c r="C15" s="135">
        <f>B15*$C$18</f>
        <v>6000</v>
      </c>
      <c r="D15" s="128">
        <f>(C15*2)/12</f>
        <v>1000</v>
      </c>
      <c r="E15" s="128">
        <f>D15</f>
        <v>1000</v>
      </c>
      <c r="F15" s="128">
        <f t="shared" ref="F15:P15" si="6">E15</f>
        <v>1000</v>
      </c>
      <c r="G15" s="128">
        <f t="shared" si="6"/>
        <v>1000</v>
      </c>
      <c r="H15" s="128">
        <f t="shared" si="6"/>
        <v>1000</v>
      </c>
      <c r="I15" s="128">
        <f t="shared" si="6"/>
        <v>1000</v>
      </c>
      <c r="J15" s="128">
        <f t="shared" si="6"/>
        <v>1000</v>
      </c>
      <c r="K15" s="128">
        <f t="shared" si="6"/>
        <v>1000</v>
      </c>
      <c r="L15" s="128">
        <f t="shared" si="6"/>
        <v>1000</v>
      </c>
      <c r="M15" s="128">
        <f t="shared" si="6"/>
        <v>1000</v>
      </c>
      <c r="N15" s="128">
        <f t="shared" si="6"/>
        <v>1000</v>
      </c>
      <c r="O15" s="128">
        <f t="shared" si="6"/>
        <v>1000</v>
      </c>
      <c r="P15" s="128">
        <f t="shared" si="6"/>
        <v>1000</v>
      </c>
    </row>
    <row r="16" spans="1:16" ht="16.5" x14ac:dyDescent="0.25">
      <c r="A16" s="189" t="s">
        <v>180</v>
      </c>
      <c r="B16" s="134">
        <v>0.4</v>
      </c>
      <c r="C16" s="135">
        <f>B16*$C$18</f>
        <v>6000</v>
      </c>
      <c r="D16" s="128">
        <f>C16/12</f>
        <v>500</v>
      </c>
      <c r="E16" s="128">
        <f t="shared" ref="E16:P17" si="7">D16</f>
        <v>500</v>
      </c>
      <c r="F16" s="128">
        <f t="shared" si="7"/>
        <v>500</v>
      </c>
      <c r="G16" s="128">
        <f t="shared" si="7"/>
        <v>500</v>
      </c>
      <c r="H16" s="128">
        <f t="shared" si="7"/>
        <v>500</v>
      </c>
      <c r="I16" s="128">
        <f t="shared" si="7"/>
        <v>500</v>
      </c>
      <c r="J16" s="128">
        <f t="shared" si="7"/>
        <v>500</v>
      </c>
      <c r="K16" s="128">
        <f t="shared" si="7"/>
        <v>500</v>
      </c>
      <c r="L16" s="128">
        <f t="shared" si="7"/>
        <v>500</v>
      </c>
      <c r="M16" s="128">
        <f t="shared" si="7"/>
        <v>500</v>
      </c>
      <c r="N16" s="128">
        <f t="shared" si="7"/>
        <v>500</v>
      </c>
      <c r="O16" s="128">
        <f t="shared" si="7"/>
        <v>500</v>
      </c>
      <c r="P16" s="128">
        <f t="shared" si="7"/>
        <v>500</v>
      </c>
    </row>
    <row r="17" spans="1:16" ht="16.5" x14ac:dyDescent="0.25">
      <c r="A17" s="189" t="s">
        <v>181</v>
      </c>
      <c r="B17" s="196">
        <v>0.2</v>
      </c>
      <c r="C17" s="135">
        <f>B17*$C$18</f>
        <v>3000</v>
      </c>
      <c r="D17" s="128">
        <f>C17/12</f>
        <v>250</v>
      </c>
      <c r="E17" s="128">
        <f t="shared" si="7"/>
        <v>250</v>
      </c>
      <c r="F17" s="128">
        <f t="shared" si="7"/>
        <v>250</v>
      </c>
      <c r="G17" s="128">
        <f t="shared" si="7"/>
        <v>250</v>
      </c>
      <c r="H17" s="128">
        <f t="shared" si="7"/>
        <v>250</v>
      </c>
      <c r="I17" s="128">
        <f t="shared" si="7"/>
        <v>250</v>
      </c>
      <c r="J17" s="128">
        <f t="shared" si="7"/>
        <v>250</v>
      </c>
      <c r="K17" s="128">
        <f t="shared" si="7"/>
        <v>250</v>
      </c>
      <c r="L17" s="128">
        <f t="shared" si="7"/>
        <v>250</v>
      </c>
      <c r="M17" s="128">
        <f t="shared" si="7"/>
        <v>250</v>
      </c>
      <c r="N17" s="128">
        <f t="shared" si="7"/>
        <v>250</v>
      </c>
      <c r="O17" s="128">
        <f t="shared" si="7"/>
        <v>250</v>
      </c>
      <c r="P17" s="128">
        <f t="shared" si="7"/>
        <v>250</v>
      </c>
    </row>
    <row r="18" spans="1:16" ht="16.5" x14ac:dyDescent="0.25">
      <c r="A18" s="189" t="s">
        <v>182</v>
      </c>
      <c r="B18" s="197">
        <f>SUM(B15:B17)</f>
        <v>1</v>
      </c>
      <c r="C18" s="128">
        <v>15000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ht="16.5" x14ac:dyDescent="0.25">
      <c r="A19" s="189" t="s">
        <v>183</v>
      </c>
      <c r="B19" s="136"/>
      <c r="C19" s="137"/>
      <c r="D19" s="131">
        <f t="shared" ref="D19:P19" si="8">SUM(D15:D17)</f>
        <v>1750</v>
      </c>
      <c r="E19" s="131">
        <f t="shared" si="8"/>
        <v>1750</v>
      </c>
      <c r="F19" s="131">
        <f t="shared" si="8"/>
        <v>1750</v>
      </c>
      <c r="G19" s="131">
        <f t="shared" si="8"/>
        <v>1750</v>
      </c>
      <c r="H19" s="131">
        <f t="shared" si="8"/>
        <v>1750</v>
      </c>
      <c r="I19" s="131">
        <f t="shared" si="8"/>
        <v>1750</v>
      </c>
      <c r="J19" s="131">
        <f t="shared" si="8"/>
        <v>1750</v>
      </c>
      <c r="K19" s="131">
        <f t="shared" si="8"/>
        <v>1750</v>
      </c>
      <c r="L19" s="131">
        <f t="shared" si="8"/>
        <v>1750</v>
      </c>
      <c r="M19" s="131">
        <f t="shared" si="8"/>
        <v>1750</v>
      </c>
      <c r="N19" s="131">
        <f t="shared" si="8"/>
        <v>1750</v>
      </c>
      <c r="O19" s="131">
        <f t="shared" si="8"/>
        <v>1750</v>
      </c>
      <c r="P19" s="131">
        <f t="shared" si="8"/>
        <v>1750</v>
      </c>
    </row>
    <row r="20" spans="1:16" ht="16.5" x14ac:dyDescent="0.3">
      <c r="A20" s="121"/>
      <c r="B20" s="121"/>
      <c r="C20" s="121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ht="16.5" x14ac:dyDescent="0.25">
      <c r="A21" s="186" t="s">
        <v>184</v>
      </c>
      <c r="B21" s="124"/>
      <c r="C21" s="125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ht="16.5" x14ac:dyDescent="0.25">
      <c r="A22" s="189" t="s">
        <v>79</v>
      </c>
      <c r="B22" s="124"/>
      <c r="C22" s="125"/>
      <c r="D22" s="128">
        <f>'Sueldos Y Salarios'!H25</f>
        <v>402.28958333333338</v>
      </c>
      <c r="E22" s="128">
        <f>D22</f>
        <v>402.28958333333338</v>
      </c>
      <c r="F22" s="128">
        <f t="shared" ref="F22:P22" si="9">E22*(1+$E$62)</f>
        <v>402.32310746527787</v>
      </c>
      <c r="G22" s="128">
        <f t="shared" si="9"/>
        <v>402.35663439090001</v>
      </c>
      <c r="H22" s="128">
        <f t="shared" si="9"/>
        <v>402.39016411043264</v>
      </c>
      <c r="I22" s="128">
        <f t="shared" si="9"/>
        <v>402.42369662410857</v>
      </c>
      <c r="J22" s="128">
        <f t="shared" si="9"/>
        <v>402.4572319321606</v>
      </c>
      <c r="K22" s="128">
        <f t="shared" si="9"/>
        <v>402.49077003482165</v>
      </c>
      <c r="L22" s="128">
        <f t="shared" si="9"/>
        <v>402.52431093232457</v>
      </c>
      <c r="M22" s="128">
        <f t="shared" si="9"/>
        <v>402.55785462490229</v>
      </c>
      <c r="N22" s="128">
        <f t="shared" si="9"/>
        <v>402.59140111278776</v>
      </c>
      <c r="O22" s="128">
        <f t="shared" si="9"/>
        <v>402.62495039621388</v>
      </c>
      <c r="P22" s="128">
        <f t="shared" si="9"/>
        <v>402.65850247541363</v>
      </c>
    </row>
    <row r="23" spans="1:16" ht="16.5" x14ac:dyDescent="0.25">
      <c r="A23" s="189" t="s">
        <v>77</v>
      </c>
      <c r="B23" s="124"/>
      <c r="C23" s="125"/>
      <c r="D23" s="128">
        <f>'Sueldos Y Salarios'!H22</f>
        <v>402.28958333333338</v>
      </c>
      <c r="E23" s="128">
        <f>D23</f>
        <v>402.28958333333338</v>
      </c>
      <c r="F23" s="128">
        <f t="shared" ref="F23:P23" si="10">E23*(1+$E$62)</f>
        <v>402.32310746527787</v>
      </c>
      <c r="G23" s="128">
        <f t="shared" si="10"/>
        <v>402.35663439090001</v>
      </c>
      <c r="H23" s="128">
        <f t="shared" si="10"/>
        <v>402.39016411043264</v>
      </c>
      <c r="I23" s="128">
        <f t="shared" si="10"/>
        <v>402.42369662410857</v>
      </c>
      <c r="J23" s="128">
        <f t="shared" si="10"/>
        <v>402.4572319321606</v>
      </c>
      <c r="K23" s="128">
        <f t="shared" si="10"/>
        <v>402.49077003482165</v>
      </c>
      <c r="L23" s="128">
        <f t="shared" si="10"/>
        <v>402.52431093232457</v>
      </c>
      <c r="M23" s="128">
        <f t="shared" si="10"/>
        <v>402.55785462490229</v>
      </c>
      <c r="N23" s="128">
        <f t="shared" si="10"/>
        <v>402.59140111278776</v>
      </c>
      <c r="O23" s="128">
        <f t="shared" si="10"/>
        <v>402.62495039621388</v>
      </c>
      <c r="P23" s="128">
        <f t="shared" si="10"/>
        <v>402.65850247541363</v>
      </c>
    </row>
    <row r="24" spans="1:16" ht="16.5" x14ac:dyDescent="0.25">
      <c r="A24" s="189" t="s">
        <v>78</v>
      </c>
      <c r="B24" s="124"/>
      <c r="C24" s="125"/>
      <c r="D24" s="128">
        <f>'Sueldos Y Salarios'!H23</f>
        <v>402.28958333333338</v>
      </c>
      <c r="E24" s="128">
        <f>D24</f>
        <v>402.28958333333338</v>
      </c>
      <c r="F24" s="128">
        <f t="shared" ref="F24:P24" si="11">E24*(1+$E$62)</f>
        <v>402.32310746527787</v>
      </c>
      <c r="G24" s="128">
        <f t="shared" si="11"/>
        <v>402.35663439090001</v>
      </c>
      <c r="H24" s="128">
        <f t="shared" si="11"/>
        <v>402.39016411043264</v>
      </c>
      <c r="I24" s="128">
        <f t="shared" si="11"/>
        <v>402.42369662410857</v>
      </c>
      <c r="J24" s="128">
        <f t="shared" si="11"/>
        <v>402.4572319321606</v>
      </c>
      <c r="K24" s="128">
        <f t="shared" si="11"/>
        <v>402.49077003482165</v>
      </c>
      <c r="L24" s="128">
        <f t="shared" si="11"/>
        <v>402.52431093232457</v>
      </c>
      <c r="M24" s="128">
        <f t="shared" si="11"/>
        <v>402.55785462490229</v>
      </c>
      <c r="N24" s="128">
        <f t="shared" si="11"/>
        <v>402.59140111278776</v>
      </c>
      <c r="O24" s="128">
        <f t="shared" si="11"/>
        <v>402.62495039621388</v>
      </c>
      <c r="P24" s="128">
        <f t="shared" si="11"/>
        <v>402.65850247541363</v>
      </c>
    </row>
    <row r="25" spans="1:16" ht="16.5" x14ac:dyDescent="0.25">
      <c r="A25" s="189" t="s">
        <v>78</v>
      </c>
      <c r="B25" s="124"/>
      <c r="C25" s="125"/>
      <c r="D25" s="128">
        <f>'Sueldos Y Salarios'!H24</f>
        <v>402.28958333333338</v>
      </c>
      <c r="E25" s="128">
        <f>D25</f>
        <v>402.28958333333338</v>
      </c>
      <c r="F25" s="128">
        <f t="shared" ref="F25:P25" si="12">E25*(1+$E$62)</f>
        <v>402.32310746527787</v>
      </c>
      <c r="G25" s="128">
        <f t="shared" si="12"/>
        <v>402.35663439090001</v>
      </c>
      <c r="H25" s="128">
        <f t="shared" si="12"/>
        <v>402.39016411043264</v>
      </c>
      <c r="I25" s="128">
        <f t="shared" si="12"/>
        <v>402.42369662410857</v>
      </c>
      <c r="J25" s="128">
        <f t="shared" si="12"/>
        <v>402.4572319321606</v>
      </c>
      <c r="K25" s="128">
        <f t="shared" si="12"/>
        <v>402.49077003482165</v>
      </c>
      <c r="L25" s="128">
        <f t="shared" si="12"/>
        <v>402.52431093232457</v>
      </c>
      <c r="M25" s="128">
        <f t="shared" si="12"/>
        <v>402.55785462490229</v>
      </c>
      <c r="N25" s="128">
        <f t="shared" si="12"/>
        <v>402.59140111278776</v>
      </c>
      <c r="O25" s="128">
        <f t="shared" si="12"/>
        <v>402.62495039621388</v>
      </c>
      <c r="P25" s="128">
        <f t="shared" si="12"/>
        <v>402.65850247541363</v>
      </c>
    </row>
    <row r="26" spans="1:16" ht="16.5" x14ac:dyDescent="0.25">
      <c r="A26" s="189" t="s">
        <v>185</v>
      </c>
      <c r="B26" s="129"/>
      <c r="C26" s="130"/>
      <c r="D26" s="131">
        <f>SUM(D22:D25)</f>
        <v>1609.1583333333335</v>
      </c>
      <c r="E26" s="131">
        <f>SUM(E22:E25)</f>
        <v>1609.1583333333335</v>
      </c>
      <c r="F26" s="131">
        <f t="shared" ref="F26:P26" si="13">SUM(F22:F25)</f>
        <v>1609.2924298611115</v>
      </c>
      <c r="G26" s="131">
        <f t="shared" si="13"/>
        <v>1609.4265375636</v>
      </c>
      <c r="H26" s="131">
        <f t="shared" si="13"/>
        <v>1609.5606564417305</v>
      </c>
      <c r="I26" s="131">
        <f t="shared" si="13"/>
        <v>1609.6947864964343</v>
      </c>
      <c r="J26" s="131">
        <f t="shared" si="13"/>
        <v>1609.8289277286424</v>
      </c>
      <c r="K26" s="131">
        <f t="shared" si="13"/>
        <v>1609.9630801392866</v>
      </c>
      <c r="L26" s="131">
        <f t="shared" si="13"/>
        <v>1610.0972437292983</v>
      </c>
      <c r="M26" s="131">
        <f t="shared" si="13"/>
        <v>1610.2314184996092</v>
      </c>
      <c r="N26" s="131">
        <f t="shared" si="13"/>
        <v>1610.3656044511511</v>
      </c>
      <c r="O26" s="131">
        <f t="shared" si="13"/>
        <v>1610.4998015848555</v>
      </c>
      <c r="P26" s="131">
        <f t="shared" si="13"/>
        <v>1610.6340099016545</v>
      </c>
    </row>
    <row r="27" spans="1:16" x14ac:dyDescent="0.25">
      <c r="A27" s="124"/>
      <c r="B27" s="124"/>
      <c r="C27" s="125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  <row r="28" spans="1:16" ht="16.5" x14ac:dyDescent="0.25">
      <c r="A28" s="186" t="s">
        <v>186</v>
      </c>
      <c r="B28" s="124"/>
      <c r="C28" s="125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 ht="16.5" x14ac:dyDescent="0.25">
      <c r="A29" s="189" t="s">
        <v>187</v>
      </c>
      <c r="B29" s="128">
        <v>3.4</v>
      </c>
      <c r="C29" s="128"/>
      <c r="D29" s="128">
        <f>B29*200</f>
        <v>680</v>
      </c>
      <c r="E29" s="128">
        <f>D29</f>
        <v>680</v>
      </c>
      <c r="F29" s="128">
        <f t="shared" ref="F29:P29" si="14">E29*(1+F57)</f>
        <v>677.1576</v>
      </c>
      <c r="G29" s="128">
        <f t="shared" si="14"/>
        <v>675.57982279200007</v>
      </c>
      <c r="H29" s="128">
        <f t="shared" si="14"/>
        <v>674.39688252229132</v>
      </c>
      <c r="I29" s="128">
        <f t="shared" si="14"/>
        <v>673.60008260559118</v>
      </c>
      <c r="J29" s="128">
        <f t="shared" si="14"/>
        <v>673.24917064255783</v>
      </c>
      <c r="K29" s="128">
        <f t="shared" si="14"/>
        <v>673.73608127399575</v>
      </c>
      <c r="L29" s="128">
        <f t="shared" si="14"/>
        <v>674.39460607889487</v>
      </c>
      <c r="M29" s="128">
        <f t="shared" si="14"/>
        <v>674.98359282308024</v>
      </c>
      <c r="N29" s="128">
        <f t="shared" si="14"/>
        <v>675.40354238702298</v>
      </c>
      <c r="O29" s="128">
        <f t="shared" si="14"/>
        <v>675.52900032574291</v>
      </c>
      <c r="P29" s="128">
        <f t="shared" si="14"/>
        <v>675.79809360520505</v>
      </c>
    </row>
    <row r="30" spans="1:16" ht="16.5" x14ac:dyDescent="0.25">
      <c r="A30" s="189" t="s">
        <v>188</v>
      </c>
      <c r="B30" s="128">
        <v>0.1</v>
      </c>
      <c r="C30" s="128"/>
      <c r="D30" s="128">
        <f>B30*2000</f>
        <v>200</v>
      </c>
      <c r="E30" s="128">
        <f>D30</f>
        <v>200</v>
      </c>
      <c r="F30" s="128">
        <f t="shared" ref="F30:P30" si="15">E30*(1+F57)</f>
        <v>199.16400000000002</v>
      </c>
      <c r="G30" s="128">
        <f t="shared" si="15"/>
        <v>198.69994788000002</v>
      </c>
      <c r="H30" s="128">
        <f t="shared" si="15"/>
        <v>198.35202427126217</v>
      </c>
      <c r="I30" s="128">
        <f t="shared" si="15"/>
        <v>198.11767135458567</v>
      </c>
      <c r="J30" s="128">
        <f t="shared" si="15"/>
        <v>198.01446195369351</v>
      </c>
      <c r="K30" s="128">
        <f t="shared" si="15"/>
        <v>198.15767096293996</v>
      </c>
      <c r="L30" s="128">
        <f t="shared" si="15"/>
        <v>198.35135472908675</v>
      </c>
      <c r="M30" s="128">
        <f t="shared" si="15"/>
        <v>198.52458612443539</v>
      </c>
      <c r="N30" s="128">
        <f t="shared" si="15"/>
        <v>198.64810070206562</v>
      </c>
      <c r="O30" s="128">
        <f t="shared" si="15"/>
        <v>198.68500009580677</v>
      </c>
      <c r="P30" s="128">
        <f t="shared" si="15"/>
        <v>198.76414517800151</v>
      </c>
    </row>
    <row r="31" spans="1:16" ht="16.5" x14ac:dyDescent="0.25">
      <c r="A31" s="189" t="s">
        <v>189</v>
      </c>
      <c r="B31" s="131"/>
      <c r="C31" s="131"/>
      <c r="D31" s="131">
        <f>SUM(D29:D30)</f>
        <v>880</v>
      </c>
      <c r="E31" s="131">
        <f t="shared" ref="E31:P31" si="16">SUM(E29:E30)</f>
        <v>880</v>
      </c>
      <c r="F31" s="131">
        <f t="shared" si="16"/>
        <v>876.32159999999999</v>
      </c>
      <c r="G31" s="131">
        <f t="shared" si="16"/>
        <v>874.27977067200004</v>
      </c>
      <c r="H31" s="131">
        <f t="shared" si="16"/>
        <v>872.74890679355349</v>
      </c>
      <c r="I31" s="131">
        <f t="shared" si="16"/>
        <v>871.71775396017688</v>
      </c>
      <c r="J31" s="131">
        <f t="shared" si="16"/>
        <v>871.26363259625134</v>
      </c>
      <c r="K31" s="131">
        <f t="shared" si="16"/>
        <v>871.89375223693571</v>
      </c>
      <c r="L31" s="131">
        <f t="shared" si="16"/>
        <v>872.74596080798165</v>
      </c>
      <c r="M31" s="131">
        <f t="shared" si="16"/>
        <v>873.5081789475156</v>
      </c>
      <c r="N31" s="131">
        <f t="shared" si="16"/>
        <v>874.05164308908866</v>
      </c>
      <c r="O31" s="131">
        <f t="shared" si="16"/>
        <v>874.21400042154971</v>
      </c>
      <c r="P31" s="131">
        <f t="shared" si="16"/>
        <v>874.56223878320657</v>
      </c>
    </row>
    <row r="32" spans="1:16" ht="16.5" x14ac:dyDescent="0.25">
      <c r="A32" s="186" t="s">
        <v>190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</row>
    <row r="33" spans="1:16" ht="16.5" x14ac:dyDescent="0.25">
      <c r="A33" s="189" t="s">
        <v>64</v>
      </c>
      <c r="B33" s="128"/>
      <c r="C33" s="128"/>
      <c r="D33" s="128">
        <f>'Sueldos Y Salarios'!H26+'Sueldos Y Salarios'!H27</f>
        <v>804.57916666666677</v>
      </c>
      <c r="E33" s="128">
        <f>D33</f>
        <v>804.57916666666677</v>
      </c>
      <c r="F33" s="128">
        <f t="shared" ref="F33:P33" si="17">E33*(1+$E$62)</f>
        <v>804.64621493055574</v>
      </c>
      <c r="G33" s="128">
        <f t="shared" si="17"/>
        <v>804.71326878180002</v>
      </c>
      <c r="H33" s="128">
        <f t="shared" si="17"/>
        <v>804.78032822086527</v>
      </c>
      <c r="I33" s="128">
        <f t="shared" si="17"/>
        <v>804.84739324821714</v>
      </c>
      <c r="J33" s="128">
        <f t="shared" si="17"/>
        <v>804.91446386432119</v>
      </c>
      <c r="K33" s="128">
        <f t="shared" si="17"/>
        <v>804.9815400696433</v>
      </c>
      <c r="L33" s="128">
        <f t="shared" si="17"/>
        <v>805.04862186464914</v>
      </c>
      <c r="M33" s="128">
        <f t="shared" si="17"/>
        <v>805.11570924980458</v>
      </c>
      <c r="N33" s="128">
        <f t="shared" si="17"/>
        <v>805.18280222557553</v>
      </c>
      <c r="O33" s="128">
        <f t="shared" si="17"/>
        <v>805.24990079242775</v>
      </c>
      <c r="P33" s="128">
        <f t="shared" si="17"/>
        <v>805.31700495082725</v>
      </c>
    </row>
    <row r="34" spans="1:16" ht="16.5" x14ac:dyDescent="0.25">
      <c r="A34" s="189" t="s">
        <v>66</v>
      </c>
      <c r="B34" s="128"/>
      <c r="C34" s="128"/>
      <c r="D34" s="128">
        <f>'Sueldos Y Salarios'!H36+'Sueldos Y Salarios'!H35+'Sueldos Y Salarios'!H34</f>
        <v>1206.8687500000001</v>
      </c>
      <c r="E34" s="128">
        <f>D34</f>
        <v>1206.8687500000001</v>
      </c>
      <c r="F34" s="128">
        <f t="shared" ref="F34:P34" si="18">E34*(1+$E$62)</f>
        <v>1206.9693223958336</v>
      </c>
      <c r="G34" s="128">
        <f t="shared" si="18"/>
        <v>1207.0699031727002</v>
      </c>
      <c r="H34" s="128">
        <f t="shared" si="18"/>
        <v>1207.170492331298</v>
      </c>
      <c r="I34" s="128">
        <f t="shared" si="18"/>
        <v>1207.2710898723258</v>
      </c>
      <c r="J34" s="128">
        <f t="shared" si="18"/>
        <v>1207.3716957964818</v>
      </c>
      <c r="K34" s="128">
        <f t="shared" si="18"/>
        <v>1207.4723101044649</v>
      </c>
      <c r="L34" s="128">
        <f t="shared" si="18"/>
        <v>1207.5729327969736</v>
      </c>
      <c r="M34" s="128">
        <f t="shared" si="18"/>
        <v>1207.6735638747068</v>
      </c>
      <c r="N34" s="128">
        <f t="shared" si="18"/>
        <v>1207.7742033383631</v>
      </c>
      <c r="O34" s="128">
        <f t="shared" si="18"/>
        <v>1207.8748511886415</v>
      </c>
      <c r="P34" s="128">
        <f t="shared" si="18"/>
        <v>1207.9755074262407</v>
      </c>
    </row>
    <row r="35" spans="1:16" ht="16.5" x14ac:dyDescent="0.25">
      <c r="A35" s="189" t="s">
        <v>67</v>
      </c>
      <c r="B35" s="128"/>
      <c r="C35" s="128"/>
      <c r="D35" s="128">
        <f>'Sueldos Y Salarios'!H37</f>
        <v>402.28958333333338</v>
      </c>
      <c r="E35" s="128">
        <f>D35</f>
        <v>402.28958333333338</v>
      </c>
      <c r="F35" s="128">
        <f t="shared" ref="F35:P35" si="19">E35*(1+$E$62)</f>
        <v>402.32310746527787</v>
      </c>
      <c r="G35" s="128">
        <f t="shared" si="19"/>
        <v>402.35663439090001</v>
      </c>
      <c r="H35" s="128">
        <f t="shared" si="19"/>
        <v>402.39016411043264</v>
      </c>
      <c r="I35" s="128">
        <f t="shared" si="19"/>
        <v>402.42369662410857</v>
      </c>
      <c r="J35" s="128">
        <f t="shared" si="19"/>
        <v>402.4572319321606</v>
      </c>
      <c r="K35" s="128">
        <f t="shared" si="19"/>
        <v>402.49077003482165</v>
      </c>
      <c r="L35" s="128">
        <f t="shared" si="19"/>
        <v>402.52431093232457</v>
      </c>
      <c r="M35" s="128">
        <f t="shared" si="19"/>
        <v>402.55785462490229</v>
      </c>
      <c r="N35" s="128">
        <f t="shared" si="19"/>
        <v>402.59140111278776</v>
      </c>
      <c r="O35" s="128">
        <f t="shared" si="19"/>
        <v>402.62495039621388</v>
      </c>
      <c r="P35" s="128">
        <f t="shared" si="19"/>
        <v>402.65850247541363</v>
      </c>
    </row>
    <row r="36" spans="1:16" ht="16.5" x14ac:dyDescent="0.25">
      <c r="A36" s="189" t="s">
        <v>67</v>
      </c>
      <c r="B36" s="128"/>
      <c r="C36" s="128"/>
      <c r="D36" s="128">
        <f>'Sueldos Y Salarios'!H38</f>
        <v>402.28958333333338</v>
      </c>
      <c r="E36" s="128">
        <f>D36</f>
        <v>402.28958333333338</v>
      </c>
      <c r="F36" s="128">
        <f t="shared" ref="F36:P36" si="20">E36*(1+$E$62)</f>
        <v>402.32310746527787</v>
      </c>
      <c r="G36" s="128">
        <f t="shared" si="20"/>
        <v>402.35663439090001</v>
      </c>
      <c r="H36" s="128">
        <f t="shared" si="20"/>
        <v>402.39016411043264</v>
      </c>
      <c r="I36" s="128">
        <f t="shared" si="20"/>
        <v>402.42369662410857</v>
      </c>
      <c r="J36" s="128">
        <f t="shared" si="20"/>
        <v>402.4572319321606</v>
      </c>
      <c r="K36" s="128">
        <f t="shared" si="20"/>
        <v>402.49077003482165</v>
      </c>
      <c r="L36" s="128">
        <f t="shared" si="20"/>
        <v>402.52431093232457</v>
      </c>
      <c r="M36" s="128">
        <f t="shared" si="20"/>
        <v>402.55785462490229</v>
      </c>
      <c r="N36" s="128">
        <f t="shared" si="20"/>
        <v>402.59140111278776</v>
      </c>
      <c r="O36" s="128">
        <f t="shared" si="20"/>
        <v>402.62495039621388</v>
      </c>
      <c r="P36" s="128">
        <f t="shared" si="20"/>
        <v>402.65850247541363</v>
      </c>
    </row>
    <row r="37" spans="1:16" ht="16.5" x14ac:dyDescent="0.3">
      <c r="A37" s="189" t="s">
        <v>191</v>
      </c>
      <c r="B37" s="138"/>
      <c r="C37" s="139"/>
      <c r="D37" s="131">
        <f>SUM(D33:D36)</f>
        <v>2816.0270833333334</v>
      </c>
      <c r="E37" s="131">
        <f t="shared" ref="E37:P37" si="21">SUM(E33:E36)</f>
        <v>2816.0270833333334</v>
      </c>
      <c r="F37" s="131">
        <f t="shared" si="21"/>
        <v>2816.2617522569453</v>
      </c>
      <c r="G37" s="131">
        <f t="shared" si="21"/>
        <v>2816.4964407363004</v>
      </c>
      <c r="H37" s="131">
        <f t="shared" si="21"/>
        <v>2816.7311487730285</v>
      </c>
      <c r="I37" s="131">
        <f t="shared" si="21"/>
        <v>2816.9658763687603</v>
      </c>
      <c r="J37" s="131">
        <f t="shared" si="21"/>
        <v>2817.2006235251242</v>
      </c>
      <c r="K37" s="131">
        <f t="shared" si="21"/>
        <v>2817.4353902437515</v>
      </c>
      <c r="L37" s="131">
        <f t="shared" si="21"/>
        <v>2817.6701765262719</v>
      </c>
      <c r="M37" s="131">
        <f t="shared" si="21"/>
        <v>2817.9049823743158</v>
      </c>
      <c r="N37" s="131">
        <f t="shared" si="21"/>
        <v>2818.1398077895146</v>
      </c>
      <c r="O37" s="131">
        <f t="shared" si="21"/>
        <v>2818.374652773497</v>
      </c>
      <c r="P37" s="131">
        <f t="shared" si="21"/>
        <v>2818.609517327895</v>
      </c>
    </row>
    <row r="38" spans="1:16" ht="16.5" x14ac:dyDescent="0.25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1:16" s="44" customFormat="1" ht="17.25" customHeight="1" x14ac:dyDescent="0.3">
      <c r="A39" s="186" t="s">
        <v>259</v>
      </c>
      <c r="B39" s="141"/>
      <c r="C39" s="141"/>
      <c r="D39" s="141"/>
      <c r="E39" s="14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</row>
    <row r="40" spans="1:16" s="44" customFormat="1" ht="17.25" customHeight="1" x14ac:dyDescent="0.25">
      <c r="A40" s="189" t="s">
        <v>260</v>
      </c>
      <c r="B40" s="124"/>
      <c r="C40" s="125"/>
      <c r="D40" s="128">
        <v>5000</v>
      </c>
      <c r="E40" s="142">
        <f t="shared" ref="E40:P40" si="22">D40</f>
        <v>5000</v>
      </c>
      <c r="F40" s="142">
        <f t="shared" si="22"/>
        <v>5000</v>
      </c>
      <c r="G40" s="142">
        <f t="shared" si="22"/>
        <v>5000</v>
      </c>
      <c r="H40" s="142">
        <f t="shared" si="22"/>
        <v>5000</v>
      </c>
      <c r="I40" s="142">
        <f t="shared" si="22"/>
        <v>5000</v>
      </c>
      <c r="J40" s="142">
        <f t="shared" si="22"/>
        <v>5000</v>
      </c>
      <c r="K40" s="142">
        <f t="shared" si="22"/>
        <v>5000</v>
      </c>
      <c r="L40" s="142">
        <f t="shared" si="22"/>
        <v>5000</v>
      </c>
      <c r="M40" s="142">
        <f t="shared" si="22"/>
        <v>5000</v>
      </c>
      <c r="N40" s="142">
        <f t="shared" si="22"/>
        <v>5000</v>
      </c>
      <c r="O40" s="142">
        <f t="shared" si="22"/>
        <v>5000</v>
      </c>
      <c r="P40" s="142">
        <f t="shared" si="22"/>
        <v>5000</v>
      </c>
    </row>
    <row r="41" spans="1:16" s="44" customFormat="1" ht="16.5" x14ac:dyDescent="0.3">
      <c r="A41" s="189" t="s">
        <v>176</v>
      </c>
      <c r="B41" s="121"/>
      <c r="C41" s="121"/>
      <c r="D41" s="143">
        <f t="shared" ref="D41:P41" si="23">SUM(D40:D40)</f>
        <v>5000</v>
      </c>
      <c r="E41" s="144">
        <f t="shared" si="23"/>
        <v>5000</v>
      </c>
      <c r="F41" s="144">
        <f t="shared" si="23"/>
        <v>5000</v>
      </c>
      <c r="G41" s="144">
        <f t="shared" si="23"/>
        <v>5000</v>
      </c>
      <c r="H41" s="144">
        <f t="shared" si="23"/>
        <v>5000</v>
      </c>
      <c r="I41" s="144">
        <f t="shared" si="23"/>
        <v>5000</v>
      </c>
      <c r="J41" s="144">
        <f t="shared" si="23"/>
        <v>5000</v>
      </c>
      <c r="K41" s="144">
        <f t="shared" si="23"/>
        <v>5000</v>
      </c>
      <c r="L41" s="144">
        <f t="shared" si="23"/>
        <v>5000</v>
      </c>
      <c r="M41" s="144">
        <f t="shared" si="23"/>
        <v>5000</v>
      </c>
      <c r="N41" s="144">
        <f t="shared" si="23"/>
        <v>5000</v>
      </c>
      <c r="O41" s="144">
        <f t="shared" si="23"/>
        <v>5000</v>
      </c>
      <c r="P41" s="144">
        <f t="shared" si="23"/>
        <v>5000</v>
      </c>
    </row>
    <row r="42" spans="1:16" ht="16.5" x14ac:dyDescent="0.25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</row>
    <row r="43" spans="1:16" ht="17.25" customHeight="1" x14ac:dyDescent="0.3">
      <c r="A43" s="186" t="s">
        <v>192</v>
      </c>
      <c r="B43" s="141"/>
      <c r="C43" s="141"/>
      <c r="D43" s="141"/>
      <c r="E43" s="14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</row>
    <row r="44" spans="1:16" ht="17.25" customHeight="1" x14ac:dyDescent="0.25">
      <c r="A44" s="189" t="s">
        <v>193</v>
      </c>
      <c r="B44" s="124"/>
      <c r="C44" s="125"/>
      <c r="D44" s="146">
        <v>1000</v>
      </c>
      <c r="E44" s="142">
        <f>D44</f>
        <v>1000</v>
      </c>
      <c r="F44" s="142">
        <f>E44</f>
        <v>1000</v>
      </c>
      <c r="G44" s="142">
        <f t="shared" ref="G44:P44" si="24">F44</f>
        <v>1000</v>
      </c>
      <c r="H44" s="142">
        <f t="shared" si="24"/>
        <v>1000</v>
      </c>
      <c r="I44" s="142">
        <f t="shared" si="24"/>
        <v>1000</v>
      </c>
      <c r="J44" s="142">
        <f t="shared" si="24"/>
        <v>1000</v>
      </c>
      <c r="K44" s="142">
        <f t="shared" si="24"/>
        <v>1000</v>
      </c>
      <c r="L44" s="142">
        <f t="shared" si="24"/>
        <v>1000</v>
      </c>
      <c r="M44" s="142">
        <f t="shared" si="24"/>
        <v>1000</v>
      </c>
      <c r="N44" s="142">
        <f t="shared" si="24"/>
        <v>1000</v>
      </c>
      <c r="O44" s="142">
        <f t="shared" si="24"/>
        <v>1000</v>
      </c>
      <c r="P44" s="142">
        <f t="shared" si="24"/>
        <v>1000</v>
      </c>
    </row>
    <row r="45" spans="1:16" ht="16.5" x14ac:dyDescent="0.25">
      <c r="A45" s="189" t="s">
        <v>194</v>
      </c>
      <c r="B45" s="124"/>
      <c r="C45" s="125"/>
      <c r="D45" s="128">
        <v>1500</v>
      </c>
      <c r="E45" s="142">
        <f>D45</f>
        <v>1500</v>
      </c>
      <c r="F45" s="142">
        <f t="shared" ref="F45:P45" si="25">E45</f>
        <v>1500</v>
      </c>
      <c r="G45" s="142">
        <f t="shared" si="25"/>
        <v>1500</v>
      </c>
      <c r="H45" s="142">
        <f t="shared" si="25"/>
        <v>1500</v>
      </c>
      <c r="I45" s="142">
        <f t="shared" si="25"/>
        <v>1500</v>
      </c>
      <c r="J45" s="142">
        <f t="shared" si="25"/>
        <v>1500</v>
      </c>
      <c r="K45" s="142">
        <f t="shared" si="25"/>
        <v>1500</v>
      </c>
      <c r="L45" s="142">
        <f t="shared" si="25"/>
        <v>1500</v>
      </c>
      <c r="M45" s="142">
        <f t="shared" si="25"/>
        <v>1500</v>
      </c>
      <c r="N45" s="142">
        <f t="shared" si="25"/>
        <v>1500</v>
      </c>
      <c r="O45" s="142">
        <f t="shared" si="25"/>
        <v>1500</v>
      </c>
      <c r="P45" s="142">
        <f t="shared" si="25"/>
        <v>1500</v>
      </c>
    </row>
    <row r="46" spans="1:16" ht="16.5" x14ac:dyDescent="0.3">
      <c r="A46" s="189" t="s">
        <v>176</v>
      </c>
      <c r="B46" s="121"/>
      <c r="C46" s="121"/>
      <c r="D46" s="143">
        <f>SUM(D44:D45)</f>
        <v>2500</v>
      </c>
      <c r="E46" s="144">
        <f>SUM(E44:E45)</f>
        <v>2500</v>
      </c>
      <c r="F46" s="144">
        <f t="shared" ref="F46:P46" si="26">SUM(F44:F45)</f>
        <v>2500</v>
      </c>
      <c r="G46" s="144">
        <f t="shared" si="26"/>
        <v>2500</v>
      </c>
      <c r="H46" s="144">
        <f t="shared" si="26"/>
        <v>2500</v>
      </c>
      <c r="I46" s="144">
        <f t="shared" si="26"/>
        <v>2500</v>
      </c>
      <c r="J46" s="144">
        <f t="shared" si="26"/>
        <v>2500</v>
      </c>
      <c r="K46" s="144">
        <f t="shared" si="26"/>
        <v>2500</v>
      </c>
      <c r="L46" s="144">
        <f t="shared" si="26"/>
        <v>2500</v>
      </c>
      <c r="M46" s="144">
        <f t="shared" si="26"/>
        <v>2500</v>
      </c>
      <c r="N46" s="144">
        <f t="shared" si="26"/>
        <v>2500</v>
      </c>
      <c r="O46" s="144">
        <f t="shared" si="26"/>
        <v>2500</v>
      </c>
      <c r="P46" s="144">
        <f t="shared" si="26"/>
        <v>2500</v>
      </c>
    </row>
    <row r="47" spans="1:16" ht="16.5" x14ac:dyDescent="0.3">
      <c r="A47" s="121"/>
      <c r="B47" s="121"/>
      <c r="C47" s="121"/>
      <c r="D47" s="145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</row>
    <row r="48" spans="1:16" ht="16.5" x14ac:dyDescent="0.3">
      <c r="A48" s="121"/>
      <c r="B48" s="121"/>
      <c r="C48" s="121"/>
      <c r="D48" s="145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</row>
    <row r="49" spans="1:16" ht="16.5" x14ac:dyDescent="0.3">
      <c r="A49" s="186" t="s">
        <v>195</v>
      </c>
      <c r="B49" s="121"/>
      <c r="C49" s="121"/>
      <c r="D49" s="147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</row>
    <row r="50" spans="1:16" ht="16.5" x14ac:dyDescent="0.25">
      <c r="A50" s="189" t="s">
        <v>196</v>
      </c>
      <c r="B50" s="124"/>
      <c r="C50" s="148"/>
      <c r="D50" s="142">
        <v>210</v>
      </c>
      <c r="E50" s="142">
        <f>D50</f>
        <v>210</v>
      </c>
      <c r="F50" s="142">
        <f>E50*(1+F57)</f>
        <v>209.12220000000002</v>
      </c>
      <c r="G50" s="142">
        <f t="shared" ref="G50:P50" si="27">F50*(1+G57)</f>
        <v>208.63494527400005</v>
      </c>
      <c r="H50" s="142">
        <f t="shared" si="27"/>
        <v>208.26962548482527</v>
      </c>
      <c r="I50" s="142">
        <f t="shared" si="27"/>
        <v>208.02355492231493</v>
      </c>
      <c r="J50" s="142">
        <f t="shared" si="27"/>
        <v>207.91518505137816</v>
      </c>
      <c r="K50" s="142">
        <f t="shared" si="27"/>
        <v>208.06555451108693</v>
      </c>
      <c r="L50" s="142">
        <f t="shared" si="27"/>
        <v>208.26892246554107</v>
      </c>
      <c r="M50" s="142">
        <f t="shared" si="27"/>
        <v>208.45081543065712</v>
      </c>
      <c r="N50" s="142">
        <f t="shared" si="27"/>
        <v>208.58050573716886</v>
      </c>
      <c r="O50" s="142">
        <f t="shared" si="27"/>
        <v>208.61925010059707</v>
      </c>
      <c r="P50" s="142">
        <f t="shared" si="27"/>
        <v>208.70235243690155</v>
      </c>
    </row>
    <row r="51" spans="1:16" ht="16.5" x14ac:dyDescent="0.25">
      <c r="A51" s="189" t="s">
        <v>197</v>
      </c>
      <c r="B51" s="124"/>
      <c r="C51" s="148"/>
      <c r="D51" s="142">
        <v>38</v>
      </c>
      <c r="E51" s="142">
        <f>D51</f>
        <v>38</v>
      </c>
      <c r="F51" s="142">
        <f>E51*(1+F57)</f>
        <v>37.841160000000002</v>
      </c>
      <c r="G51" s="142">
        <f t="shared" ref="G51:P51" si="28">F51*(1+G57)</f>
        <v>37.752990097200005</v>
      </c>
      <c r="H51" s="142">
        <f>G51*(1+H57)</f>
        <v>37.68688461153981</v>
      </c>
      <c r="I51" s="142">
        <f>H51*(1+I57)</f>
        <v>37.642357557371277</v>
      </c>
      <c r="J51" s="142">
        <f t="shared" si="28"/>
        <v>37.622747771201766</v>
      </c>
      <c r="K51" s="142">
        <f t="shared" si="28"/>
        <v>37.649957482958591</v>
      </c>
      <c r="L51" s="142">
        <f t="shared" si="28"/>
        <v>37.686757398526481</v>
      </c>
      <c r="M51" s="142">
        <f t="shared" si="28"/>
        <v>37.719671363642718</v>
      </c>
      <c r="N51" s="142">
        <f t="shared" si="28"/>
        <v>37.743139133392461</v>
      </c>
      <c r="O51" s="142">
        <f t="shared" si="28"/>
        <v>37.750150018203279</v>
      </c>
      <c r="P51" s="142">
        <f t="shared" si="28"/>
        <v>37.765187583820278</v>
      </c>
    </row>
    <row r="52" spans="1:16" ht="16.5" x14ac:dyDescent="0.25">
      <c r="A52" s="189" t="s">
        <v>198</v>
      </c>
      <c r="B52" s="124"/>
      <c r="C52" s="148"/>
      <c r="D52" s="142">
        <v>800</v>
      </c>
      <c r="E52" s="142">
        <f>D52</f>
        <v>800</v>
      </c>
      <c r="F52" s="142">
        <f>E52*(1+F57)</f>
        <v>796.65600000000006</v>
      </c>
      <c r="G52" s="142">
        <f t="shared" ref="G52:P52" si="29">F52*(1+G57)</f>
        <v>794.7997915200001</v>
      </c>
      <c r="H52" s="142">
        <f t="shared" si="29"/>
        <v>793.40809708504867</v>
      </c>
      <c r="I52" s="142">
        <f t="shared" si="29"/>
        <v>792.47068541834267</v>
      </c>
      <c r="J52" s="142">
        <f t="shared" si="29"/>
        <v>792.05784781477405</v>
      </c>
      <c r="K52" s="142">
        <f t="shared" si="29"/>
        <v>792.63068385175984</v>
      </c>
      <c r="L52" s="142">
        <f t="shared" si="29"/>
        <v>793.405418916347</v>
      </c>
      <c r="M52" s="142">
        <f t="shared" si="29"/>
        <v>794.09834449774155</v>
      </c>
      <c r="N52" s="142">
        <f t="shared" si="29"/>
        <v>794.59240280826248</v>
      </c>
      <c r="O52" s="142">
        <f t="shared" si="29"/>
        <v>794.74000038322708</v>
      </c>
      <c r="P52" s="142">
        <f t="shared" si="29"/>
        <v>795.05658071200605</v>
      </c>
    </row>
    <row r="53" spans="1:16" ht="16.5" x14ac:dyDescent="0.3">
      <c r="A53" s="189" t="s">
        <v>199</v>
      </c>
      <c r="B53" s="123"/>
      <c r="C53" s="149"/>
      <c r="D53" s="142">
        <v>150</v>
      </c>
      <c r="E53" s="142">
        <f>D53</f>
        <v>150</v>
      </c>
      <c r="F53" s="142">
        <f>E53*(1+F57)</f>
        <v>149.37300000000002</v>
      </c>
      <c r="G53" s="142">
        <f t="shared" ref="G53:P53" si="30">F53*(1+G57)</f>
        <v>149.02496091000003</v>
      </c>
      <c r="H53" s="142">
        <f t="shared" si="30"/>
        <v>148.76401820344662</v>
      </c>
      <c r="I53" s="142">
        <f t="shared" si="30"/>
        <v>148.58825351593924</v>
      </c>
      <c r="J53" s="142">
        <f t="shared" si="30"/>
        <v>148.51084646527011</v>
      </c>
      <c r="K53" s="142">
        <f t="shared" si="30"/>
        <v>148.61825322220494</v>
      </c>
      <c r="L53" s="142">
        <f t="shared" si="30"/>
        <v>148.76351604681503</v>
      </c>
      <c r="M53" s="142">
        <f t="shared" si="30"/>
        <v>148.89343959332649</v>
      </c>
      <c r="N53" s="142">
        <f t="shared" si="30"/>
        <v>148.98607552654917</v>
      </c>
      <c r="O53" s="142">
        <f t="shared" si="30"/>
        <v>149.01375007185504</v>
      </c>
      <c r="P53" s="142">
        <f t="shared" si="30"/>
        <v>149.07310888350111</v>
      </c>
    </row>
    <row r="54" spans="1:16" ht="16.5" x14ac:dyDescent="0.25">
      <c r="A54" s="189" t="s">
        <v>200</v>
      </c>
      <c r="B54" s="150"/>
      <c r="C54" s="151"/>
      <c r="D54" s="142">
        <v>100</v>
      </c>
      <c r="E54" s="142">
        <f>D54</f>
        <v>100</v>
      </c>
      <c r="F54" s="142">
        <f>E54*(1+F57)</f>
        <v>99.582000000000008</v>
      </c>
      <c r="G54" s="142">
        <f t="shared" ref="G54:P54" si="31">F54*(1+G57)</f>
        <v>99.349973940000012</v>
      </c>
      <c r="H54" s="142">
        <f t="shared" si="31"/>
        <v>99.176012135631083</v>
      </c>
      <c r="I54" s="142">
        <f t="shared" si="31"/>
        <v>99.058835677292834</v>
      </c>
      <c r="J54" s="142">
        <f t="shared" si="31"/>
        <v>99.007230976846756</v>
      </c>
      <c r="K54" s="142">
        <f t="shared" si="31"/>
        <v>99.07883548146998</v>
      </c>
      <c r="L54" s="142">
        <f t="shared" si="31"/>
        <v>99.175677364543375</v>
      </c>
      <c r="M54" s="142">
        <f t="shared" si="31"/>
        <v>99.262293062217694</v>
      </c>
      <c r="N54" s="142">
        <f t="shared" si="31"/>
        <v>99.32405035103281</v>
      </c>
      <c r="O54" s="142">
        <f t="shared" si="31"/>
        <v>99.342500047903386</v>
      </c>
      <c r="P54" s="142">
        <f t="shared" si="31"/>
        <v>99.382072589000757</v>
      </c>
    </row>
    <row r="55" spans="1:16" ht="16.5" x14ac:dyDescent="0.3">
      <c r="A55" s="189" t="s">
        <v>201</v>
      </c>
      <c r="B55" s="138"/>
      <c r="C55" s="152"/>
      <c r="D55" s="153">
        <f>SUM(D50:D54)</f>
        <v>1298</v>
      </c>
      <c r="E55" s="153">
        <f>SUM(E50:E54)</f>
        <v>1298</v>
      </c>
      <c r="F55" s="153">
        <f>SUM(F50:F54)</f>
        <v>1292.5743600000003</v>
      </c>
      <c r="G55" s="153">
        <f>SUM(G50:G54)</f>
        <v>1289.5626617412001</v>
      </c>
      <c r="H55" s="153">
        <f t="shared" ref="H55:P55" si="32">SUM(H50:H54)</f>
        <v>1287.3046375204913</v>
      </c>
      <c r="I55" s="153">
        <f t="shared" si="32"/>
        <v>1285.7836870912608</v>
      </c>
      <c r="J55" s="153">
        <f t="shared" si="32"/>
        <v>1285.1138580794709</v>
      </c>
      <c r="K55" s="153">
        <f t="shared" si="32"/>
        <v>1286.0432845494802</v>
      </c>
      <c r="L55" s="153">
        <f t="shared" si="32"/>
        <v>1287.300292191773</v>
      </c>
      <c r="M55" s="153">
        <f t="shared" si="32"/>
        <v>1288.4245639475855</v>
      </c>
      <c r="N55" s="153">
        <f t="shared" si="32"/>
        <v>1289.2261735564059</v>
      </c>
      <c r="O55" s="153">
        <f t="shared" si="32"/>
        <v>1289.4656506217857</v>
      </c>
      <c r="P55" s="153">
        <f t="shared" si="32"/>
        <v>1289.9793022052297</v>
      </c>
    </row>
    <row r="56" spans="1:16" ht="16.5" x14ac:dyDescent="0.3">
      <c r="A56" s="121"/>
      <c r="B56" s="121"/>
      <c r="C56" s="121"/>
      <c r="D56" s="145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  <row r="57" spans="1:16" s="44" customFormat="1" ht="16.5" x14ac:dyDescent="0.3">
      <c r="A57" s="190" t="s">
        <v>258</v>
      </c>
      <c r="B57" s="122"/>
      <c r="C57" s="122"/>
      <c r="D57" s="122"/>
      <c r="E57" s="222"/>
      <c r="F57" s="223">
        <f>F58-E58</f>
        <v>-4.1800000000000032E-3</v>
      </c>
      <c r="G57" s="223">
        <f t="shared" ref="G57:P57" si="33">G58-F58</f>
        <v>-2.3299999999999987E-3</v>
      </c>
      <c r="H57" s="223">
        <f t="shared" si="33"/>
        <v>-1.7509999999999956E-3</v>
      </c>
      <c r="I57" s="223">
        <f t="shared" si="33"/>
        <v>-1.1815000000000089E-3</v>
      </c>
      <c r="J57" s="223">
        <f t="shared" si="33"/>
        <v>-5.2094999999999919E-4</v>
      </c>
      <c r="K57" s="223">
        <f t="shared" si="33"/>
        <v>7.2322500000000095E-4</v>
      </c>
      <c r="L57" s="223">
        <f t="shared" si="33"/>
        <v>9.774225000000053E-4</v>
      </c>
      <c r="M57" s="223">
        <f t="shared" si="33"/>
        <v>8.7335624999999861E-4</v>
      </c>
      <c r="N57" s="223">
        <f t="shared" si="33"/>
        <v>6.2216262499999869E-4</v>
      </c>
      <c r="O57" s="223">
        <f t="shared" si="33"/>
        <v>1.8575256250000227E-4</v>
      </c>
      <c r="P57" s="223">
        <f t="shared" si="33"/>
        <v>3.9834452604167042E-4</v>
      </c>
    </row>
    <row r="58" spans="1:16" ht="16.5" x14ac:dyDescent="0.3">
      <c r="A58" s="189" t="s">
        <v>202</v>
      </c>
      <c r="B58" s="123"/>
      <c r="C58" s="123"/>
      <c r="D58" s="123"/>
      <c r="E58" s="154">
        <f>Inflacion!F4</f>
        <v>5.2900000000000003E-2</v>
      </c>
      <c r="F58" s="154">
        <f>Inflacion!F6</f>
        <v>4.8719999999999999E-2</v>
      </c>
      <c r="G58" s="154">
        <f>Inflacion!F7</f>
        <v>4.6390000000000001E-2</v>
      </c>
      <c r="H58" s="154">
        <f>Inflacion!F8</f>
        <v>4.4639000000000005E-2</v>
      </c>
      <c r="I58" s="154">
        <f>Inflacion!F9</f>
        <v>4.3457499999999996E-2</v>
      </c>
      <c r="J58" s="154">
        <f>Inflacion!F10</f>
        <v>4.2936549999999997E-2</v>
      </c>
      <c r="K58" s="154">
        <f>Inflacion!F11</f>
        <v>4.3659774999999998E-2</v>
      </c>
      <c r="L58" s="154">
        <f>Inflacion!F12</f>
        <v>4.4637197500000003E-2</v>
      </c>
      <c r="M58" s="154">
        <f>Inflacion!F13</f>
        <v>4.5510553750000002E-2</v>
      </c>
      <c r="N58" s="154">
        <f>Inflacion!F14</f>
        <v>4.6132716375E-2</v>
      </c>
      <c r="O58" s="154">
        <f>Inflacion!F15</f>
        <v>4.6318468937500003E-2</v>
      </c>
      <c r="P58" s="154">
        <f>Inflacion!F16</f>
        <v>4.6716813463541673E-2</v>
      </c>
    </row>
    <row r="59" spans="1:16" ht="16.5" x14ac:dyDescent="0.3">
      <c r="A59" s="189" t="s">
        <v>203</v>
      </c>
      <c r="B59" s="123"/>
      <c r="C59" s="123"/>
      <c r="D59" s="123"/>
      <c r="E59" s="155">
        <f>AVERAGE(E58:P58)</f>
        <v>4.6001547918836816E-2</v>
      </c>
      <c r="F59" s="156"/>
      <c r="G59" s="156"/>
      <c r="H59" s="156"/>
      <c r="I59" s="156"/>
      <c r="J59" s="157"/>
      <c r="K59" s="157"/>
      <c r="L59" s="157"/>
      <c r="M59" s="157"/>
      <c r="N59" s="157"/>
      <c r="O59" s="157"/>
      <c r="P59" s="157"/>
    </row>
    <row r="60" spans="1:16" s="44" customFormat="1" ht="16.5" x14ac:dyDescent="0.3">
      <c r="A60" s="189"/>
      <c r="B60" s="123"/>
      <c r="C60" s="123"/>
      <c r="D60" s="123"/>
      <c r="E60" s="155"/>
      <c r="F60" s="223">
        <f t="shared" ref="F60:K60" si="34">F61-E61</f>
        <v>-2.0334189648437556E-3</v>
      </c>
      <c r="G60" s="223">
        <f t="shared" si="34"/>
        <v>1.0368177886284705E-3</v>
      </c>
      <c r="H60" s="223">
        <f t="shared" si="34"/>
        <v>-6.0294809389474513E-5</v>
      </c>
      <c r="I60" s="223">
        <f t="shared" si="34"/>
        <v>-1.4265556007667102E-4</v>
      </c>
      <c r="J60" s="223">
        <f t="shared" si="34"/>
        <v>8.1376914936578948E-5</v>
      </c>
      <c r="K60" s="223">
        <f t="shared" si="34"/>
        <v>-1.6912530788851243E-5</v>
      </c>
      <c r="L60" s="223">
        <f>L61-K61</f>
        <v>-5.1065537616801215E-6</v>
      </c>
      <c r="M60" s="223">
        <f>M61-L61</f>
        <v>5.372032012312955E-6</v>
      </c>
      <c r="N60" s="223">
        <f>N61-M61</f>
        <v>-1.8349237125431239E-6</v>
      </c>
      <c r="O60" s="223">
        <f>O61-N61</f>
        <v>2.2123187559675017E-8</v>
      </c>
      <c r="P60" s="157"/>
    </row>
    <row r="61" spans="1:16" ht="17.25" thickBot="1" x14ac:dyDescent="0.35">
      <c r="A61" s="189" t="s">
        <v>204</v>
      </c>
      <c r="B61" s="123"/>
      <c r="C61" s="123"/>
      <c r="D61" s="123"/>
      <c r="E61" s="159">
        <f>E59</f>
        <v>4.6001547918836816E-2</v>
      </c>
      <c r="F61" s="160">
        <f>Inflacion!F17</f>
        <v>4.396812895399306E-2</v>
      </c>
      <c r="G61" s="160">
        <f>Inflacion!F18</f>
        <v>4.5004946742621531E-2</v>
      </c>
      <c r="H61" s="160">
        <f>Inflacion!F19</f>
        <v>4.4944651933232056E-2</v>
      </c>
      <c r="I61" s="160">
        <f>Inflacion!F20</f>
        <v>4.4801996373155385E-2</v>
      </c>
      <c r="J61" s="160">
        <f>Inflacion!F21</f>
        <v>4.4883373288091964E-2</v>
      </c>
      <c r="K61" s="160">
        <f>Inflacion!F22</f>
        <v>4.4866460757303113E-2</v>
      </c>
      <c r="L61" s="160">
        <f>Inflacion!F23</f>
        <v>4.4861354203541433E-2</v>
      </c>
      <c r="M61" s="160">
        <f>Inflacion!F24</f>
        <v>4.4866726235553746E-2</v>
      </c>
      <c r="N61" s="160">
        <f>Inflacion!F25</f>
        <v>4.4864891311841203E-2</v>
      </c>
      <c r="O61" s="160">
        <f>Inflacion!F26</f>
        <v>4.4864913435028762E-2</v>
      </c>
      <c r="P61" s="158"/>
    </row>
    <row r="62" spans="1:16" ht="17.25" thickBot="1" x14ac:dyDescent="0.35">
      <c r="A62" s="191" t="s">
        <v>205</v>
      </c>
      <c r="B62" s="122"/>
      <c r="C62" s="122"/>
      <c r="D62" s="122"/>
      <c r="E62" s="161">
        <f>(E63/12)-0.002</f>
        <v>8.3333333333333263E-5</v>
      </c>
      <c r="F62" s="158"/>
      <c r="G62" s="158"/>
      <c r="H62" s="158"/>
      <c r="I62" s="158"/>
      <c r="J62" s="158"/>
      <c r="K62" s="158"/>
      <c r="L62" s="158"/>
      <c r="M62" s="158"/>
      <c r="N62" s="158"/>
      <c r="O62" s="121"/>
      <c r="P62" s="157"/>
    </row>
    <row r="63" spans="1:16" ht="17.25" thickBot="1" x14ac:dyDescent="0.35">
      <c r="A63" s="191" t="s">
        <v>257</v>
      </c>
      <c r="B63" s="162"/>
      <c r="C63" s="163"/>
      <c r="D63" s="163"/>
      <c r="E63" s="155">
        <v>2.5000000000000001E-2</v>
      </c>
      <c r="F63" s="164"/>
      <c r="G63" s="164"/>
      <c r="H63" s="164"/>
      <c r="I63" s="164"/>
      <c r="J63" s="164"/>
      <c r="K63" s="164"/>
      <c r="L63" s="164"/>
      <c r="M63" s="164"/>
      <c r="N63" s="164"/>
      <c r="O63" s="121"/>
      <c r="P63" s="164"/>
    </row>
    <row r="64" spans="1:16" ht="16.5" x14ac:dyDescent="0.3">
      <c r="A64" s="192" t="s">
        <v>206</v>
      </c>
      <c r="B64" s="165">
        <v>0.01</v>
      </c>
      <c r="C64" s="166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</row>
    <row r="65" spans="1:16" ht="16.5" x14ac:dyDescent="0.3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</row>
    <row r="66" spans="1:16" ht="17.25" thickBot="1" x14ac:dyDescent="0.35">
      <c r="A66" s="186" t="s">
        <v>207</v>
      </c>
      <c r="B66" s="167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</row>
    <row r="67" spans="1:16" ht="17.25" thickBot="1" x14ac:dyDescent="0.35">
      <c r="A67" s="193" t="s">
        <v>208</v>
      </c>
      <c r="B67" s="168" t="s">
        <v>2</v>
      </c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</row>
    <row r="68" spans="1:16" ht="16.5" x14ac:dyDescent="0.3">
      <c r="A68" s="189" t="s">
        <v>209</v>
      </c>
      <c r="B68" s="169">
        <v>33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</row>
    <row r="69" spans="1:16" ht="16.5" x14ac:dyDescent="0.3">
      <c r="A69" s="189" t="s">
        <v>210</v>
      </c>
      <c r="B69" s="170">
        <v>2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</row>
    <row r="70" spans="1:16" ht="16.5" x14ac:dyDescent="0.3">
      <c r="A70" s="189" t="s">
        <v>211</v>
      </c>
      <c r="B70" s="170">
        <v>20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</row>
    <row r="71" spans="1:16" ht="16.5" x14ac:dyDescent="0.3">
      <c r="A71" s="189" t="s">
        <v>212</v>
      </c>
      <c r="B71" s="170">
        <v>400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</row>
    <row r="72" spans="1:16" ht="17.25" thickBot="1" x14ac:dyDescent="0.35">
      <c r="A72" s="189" t="s">
        <v>213</v>
      </c>
      <c r="B72" s="520">
        <v>500</v>
      </c>
      <c r="C72" s="390" t="s">
        <v>298</v>
      </c>
      <c r="D72" s="390" t="s">
        <v>261</v>
      </c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</row>
    <row r="73" spans="1:16" ht="17.25" thickBot="1" x14ac:dyDescent="0.35">
      <c r="A73" s="194" t="s">
        <v>129</v>
      </c>
      <c r="B73" s="519">
        <f>SUM(B68:B72)</f>
        <v>955</v>
      </c>
      <c r="C73" s="521">
        <f>B73/5</f>
        <v>191</v>
      </c>
      <c r="D73" s="521">
        <f>C73/12</f>
        <v>15.916666666666666</v>
      </c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</row>
    <row r="74" spans="1:16" ht="16.5" x14ac:dyDescent="0.3">
      <c r="A74" s="121"/>
      <c r="B74" s="122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</row>
    <row r="75" spans="1:16" ht="16.5" x14ac:dyDescent="0.3">
      <c r="A75" s="121"/>
      <c r="B75" s="121"/>
      <c r="C75" s="122"/>
      <c r="D75" s="171"/>
      <c r="E75" s="171"/>
      <c r="F75" s="122"/>
      <c r="G75" s="122"/>
      <c r="H75" s="122"/>
      <c r="I75" s="122"/>
      <c r="J75" s="122"/>
      <c r="K75" s="122"/>
      <c r="L75" s="122"/>
      <c r="M75" s="121"/>
      <c r="N75" s="121"/>
      <c r="O75" s="121"/>
      <c r="P75" s="121"/>
    </row>
    <row r="76" spans="1:16" ht="16.5" x14ac:dyDescent="0.3">
      <c r="A76" s="186" t="s">
        <v>214</v>
      </c>
      <c r="B76" s="172" t="s">
        <v>215</v>
      </c>
      <c r="C76" s="172" t="s">
        <v>216</v>
      </c>
      <c r="D76" s="173" t="s">
        <v>217</v>
      </c>
      <c r="E76" s="173" t="s">
        <v>218</v>
      </c>
      <c r="F76" s="121"/>
      <c r="G76" s="174"/>
      <c r="H76" s="122"/>
      <c r="I76" s="122"/>
      <c r="J76" s="122"/>
      <c r="K76" s="122"/>
      <c r="L76" s="122"/>
      <c r="M76" s="121"/>
      <c r="N76" s="121"/>
      <c r="O76" s="121"/>
      <c r="P76" s="121"/>
    </row>
    <row r="77" spans="1:16" ht="16.5" x14ac:dyDescent="0.3">
      <c r="A77" s="189" t="s">
        <v>179</v>
      </c>
      <c r="B77" s="134">
        <v>0.4</v>
      </c>
      <c r="C77" s="135">
        <f>$C$80*B77</f>
        <v>6000</v>
      </c>
      <c r="D77" s="135">
        <f>$D$80*B77</f>
        <v>4000</v>
      </c>
      <c r="E77" s="175">
        <f>$E$80*B77</f>
        <v>6000</v>
      </c>
      <c r="F77" s="176"/>
      <c r="G77" s="177"/>
      <c r="H77" s="122"/>
      <c r="I77" s="122"/>
      <c r="J77" s="122"/>
      <c r="K77" s="122"/>
      <c r="L77" s="122"/>
      <c r="M77" s="121"/>
      <c r="N77" s="121"/>
      <c r="O77" s="121"/>
      <c r="P77" s="121"/>
    </row>
    <row r="78" spans="1:16" ht="16.5" x14ac:dyDescent="0.3">
      <c r="A78" s="189" t="s">
        <v>180</v>
      </c>
      <c r="B78" s="134">
        <v>0.4</v>
      </c>
      <c r="C78" s="135">
        <f>$C$80*B78</f>
        <v>6000</v>
      </c>
      <c r="D78" s="135">
        <f>$D$80*B78</f>
        <v>4000</v>
      </c>
      <c r="E78" s="175">
        <f>$E$80*B78</f>
        <v>6000</v>
      </c>
      <c r="F78" s="176"/>
      <c r="G78" s="177"/>
      <c r="H78" s="122"/>
      <c r="I78" s="122"/>
      <c r="J78" s="122"/>
      <c r="K78" s="122"/>
      <c r="L78" s="122"/>
      <c r="M78" s="121"/>
      <c r="N78" s="121"/>
      <c r="O78" s="121"/>
      <c r="P78" s="121"/>
    </row>
    <row r="79" spans="1:16" ht="16.5" x14ac:dyDescent="0.3">
      <c r="A79" s="189" t="s">
        <v>181</v>
      </c>
      <c r="B79" s="196">
        <v>0.2</v>
      </c>
      <c r="C79" s="135">
        <f>$C$80*B79</f>
        <v>3000</v>
      </c>
      <c r="D79" s="135">
        <f>$D$80*B79</f>
        <v>2000</v>
      </c>
      <c r="E79" s="175">
        <f>$E$80*B79</f>
        <v>3000</v>
      </c>
      <c r="F79" s="176"/>
      <c r="G79" s="177"/>
      <c r="H79" s="122"/>
      <c r="I79" s="122"/>
      <c r="J79" s="122"/>
      <c r="K79" s="122"/>
      <c r="L79" s="122"/>
      <c r="M79" s="121"/>
      <c r="N79" s="121"/>
      <c r="O79" s="121"/>
      <c r="P79" s="121"/>
    </row>
    <row r="80" spans="1:16" ht="16.5" x14ac:dyDescent="0.3">
      <c r="A80" s="189" t="s">
        <v>182</v>
      </c>
      <c r="B80" s="197">
        <f>SUM(B77:B79)</f>
        <v>1</v>
      </c>
      <c r="C80" s="128">
        <v>15000</v>
      </c>
      <c r="D80" s="178">
        <v>10000</v>
      </c>
      <c r="E80" s="179">
        <v>15000</v>
      </c>
      <c r="F80" s="180"/>
      <c r="G80" s="181"/>
      <c r="H80" s="122"/>
      <c r="I80" s="122"/>
      <c r="J80" s="122"/>
      <c r="K80" s="122"/>
      <c r="L80" s="122"/>
      <c r="M80" s="121"/>
      <c r="N80" s="121"/>
      <c r="O80" s="121"/>
      <c r="P80" s="121"/>
    </row>
    <row r="81" spans="1:16" ht="16.5" x14ac:dyDescent="0.3">
      <c r="A81" s="189" t="s">
        <v>183</v>
      </c>
      <c r="B81" s="182"/>
      <c r="C81" s="122"/>
      <c r="D81" s="171"/>
      <c r="E81" s="171"/>
      <c r="F81" s="122"/>
      <c r="G81" s="122"/>
      <c r="H81" s="122"/>
      <c r="I81" s="122"/>
      <c r="J81" s="122"/>
      <c r="K81" s="122"/>
      <c r="L81" s="122"/>
      <c r="M81" s="121"/>
      <c r="N81" s="121"/>
      <c r="O81" s="121"/>
      <c r="P81" s="121"/>
    </row>
    <row r="82" spans="1:16" ht="16.5" x14ac:dyDescent="0.3">
      <c r="A82" s="183"/>
      <c r="B82" s="121"/>
      <c r="C82" s="122"/>
      <c r="D82" s="171"/>
      <c r="E82" s="171"/>
      <c r="F82" s="122"/>
      <c r="G82" s="122"/>
      <c r="H82" s="122"/>
      <c r="I82" s="122"/>
      <c r="J82" s="122"/>
      <c r="K82" s="122"/>
      <c r="L82" s="122"/>
      <c r="M82" s="121"/>
      <c r="N82" s="121"/>
      <c r="O82" s="121"/>
      <c r="P82" s="121"/>
    </row>
    <row r="83" spans="1:16" ht="16.5" x14ac:dyDescent="0.3">
      <c r="A83" s="186" t="s">
        <v>219</v>
      </c>
      <c r="B83" s="186"/>
      <c r="C83" s="195">
        <v>2012</v>
      </c>
      <c r="D83" s="195">
        <v>2013</v>
      </c>
      <c r="E83" s="195">
        <v>2014</v>
      </c>
      <c r="F83" s="195">
        <v>2015</v>
      </c>
      <c r="G83" s="195">
        <v>2016</v>
      </c>
      <c r="H83" s="195">
        <v>2017</v>
      </c>
      <c r="I83" s="195">
        <v>2018</v>
      </c>
      <c r="J83" s="195">
        <v>2019</v>
      </c>
      <c r="K83" s="195">
        <v>2020</v>
      </c>
      <c r="L83" s="195">
        <v>2021</v>
      </c>
      <c r="M83" s="195">
        <v>2022</v>
      </c>
      <c r="N83" s="121"/>
      <c r="O83" s="121"/>
      <c r="P83" s="121"/>
    </row>
    <row r="84" spans="1:16" s="44" customFormat="1" ht="16.5" x14ac:dyDescent="0.3">
      <c r="A84" s="189" t="s">
        <v>256</v>
      </c>
      <c r="B84" s="189"/>
      <c r="C84" s="221">
        <f>SUM(E41:P41)</f>
        <v>60000</v>
      </c>
      <c r="D84" s="142">
        <f>C84*(1+$B$64)</f>
        <v>60600</v>
      </c>
      <c r="E84" s="142">
        <f t="shared" ref="E84:M84" si="35">D84*(1+$B$64)</f>
        <v>61206</v>
      </c>
      <c r="F84" s="142">
        <f t="shared" si="35"/>
        <v>61818.06</v>
      </c>
      <c r="G84" s="142">
        <f t="shared" si="35"/>
        <v>62436.240599999997</v>
      </c>
      <c r="H84" s="142">
        <f t="shared" si="35"/>
        <v>63060.603005999998</v>
      </c>
      <c r="I84" s="142">
        <f t="shared" si="35"/>
        <v>63691.209036059998</v>
      </c>
      <c r="J84" s="142">
        <f t="shared" si="35"/>
        <v>64328.121126420599</v>
      </c>
      <c r="K84" s="142">
        <f t="shared" si="35"/>
        <v>64971.402337684805</v>
      </c>
      <c r="L84" s="142">
        <f t="shared" si="35"/>
        <v>65621.11636106165</v>
      </c>
      <c r="M84" s="142">
        <f t="shared" si="35"/>
        <v>66277.327524672262</v>
      </c>
      <c r="N84" s="121"/>
      <c r="O84" s="121"/>
      <c r="P84" s="121"/>
    </row>
    <row r="85" spans="1:16" ht="16.5" x14ac:dyDescent="0.3">
      <c r="A85" s="189" t="s">
        <v>173</v>
      </c>
      <c r="B85" s="189"/>
      <c r="C85" s="142">
        <f>SUM(E11:P11)</f>
        <v>52494.130465845621</v>
      </c>
      <c r="D85" s="142">
        <f>SUM(E11:P11)</f>
        <v>52494.130465845621</v>
      </c>
      <c r="E85" s="142">
        <f t="shared" ref="E85:M85" si="36">D85*(1+$E$63)</f>
        <v>53806.483727491759</v>
      </c>
      <c r="F85" s="142">
        <f t="shared" si="36"/>
        <v>55151.645820679048</v>
      </c>
      <c r="G85" s="142">
        <f t="shared" si="36"/>
        <v>56530.436966196023</v>
      </c>
      <c r="H85" s="142">
        <f t="shared" si="36"/>
        <v>57943.697890350915</v>
      </c>
      <c r="I85" s="142">
        <f t="shared" si="36"/>
        <v>59392.29033760968</v>
      </c>
      <c r="J85" s="142">
        <f t="shared" si="36"/>
        <v>60877.09759604992</v>
      </c>
      <c r="K85" s="142">
        <f t="shared" si="36"/>
        <v>62399.025035951163</v>
      </c>
      <c r="L85" s="184">
        <f t="shared" si="36"/>
        <v>63959.000661849939</v>
      </c>
      <c r="M85" s="184">
        <f t="shared" si="36"/>
        <v>65557.975678396178</v>
      </c>
      <c r="N85" s="121"/>
      <c r="O85" s="121"/>
      <c r="P85" s="121"/>
    </row>
    <row r="86" spans="1:16" ht="16.5" x14ac:dyDescent="0.3">
      <c r="A86" s="189" t="s">
        <v>177</v>
      </c>
      <c r="B86" s="189"/>
      <c r="C86" s="142">
        <f>SUM(E19:P19)</f>
        <v>21000</v>
      </c>
      <c r="D86" s="142">
        <f>SUM(D19:O19)</f>
        <v>21000</v>
      </c>
      <c r="E86" s="142">
        <f>$D$80</f>
        <v>10000</v>
      </c>
      <c r="F86" s="142">
        <f>$D$80</f>
        <v>10000</v>
      </c>
      <c r="G86" s="142">
        <f>$D$80</f>
        <v>10000</v>
      </c>
      <c r="H86" s="142">
        <f>$D$80</f>
        <v>10000</v>
      </c>
      <c r="I86" s="142">
        <f>$E$80</f>
        <v>15000</v>
      </c>
      <c r="J86" s="142">
        <f>$E$80</f>
        <v>15000</v>
      </c>
      <c r="K86" s="142">
        <f>$E$80</f>
        <v>15000</v>
      </c>
      <c r="L86" s="142">
        <f>$E$80</f>
        <v>15000</v>
      </c>
      <c r="M86" s="142">
        <f>$E$80</f>
        <v>15000</v>
      </c>
      <c r="N86" s="121"/>
      <c r="O86" s="121"/>
      <c r="P86" s="121"/>
    </row>
    <row r="87" spans="1:16" ht="16.5" x14ac:dyDescent="0.3">
      <c r="A87" s="189" t="s">
        <v>184</v>
      </c>
      <c r="B87" s="189"/>
      <c r="C87" s="142">
        <f>SUM(E26:P26)</f>
        <v>19318.752829730711</v>
      </c>
      <c r="D87" s="142">
        <f>C87*(1+$E$63)</f>
        <v>19801.721650473977</v>
      </c>
      <c r="E87" s="142">
        <f t="shared" ref="E87:M87" si="37">D87*(1+$E$63)</f>
        <v>20296.764691735825</v>
      </c>
      <c r="F87" s="142">
        <f t="shared" si="37"/>
        <v>20804.183809029219</v>
      </c>
      <c r="G87" s="142">
        <f t="shared" si="37"/>
        <v>21324.288404254949</v>
      </c>
      <c r="H87" s="142">
        <f t="shared" si="37"/>
        <v>21857.395614361321</v>
      </c>
      <c r="I87" s="142">
        <f t="shared" si="37"/>
        <v>22403.830504720354</v>
      </c>
      <c r="J87" s="142">
        <f t="shared" si="37"/>
        <v>22963.92626733836</v>
      </c>
      <c r="K87" s="142">
        <f t="shared" si="37"/>
        <v>23538.024424021816</v>
      </c>
      <c r="L87" s="184">
        <f t="shared" si="37"/>
        <v>24126.475034622359</v>
      </c>
      <c r="M87" s="184">
        <f t="shared" si="37"/>
        <v>24729.636910487916</v>
      </c>
      <c r="N87" s="121"/>
      <c r="O87" s="121"/>
      <c r="P87" s="121"/>
    </row>
    <row r="88" spans="1:16" ht="16.5" x14ac:dyDescent="0.3">
      <c r="A88" s="189" t="s">
        <v>220</v>
      </c>
      <c r="B88" s="189"/>
      <c r="C88" s="142">
        <f>SUM(E31:P31)</f>
        <v>10487.307438308258</v>
      </c>
      <c r="D88" s="142">
        <f>C88*(1+F60)</f>
        <v>10465.982348473055</v>
      </c>
      <c r="E88" s="142">
        <f t="shared" ref="E88:M88" si="38">D88*(1+G60)</f>
        <v>10476.833665147422</v>
      </c>
      <c r="F88" s="142">
        <f t="shared" si="38"/>
        <v>10476.201966458577</v>
      </c>
      <c r="G88" s="142">
        <f t="shared" si="38"/>
        <v>10474.707477999576</v>
      </c>
      <c r="H88" s="142">
        <f t="shared" si="38"/>
        <v>10475.559877378999</v>
      </c>
      <c r="I88" s="142">
        <f t="shared" si="38"/>
        <v>10475.382709150043</v>
      </c>
      <c r="J88" s="142">
        <f t="shared" si="38"/>
        <v>10475.329216045064</v>
      </c>
      <c r="K88" s="142">
        <f t="shared" si="38"/>
        <v>10475.385489848952</v>
      </c>
      <c r="L88" s="142">
        <f t="shared" si="38"/>
        <v>10475.366268315718</v>
      </c>
      <c r="M88" s="142">
        <f t="shared" si="38"/>
        <v>10475.36650006421</v>
      </c>
      <c r="N88" s="121"/>
      <c r="O88" s="121"/>
      <c r="P88" s="121"/>
    </row>
    <row r="89" spans="1:16" ht="16.5" x14ac:dyDescent="0.3">
      <c r="A89" s="189" t="s">
        <v>221</v>
      </c>
      <c r="B89" s="189"/>
      <c r="C89" s="142">
        <f>SUM(E37:P37)</f>
        <v>33807.817452028736</v>
      </c>
      <c r="D89" s="142">
        <f t="shared" ref="D89:M89" si="39">C89*(1+$E$63)</f>
        <v>34653.012888329453</v>
      </c>
      <c r="E89" s="142">
        <f t="shared" si="39"/>
        <v>35519.338210537688</v>
      </c>
      <c r="F89" s="142">
        <f t="shared" si="39"/>
        <v>36407.32166580113</v>
      </c>
      <c r="G89" s="142">
        <f t="shared" si="39"/>
        <v>37317.504707446154</v>
      </c>
      <c r="H89" s="142">
        <f t="shared" si="39"/>
        <v>38250.442325132302</v>
      </c>
      <c r="I89" s="142">
        <f t="shared" si="39"/>
        <v>39206.703383260603</v>
      </c>
      <c r="J89" s="142">
        <f t="shared" si="39"/>
        <v>40186.870967842115</v>
      </c>
      <c r="K89" s="142">
        <f t="shared" si="39"/>
        <v>41191.542742038167</v>
      </c>
      <c r="L89" s="184">
        <f t="shared" si="39"/>
        <v>42221.331310589121</v>
      </c>
      <c r="M89" s="184">
        <f t="shared" si="39"/>
        <v>43276.864593353843</v>
      </c>
      <c r="N89" s="121"/>
      <c r="O89" s="121"/>
      <c r="P89" s="121"/>
    </row>
    <row r="90" spans="1:16" ht="16.5" x14ac:dyDescent="0.3">
      <c r="A90" s="189" t="s">
        <v>192</v>
      </c>
      <c r="B90" s="189"/>
      <c r="C90" s="142">
        <f>SUM(E46:P46)</f>
        <v>30000</v>
      </c>
      <c r="D90" s="142">
        <f>C90*(1+F60)</f>
        <v>29938.997431054686</v>
      </c>
      <c r="E90" s="142">
        <f t="shared" ref="E90:M90" si="40">D90*(1+G60)</f>
        <v>29970.038716164905</v>
      </c>
      <c r="F90" s="142">
        <f t="shared" si="40"/>
        <v>29968.231678393116</v>
      </c>
      <c r="G90" s="142">
        <f t="shared" si="40"/>
        <v>29963.956543518529</v>
      </c>
      <c r="H90" s="142">
        <f t="shared" si="40"/>
        <v>29966.394917861333</v>
      </c>
      <c r="I90" s="142">
        <f t="shared" si="40"/>
        <v>29965.888110284654</v>
      </c>
      <c r="J90" s="142">
        <f t="shared" si="40"/>
        <v>29965.735087866004</v>
      </c>
      <c r="K90" s="142">
        <f t="shared" si="40"/>
        <v>29965.896064754168</v>
      </c>
      <c r="L90" s="142">
        <f t="shared" si="40"/>
        <v>29965.84107962091</v>
      </c>
      <c r="M90" s="142">
        <f t="shared" si="40"/>
        <v>29965.841742560831</v>
      </c>
      <c r="N90" s="121"/>
      <c r="O90" s="121"/>
      <c r="P90" s="121"/>
    </row>
    <row r="91" spans="1:16" ht="16.5" x14ac:dyDescent="0.3">
      <c r="A91" s="189" t="s">
        <v>195</v>
      </c>
      <c r="B91" s="189"/>
      <c r="C91" s="142">
        <f>SUM(E55:P55)</f>
        <v>15468.77847150468</v>
      </c>
      <c r="D91" s="142">
        <f>C91*(1+F60)</f>
        <v>15437.323963997755</v>
      </c>
      <c r="E91" s="142">
        <f t="shared" ref="E91:M91" si="41">D91*(1+G60)</f>
        <v>15453.329656092446</v>
      </c>
      <c r="F91" s="142">
        <f t="shared" si="41"/>
        <v>15452.397900526399</v>
      </c>
      <c r="G91" s="142">
        <f t="shared" si="41"/>
        <v>15450.193530049371</v>
      </c>
      <c r="H91" s="142">
        <f t="shared" si="41"/>
        <v>15451.450819134021</v>
      </c>
      <c r="I91" s="142">
        <f t="shared" si="41"/>
        <v>15451.18949599631</v>
      </c>
      <c r="J91" s="142">
        <f t="shared" si="41"/>
        <v>15451.110593666468</v>
      </c>
      <c r="K91" s="142">
        <f t="shared" si="41"/>
        <v>15451.193597527203</v>
      </c>
      <c r="L91" s="142">
        <f t="shared" si="41"/>
        <v>15451.165245765684</v>
      </c>
      <c r="M91" s="142">
        <f t="shared" si="41"/>
        <v>15451.165587594709</v>
      </c>
      <c r="N91" s="121"/>
      <c r="O91" s="121"/>
      <c r="P91" s="121"/>
    </row>
    <row r="92" spans="1:16" ht="16.5" x14ac:dyDescent="0.3">
      <c r="A92" s="189" t="s">
        <v>222</v>
      </c>
      <c r="B92" s="189"/>
      <c r="C92" s="153">
        <f t="shared" ref="C92:M92" si="42">SUM(C85:C91)</f>
        <v>182576.78665741801</v>
      </c>
      <c r="D92" s="153">
        <f t="shared" si="42"/>
        <v>183791.16874817456</v>
      </c>
      <c r="E92" s="153">
        <f t="shared" si="42"/>
        <v>175522.78866717007</v>
      </c>
      <c r="F92" s="153">
        <f t="shared" si="42"/>
        <v>178259.9828408875</v>
      </c>
      <c r="G92" s="153">
        <f t="shared" si="42"/>
        <v>181061.0876294646</v>
      </c>
      <c r="H92" s="153">
        <f t="shared" si="42"/>
        <v>183944.94144421886</v>
      </c>
      <c r="I92" s="153">
        <f t="shared" si="42"/>
        <v>191895.28454102165</v>
      </c>
      <c r="J92" s="153">
        <f t="shared" si="42"/>
        <v>194920.06972880792</v>
      </c>
      <c r="K92" s="153">
        <f t="shared" si="42"/>
        <v>198021.06735414147</v>
      </c>
      <c r="L92" s="185">
        <f t="shared" si="42"/>
        <v>201199.17960076372</v>
      </c>
      <c r="M92" s="185">
        <f t="shared" si="42"/>
        <v>204456.85101245766</v>
      </c>
      <c r="N92" s="121"/>
      <c r="O92" s="121"/>
      <c r="P92" s="121"/>
    </row>
    <row r="93" spans="1:16" ht="16.5" x14ac:dyDescent="0.3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</row>
    <row r="94" spans="1:16" ht="16.5" x14ac:dyDescent="0.3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</row>
    <row r="95" spans="1:16" ht="16.5" x14ac:dyDescent="0.3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</row>
    <row r="96" spans="1:16" ht="16.5" x14ac:dyDescent="0.3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</row>
    <row r="97" spans="1:16" ht="16.5" x14ac:dyDescent="0.3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</row>
    <row r="98" spans="1:16" ht="16.5" x14ac:dyDescent="0.3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</row>
    <row r="99" spans="1:16" ht="16.5" x14ac:dyDescent="0.3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</row>
    <row r="100" spans="1:16" ht="16.5" x14ac:dyDescent="0.3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</row>
    <row r="101" spans="1:16" ht="16.5" x14ac:dyDescent="0.3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</row>
    <row r="102" spans="1:16" ht="16.5" x14ac:dyDescent="0.3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</row>
    <row r="103" spans="1:16" ht="16.5" x14ac:dyDescent="0.3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</row>
    <row r="104" spans="1:16" ht="16.5" x14ac:dyDescent="0.3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</row>
    <row r="105" spans="1:16" ht="16.5" x14ac:dyDescent="0.3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</row>
    <row r="106" spans="1:16" ht="16.5" x14ac:dyDescent="0.3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</row>
    <row r="107" spans="1:16" ht="16.5" x14ac:dyDescent="0.3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</row>
    <row r="108" spans="1:16" ht="16.5" x14ac:dyDescent="0.3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</row>
    <row r="109" spans="1:16" ht="16.5" x14ac:dyDescent="0.3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</row>
    <row r="110" spans="1:16" ht="16.5" x14ac:dyDescent="0.3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</row>
    <row r="111" spans="1:16" ht="16.5" x14ac:dyDescent="0.3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</row>
    <row r="112" spans="1:16" ht="16.5" x14ac:dyDescent="0.3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</row>
    <row r="113" spans="1:16" ht="16.5" x14ac:dyDescent="0.3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</row>
    <row r="114" spans="1:16" ht="16.5" x14ac:dyDescent="0.3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</row>
    <row r="115" spans="1:16" ht="16.5" x14ac:dyDescent="0.3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</row>
    <row r="116" spans="1:16" ht="16.5" x14ac:dyDescent="0.3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</row>
    <row r="117" spans="1:16" ht="16.5" x14ac:dyDescent="0.3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</row>
    <row r="118" spans="1:16" ht="16.5" x14ac:dyDescent="0.3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</row>
    <row r="119" spans="1:16" ht="16.5" x14ac:dyDescent="0.3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</row>
    <row r="120" spans="1:16" ht="16.5" x14ac:dyDescent="0.3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</row>
    <row r="121" spans="1:16" ht="16.5" x14ac:dyDescent="0.3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</row>
    <row r="122" spans="1:16" ht="16.5" x14ac:dyDescent="0.3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</row>
    <row r="123" spans="1:16" ht="16.5" x14ac:dyDescent="0.3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</row>
    <row r="124" spans="1:16" ht="16.5" x14ac:dyDescent="0.3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</row>
    <row r="125" spans="1:16" ht="16.5" x14ac:dyDescent="0.3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</row>
    <row r="126" spans="1:16" ht="16.5" x14ac:dyDescent="0.3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</row>
    <row r="127" spans="1:16" ht="16.5" x14ac:dyDescent="0.3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</row>
    <row r="128" spans="1:16" ht="16.5" x14ac:dyDescent="0.3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</row>
    <row r="129" spans="1:16" ht="16.5" x14ac:dyDescent="0.3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</row>
    <row r="130" spans="1:16" ht="16.5" x14ac:dyDescent="0.3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</row>
    <row r="131" spans="1:16" ht="16.5" x14ac:dyDescent="0.3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</row>
    <row r="132" spans="1:16" ht="16.5" x14ac:dyDescent="0.3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</row>
    <row r="133" spans="1:16" ht="16.5" x14ac:dyDescent="0.3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</row>
    <row r="134" spans="1:16" ht="16.5" x14ac:dyDescent="0.3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</row>
    <row r="135" spans="1:16" ht="16.5" x14ac:dyDescent="0.3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</row>
    <row r="136" spans="1:16" ht="16.5" x14ac:dyDescent="0.3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</row>
    <row r="137" spans="1:16" ht="16.5" x14ac:dyDescent="0.3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</row>
    <row r="138" spans="1:16" ht="16.5" x14ac:dyDescent="0.3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</row>
    <row r="139" spans="1:16" ht="16.5" x14ac:dyDescent="0.3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</row>
    <row r="140" spans="1:16" ht="16.5" x14ac:dyDescent="0.3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</row>
    <row r="141" spans="1:16" ht="16.5" x14ac:dyDescent="0.3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</row>
    <row r="142" spans="1:16" ht="16.5" x14ac:dyDescent="0.3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</row>
    <row r="143" spans="1:16" ht="16.5" x14ac:dyDescent="0.3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</row>
    <row r="144" spans="1:16" ht="16.5" x14ac:dyDescent="0.3">
      <c r="A144" s="121"/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</row>
    <row r="145" spans="1:16" ht="16.5" x14ac:dyDescent="0.3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</row>
    <row r="146" spans="1:16" ht="16.5" x14ac:dyDescent="0.3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</row>
    <row r="147" spans="1:16" ht="16.5" x14ac:dyDescent="0.3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</row>
    <row r="148" spans="1:16" ht="16.5" x14ac:dyDescent="0.3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</row>
    <row r="149" spans="1:16" ht="16.5" x14ac:dyDescent="0.3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</row>
    <row r="150" spans="1:16" ht="16.5" x14ac:dyDescent="0.3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</row>
    <row r="151" spans="1:16" ht="16.5" x14ac:dyDescent="0.3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</row>
    <row r="152" spans="1:16" ht="16.5" x14ac:dyDescent="0.3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</row>
    <row r="153" spans="1:16" ht="16.5" x14ac:dyDescent="0.3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</row>
    <row r="154" spans="1:16" ht="16.5" x14ac:dyDescent="0.3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</row>
    <row r="155" spans="1:16" ht="16.5" x14ac:dyDescent="0.3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</row>
    <row r="156" spans="1:16" ht="16.5" x14ac:dyDescent="0.3">
      <c r="A156" s="121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</row>
    <row r="157" spans="1:16" ht="16.5" x14ac:dyDescent="0.3">
      <c r="A157" s="121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</row>
    <row r="158" spans="1:16" ht="16.5" x14ac:dyDescent="0.3">
      <c r="A158" s="121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</row>
    <row r="159" spans="1:16" ht="16.5" x14ac:dyDescent="0.3">
      <c r="A159" s="121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</row>
    <row r="160" spans="1:16" ht="16.5" x14ac:dyDescent="0.3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</row>
    <row r="161" spans="1:16" ht="16.5" x14ac:dyDescent="0.3">
      <c r="A161" s="121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</row>
    <row r="162" spans="1:16" ht="16.5" x14ac:dyDescent="0.3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</row>
    <row r="163" spans="1:16" ht="16.5" x14ac:dyDescent="0.3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</row>
    <row r="164" spans="1:16" ht="16.5" x14ac:dyDescent="0.3">
      <c r="A164" s="121"/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</row>
    <row r="165" spans="1:16" ht="16.5" x14ac:dyDescent="0.3">
      <c r="A165" s="121"/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</row>
    <row r="166" spans="1:16" ht="16.5" x14ac:dyDescent="0.3">
      <c r="A166" s="121"/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</row>
    <row r="167" spans="1:16" ht="16.5" x14ac:dyDescent="0.3">
      <c r="A167" s="121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</row>
    <row r="168" spans="1:16" ht="16.5" x14ac:dyDescent="0.3">
      <c r="A168" s="121"/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</row>
    <row r="169" spans="1:16" ht="16.5" x14ac:dyDescent="0.3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</row>
    <row r="170" spans="1:16" ht="16.5" x14ac:dyDescent="0.3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</row>
    <row r="171" spans="1:16" ht="16.5" x14ac:dyDescent="0.3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</row>
    <row r="172" spans="1:16" ht="16.5" x14ac:dyDescent="0.3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</row>
    <row r="173" spans="1:16" ht="16.5" x14ac:dyDescent="0.3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</row>
    <row r="174" spans="1:16" ht="16.5" x14ac:dyDescent="0.3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</row>
    <row r="175" spans="1:16" ht="16.5" x14ac:dyDescent="0.3">
      <c r="A175" s="121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</row>
    <row r="176" spans="1:16" ht="16.5" x14ac:dyDescent="0.3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</row>
    <row r="177" spans="1:16" ht="16.5" x14ac:dyDescent="0.3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</row>
    <row r="178" spans="1:16" ht="16.5" x14ac:dyDescent="0.3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</row>
    <row r="179" spans="1:16" ht="16.5" x14ac:dyDescent="0.3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</row>
    <row r="180" spans="1:16" ht="16.5" x14ac:dyDescent="0.3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</row>
    <row r="181" spans="1:16" ht="16.5" x14ac:dyDescent="0.3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</row>
    <row r="182" spans="1:16" ht="16.5" x14ac:dyDescent="0.3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</row>
    <row r="183" spans="1:16" ht="16.5" x14ac:dyDescent="0.3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</row>
    <row r="184" spans="1:16" ht="16.5" x14ac:dyDescent="0.3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</row>
    <row r="185" spans="1:16" ht="16.5" x14ac:dyDescent="0.3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</row>
    <row r="186" spans="1:16" ht="16.5" x14ac:dyDescent="0.3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</row>
    <row r="187" spans="1:16" ht="16.5" x14ac:dyDescent="0.3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</row>
    <row r="188" spans="1:16" ht="16.5" x14ac:dyDescent="0.3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</row>
    <row r="189" spans="1:16" ht="16.5" x14ac:dyDescent="0.3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</row>
    <row r="190" spans="1:16" ht="16.5" x14ac:dyDescent="0.3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</row>
    <row r="191" spans="1:16" ht="16.5" x14ac:dyDescent="0.3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</row>
    <row r="192" spans="1:16" ht="16.5" x14ac:dyDescent="0.3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</row>
    <row r="193" spans="1:16" ht="16.5" x14ac:dyDescent="0.3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</row>
    <row r="194" spans="1:16" ht="16.5" x14ac:dyDescent="0.3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</row>
    <row r="195" spans="1:16" ht="16.5" x14ac:dyDescent="0.3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</row>
    <row r="196" spans="1:16" ht="16.5" x14ac:dyDescent="0.3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</row>
    <row r="197" spans="1:16" ht="16.5" x14ac:dyDescent="0.3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</row>
  </sheetData>
  <mergeCells count="1">
    <mergeCell ref="E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workbookViewId="0">
      <selection activeCell="I14" sqref="I14"/>
    </sheetView>
  </sheetViews>
  <sheetFormatPr baseColWidth="10" defaultRowHeight="15" x14ac:dyDescent="0.25"/>
  <cols>
    <col min="2" max="2" width="43.5703125" bestFit="1" customWidth="1"/>
  </cols>
  <sheetData>
    <row r="2" spans="2:11" ht="15" customHeight="1" x14ac:dyDescent="0.25">
      <c r="B2" s="675" t="s">
        <v>55</v>
      </c>
      <c r="C2" s="676"/>
      <c r="D2" s="670" t="s">
        <v>56</v>
      </c>
      <c r="E2" s="670" t="s">
        <v>57</v>
      </c>
      <c r="F2" s="670" t="s">
        <v>58</v>
      </c>
      <c r="G2" s="670" t="s">
        <v>59</v>
      </c>
      <c r="H2" s="670" t="s">
        <v>60</v>
      </c>
    </row>
    <row r="3" spans="2:11" x14ac:dyDescent="0.25">
      <c r="B3" s="677"/>
      <c r="C3" s="678"/>
      <c r="D3" s="671"/>
      <c r="E3" s="671"/>
      <c r="F3" s="671"/>
      <c r="G3" s="671"/>
      <c r="H3" s="671"/>
      <c r="I3" s="44"/>
      <c r="J3" s="44"/>
      <c r="K3" s="44"/>
    </row>
    <row r="4" spans="2:11" x14ac:dyDescent="0.25">
      <c r="B4" s="49" t="s">
        <v>80</v>
      </c>
      <c r="C4" s="31"/>
      <c r="D4" s="32">
        <v>1</v>
      </c>
      <c r="E4" s="33">
        <v>1200</v>
      </c>
      <c r="F4" s="33">
        <f t="shared" ref="F4:F10" si="0">E4*D4</f>
        <v>1200</v>
      </c>
      <c r="G4" s="33">
        <f>G17</f>
        <v>15774.2</v>
      </c>
      <c r="H4" s="33">
        <f t="shared" ref="H4:H10" si="1">G4/12</f>
        <v>1314.5166666666667</v>
      </c>
      <c r="I4" s="44"/>
      <c r="J4" s="44"/>
      <c r="K4" s="44"/>
    </row>
    <row r="5" spans="2:11" x14ac:dyDescent="0.25">
      <c r="B5" s="49" t="s">
        <v>61</v>
      </c>
      <c r="C5" s="34"/>
      <c r="D5" s="32">
        <v>3</v>
      </c>
      <c r="E5" s="33">
        <v>800</v>
      </c>
      <c r="F5" s="33">
        <f t="shared" si="0"/>
        <v>2400</v>
      </c>
      <c r="G5" s="33">
        <f>G18++G19+G20</f>
        <v>31868.399999999998</v>
      </c>
      <c r="H5" s="33">
        <f t="shared" si="1"/>
        <v>2655.7</v>
      </c>
      <c r="I5" s="44"/>
      <c r="J5" s="44"/>
      <c r="K5" s="44"/>
    </row>
    <row r="6" spans="2:11" x14ac:dyDescent="0.25">
      <c r="B6" s="49" t="s">
        <v>62</v>
      </c>
      <c r="C6" s="30"/>
      <c r="D6" s="32">
        <v>2</v>
      </c>
      <c r="E6" s="33">
        <v>350</v>
      </c>
      <c r="F6" s="33">
        <f t="shared" si="0"/>
        <v>700</v>
      </c>
      <c r="G6" s="33">
        <f>+G21+G22</f>
        <v>9654.9500000000007</v>
      </c>
      <c r="H6" s="33">
        <f t="shared" si="1"/>
        <v>804.57916666666677</v>
      </c>
      <c r="I6" s="44"/>
      <c r="J6" s="44"/>
      <c r="K6" s="44"/>
    </row>
    <row r="7" spans="2:11" x14ac:dyDescent="0.25">
      <c r="B7" s="49" t="s">
        <v>63</v>
      </c>
      <c r="C7" s="31"/>
      <c r="D7" s="32">
        <v>3</v>
      </c>
      <c r="E7" s="33">
        <v>350</v>
      </c>
      <c r="F7" s="33">
        <f t="shared" si="0"/>
        <v>1050</v>
      </c>
      <c r="G7" s="33">
        <f>G23+G24+G25</f>
        <v>14482.425000000001</v>
      </c>
      <c r="H7" s="33">
        <f t="shared" si="1"/>
        <v>1206.8687500000001</v>
      </c>
      <c r="I7" s="44"/>
      <c r="J7" s="44"/>
      <c r="K7" s="44"/>
    </row>
    <row r="8" spans="2:11" x14ac:dyDescent="0.25">
      <c r="B8" s="49" t="s">
        <v>82</v>
      </c>
      <c r="C8" s="31"/>
      <c r="D8" s="32">
        <v>2</v>
      </c>
      <c r="E8" s="33">
        <v>350</v>
      </c>
      <c r="F8" s="33">
        <f t="shared" si="0"/>
        <v>700</v>
      </c>
      <c r="G8" s="33">
        <f>G26+G27</f>
        <v>9654.9500000000007</v>
      </c>
      <c r="H8" s="33">
        <f t="shared" si="1"/>
        <v>804.57916666666677</v>
      </c>
      <c r="I8" s="44"/>
      <c r="J8" s="44"/>
      <c r="K8" s="44"/>
    </row>
    <row r="9" spans="2:11" x14ac:dyDescent="0.25">
      <c r="B9" s="49" t="s">
        <v>65</v>
      </c>
      <c r="C9" s="31"/>
      <c r="D9" s="32">
        <v>6</v>
      </c>
      <c r="E9" s="33">
        <v>350</v>
      </c>
      <c r="F9" s="33">
        <f>E9*D9</f>
        <v>2100</v>
      </c>
      <c r="G9" s="33">
        <f>G28+G29+G30+G33+G31+G32</f>
        <v>28964.85</v>
      </c>
      <c r="H9" s="33">
        <f>G9/12</f>
        <v>2413.7374999999997</v>
      </c>
      <c r="I9" s="44"/>
      <c r="J9" s="44"/>
      <c r="K9" s="44"/>
    </row>
    <row r="10" spans="2:11" x14ac:dyDescent="0.25">
      <c r="B10" s="49" t="s">
        <v>66</v>
      </c>
      <c r="C10" s="34"/>
      <c r="D10" s="32">
        <v>3</v>
      </c>
      <c r="E10" s="33">
        <v>350</v>
      </c>
      <c r="F10" s="33">
        <f t="shared" si="0"/>
        <v>1050</v>
      </c>
      <c r="G10" s="33">
        <f>G34+G35+G36</f>
        <v>14482.425000000001</v>
      </c>
      <c r="H10" s="33">
        <f t="shared" si="1"/>
        <v>1206.8687500000001</v>
      </c>
      <c r="I10" s="44"/>
      <c r="J10" s="44"/>
      <c r="K10" s="44"/>
    </row>
    <row r="11" spans="2:11" x14ac:dyDescent="0.25">
      <c r="B11" s="49" t="s">
        <v>67</v>
      </c>
      <c r="C11" s="31"/>
      <c r="D11" s="32">
        <v>2</v>
      </c>
      <c r="E11" s="33">
        <v>350</v>
      </c>
      <c r="F11" s="33">
        <f>E11*D11</f>
        <v>700</v>
      </c>
      <c r="G11" s="33">
        <f>G37+G38</f>
        <v>9654.9500000000007</v>
      </c>
      <c r="H11" s="33">
        <f>G11/12</f>
        <v>804.57916666666677</v>
      </c>
      <c r="I11" s="44"/>
      <c r="J11" s="44"/>
      <c r="K11" s="44"/>
    </row>
    <row r="12" spans="2:11" ht="15.75" x14ac:dyDescent="0.25">
      <c r="B12" s="672" t="s">
        <v>68</v>
      </c>
      <c r="C12" s="673"/>
      <c r="D12" s="674"/>
      <c r="E12" s="47">
        <f>SUM(E4:E11)</f>
        <v>4100</v>
      </c>
      <c r="F12" s="47">
        <f>SUM(F4:F11)</f>
        <v>9900</v>
      </c>
      <c r="G12" s="47">
        <f>SUM(G4:G11)</f>
        <v>134537.15</v>
      </c>
      <c r="H12" s="47">
        <f>SUM(H4:H11)</f>
        <v>11211.429166666665</v>
      </c>
      <c r="I12" s="44"/>
      <c r="J12" s="44"/>
      <c r="K12" s="44"/>
    </row>
    <row r="13" spans="2:11" x14ac:dyDescent="0.25">
      <c r="B13" s="30"/>
      <c r="C13" s="30"/>
      <c r="D13" s="30"/>
      <c r="E13" s="30"/>
      <c r="F13" s="35">
        <f>F12*12</f>
        <v>118800</v>
      </c>
      <c r="G13" s="30"/>
      <c r="H13" s="30"/>
      <c r="I13" s="44"/>
      <c r="J13" s="44"/>
      <c r="K13" s="44"/>
    </row>
    <row r="14" spans="2:11" ht="21" x14ac:dyDescent="0.35">
      <c r="B14" s="36" t="s">
        <v>69</v>
      </c>
      <c r="C14" s="30"/>
      <c r="D14" s="37"/>
      <c r="E14" s="38"/>
      <c r="F14" s="30"/>
      <c r="G14" s="30"/>
      <c r="H14" s="30"/>
      <c r="I14" s="44"/>
      <c r="J14" s="44"/>
      <c r="K14" s="44"/>
    </row>
    <row r="15" spans="2:11" ht="60" x14ac:dyDescent="0.25">
      <c r="B15" s="45" t="s">
        <v>70</v>
      </c>
      <c r="C15" s="46" t="s">
        <v>71</v>
      </c>
      <c r="D15" s="46" t="s">
        <v>72</v>
      </c>
      <c r="E15" s="46" t="s">
        <v>73</v>
      </c>
      <c r="F15" s="46" t="s">
        <v>74</v>
      </c>
      <c r="G15" s="46" t="s">
        <v>75</v>
      </c>
      <c r="H15" s="46" t="s">
        <v>76</v>
      </c>
      <c r="I15" s="44"/>
      <c r="J15" s="44"/>
      <c r="K15" s="44"/>
    </row>
    <row r="16" spans="2:11" x14ac:dyDescent="0.25">
      <c r="B16" s="50"/>
      <c r="C16" s="39"/>
      <c r="D16" s="40">
        <v>0.1215</v>
      </c>
      <c r="E16" s="30"/>
      <c r="F16" s="30"/>
      <c r="G16" s="30"/>
      <c r="H16" s="30"/>
      <c r="I16" s="44"/>
      <c r="J16" s="44"/>
      <c r="K16" s="44"/>
    </row>
    <row r="17" spans="2:11" x14ac:dyDescent="0.25">
      <c r="B17" s="50" t="s">
        <v>80</v>
      </c>
      <c r="C17" s="41">
        <f>E4</f>
        <v>1200</v>
      </c>
      <c r="D17" s="42">
        <f t="shared" ref="D17:D31" si="2">C17*$D$16</f>
        <v>145.79999999999998</v>
      </c>
      <c r="E17" s="43">
        <f>C17</f>
        <v>1200</v>
      </c>
      <c r="F17" s="43">
        <v>320</v>
      </c>
      <c r="G17" s="43">
        <f>(C17*12)+E17+F17-D17</f>
        <v>15774.2</v>
      </c>
      <c r="H17" s="43">
        <f>G17/12</f>
        <v>1314.5166666666667</v>
      </c>
      <c r="I17" s="44"/>
      <c r="J17" s="44"/>
      <c r="K17" s="44"/>
    </row>
    <row r="18" spans="2:11" x14ac:dyDescent="0.25">
      <c r="B18" s="50" t="s">
        <v>99</v>
      </c>
      <c r="C18" s="41">
        <f>$E$5</f>
        <v>800</v>
      </c>
      <c r="D18" s="42">
        <f t="shared" si="2"/>
        <v>97.2</v>
      </c>
      <c r="E18" s="43">
        <f>C18</f>
        <v>800</v>
      </c>
      <c r="F18" s="43">
        <v>320</v>
      </c>
      <c r="G18" s="43">
        <f>(C18*12)+E18+F18-D18</f>
        <v>10622.8</v>
      </c>
      <c r="H18" s="43">
        <f>G18/12</f>
        <v>885.23333333333323</v>
      </c>
    </row>
    <row r="19" spans="2:11" x14ac:dyDescent="0.25">
      <c r="B19" s="50" t="s">
        <v>100</v>
      </c>
      <c r="C19" s="41">
        <f>$E$5</f>
        <v>800</v>
      </c>
      <c r="D19" s="42">
        <f t="shared" si="2"/>
        <v>97.2</v>
      </c>
      <c r="E19" s="43">
        <f t="shared" ref="E19:E31" si="3">C19</f>
        <v>800</v>
      </c>
      <c r="F19" s="43">
        <v>320</v>
      </c>
      <c r="G19" s="43">
        <f t="shared" ref="G19:G31" si="4">(C19*12)+E19+F19-D19</f>
        <v>10622.8</v>
      </c>
      <c r="H19" s="43">
        <f t="shared" ref="H19:H31" si="5">G19/12</f>
        <v>885.23333333333323</v>
      </c>
    </row>
    <row r="20" spans="2:11" x14ac:dyDescent="0.25">
      <c r="B20" s="50" t="s">
        <v>101</v>
      </c>
      <c r="C20" s="41">
        <f>$E$5</f>
        <v>800</v>
      </c>
      <c r="D20" s="42">
        <f t="shared" si="2"/>
        <v>97.2</v>
      </c>
      <c r="E20" s="43">
        <f t="shared" si="3"/>
        <v>800</v>
      </c>
      <c r="F20" s="43">
        <v>320</v>
      </c>
      <c r="G20" s="43">
        <f t="shared" si="4"/>
        <v>10622.8</v>
      </c>
      <c r="H20" s="43">
        <f t="shared" si="5"/>
        <v>885.23333333333323</v>
      </c>
    </row>
    <row r="21" spans="2:11" s="44" customFormat="1" x14ac:dyDescent="0.25">
      <c r="B21" s="50" t="s">
        <v>102</v>
      </c>
      <c r="C21" s="41">
        <f>$E$6</f>
        <v>350</v>
      </c>
      <c r="D21" s="42">
        <f t="shared" si="2"/>
        <v>42.524999999999999</v>
      </c>
      <c r="E21" s="43">
        <f t="shared" si="3"/>
        <v>350</v>
      </c>
      <c r="F21" s="43">
        <v>320</v>
      </c>
      <c r="G21" s="43">
        <f t="shared" si="4"/>
        <v>4827.4750000000004</v>
      </c>
      <c r="H21" s="43">
        <f t="shared" si="5"/>
        <v>402.28958333333338</v>
      </c>
    </row>
    <row r="22" spans="2:11" x14ac:dyDescent="0.25">
      <c r="B22" s="50" t="s">
        <v>77</v>
      </c>
      <c r="C22" s="41">
        <f>$E$6</f>
        <v>350</v>
      </c>
      <c r="D22" s="42">
        <f t="shared" si="2"/>
        <v>42.524999999999999</v>
      </c>
      <c r="E22" s="43">
        <f t="shared" si="3"/>
        <v>350</v>
      </c>
      <c r="F22" s="43">
        <v>320</v>
      </c>
      <c r="G22" s="43">
        <f t="shared" si="4"/>
        <v>4827.4750000000004</v>
      </c>
      <c r="H22" s="43">
        <f t="shared" si="5"/>
        <v>402.28958333333338</v>
      </c>
    </row>
    <row r="23" spans="2:11" x14ac:dyDescent="0.25">
      <c r="B23" s="50" t="s">
        <v>78</v>
      </c>
      <c r="C23" s="41">
        <f>$E$7</f>
        <v>350</v>
      </c>
      <c r="D23" s="42">
        <f t="shared" si="2"/>
        <v>42.524999999999999</v>
      </c>
      <c r="E23" s="43">
        <f t="shared" si="3"/>
        <v>350</v>
      </c>
      <c r="F23" s="43">
        <v>320</v>
      </c>
      <c r="G23" s="43">
        <f t="shared" si="4"/>
        <v>4827.4750000000004</v>
      </c>
      <c r="H23" s="43">
        <f t="shared" si="5"/>
        <v>402.28958333333338</v>
      </c>
    </row>
    <row r="24" spans="2:11" x14ac:dyDescent="0.25">
      <c r="B24" s="50" t="s">
        <v>78</v>
      </c>
      <c r="C24" s="41">
        <f>$E$7</f>
        <v>350</v>
      </c>
      <c r="D24" s="42">
        <f t="shared" si="2"/>
        <v>42.524999999999999</v>
      </c>
      <c r="E24" s="43">
        <f t="shared" si="3"/>
        <v>350</v>
      </c>
      <c r="F24" s="43">
        <v>320</v>
      </c>
      <c r="G24" s="43">
        <f t="shared" si="4"/>
        <v>4827.4750000000004</v>
      </c>
      <c r="H24" s="43">
        <f t="shared" si="5"/>
        <v>402.28958333333338</v>
      </c>
    </row>
    <row r="25" spans="2:11" x14ac:dyDescent="0.25">
      <c r="B25" s="50" t="s">
        <v>79</v>
      </c>
      <c r="C25" s="41">
        <f>$E$7</f>
        <v>350</v>
      </c>
      <c r="D25" s="42">
        <f t="shared" si="2"/>
        <v>42.524999999999999</v>
      </c>
      <c r="E25" s="43">
        <f t="shared" si="3"/>
        <v>350</v>
      </c>
      <c r="F25" s="43">
        <v>320</v>
      </c>
      <c r="G25" s="43">
        <f t="shared" si="4"/>
        <v>4827.4750000000004</v>
      </c>
      <c r="H25" s="43">
        <f t="shared" si="5"/>
        <v>402.28958333333338</v>
      </c>
    </row>
    <row r="26" spans="2:11" x14ac:dyDescent="0.25">
      <c r="B26" s="50" t="s">
        <v>64</v>
      </c>
      <c r="C26" s="41">
        <f>E8</f>
        <v>350</v>
      </c>
      <c r="D26" s="42">
        <f t="shared" si="2"/>
        <v>42.524999999999999</v>
      </c>
      <c r="E26" s="43">
        <f t="shared" si="3"/>
        <v>350</v>
      </c>
      <c r="F26" s="43">
        <v>320</v>
      </c>
      <c r="G26" s="43">
        <f t="shared" si="4"/>
        <v>4827.4750000000004</v>
      </c>
      <c r="H26" s="43">
        <f t="shared" si="5"/>
        <v>402.28958333333338</v>
      </c>
    </row>
    <row r="27" spans="2:11" x14ac:dyDescent="0.25">
      <c r="B27" s="50" t="s">
        <v>106</v>
      </c>
      <c r="C27" s="41">
        <f>E9</f>
        <v>350</v>
      </c>
      <c r="D27" s="42">
        <f t="shared" si="2"/>
        <v>42.524999999999999</v>
      </c>
      <c r="E27" s="43">
        <f t="shared" si="3"/>
        <v>350</v>
      </c>
      <c r="F27" s="43">
        <v>320</v>
      </c>
      <c r="G27" s="43">
        <f t="shared" si="4"/>
        <v>4827.4750000000004</v>
      </c>
      <c r="H27" s="43">
        <f t="shared" si="5"/>
        <v>402.28958333333338</v>
      </c>
    </row>
    <row r="28" spans="2:11" x14ac:dyDescent="0.25">
      <c r="B28" s="50" t="s">
        <v>94</v>
      </c>
      <c r="C28" s="41">
        <f t="shared" ref="C28:C33" si="6">$E$9</f>
        <v>350</v>
      </c>
      <c r="D28" s="42">
        <f t="shared" si="2"/>
        <v>42.524999999999999</v>
      </c>
      <c r="E28" s="43">
        <f t="shared" si="3"/>
        <v>350</v>
      </c>
      <c r="F28" s="43">
        <v>320</v>
      </c>
      <c r="G28" s="43">
        <f t="shared" si="4"/>
        <v>4827.4750000000004</v>
      </c>
      <c r="H28" s="43">
        <f t="shared" si="5"/>
        <v>402.28958333333338</v>
      </c>
    </row>
    <row r="29" spans="2:11" s="44" customFormat="1" x14ac:dyDescent="0.25">
      <c r="B29" s="50" t="s">
        <v>95</v>
      </c>
      <c r="C29" s="41">
        <f t="shared" si="6"/>
        <v>350</v>
      </c>
      <c r="D29" s="42">
        <f t="shared" si="2"/>
        <v>42.524999999999999</v>
      </c>
      <c r="E29" s="43">
        <f t="shared" si="3"/>
        <v>350</v>
      </c>
      <c r="F29" s="43">
        <v>320</v>
      </c>
      <c r="G29" s="43">
        <f t="shared" si="4"/>
        <v>4827.4750000000004</v>
      </c>
      <c r="H29" s="43">
        <f t="shared" si="5"/>
        <v>402.28958333333338</v>
      </c>
    </row>
    <row r="30" spans="2:11" x14ac:dyDescent="0.25">
      <c r="B30" s="50" t="s">
        <v>81</v>
      </c>
      <c r="C30" s="41">
        <f t="shared" si="6"/>
        <v>350</v>
      </c>
      <c r="D30" s="42">
        <f t="shared" si="2"/>
        <v>42.524999999999999</v>
      </c>
      <c r="E30" s="43">
        <f t="shared" si="3"/>
        <v>350</v>
      </c>
      <c r="F30" s="43">
        <v>320</v>
      </c>
      <c r="G30" s="43">
        <f t="shared" si="4"/>
        <v>4827.4750000000004</v>
      </c>
      <c r="H30" s="43">
        <f t="shared" si="5"/>
        <v>402.28958333333338</v>
      </c>
    </row>
    <row r="31" spans="2:11" x14ac:dyDescent="0.25">
      <c r="B31" s="50" t="s">
        <v>96</v>
      </c>
      <c r="C31" s="41">
        <f t="shared" si="6"/>
        <v>350</v>
      </c>
      <c r="D31" s="42">
        <f t="shared" si="2"/>
        <v>42.524999999999999</v>
      </c>
      <c r="E31" s="43">
        <f t="shared" si="3"/>
        <v>350</v>
      </c>
      <c r="F31" s="43">
        <v>320</v>
      </c>
      <c r="G31" s="43">
        <f t="shared" si="4"/>
        <v>4827.4750000000004</v>
      </c>
      <c r="H31" s="43">
        <f t="shared" si="5"/>
        <v>402.28958333333338</v>
      </c>
    </row>
    <row r="32" spans="2:11" x14ac:dyDescent="0.25">
      <c r="B32" s="50" t="s">
        <v>97</v>
      </c>
      <c r="C32" s="41">
        <f t="shared" si="6"/>
        <v>350</v>
      </c>
      <c r="D32" s="42">
        <f t="shared" ref="D32:D38" si="7">C32*$D$16</f>
        <v>42.524999999999999</v>
      </c>
      <c r="E32" s="43">
        <f t="shared" ref="E32:E38" si="8">C32</f>
        <v>350</v>
      </c>
      <c r="F32" s="43">
        <v>320</v>
      </c>
      <c r="G32" s="43">
        <f t="shared" ref="G32:G38" si="9">(C32*12)+E32+F32-D32</f>
        <v>4827.4750000000004</v>
      </c>
      <c r="H32" s="43">
        <f t="shared" ref="H32:H38" si="10">G32/12</f>
        <v>402.28958333333338</v>
      </c>
    </row>
    <row r="33" spans="2:8" x14ac:dyDescent="0.25">
      <c r="B33" s="50" t="s">
        <v>98</v>
      </c>
      <c r="C33" s="41">
        <f t="shared" si="6"/>
        <v>350</v>
      </c>
      <c r="D33" s="42">
        <f t="shared" si="7"/>
        <v>42.524999999999999</v>
      </c>
      <c r="E33" s="43">
        <f t="shared" si="8"/>
        <v>350</v>
      </c>
      <c r="F33" s="43">
        <v>320</v>
      </c>
      <c r="G33" s="43">
        <f t="shared" si="9"/>
        <v>4827.4750000000004</v>
      </c>
      <c r="H33" s="43">
        <f t="shared" si="10"/>
        <v>402.28958333333338</v>
      </c>
    </row>
    <row r="34" spans="2:8" s="44" customFormat="1" x14ac:dyDescent="0.25">
      <c r="B34" s="50" t="s">
        <v>103</v>
      </c>
      <c r="C34" s="41">
        <f>E10</f>
        <v>350</v>
      </c>
      <c r="D34" s="42">
        <f t="shared" si="7"/>
        <v>42.524999999999999</v>
      </c>
      <c r="E34" s="43">
        <f t="shared" si="8"/>
        <v>350</v>
      </c>
      <c r="F34" s="43">
        <v>320</v>
      </c>
      <c r="G34" s="43">
        <f t="shared" si="9"/>
        <v>4827.4750000000004</v>
      </c>
      <c r="H34" s="43">
        <f t="shared" si="10"/>
        <v>402.28958333333338</v>
      </c>
    </row>
    <row r="35" spans="2:8" s="44" customFormat="1" x14ac:dyDescent="0.25">
      <c r="B35" s="50" t="s">
        <v>104</v>
      </c>
      <c r="C35" s="41">
        <f>E10</f>
        <v>350</v>
      </c>
      <c r="D35" s="42">
        <f t="shared" si="7"/>
        <v>42.524999999999999</v>
      </c>
      <c r="E35" s="43">
        <f t="shared" si="8"/>
        <v>350</v>
      </c>
      <c r="F35" s="43">
        <v>320</v>
      </c>
      <c r="G35" s="43">
        <f t="shared" si="9"/>
        <v>4827.4750000000004</v>
      </c>
      <c r="H35" s="43">
        <f t="shared" si="10"/>
        <v>402.28958333333338</v>
      </c>
    </row>
    <row r="36" spans="2:8" x14ac:dyDescent="0.25">
      <c r="B36" s="50" t="s">
        <v>105</v>
      </c>
      <c r="C36" s="41">
        <f>E11</f>
        <v>350</v>
      </c>
      <c r="D36" s="42">
        <f t="shared" si="7"/>
        <v>42.524999999999999</v>
      </c>
      <c r="E36" s="43">
        <f t="shared" si="8"/>
        <v>350</v>
      </c>
      <c r="F36" s="43">
        <v>320</v>
      </c>
      <c r="G36" s="43">
        <f t="shared" si="9"/>
        <v>4827.4750000000004</v>
      </c>
      <c r="H36" s="43">
        <f t="shared" si="10"/>
        <v>402.28958333333338</v>
      </c>
    </row>
    <row r="37" spans="2:8" s="44" customFormat="1" x14ac:dyDescent="0.25">
      <c r="B37" s="50" t="s">
        <v>67</v>
      </c>
      <c r="C37" s="41">
        <f>$E$11</f>
        <v>350</v>
      </c>
      <c r="D37" s="42">
        <f t="shared" si="7"/>
        <v>42.524999999999999</v>
      </c>
      <c r="E37" s="43">
        <f t="shared" si="8"/>
        <v>350</v>
      </c>
      <c r="F37" s="43">
        <v>320</v>
      </c>
      <c r="G37" s="43">
        <f t="shared" si="9"/>
        <v>4827.4750000000004</v>
      </c>
      <c r="H37" s="43">
        <f t="shared" si="10"/>
        <v>402.28958333333338</v>
      </c>
    </row>
    <row r="38" spans="2:8" s="44" customFormat="1" x14ac:dyDescent="0.25">
      <c r="B38" s="50" t="s">
        <v>67</v>
      </c>
      <c r="C38" s="41">
        <f>$E$11</f>
        <v>350</v>
      </c>
      <c r="D38" s="42">
        <f t="shared" si="7"/>
        <v>42.524999999999999</v>
      </c>
      <c r="E38" s="43">
        <f t="shared" si="8"/>
        <v>350</v>
      </c>
      <c r="F38" s="43">
        <v>320</v>
      </c>
      <c r="G38" s="43">
        <f t="shared" si="9"/>
        <v>4827.4750000000004</v>
      </c>
      <c r="H38" s="43">
        <f t="shared" si="10"/>
        <v>402.28958333333338</v>
      </c>
    </row>
    <row r="39" spans="2:8" ht="15.75" x14ac:dyDescent="0.25">
      <c r="B39" s="30"/>
      <c r="C39" s="48">
        <f t="shared" ref="C39:H39" si="11">SUM(C17:C38)</f>
        <v>9900</v>
      </c>
      <c r="D39" s="47">
        <f t="shared" si="11"/>
        <v>1202.8500000000001</v>
      </c>
      <c r="E39" s="47">
        <f t="shared" si="11"/>
        <v>9900</v>
      </c>
      <c r="F39" s="47">
        <f t="shared" si="11"/>
        <v>7040</v>
      </c>
      <c r="G39" s="47">
        <f t="shared" si="11"/>
        <v>134537.15000000008</v>
      </c>
      <c r="H39" s="47">
        <f t="shared" si="11"/>
        <v>11211.429166666665</v>
      </c>
    </row>
  </sheetData>
  <mergeCells count="7">
    <mergeCell ref="H2:H3"/>
    <mergeCell ref="B12:D12"/>
    <mergeCell ref="D2:D3"/>
    <mergeCell ref="E2:E3"/>
    <mergeCell ref="B2:C3"/>
    <mergeCell ref="F2:F3"/>
    <mergeCell ref="G2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opLeftCell="A2" workbookViewId="0">
      <selection activeCell="G22" sqref="G22"/>
    </sheetView>
  </sheetViews>
  <sheetFormatPr baseColWidth="10" defaultRowHeight="15" x14ac:dyDescent="0.25"/>
  <cols>
    <col min="1" max="1" width="23.42578125" bestFit="1" customWidth="1"/>
    <col min="3" max="3" width="13.7109375" customWidth="1"/>
    <col min="4" max="5" width="13.85546875" bestFit="1" customWidth="1"/>
    <col min="6" max="6" width="15" customWidth="1"/>
    <col min="7" max="12" width="13.85546875" bestFit="1" customWidth="1"/>
    <col min="13" max="14" width="12.42578125" bestFit="1" customWidth="1"/>
  </cols>
  <sheetData>
    <row r="1" spans="1:36" ht="16.5" x14ac:dyDescent="0.3">
      <c r="A1" s="107" t="s">
        <v>366</v>
      </c>
      <c r="B1" s="662" t="s">
        <v>367</v>
      </c>
      <c r="C1" s="686"/>
      <c r="D1" s="662" t="s">
        <v>368</v>
      </c>
      <c r="E1" s="645"/>
      <c r="F1" s="645"/>
      <c r="G1" s="645"/>
      <c r="H1" s="44"/>
      <c r="I1" s="44"/>
      <c r="J1" s="44"/>
    </row>
    <row r="2" spans="1:36" ht="16.5" x14ac:dyDescent="0.3">
      <c r="A2" s="237" t="s">
        <v>376</v>
      </c>
      <c r="B2" s="687"/>
      <c r="C2" s="688"/>
      <c r="D2" s="685" t="s">
        <v>352</v>
      </c>
      <c r="E2" s="685"/>
      <c r="F2" s="685"/>
      <c r="G2" s="310">
        <f>Costos!C99</f>
        <v>0.46616508447664573</v>
      </c>
      <c r="H2" s="44"/>
      <c r="I2" s="44"/>
      <c r="J2" s="44"/>
    </row>
    <row r="3" spans="1:36" ht="16.5" x14ac:dyDescent="0.25">
      <c r="A3" s="237" t="s">
        <v>377</v>
      </c>
      <c r="B3" s="679">
        <v>0.75</v>
      </c>
      <c r="C3" s="680"/>
      <c r="D3" s="689" t="s">
        <v>369</v>
      </c>
      <c r="E3" s="689"/>
      <c r="F3" s="689"/>
      <c r="G3" s="311">
        <f>B8</f>
        <v>0.83000000000000007</v>
      </c>
      <c r="H3" s="44"/>
      <c r="I3" s="44"/>
      <c r="J3" s="44"/>
    </row>
    <row r="4" spans="1:36" ht="16.5" x14ac:dyDescent="0.25">
      <c r="A4" s="237" t="s">
        <v>378</v>
      </c>
      <c r="B4" s="679">
        <v>0.85</v>
      </c>
      <c r="C4" s="680"/>
      <c r="D4" s="690" t="s">
        <v>370</v>
      </c>
      <c r="E4" s="691"/>
      <c r="F4" s="692"/>
      <c r="G4" s="312">
        <v>0.15</v>
      </c>
      <c r="H4" s="44"/>
      <c r="I4" s="44"/>
      <c r="J4" s="44"/>
    </row>
    <row r="5" spans="1:36" ht="16.5" x14ac:dyDescent="0.25">
      <c r="A5" s="237" t="s">
        <v>379</v>
      </c>
      <c r="B5" s="679">
        <v>0.8</v>
      </c>
      <c r="C5" s="680"/>
      <c r="D5" s="685" t="s">
        <v>371</v>
      </c>
      <c r="E5" s="685"/>
      <c r="F5" s="685"/>
      <c r="G5" s="310">
        <f>G2*(1+G4)</f>
        <v>0.53608984714814256</v>
      </c>
      <c r="H5" s="44"/>
      <c r="I5" s="44"/>
      <c r="J5" s="44"/>
      <c r="K5" s="584"/>
      <c r="L5" s="584"/>
      <c r="M5" s="584"/>
    </row>
    <row r="6" spans="1:36" ht="16.5" x14ac:dyDescent="0.25">
      <c r="A6" s="237" t="s">
        <v>380</v>
      </c>
      <c r="B6" s="679">
        <v>0.9</v>
      </c>
      <c r="C6" s="680"/>
      <c r="D6" s="685" t="s">
        <v>372</v>
      </c>
      <c r="E6" s="685"/>
      <c r="F6" s="685"/>
      <c r="G6" s="312">
        <v>0.33500000000000002</v>
      </c>
      <c r="H6" s="44"/>
      <c r="I6" s="44"/>
      <c r="J6" s="44"/>
    </row>
    <row r="7" spans="1:36" ht="16.5" x14ac:dyDescent="0.3">
      <c r="A7" s="237" t="s">
        <v>381</v>
      </c>
      <c r="B7" s="679">
        <v>0.85</v>
      </c>
      <c r="C7" s="680"/>
      <c r="D7" s="681" t="s">
        <v>373</v>
      </c>
      <c r="E7" s="681"/>
      <c r="F7" s="681"/>
      <c r="G7" s="315">
        <f>G5*(1+G6)</f>
        <v>0.71567994594277029</v>
      </c>
      <c r="H7" s="44"/>
      <c r="I7" s="44"/>
      <c r="J7" s="44"/>
    </row>
    <row r="8" spans="1:36" ht="16.5" x14ac:dyDescent="0.3">
      <c r="A8" s="313"/>
      <c r="B8" s="682">
        <f>AVERAGE(B3:C7)</f>
        <v>0.83000000000000007</v>
      </c>
      <c r="C8" s="683"/>
      <c r="D8" s="681" t="s">
        <v>374</v>
      </c>
      <c r="E8" s="681"/>
      <c r="F8" s="681"/>
      <c r="G8" s="316">
        <v>0.12</v>
      </c>
      <c r="H8" s="44"/>
      <c r="I8" s="44"/>
      <c r="J8" s="44"/>
    </row>
    <row r="9" spans="1:36" ht="16.5" x14ac:dyDescent="0.3">
      <c r="A9" s="308"/>
      <c r="B9" s="309"/>
      <c r="C9" s="121"/>
      <c r="D9" s="684" t="s">
        <v>375</v>
      </c>
      <c r="E9" s="684"/>
      <c r="F9" s="684"/>
      <c r="G9" s="314">
        <f>G7*(1+G8)</f>
        <v>0.80156153945590281</v>
      </c>
      <c r="H9" s="44"/>
      <c r="I9" s="44"/>
      <c r="J9" s="44"/>
    </row>
    <row r="11" spans="1:36" ht="15.75" thickBot="1" x14ac:dyDescent="0.3"/>
    <row r="12" spans="1:36" ht="16.5" x14ac:dyDescent="0.3">
      <c r="A12" s="107" t="s">
        <v>160</v>
      </c>
      <c r="B12" s="107"/>
      <c r="C12" s="107" t="s">
        <v>161</v>
      </c>
      <c r="D12" s="107" t="s">
        <v>162</v>
      </c>
      <c r="E12" s="107" t="s">
        <v>163</v>
      </c>
      <c r="F12" s="107" t="s">
        <v>164</v>
      </c>
      <c r="G12" s="107" t="s">
        <v>165</v>
      </c>
      <c r="H12" s="107" t="s">
        <v>166</v>
      </c>
      <c r="I12" s="107" t="s">
        <v>167</v>
      </c>
      <c r="J12" s="107" t="s">
        <v>168</v>
      </c>
      <c r="K12" s="107" t="s">
        <v>169</v>
      </c>
      <c r="L12" s="107" t="s">
        <v>170</v>
      </c>
      <c r="M12" s="107" t="s">
        <v>171</v>
      </c>
      <c r="N12" s="107" t="s">
        <v>172</v>
      </c>
    </row>
    <row r="13" spans="1:36" ht="16.5" x14ac:dyDescent="0.3">
      <c r="A13" s="237" t="s">
        <v>382</v>
      </c>
      <c r="B13" s="123"/>
      <c r="C13" s="317">
        <f>$G$5*Costos!B9</f>
        <v>178386.6843057496</v>
      </c>
      <c r="D13" s="317">
        <f>$G$5*Costos!C9</f>
        <v>178609.6676611318</v>
      </c>
      <c r="E13" s="317">
        <f>$G$5*Costos!D9</f>
        <v>178832.92974570821</v>
      </c>
      <c r="F13" s="317">
        <f>$G$5*Costos!E9</f>
        <v>179056.47090789035</v>
      </c>
      <c r="G13" s="317">
        <f>$G$5*Costos!F9</f>
        <v>179280.2914965252</v>
      </c>
      <c r="H13" s="317">
        <f>$G$5*Costos!G9</f>
        <v>179504.39186089585</v>
      </c>
      <c r="I13" s="317">
        <f>$G$5*Costos!H9</f>
        <v>179728.77235072196</v>
      </c>
      <c r="J13" s="317">
        <f>$G$5*Costos!I9</f>
        <v>179953.43331616037</v>
      </c>
      <c r="K13" s="317">
        <f>$G$5*Costos!J9</f>
        <v>180178.37510780559</v>
      </c>
      <c r="L13" s="317">
        <f>$G$5*Costos!K9</f>
        <v>180403.59807669034</v>
      </c>
      <c r="M13" s="317">
        <f>$G$5*Costos!L9</f>
        <v>180629.10257428623</v>
      </c>
      <c r="N13" s="317">
        <f>$G$5*Costos!M9</f>
        <v>180854.88895250409</v>
      </c>
    </row>
    <row r="14" spans="1:36" ht="16.5" x14ac:dyDescent="0.3">
      <c r="A14" s="318" t="s">
        <v>383</v>
      </c>
      <c r="B14" s="121"/>
      <c r="C14" s="319">
        <f>C13/Costos!B9</f>
        <v>0.53608984714814256</v>
      </c>
      <c r="D14" s="319">
        <f>D13/Costos!C9</f>
        <v>0.53608984714814256</v>
      </c>
      <c r="E14" s="319">
        <f>E13/Costos!D9</f>
        <v>0.53608984714814256</v>
      </c>
      <c r="F14" s="319">
        <f>F13/Costos!E9</f>
        <v>0.53608984714814256</v>
      </c>
      <c r="G14" s="319">
        <f>G13/Costos!F9</f>
        <v>0.53608984714814256</v>
      </c>
      <c r="H14" s="319">
        <f>H13/Costos!G9</f>
        <v>0.53608984714814256</v>
      </c>
      <c r="I14" s="319">
        <f>I13/Costos!H9</f>
        <v>0.53608984714814256</v>
      </c>
      <c r="J14" s="319">
        <f>J13/Costos!I9</f>
        <v>0.53608984714814256</v>
      </c>
      <c r="K14" s="319">
        <f>K13/Costos!J9</f>
        <v>0.53608984714814256</v>
      </c>
      <c r="L14" s="319">
        <f>L13/Costos!K9</f>
        <v>0.53608984714814256</v>
      </c>
      <c r="M14" s="319">
        <f>M13/Costos!L9</f>
        <v>0.53608984714814256</v>
      </c>
      <c r="N14" s="319">
        <f>N13/Costos!M9</f>
        <v>0.53608984714814256</v>
      </c>
    </row>
    <row r="15" spans="1:36" s="44" customFormat="1" ht="13.5" customHeight="1" x14ac:dyDescent="0.35">
      <c r="A15" s="121" t="s">
        <v>384</v>
      </c>
      <c r="B15" s="121"/>
      <c r="C15" s="320">
        <f>C13</f>
        <v>178386.6843057496</v>
      </c>
      <c r="D15" s="320">
        <f>D13*(1+Costos!C78)</f>
        <v>177863.07925030828</v>
      </c>
      <c r="E15" s="320">
        <f>E13*(1+Costos!D78)</f>
        <v>178416.24901940071</v>
      </c>
      <c r="F15" s="320">
        <f>F13*(1+Costos!E78)</f>
        <v>178742.94302733065</v>
      </c>
      <c r="G15" s="320">
        <f>G13*(1+Costos!F78)</f>
        <v>179068.47183212204</v>
      </c>
      <c r="H15" s="320">
        <f>H13*(1+Costos!G78)</f>
        <v>179410.87904795591</v>
      </c>
      <c r="I15" s="320">
        <f>I13*(1+Costos!H78)</f>
        <v>179858.75669210532</v>
      </c>
      <c r="J15" s="320">
        <f>J13*(1+Costos!I78)</f>
        <v>180129.32385083585</v>
      </c>
      <c r="K15" s="320">
        <f>K13*(1+Costos!J78)</f>
        <v>180335.73501782084</v>
      </c>
      <c r="L15" s="320">
        <f>L13*(1+Costos!K78)</f>
        <v>180515.83845282919</v>
      </c>
      <c r="M15" s="320">
        <f>M13*(1+Costos!L78)</f>
        <v>180662.65489295148</v>
      </c>
      <c r="N15" s="320">
        <f>N13*(1+Costos!M78)</f>
        <v>180926.93150752617</v>
      </c>
      <c r="O15" s="121"/>
      <c r="P15" s="1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</row>
    <row r="16" spans="1:36" ht="16.5" x14ac:dyDescent="0.3">
      <c r="A16" s="318"/>
      <c r="B16" s="121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</row>
    <row r="17" spans="1:36" ht="17.25" thickBot="1" x14ac:dyDescent="0.35">
      <c r="A17" s="318"/>
      <c r="B17" s="121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</row>
    <row r="18" spans="1:36" ht="16.5" x14ac:dyDescent="0.3">
      <c r="A18" s="107" t="s">
        <v>219</v>
      </c>
      <c r="B18" s="107"/>
      <c r="C18" s="107">
        <v>2012</v>
      </c>
      <c r="D18" s="107">
        <v>2013</v>
      </c>
      <c r="E18" s="107">
        <v>2014</v>
      </c>
      <c r="F18" s="107">
        <v>2015</v>
      </c>
      <c r="G18" s="107">
        <v>2016</v>
      </c>
      <c r="H18" s="107">
        <v>2017</v>
      </c>
      <c r="I18" s="107">
        <v>2018</v>
      </c>
      <c r="J18" s="107">
        <v>2019</v>
      </c>
      <c r="K18" s="107">
        <v>2020</v>
      </c>
      <c r="L18" s="107">
        <v>2021</v>
      </c>
      <c r="M18" s="319"/>
      <c r="N18" s="319"/>
    </row>
    <row r="19" spans="1:36" ht="16.5" x14ac:dyDescent="0.3">
      <c r="A19" s="237" t="s">
        <v>382</v>
      </c>
      <c r="B19" s="123"/>
      <c r="C19" s="317">
        <f>SUM(C13:N13)</f>
        <v>2155418.6063560699</v>
      </c>
      <c r="D19" s="317">
        <f>$G$5*Costos!D13</f>
        <v>2220566.1337331817</v>
      </c>
      <c r="E19" s="317">
        <f>$G$5*Costos!E13</f>
        <v>2253874.6257391791</v>
      </c>
      <c r="F19" s="317">
        <f>$G$5*Costos!F13</f>
        <v>2287682.7451252667</v>
      </c>
      <c r="G19" s="317">
        <f>$G$5*Costos!G13</f>
        <v>2321997.9863021458</v>
      </c>
      <c r="H19" s="317">
        <f>$G$5*Costos!H13</f>
        <v>2356827.9560966776</v>
      </c>
      <c r="I19" s="317">
        <f>$G$5*Costos!I13</f>
        <v>2392180.3754381272</v>
      </c>
      <c r="J19" s="317">
        <f>$G$5*Costos!J13</f>
        <v>2428063.081069699</v>
      </c>
      <c r="K19" s="317">
        <f>$G$5*Costos!K13</f>
        <v>2464484.027285744</v>
      </c>
      <c r="L19" s="317">
        <f>$G$5*Costos!L13</f>
        <v>2501451.2876950298</v>
      </c>
      <c r="M19" s="121"/>
      <c r="N19" s="121"/>
    </row>
    <row r="20" spans="1:36" ht="16.5" x14ac:dyDescent="0.3">
      <c r="A20" s="318" t="s">
        <v>383</v>
      </c>
      <c r="B20" s="121"/>
      <c r="C20" s="321">
        <f>C19/Costos!C13</f>
        <v>0.52816733709176611</v>
      </c>
      <c r="D20" s="321">
        <f>D19/Costos!D13</f>
        <v>0.53608984714814256</v>
      </c>
      <c r="E20" s="321">
        <f>E19/Costos!E13</f>
        <v>0.53608984714814256</v>
      </c>
      <c r="F20" s="321">
        <f>F19/Costos!F13</f>
        <v>0.53608984714814256</v>
      </c>
      <c r="G20" s="321">
        <f>G19/Costos!G13</f>
        <v>0.53608984714814256</v>
      </c>
      <c r="H20" s="321">
        <f>H19/Costos!H13</f>
        <v>0.53608984714814256</v>
      </c>
      <c r="I20" s="321">
        <f>I19/Costos!I13</f>
        <v>0.53608984714814256</v>
      </c>
      <c r="J20" s="321">
        <f>J19/Costos!J13</f>
        <v>0.53608984714814256</v>
      </c>
      <c r="K20" s="321">
        <f>K19/Costos!K13</f>
        <v>0.53608984714814256</v>
      </c>
      <c r="L20" s="321">
        <f>L19/Costos!L13</f>
        <v>0.53608984714814256</v>
      </c>
      <c r="M20" s="121"/>
      <c r="N20" s="121"/>
    </row>
    <row r="21" spans="1:36" s="44" customFormat="1" ht="13.5" customHeight="1" x14ac:dyDescent="0.35">
      <c r="A21" s="121" t="s">
        <v>384</v>
      </c>
      <c r="B21" s="121"/>
      <c r="C21" s="320">
        <f>C19</f>
        <v>2155418.6063560699</v>
      </c>
      <c r="D21" s="320">
        <f>D19*(1+Costos!C84)</f>
        <v>2216050.7924441588</v>
      </c>
      <c r="E21" s="320">
        <f>E19*(1+Costos!D84)</f>
        <v>2256211.4830444837</v>
      </c>
      <c r="F21" s="320">
        <f>F19*(1+Costos!E84)</f>
        <v>2287544.8097302057</v>
      </c>
      <c r="G21" s="320">
        <f>G19*(1+Costos!F84)</f>
        <v>2321666.740378913</v>
      </c>
      <c r="H21" s="320">
        <f>H19*(1+Costos!G84)</f>
        <v>2357019.7474847808</v>
      </c>
      <c r="I21" s="320">
        <f>I19*(1+Costos!H84)</f>
        <v>2392139.9176138751</v>
      </c>
      <c r="J21" s="320">
        <f>J19*(1+Costos!I84)</f>
        <v>2428050.6820350387</v>
      </c>
      <c r="K21" s="320">
        <f>K19*(1+Costos!J84)</f>
        <v>2464497.2665728326</v>
      </c>
      <c r="L21" s="320">
        <f>L19*(1+Costos!K84)</f>
        <v>2501446.6977227461</v>
      </c>
      <c r="M21" s="320"/>
      <c r="N21" s="320"/>
      <c r="O21" s="121"/>
      <c r="P21" s="1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</row>
  </sheetData>
  <mergeCells count="17">
    <mergeCell ref="B6:C6"/>
    <mergeCell ref="D6:F6"/>
    <mergeCell ref="B1:C1"/>
    <mergeCell ref="B2:C2"/>
    <mergeCell ref="D2:F2"/>
    <mergeCell ref="B3:C3"/>
    <mergeCell ref="D3:F3"/>
    <mergeCell ref="D1:G1"/>
    <mergeCell ref="D4:F4"/>
    <mergeCell ref="B4:C4"/>
    <mergeCell ref="B5:C5"/>
    <mergeCell ref="D5:F5"/>
    <mergeCell ref="B7:C7"/>
    <mergeCell ref="D7:F7"/>
    <mergeCell ref="B8:C8"/>
    <mergeCell ref="D8:F8"/>
    <mergeCell ref="D9:F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34" workbookViewId="0">
      <selection activeCell="H56" sqref="H56"/>
    </sheetView>
  </sheetViews>
  <sheetFormatPr baseColWidth="10" defaultRowHeight="15" x14ac:dyDescent="0.25"/>
  <cols>
    <col min="1" max="1" width="16.7109375" bestFit="1" customWidth="1"/>
    <col min="2" max="2" width="37.85546875" bestFit="1" customWidth="1"/>
    <col min="3" max="3" width="13" bestFit="1" customWidth="1"/>
    <col min="4" max="4" width="13.140625" customWidth="1"/>
    <col min="5" max="5" width="13" bestFit="1" customWidth="1"/>
    <col min="6" max="6" width="16.140625" customWidth="1"/>
    <col min="7" max="7" width="13" bestFit="1" customWidth="1"/>
    <col min="8" max="8" width="12.7109375" customWidth="1"/>
    <col min="9" max="9" width="13.140625" customWidth="1"/>
  </cols>
  <sheetData>
    <row r="1" spans="1:9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9" ht="20.25" x14ac:dyDescent="0.3">
      <c r="A2" s="63" t="s">
        <v>107</v>
      </c>
      <c r="B2" s="63"/>
      <c r="C2" s="63"/>
      <c r="D2" s="63"/>
      <c r="E2" s="63"/>
      <c r="F2" s="63"/>
      <c r="G2" s="63"/>
      <c r="H2" s="63"/>
      <c r="I2" s="62"/>
    </row>
    <row r="3" spans="1:9" ht="15.75" thickBot="1" x14ac:dyDescent="0.3">
      <c r="A3" s="62"/>
      <c r="B3" s="62"/>
      <c r="C3" s="62"/>
      <c r="D3" s="62"/>
      <c r="E3" s="62"/>
      <c r="F3" s="62"/>
      <c r="G3" s="62"/>
      <c r="H3" s="62"/>
      <c r="I3" s="62"/>
    </row>
    <row r="4" spans="1:9" x14ac:dyDescent="0.25">
      <c r="A4" s="697" t="s">
        <v>108</v>
      </c>
      <c r="B4" s="697" t="s">
        <v>109</v>
      </c>
      <c r="C4" s="697" t="s">
        <v>110</v>
      </c>
      <c r="D4" s="697" t="s">
        <v>111</v>
      </c>
      <c r="E4" s="697" t="s">
        <v>112</v>
      </c>
      <c r="F4" s="697" t="s">
        <v>113</v>
      </c>
      <c r="G4" s="697" t="s">
        <v>114</v>
      </c>
      <c r="H4" s="697" t="s">
        <v>115</v>
      </c>
      <c r="I4" s="697" t="s">
        <v>116</v>
      </c>
    </row>
    <row r="5" spans="1:9" ht="15.75" thickBot="1" x14ac:dyDescent="0.3">
      <c r="A5" s="702"/>
      <c r="B5" s="702"/>
      <c r="C5" s="702"/>
      <c r="D5" s="702"/>
      <c r="E5" s="702"/>
      <c r="F5" s="702"/>
      <c r="G5" s="702"/>
      <c r="H5" s="702"/>
      <c r="I5" s="698"/>
    </row>
    <row r="6" spans="1:9" x14ac:dyDescent="0.25">
      <c r="A6" s="64">
        <f>SUM(A17:A22)</f>
        <v>7</v>
      </c>
      <c r="B6" s="106" t="s">
        <v>117</v>
      </c>
      <c r="C6" s="65">
        <f>SUM(E17:E22)</f>
        <v>183500</v>
      </c>
      <c r="D6" s="66">
        <v>15</v>
      </c>
      <c r="E6" s="67">
        <f t="shared" ref="E6:E12" si="0">C6/D6</f>
        <v>12233.333333333334</v>
      </c>
      <c r="F6" s="66">
        <v>10</v>
      </c>
      <c r="G6" s="68">
        <f t="shared" ref="G6:G12" si="1">E6*F6</f>
        <v>122333.33333333334</v>
      </c>
      <c r="H6" s="68">
        <f t="shared" ref="H6:H12" si="2">C6-G6</f>
        <v>61166.666666666657</v>
      </c>
      <c r="I6" s="69">
        <f>E6/12</f>
        <v>1019.4444444444445</v>
      </c>
    </row>
    <row r="7" spans="1:9" x14ac:dyDescent="0.25">
      <c r="A7" s="70">
        <f>SUM(A23:A30)</f>
        <v>73</v>
      </c>
      <c r="B7" s="106" t="s">
        <v>118</v>
      </c>
      <c r="C7" s="65">
        <f>SUM(E23:E30)</f>
        <v>21485</v>
      </c>
      <c r="D7" s="66">
        <v>10</v>
      </c>
      <c r="E7" s="67">
        <f t="shared" si="0"/>
        <v>2148.5</v>
      </c>
      <c r="F7" s="66">
        <v>10</v>
      </c>
      <c r="G7" s="68">
        <f t="shared" si="1"/>
        <v>21485</v>
      </c>
      <c r="H7" s="68">
        <f t="shared" si="2"/>
        <v>0</v>
      </c>
      <c r="I7" s="69">
        <f t="shared" ref="I7:I12" si="3">E7/12</f>
        <v>179.04166666666666</v>
      </c>
    </row>
    <row r="8" spans="1:9" x14ac:dyDescent="0.25">
      <c r="A8" s="70">
        <f>Inversiones!B5+Inversiones!B4</f>
        <v>8</v>
      </c>
      <c r="B8" s="106" t="s">
        <v>119</v>
      </c>
      <c r="C8" s="71">
        <f>Inversiones!D5+Inversiones!D4</f>
        <v>4777.0048000000006</v>
      </c>
      <c r="D8" s="72">
        <v>5</v>
      </c>
      <c r="E8" s="73">
        <f t="shared" si="0"/>
        <v>955.40096000000017</v>
      </c>
      <c r="F8" s="72">
        <v>5</v>
      </c>
      <c r="G8" s="74">
        <f t="shared" si="1"/>
        <v>4777.0048000000006</v>
      </c>
      <c r="H8" s="68">
        <f t="shared" si="2"/>
        <v>0</v>
      </c>
      <c r="I8" s="69">
        <f t="shared" si="3"/>
        <v>79.616746666666685</v>
      </c>
    </row>
    <row r="9" spans="1:9" x14ac:dyDescent="0.25">
      <c r="A9" s="70">
        <f>Inversiones!B52</f>
        <v>2</v>
      </c>
      <c r="B9" s="106" t="s">
        <v>120</v>
      </c>
      <c r="C9" s="71">
        <f>Inversiones!D52</f>
        <v>59808</v>
      </c>
      <c r="D9" s="72">
        <v>5</v>
      </c>
      <c r="E9" s="73">
        <f t="shared" si="0"/>
        <v>11961.6</v>
      </c>
      <c r="F9" s="72">
        <v>5</v>
      </c>
      <c r="G9" s="74">
        <f t="shared" si="1"/>
        <v>59808</v>
      </c>
      <c r="H9" s="68">
        <f t="shared" si="2"/>
        <v>0</v>
      </c>
      <c r="I9" s="69">
        <f t="shared" si="3"/>
        <v>996.80000000000007</v>
      </c>
    </row>
    <row r="10" spans="1:9" x14ac:dyDescent="0.25">
      <c r="A10" s="70">
        <f>Inversiones!B6</f>
        <v>3</v>
      </c>
      <c r="B10" s="106" t="s">
        <v>121</v>
      </c>
      <c r="C10" s="75">
        <f>Inversiones!D6</f>
        <v>1891.53</v>
      </c>
      <c r="D10" s="76">
        <v>10</v>
      </c>
      <c r="E10" s="77">
        <f t="shared" si="0"/>
        <v>189.15299999999999</v>
      </c>
      <c r="F10" s="76">
        <v>10</v>
      </c>
      <c r="G10" s="78">
        <f t="shared" si="1"/>
        <v>1891.53</v>
      </c>
      <c r="H10" s="74">
        <f t="shared" si="2"/>
        <v>0</v>
      </c>
      <c r="I10" s="69">
        <f t="shared" si="3"/>
        <v>15.762749999999999</v>
      </c>
    </row>
    <row r="11" spans="1:9" x14ac:dyDescent="0.25">
      <c r="A11" s="70">
        <v>5</v>
      </c>
      <c r="B11" s="106" t="s">
        <v>122</v>
      </c>
      <c r="C11" s="75">
        <f>Inversiones!D17+Inversiones!D18+Inversiones!D19+Inversiones!D20</f>
        <v>767</v>
      </c>
      <c r="D11" s="76">
        <v>5</v>
      </c>
      <c r="E11" s="77">
        <f t="shared" si="0"/>
        <v>153.4</v>
      </c>
      <c r="F11" s="76">
        <v>5</v>
      </c>
      <c r="G11" s="78">
        <f t="shared" si="1"/>
        <v>767</v>
      </c>
      <c r="H11" s="74">
        <f t="shared" si="2"/>
        <v>0</v>
      </c>
      <c r="I11" s="69">
        <f t="shared" si="3"/>
        <v>12.783333333333333</v>
      </c>
    </row>
    <row r="12" spans="1:9" ht="15.75" thickBot="1" x14ac:dyDescent="0.3">
      <c r="A12" s="79">
        <f>SUM(Inversiones!B7:B15)</f>
        <v>33</v>
      </c>
      <c r="B12" s="106" t="s">
        <v>123</v>
      </c>
      <c r="C12" s="75">
        <f>SUM(Inversiones!D7:D15)</f>
        <v>4006.0699999999997</v>
      </c>
      <c r="D12" s="76">
        <v>15</v>
      </c>
      <c r="E12" s="80">
        <f t="shared" si="0"/>
        <v>267.07133333333331</v>
      </c>
      <c r="F12" s="81">
        <v>10</v>
      </c>
      <c r="G12" s="82">
        <f t="shared" si="1"/>
        <v>2670.7133333333331</v>
      </c>
      <c r="H12" s="83">
        <f t="shared" si="2"/>
        <v>1335.3566666666666</v>
      </c>
      <c r="I12" s="69">
        <f t="shared" si="3"/>
        <v>22.255944444444442</v>
      </c>
    </row>
    <row r="13" spans="1:9" ht="15.75" thickBot="1" x14ac:dyDescent="0.3">
      <c r="A13" s="699" t="s">
        <v>124</v>
      </c>
      <c r="B13" s="700"/>
      <c r="C13" s="700"/>
      <c r="D13" s="701"/>
      <c r="E13" s="84">
        <f>SUM(E6:E12)</f>
        <v>27908.458626666667</v>
      </c>
      <c r="F13" s="699" t="s">
        <v>125</v>
      </c>
      <c r="G13" s="701"/>
      <c r="H13" s="85">
        <f>SUM(H6:H12)</f>
        <v>62502.023333333324</v>
      </c>
      <c r="I13" s="86">
        <f>SUM(I6:I12)</f>
        <v>2325.7048855555554</v>
      </c>
    </row>
    <row r="14" spans="1:9" x14ac:dyDescent="0.25">
      <c r="A14" s="87"/>
      <c r="B14" s="87"/>
      <c r="C14" s="88"/>
      <c r="D14" s="88"/>
      <c r="E14" s="89"/>
      <c r="F14" s="87"/>
      <c r="G14" s="87"/>
      <c r="H14" s="89"/>
      <c r="I14" s="62"/>
    </row>
    <row r="15" spans="1:9" ht="15.75" thickBot="1" x14ac:dyDescent="0.3">
      <c r="A15" s="87"/>
      <c r="B15" s="87"/>
      <c r="C15" s="87"/>
      <c r="D15" s="90"/>
      <c r="E15" s="89"/>
      <c r="F15" s="87"/>
      <c r="G15" s="87"/>
      <c r="H15" s="89"/>
      <c r="I15" s="62"/>
    </row>
    <row r="16" spans="1:9" ht="16.5" x14ac:dyDescent="0.3">
      <c r="A16" s="107" t="s">
        <v>108</v>
      </c>
      <c r="B16" s="107" t="s">
        <v>126</v>
      </c>
      <c r="C16" s="107" t="s">
        <v>127</v>
      </c>
      <c r="D16" s="107" t="s">
        <v>128</v>
      </c>
      <c r="E16" s="107" t="s">
        <v>129</v>
      </c>
      <c r="F16" s="647" t="s">
        <v>130</v>
      </c>
      <c r="G16" s="648"/>
      <c r="H16" s="649"/>
      <c r="I16" s="62"/>
    </row>
    <row r="17" spans="1:9" ht="16.5" x14ac:dyDescent="0.3">
      <c r="A17" s="116">
        <f>Inversiones!B35</f>
        <v>1</v>
      </c>
      <c r="B17" s="105" t="s">
        <v>28</v>
      </c>
      <c r="C17" s="91" t="s">
        <v>131</v>
      </c>
      <c r="D17" s="4">
        <f>Inversiones!C35</f>
        <v>16500</v>
      </c>
      <c r="E17" s="92">
        <f>D17*A17</f>
        <v>16500</v>
      </c>
      <c r="F17" s="693" t="s">
        <v>132</v>
      </c>
      <c r="G17" s="694"/>
      <c r="H17" s="69">
        <f>C6*35%</f>
        <v>64224.999999999993</v>
      </c>
      <c r="I17" s="62"/>
    </row>
    <row r="18" spans="1:9" ht="16.5" x14ac:dyDescent="0.3">
      <c r="A18" s="116">
        <f>Inversiones!B36</f>
        <v>1</v>
      </c>
      <c r="B18" s="105" t="s">
        <v>30</v>
      </c>
      <c r="C18" s="95" t="s">
        <v>131</v>
      </c>
      <c r="D18" s="4">
        <f>Inversiones!C36</f>
        <v>3000</v>
      </c>
      <c r="E18" s="94">
        <f t="shared" ref="E18:E30" si="4">D18*A18</f>
        <v>3000</v>
      </c>
      <c r="F18" s="693" t="s">
        <v>133</v>
      </c>
      <c r="G18" s="694"/>
      <c r="H18" s="69">
        <f>C7*20%</f>
        <v>4297</v>
      </c>
      <c r="I18" s="62"/>
    </row>
    <row r="19" spans="1:9" ht="16.5" x14ac:dyDescent="0.3">
      <c r="A19" s="116">
        <f>Inversiones!B37</f>
        <v>1</v>
      </c>
      <c r="B19" s="105" t="s">
        <v>32</v>
      </c>
      <c r="C19" s="96" t="s">
        <v>131</v>
      </c>
      <c r="D19" s="4">
        <f>Inversiones!C37</f>
        <v>15000</v>
      </c>
      <c r="E19" s="94">
        <f t="shared" si="4"/>
        <v>15000</v>
      </c>
      <c r="F19" s="693" t="s">
        <v>120</v>
      </c>
      <c r="G19" s="694"/>
      <c r="H19" s="69">
        <f>(C9-(E9*4))/2</f>
        <v>5980.7999999999993</v>
      </c>
      <c r="I19" s="62"/>
    </row>
    <row r="20" spans="1:9" ht="17.25" thickBot="1" x14ac:dyDescent="0.35">
      <c r="A20" s="116">
        <f>Inversiones!B38</f>
        <v>1</v>
      </c>
      <c r="B20" s="105" t="s">
        <v>42</v>
      </c>
      <c r="C20" s="96" t="s">
        <v>131</v>
      </c>
      <c r="D20" s="4">
        <f>Inversiones!C38</f>
        <v>28000</v>
      </c>
      <c r="E20" s="114">
        <f t="shared" si="4"/>
        <v>28000</v>
      </c>
      <c r="F20" s="695" t="s">
        <v>134</v>
      </c>
      <c r="G20" s="696"/>
      <c r="H20" s="69">
        <f>C12*15%</f>
        <v>600.91049999999996</v>
      </c>
      <c r="I20" s="62"/>
    </row>
    <row r="21" spans="1:9" ht="17.25" thickBot="1" x14ac:dyDescent="0.35">
      <c r="A21" s="116">
        <f>Inversiones!B39</f>
        <v>1</v>
      </c>
      <c r="B21" s="105" t="s">
        <v>40</v>
      </c>
      <c r="C21" s="96" t="s">
        <v>131</v>
      </c>
      <c r="D21" s="4">
        <f>Inversiones!C39</f>
        <v>5000</v>
      </c>
      <c r="E21" s="114">
        <f t="shared" si="4"/>
        <v>5000</v>
      </c>
      <c r="F21" s="62"/>
      <c r="G21" s="62"/>
      <c r="H21" s="97">
        <f>SUM(H17:H20)</f>
        <v>75103.710500000001</v>
      </c>
      <c r="I21" s="62"/>
    </row>
    <row r="22" spans="1:9" ht="16.5" x14ac:dyDescent="0.3">
      <c r="A22" s="116">
        <f>Inversiones!B40</f>
        <v>2</v>
      </c>
      <c r="B22" s="105" t="s">
        <v>35</v>
      </c>
      <c r="C22" s="96" t="s">
        <v>131</v>
      </c>
      <c r="D22" s="4">
        <f>Inversiones!C40</f>
        <v>58000</v>
      </c>
      <c r="E22" s="94">
        <f t="shared" si="4"/>
        <v>116000</v>
      </c>
      <c r="F22" s="62"/>
      <c r="G22" s="98"/>
      <c r="H22" s="98"/>
      <c r="I22" s="62"/>
    </row>
    <row r="23" spans="1:9" s="44" customFormat="1" ht="16.5" x14ac:dyDescent="0.3">
      <c r="A23" s="116">
        <f>Inversiones!B41</f>
        <v>1</v>
      </c>
      <c r="B23" s="105" t="s">
        <v>31</v>
      </c>
      <c r="C23" s="96" t="s">
        <v>135</v>
      </c>
      <c r="D23" s="4">
        <f>Inversiones!C41</f>
        <v>1940</v>
      </c>
      <c r="E23" s="94">
        <f t="shared" si="4"/>
        <v>1940</v>
      </c>
      <c r="F23" s="62"/>
      <c r="G23" s="98"/>
      <c r="H23" s="98"/>
      <c r="I23" s="62"/>
    </row>
    <row r="24" spans="1:9" s="44" customFormat="1" ht="16.5" x14ac:dyDescent="0.3">
      <c r="A24" s="116">
        <f>Inversiones!B42</f>
        <v>3</v>
      </c>
      <c r="B24" s="105" t="s">
        <v>33</v>
      </c>
      <c r="C24" s="96" t="s">
        <v>135</v>
      </c>
      <c r="D24" s="4">
        <f>Inversiones!C42</f>
        <v>200</v>
      </c>
      <c r="E24" s="94">
        <f t="shared" si="4"/>
        <v>600</v>
      </c>
      <c r="F24" s="62"/>
      <c r="G24" s="98"/>
      <c r="H24" s="98"/>
      <c r="I24" s="62"/>
    </row>
    <row r="25" spans="1:9" s="44" customFormat="1" ht="16.5" x14ac:dyDescent="0.3">
      <c r="A25" s="116">
        <f>Inversiones!B43</f>
        <v>3</v>
      </c>
      <c r="B25" s="105" t="s">
        <v>34</v>
      </c>
      <c r="C25" s="96" t="s">
        <v>135</v>
      </c>
      <c r="D25" s="4">
        <f>Inversiones!C43</f>
        <v>135</v>
      </c>
      <c r="E25" s="94">
        <f t="shared" si="4"/>
        <v>405</v>
      </c>
      <c r="F25" s="62"/>
      <c r="G25" s="98"/>
      <c r="H25" s="98"/>
      <c r="I25" s="62"/>
    </row>
    <row r="26" spans="1:9" ht="16.5" x14ac:dyDescent="0.3">
      <c r="A26" s="116">
        <f>Inversiones!B44</f>
        <v>2</v>
      </c>
      <c r="B26" s="105" t="s">
        <v>29</v>
      </c>
      <c r="C26" s="93" t="s">
        <v>135</v>
      </c>
      <c r="D26" s="4">
        <f>Inversiones!C44</f>
        <v>2500</v>
      </c>
      <c r="E26" s="94">
        <f t="shared" si="4"/>
        <v>5000</v>
      </c>
      <c r="F26" s="62"/>
      <c r="G26" s="44"/>
      <c r="H26" s="98"/>
      <c r="I26" s="62"/>
    </row>
    <row r="27" spans="1:9" s="44" customFormat="1" ht="16.5" x14ac:dyDescent="0.3">
      <c r="A27" s="116">
        <f>Inversiones!B45</f>
        <v>12</v>
      </c>
      <c r="B27" s="105" t="s">
        <v>44</v>
      </c>
      <c r="C27" s="96" t="s">
        <v>135</v>
      </c>
      <c r="D27" s="4">
        <f>Inversiones!C45</f>
        <v>810</v>
      </c>
      <c r="E27" s="94">
        <f t="shared" si="4"/>
        <v>9720</v>
      </c>
      <c r="F27" s="62"/>
      <c r="H27" s="98"/>
      <c r="I27" s="62"/>
    </row>
    <row r="28" spans="1:9" ht="16.5" x14ac:dyDescent="0.3">
      <c r="A28" s="116">
        <f>Inversiones!B46</f>
        <v>1</v>
      </c>
      <c r="B28" s="105" t="s">
        <v>36</v>
      </c>
      <c r="C28" s="96" t="s">
        <v>135</v>
      </c>
      <c r="D28" s="4">
        <f>Inversiones!C46</f>
        <v>1200</v>
      </c>
      <c r="E28" s="94">
        <f t="shared" si="4"/>
        <v>1200</v>
      </c>
      <c r="F28" s="62"/>
      <c r="G28" s="62"/>
      <c r="H28" s="99"/>
      <c r="I28" s="62"/>
    </row>
    <row r="29" spans="1:9" ht="16.5" x14ac:dyDescent="0.3">
      <c r="A29" s="116">
        <f>Inversiones!B47</f>
        <v>50</v>
      </c>
      <c r="B29" s="105" t="s">
        <v>39</v>
      </c>
      <c r="C29" s="96" t="s">
        <v>135</v>
      </c>
      <c r="D29" s="4">
        <f>Inversiones!C47</f>
        <v>40</v>
      </c>
      <c r="E29" s="114">
        <f t="shared" si="4"/>
        <v>2000</v>
      </c>
      <c r="F29" s="62"/>
      <c r="G29" s="62"/>
      <c r="H29" s="62"/>
      <c r="I29" s="62"/>
    </row>
    <row r="30" spans="1:9" s="44" customFormat="1" ht="16.5" x14ac:dyDescent="0.3">
      <c r="A30" s="116">
        <f>Inversiones!B48</f>
        <v>1</v>
      </c>
      <c r="B30" s="105" t="s">
        <v>41</v>
      </c>
      <c r="C30" s="96" t="s">
        <v>135</v>
      </c>
      <c r="D30" s="4">
        <f>Inversiones!C48</f>
        <v>620</v>
      </c>
      <c r="E30" s="114">
        <f t="shared" si="4"/>
        <v>620</v>
      </c>
      <c r="F30" s="62"/>
      <c r="G30" s="62"/>
      <c r="H30" s="62"/>
      <c r="I30" s="62"/>
    </row>
    <row r="31" spans="1:9" ht="15.75" thickBot="1" x14ac:dyDescent="0.3">
      <c r="E31" s="112">
        <f>SUM(E17:E28)</f>
        <v>202365</v>
      </c>
      <c r="F31" s="62"/>
      <c r="G31" s="62"/>
      <c r="H31" s="62"/>
      <c r="I31" s="62"/>
    </row>
    <row r="32" spans="1:9" s="44" customFormat="1" x14ac:dyDescent="0.25">
      <c r="F32" s="62"/>
      <c r="G32" s="62"/>
      <c r="H32" s="62"/>
      <c r="I32" s="62"/>
    </row>
    <row r="33" spans="1:9" ht="20.25" x14ac:dyDescent="0.3">
      <c r="A33" s="63" t="s">
        <v>136</v>
      </c>
      <c r="B33" s="63"/>
      <c r="C33" s="63"/>
      <c r="D33" s="63"/>
      <c r="E33" s="63"/>
      <c r="F33" s="63"/>
      <c r="G33" s="63"/>
      <c r="H33" s="63"/>
      <c r="I33" s="62"/>
    </row>
    <row r="34" spans="1:9" ht="15.75" thickBot="1" x14ac:dyDescent="0.3">
      <c r="A34" s="62"/>
      <c r="B34" s="62"/>
      <c r="C34" s="62"/>
      <c r="D34" s="62"/>
      <c r="E34" s="62"/>
      <c r="F34" s="62"/>
      <c r="G34" s="62"/>
      <c r="H34" s="62"/>
      <c r="I34" s="62"/>
    </row>
    <row r="35" spans="1:9" ht="16.5" x14ac:dyDescent="0.3">
      <c r="A35" s="62"/>
      <c r="B35" s="647" t="s">
        <v>137</v>
      </c>
      <c r="C35" s="649"/>
      <c r="D35" s="109" t="s">
        <v>138</v>
      </c>
      <c r="E35" s="100">
        <f>C43</f>
        <v>75103.710500000001</v>
      </c>
      <c r="F35" s="62"/>
      <c r="G35" s="62"/>
      <c r="H35" s="62"/>
      <c r="I35" s="62"/>
    </row>
    <row r="36" spans="1:9" x14ac:dyDescent="0.25">
      <c r="A36" s="62"/>
      <c r="B36" s="106" t="s">
        <v>117</v>
      </c>
      <c r="C36" s="69">
        <f>H17</f>
        <v>64224.999999999993</v>
      </c>
      <c r="D36" s="109" t="s">
        <v>139</v>
      </c>
      <c r="E36" s="67">
        <f>H13</f>
        <v>62502.023333333324</v>
      </c>
      <c r="F36" s="62"/>
      <c r="G36" s="62"/>
      <c r="H36" s="62"/>
      <c r="I36" s="62"/>
    </row>
    <row r="37" spans="1:9" x14ac:dyDescent="0.25">
      <c r="A37" s="62"/>
      <c r="B37" s="106" t="s">
        <v>118</v>
      </c>
      <c r="C37" s="69">
        <f>H18</f>
        <v>4297</v>
      </c>
      <c r="D37" s="109" t="s">
        <v>140</v>
      </c>
      <c r="E37" s="101">
        <f>E35-E36</f>
        <v>12601.687166666678</v>
      </c>
      <c r="F37" s="62"/>
      <c r="G37" s="62"/>
      <c r="H37" s="62"/>
      <c r="I37" s="62"/>
    </row>
    <row r="38" spans="1:9" ht="15.75" thickBot="1" x14ac:dyDescent="0.3">
      <c r="A38" s="62"/>
      <c r="B38" s="106" t="s">
        <v>119</v>
      </c>
      <c r="C38" s="69">
        <v>0</v>
      </c>
      <c r="D38" s="109" t="s">
        <v>141</v>
      </c>
      <c r="E38" s="102">
        <f>E37*25%</f>
        <v>3150.4217916666694</v>
      </c>
      <c r="F38" s="62"/>
      <c r="G38" s="62"/>
      <c r="H38" s="62"/>
      <c r="I38" s="62"/>
    </row>
    <row r="39" spans="1:9" x14ac:dyDescent="0.25">
      <c r="A39" s="62"/>
      <c r="B39" s="106" t="s">
        <v>120</v>
      </c>
      <c r="C39" s="69">
        <f>H19</f>
        <v>5980.7999999999993</v>
      </c>
      <c r="D39" s="106" t="s">
        <v>142</v>
      </c>
      <c r="E39" s="103">
        <f>E37-E38</f>
        <v>9451.2653750000081</v>
      </c>
      <c r="F39" s="62"/>
      <c r="G39" s="62"/>
      <c r="H39" s="62"/>
      <c r="I39" s="62"/>
    </row>
    <row r="40" spans="1:9" ht="15.75" thickBot="1" x14ac:dyDescent="0.3">
      <c r="A40" s="62"/>
      <c r="B40" s="106" t="s">
        <v>121</v>
      </c>
      <c r="C40" s="69">
        <v>0</v>
      </c>
      <c r="D40" s="106" t="s">
        <v>139</v>
      </c>
      <c r="E40" s="103">
        <f>E36</f>
        <v>62502.023333333324</v>
      </c>
      <c r="F40" s="62"/>
      <c r="G40" s="62"/>
      <c r="H40" s="62"/>
      <c r="I40" s="62"/>
    </row>
    <row r="41" spans="1:9" ht="15.75" thickBot="1" x14ac:dyDescent="0.3">
      <c r="A41" s="62"/>
      <c r="B41" s="106" t="s">
        <v>122</v>
      </c>
      <c r="C41" s="69">
        <v>0</v>
      </c>
      <c r="D41" s="109" t="s">
        <v>143</v>
      </c>
      <c r="E41" s="110">
        <f>E39+E40</f>
        <v>71953.288708333333</v>
      </c>
      <c r="F41" s="62"/>
      <c r="G41" s="62"/>
      <c r="H41" s="62"/>
      <c r="I41" s="62"/>
    </row>
    <row r="42" spans="1:9" x14ac:dyDescent="0.25">
      <c r="A42" s="62"/>
      <c r="B42" s="106" t="s">
        <v>123</v>
      </c>
      <c r="C42" s="69">
        <f>H20</f>
        <v>600.91049999999996</v>
      </c>
      <c r="D42" s="62"/>
      <c r="E42" s="62"/>
      <c r="F42" s="62"/>
      <c r="G42" s="62"/>
      <c r="H42" s="62"/>
      <c r="I42" s="62"/>
    </row>
    <row r="43" spans="1:9" x14ac:dyDescent="0.25">
      <c r="A43" s="104"/>
      <c r="B43" s="108" t="s">
        <v>129</v>
      </c>
      <c r="C43" s="111">
        <f>SUM(C36:C42)</f>
        <v>75103.710500000001</v>
      </c>
      <c r="D43" s="104"/>
      <c r="E43" s="104"/>
      <c r="F43" s="104"/>
      <c r="G43" s="104"/>
      <c r="H43" s="104"/>
      <c r="I43" s="104"/>
    </row>
    <row r="44" spans="1:9" x14ac:dyDescent="0.25">
      <c r="A44" s="62"/>
      <c r="B44" s="62"/>
      <c r="C44" s="62"/>
      <c r="D44" s="62"/>
      <c r="E44" s="62"/>
      <c r="F44" s="62"/>
      <c r="G44" s="62"/>
      <c r="H44" s="62"/>
      <c r="I44" s="62"/>
    </row>
    <row r="45" spans="1:9" ht="20.25" x14ac:dyDescent="0.3">
      <c r="A45" s="63" t="s">
        <v>452</v>
      </c>
      <c r="B45" s="62"/>
      <c r="C45" s="62"/>
      <c r="D45" s="62"/>
      <c r="E45" s="62"/>
      <c r="F45" s="62"/>
      <c r="G45" s="62"/>
      <c r="H45" s="62"/>
      <c r="I45" s="62"/>
    </row>
    <row r="46" spans="1:9" ht="15.75" thickBot="1" x14ac:dyDescent="0.3">
      <c r="A46" s="44"/>
      <c r="B46" s="44"/>
      <c r="C46" s="44"/>
      <c r="D46" s="44"/>
      <c r="E46" s="44"/>
      <c r="F46" s="44"/>
      <c r="G46" s="44"/>
      <c r="H46" s="44"/>
      <c r="I46" s="44"/>
    </row>
    <row r="47" spans="1:9" ht="17.25" thickBot="1" x14ac:dyDescent="0.35">
      <c r="A47" s="44"/>
      <c r="B47" s="522" t="s">
        <v>450</v>
      </c>
      <c r="C47" s="523">
        <v>3</v>
      </c>
      <c r="D47" s="524">
        <v>5</v>
      </c>
      <c r="E47" s="525">
        <v>6</v>
      </c>
      <c r="F47" s="524">
        <v>9</v>
      </c>
      <c r="G47" s="526">
        <v>10</v>
      </c>
      <c r="H47" s="527" t="s">
        <v>129</v>
      </c>
    </row>
    <row r="48" spans="1:9" ht="17.25" thickBot="1" x14ac:dyDescent="0.35">
      <c r="A48" s="44"/>
      <c r="B48" s="534" t="s">
        <v>119</v>
      </c>
      <c r="C48" s="438">
        <f>C8</f>
        <v>4777.0048000000006</v>
      </c>
      <c r="D48" s="528"/>
      <c r="E48" s="438">
        <f>C48</f>
        <v>4777.0048000000006</v>
      </c>
      <c r="F48" s="438">
        <f>C48</f>
        <v>4777.0048000000006</v>
      </c>
      <c r="G48" s="529"/>
      <c r="H48" s="438">
        <f>SUM(C48:G48)</f>
        <v>14331.014400000002</v>
      </c>
    </row>
    <row r="49" spans="1:8" ht="17.25" thickBot="1" x14ac:dyDescent="0.35">
      <c r="A49" s="44"/>
      <c r="B49" s="535" t="s">
        <v>120</v>
      </c>
      <c r="C49" s="530"/>
      <c r="D49" s="531">
        <f>C9</f>
        <v>59808</v>
      </c>
      <c r="E49" s="530"/>
      <c r="F49" s="529"/>
      <c r="G49" s="530"/>
      <c r="H49" s="438">
        <f>SUM(C49:G49)</f>
        <v>59808</v>
      </c>
    </row>
    <row r="50" spans="1:8" ht="17.25" thickBot="1" x14ac:dyDescent="0.35">
      <c r="A50" s="44"/>
      <c r="B50" s="536" t="s">
        <v>451</v>
      </c>
      <c r="C50" s="532">
        <f>C11</f>
        <v>767</v>
      </c>
      <c r="D50" s="121"/>
      <c r="E50" s="532">
        <f>C50</f>
        <v>767</v>
      </c>
      <c r="F50" s="532">
        <f>C50</f>
        <v>767</v>
      </c>
      <c r="G50" s="530"/>
      <c r="H50" s="438">
        <f>SUM(C50:G50)</f>
        <v>2301</v>
      </c>
    </row>
    <row r="51" spans="1:8" ht="17.25" thickBot="1" x14ac:dyDescent="0.35">
      <c r="A51" s="44"/>
      <c r="B51" s="533" t="s">
        <v>129</v>
      </c>
      <c r="C51" s="438">
        <f>SUM(C48:C50)</f>
        <v>5544.0048000000006</v>
      </c>
      <c r="D51" s="438">
        <f>SUM(D48:D50)</f>
        <v>59808</v>
      </c>
      <c r="E51" s="438">
        <f>SUM(E48:E50)</f>
        <v>5544.0048000000006</v>
      </c>
      <c r="F51" s="438">
        <f>SUM(F48:F50)</f>
        <v>5544.0048000000006</v>
      </c>
      <c r="G51" s="438"/>
      <c r="H51" s="438">
        <f>SUM(C51:G51)</f>
        <v>76440.0144</v>
      </c>
    </row>
    <row r="52" spans="1:8" x14ac:dyDescent="0.25">
      <c r="A52" s="44"/>
      <c r="B52" s="44"/>
      <c r="C52" s="44"/>
      <c r="D52" s="44"/>
    </row>
    <row r="53" spans="1:8" x14ac:dyDescent="0.25">
      <c r="A53" s="44"/>
      <c r="B53" s="44"/>
      <c r="C53" s="44"/>
      <c r="D53" s="44"/>
    </row>
    <row r="54" spans="1:8" x14ac:dyDescent="0.25">
      <c r="A54" s="44"/>
      <c r="B54" s="44"/>
      <c r="C54" s="44"/>
      <c r="D54" s="44"/>
    </row>
    <row r="55" spans="1:8" x14ac:dyDescent="0.25">
      <c r="A55" s="44"/>
      <c r="B55" s="44"/>
      <c r="C55" s="44"/>
      <c r="D55" s="44"/>
    </row>
    <row r="56" spans="1:8" x14ac:dyDescent="0.25">
      <c r="A56" s="44"/>
      <c r="B56" s="44"/>
      <c r="C56" s="44"/>
      <c r="D56" s="44"/>
    </row>
    <row r="57" spans="1:8" x14ac:dyDescent="0.25">
      <c r="A57" s="44"/>
      <c r="B57" s="44"/>
      <c r="C57" s="44"/>
      <c r="D57" s="44"/>
    </row>
    <row r="58" spans="1:8" x14ac:dyDescent="0.25">
      <c r="A58" s="44"/>
      <c r="B58" s="44"/>
      <c r="C58" s="44"/>
      <c r="D58" s="44"/>
    </row>
    <row r="59" spans="1:8" x14ac:dyDescent="0.25">
      <c r="A59" s="44"/>
      <c r="B59" s="44"/>
      <c r="C59" s="44"/>
      <c r="D59" s="44"/>
    </row>
    <row r="60" spans="1:8" x14ac:dyDescent="0.25">
      <c r="A60" s="44"/>
      <c r="B60" s="44"/>
      <c r="C60" s="44"/>
      <c r="D60" s="44"/>
    </row>
    <row r="61" spans="1:8" x14ac:dyDescent="0.25">
      <c r="A61" s="44"/>
      <c r="B61" s="44"/>
      <c r="C61" s="44"/>
      <c r="D61" s="44"/>
    </row>
    <row r="62" spans="1:8" x14ac:dyDescent="0.25">
      <c r="A62" s="44"/>
      <c r="B62" s="44"/>
      <c r="C62" s="44"/>
      <c r="D62" s="44"/>
    </row>
  </sheetData>
  <mergeCells count="17">
    <mergeCell ref="H4:H5"/>
    <mergeCell ref="F19:G19"/>
    <mergeCell ref="F20:G20"/>
    <mergeCell ref="B35:C35"/>
    <mergeCell ref="I4:I5"/>
    <mergeCell ref="A13:D13"/>
    <mergeCell ref="F13:G13"/>
    <mergeCell ref="F17:G17"/>
    <mergeCell ref="F18:G18"/>
    <mergeCell ref="F16:H16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workbookViewId="0">
      <selection activeCell="E10" sqref="E10"/>
    </sheetView>
  </sheetViews>
  <sheetFormatPr baseColWidth="10" defaultRowHeight="15" x14ac:dyDescent="0.25"/>
  <sheetData>
    <row r="2" spans="2:7" ht="20.25" x14ac:dyDescent="0.3">
      <c r="B2" s="51" t="s">
        <v>83</v>
      </c>
      <c r="C2" s="52"/>
      <c r="D2" s="52"/>
      <c r="E2" s="52"/>
      <c r="F2" s="52"/>
      <c r="G2" s="52"/>
    </row>
    <row r="3" spans="2:7" ht="21" thickBot="1" x14ac:dyDescent="0.35">
      <c r="B3" s="51"/>
      <c r="C3" s="52"/>
      <c r="D3" s="52"/>
      <c r="E3" s="52"/>
      <c r="F3" s="52"/>
      <c r="G3" s="52"/>
    </row>
    <row r="4" spans="2:7" ht="17.25" thickBot="1" x14ac:dyDescent="0.35">
      <c r="B4" s="703" t="s">
        <v>84</v>
      </c>
      <c r="C4" s="704"/>
      <c r="D4" s="537">
        <v>300000</v>
      </c>
      <c r="E4" s="52"/>
      <c r="F4" s="52"/>
      <c r="G4" s="52"/>
    </row>
    <row r="5" spans="2:7" ht="17.25" thickBot="1" x14ac:dyDescent="0.35">
      <c r="B5" s="703" t="s">
        <v>85</v>
      </c>
      <c r="C5" s="704"/>
      <c r="D5" s="53">
        <v>10</v>
      </c>
      <c r="E5" s="52"/>
      <c r="F5" s="52"/>
      <c r="G5" s="52"/>
    </row>
    <row r="6" spans="2:7" ht="17.25" thickBot="1" x14ac:dyDescent="0.35">
      <c r="B6" s="705" t="s">
        <v>86</v>
      </c>
      <c r="C6" s="706"/>
      <c r="D6" s="53">
        <v>10</v>
      </c>
      <c r="E6" s="52"/>
      <c r="F6" s="52"/>
      <c r="G6" s="52"/>
    </row>
    <row r="7" spans="2:7" ht="17.25" thickBot="1" x14ac:dyDescent="0.35">
      <c r="B7" s="707" t="s">
        <v>87</v>
      </c>
      <c r="C7" s="708"/>
      <c r="D7" s="54">
        <v>9.5000000000000001E-2</v>
      </c>
      <c r="E7" s="52"/>
      <c r="F7" s="52"/>
      <c r="G7" s="52"/>
    </row>
    <row r="8" spans="2:7" ht="20.25" x14ac:dyDescent="0.3">
      <c r="B8" s="51"/>
      <c r="C8" s="52"/>
      <c r="D8" s="52"/>
      <c r="E8" s="52"/>
      <c r="F8" s="52"/>
      <c r="G8" s="52"/>
    </row>
    <row r="9" spans="2:7" ht="17.25" thickBot="1" x14ac:dyDescent="0.35">
      <c r="B9" s="52"/>
      <c r="C9" s="52"/>
      <c r="D9" s="52"/>
      <c r="E9" s="52"/>
      <c r="F9" s="52"/>
      <c r="G9" s="52"/>
    </row>
    <row r="10" spans="2:7" ht="26.25" thickBot="1" x14ac:dyDescent="0.3">
      <c r="B10" s="58" t="s">
        <v>88</v>
      </c>
      <c r="C10" s="58" t="s">
        <v>89</v>
      </c>
      <c r="D10" s="58" t="s">
        <v>90</v>
      </c>
      <c r="E10" s="58" t="s">
        <v>91</v>
      </c>
      <c r="F10" s="58" t="s">
        <v>92</v>
      </c>
      <c r="G10" s="58" t="s">
        <v>93</v>
      </c>
    </row>
    <row r="11" spans="2:7" x14ac:dyDescent="0.25">
      <c r="B11" s="59">
        <v>0</v>
      </c>
      <c r="C11" s="55">
        <v>0</v>
      </c>
      <c r="D11" s="55">
        <v>0</v>
      </c>
      <c r="E11" s="55">
        <v>0</v>
      </c>
      <c r="F11" s="55">
        <v>0</v>
      </c>
      <c r="G11" s="55">
        <f>+D4</f>
        <v>300000</v>
      </c>
    </row>
    <row r="12" spans="2:7" x14ac:dyDescent="0.25">
      <c r="B12" s="60">
        <v>1</v>
      </c>
      <c r="C12" s="56">
        <f>PMT(D7,D6,-D4)</f>
        <v>47779.845499109462</v>
      </c>
      <c r="D12" s="56">
        <f t="shared" ref="D12:D21" si="0">G11*$D$7</f>
        <v>28500</v>
      </c>
      <c r="E12" s="56">
        <f t="shared" ref="E12:E21" si="1">+C12-D12</f>
        <v>19279.845499109462</v>
      </c>
      <c r="F12" s="56">
        <f t="shared" ref="F12:F21" si="2">+E12+F11</f>
        <v>19279.845499109462</v>
      </c>
      <c r="G12" s="56">
        <f t="shared" ref="G12:G21" si="3">+G11-E12</f>
        <v>280720.15450089052</v>
      </c>
    </row>
    <row r="13" spans="2:7" x14ac:dyDescent="0.25">
      <c r="B13" s="60">
        <v>2</v>
      </c>
      <c r="C13" s="56">
        <f t="shared" ref="C13:C21" si="4">+C12</f>
        <v>47779.845499109462</v>
      </c>
      <c r="D13" s="56">
        <f t="shared" si="0"/>
        <v>26668.414677584598</v>
      </c>
      <c r="E13" s="56">
        <f t="shared" si="1"/>
        <v>21111.430821524864</v>
      </c>
      <c r="F13" s="56">
        <f t="shared" si="2"/>
        <v>40391.276320634322</v>
      </c>
      <c r="G13" s="56">
        <f t="shared" si="3"/>
        <v>259608.72367936565</v>
      </c>
    </row>
    <row r="14" spans="2:7" ht="15.75" thickBot="1" x14ac:dyDescent="0.3">
      <c r="B14" s="61">
        <v>3</v>
      </c>
      <c r="C14" s="57">
        <f t="shared" si="4"/>
        <v>47779.845499109462</v>
      </c>
      <c r="D14" s="57">
        <f t="shared" si="0"/>
        <v>24662.828749539738</v>
      </c>
      <c r="E14" s="57">
        <f t="shared" si="1"/>
        <v>23117.016749569724</v>
      </c>
      <c r="F14" s="57">
        <f t="shared" si="2"/>
        <v>63508.293070204047</v>
      </c>
      <c r="G14" s="57">
        <f t="shared" si="3"/>
        <v>236491.70692979591</v>
      </c>
    </row>
    <row r="15" spans="2:7" ht="15.75" thickBot="1" x14ac:dyDescent="0.3">
      <c r="B15" s="60">
        <v>4</v>
      </c>
      <c r="C15" s="57">
        <f t="shared" si="4"/>
        <v>47779.845499109462</v>
      </c>
      <c r="D15" s="57">
        <f t="shared" si="0"/>
        <v>22466.712158330611</v>
      </c>
      <c r="E15" s="57">
        <f t="shared" si="1"/>
        <v>25313.133340778852</v>
      </c>
      <c r="F15" s="57">
        <f t="shared" si="2"/>
        <v>88821.426410982895</v>
      </c>
      <c r="G15" s="57">
        <f t="shared" si="3"/>
        <v>211178.57358901706</v>
      </c>
    </row>
    <row r="16" spans="2:7" ht="15.75" thickBot="1" x14ac:dyDescent="0.3">
      <c r="B16" s="61">
        <v>5</v>
      </c>
      <c r="C16" s="57">
        <f t="shared" si="4"/>
        <v>47779.845499109462</v>
      </c>
      <c r="D16" s="57">
        <f t="shared" si="0"/>
        <v>20061.96449095662</v>
      </c>
      <c r="E16" s="57">
        <f t="shared" si="1"/>
        <v>27717.881008152843</v>
      </c>
      <c r="F16" s="57">
        <f t="shared" si="2"/>
        <v>116539.30741913573</v>
      </c>
      <c r="G16" s="57">
        <f t="shared" si="3"/>
        <v>183460.69258086421</v>
      </c>
    </row>
    <row r="17" spans="2:7" ht="15.75" thickBot="1" x14ac:dyDescent="0.3">
      <c r="B17" s="61">
        <v>6</v>
      </c>
      <c r="C17" s="57">
        <f t="shared" si="4"/>
        <v>47779.845499109462</v>
      </c>
      <c r="D17" s="57">
        <f t="shared" si="0"/>
        <v>17428.765795182102</v>
      </c>
      <c r="E17" s="57">
        <f t="shared" si="1"/>
        <v>30351.07970392736</v>
      </c>
      <c r="F17" s="57">
        <f t="shared" si="2"/>
        <v>146890.38712306309</v>
      </c>
      <c r="G17" s="57">
        <f t="shared" si="3"/>
        <v>153109.61287693685</v>
      </c>
    </row>
    <row r="18" spans="2:7" ht="15.75" thickBot="1" x14ac:dyDescent="0.3">
      <c r="B18" s="60">
        <v>7</v>
      </c>
      <c r="C18" s="57">
        <f t="shared" si="4"/>
        <v>47779.845499109462</v>
      </c>
      <c r="D18" s="57">
        <f t="shared" si="0"/>
        <v>14545.413223309</v>
      </c>
      <c r="E18" s="57">
        <f t="shared" si="1"/>
        <v>33234.432275800464</v>
      </c>
      <c r="F18" s="57">
        <f t="shared" si="2"/>
        <v>180124.81939886356</v>
      </c>
      <c r="G18" s="57">
        <f t="shared" si="3"/>
        <v>119875.18060113638</v>
      </c>
    </row>
    <row r="19" spans="2:7" ht="15.75" thickBot="1" x14ac:dyDescent="0.3">
      <c r="B19" s="61">
        <v>8</v>
      </c>
      <c r="C19" s="57">
        <f t="shared" si="4"/>
        <v>47779.845499109462</v>
      </c>
      <c r="D19" s="57">
        <f t="shared" si="0"/>
        <v>11388.142157107955</v>
      </c>
      <c r="E19" s="57">
        <f t="shared" si="1"/>
        <v>36391.703342001507</v>
      </c>
      <c r="F19" s="57">
        <f t="shared" si="2"/>
        <v>216516.52274086507</v>
      </c>
      <c r="G19" s="57">
        <f t="shared" si="3"/>
        <v>83483.477259134874</v>
      </c>
    </row>
    <row r="20" spans="2:7" ht="15.75" thickBot="1" x14ac:dyDescent="0.3">
      <c r="B20" s="61">
        <v>9</v>
      </c>
      <c r="C20" s="57">
        <f t="shared" si="4"/>
        <v>47779.845499109462</v>
      </c>
      <c r="D20" s="57">
        <f t="shared" si="0"/>
        <v>7930.9303396178129</v>
      </c>
      <c r="E20" s="57">
        <f t="shared" si="1"/>
        <v>39848.915159491648</v>
      </c>
      <c r="F20" s="57">
        <f t="shared" si="2"/>
        <v>256365.43790035672</v>
      </c>
      <c r="G20" s="57">
        <f t="shared" si="3"/>
        <v>43634.562099643226</v>
      </c>
    </row>
    <row r="21" spans="2:7" ht="15.75" thickBot="1" x14ac:dyDescent="0.3">
      <c r="B21" s="60">
        <v>10</v>
      </c>
      <c r="C21" s="57">
        <f t="shared" si="4"/>
        <v>47779.845499109462</v>
      </c>
      <c r="D21" s="57">
        <f t="shared" si="0"/>
        <v>4145.2833994661069</v>
      </c>
      <c r="E21" s="57">
        <f t="shared" si="1"/>
        <v>43634.562099643357</v>
      </c>
      <c r="F21" s="57">
        <f t="shared" si="2"/>
        <v>300000.00000000006</v>
      </c>
      <c r="G21" s="57">
        <f t="shared" si="3"/>
        <v>-1.3096723705530167E-10</v>
      </c>
    </row>
  </sheetData>
  <mergeCells count="4">
    <mergeCell ref="B4:C4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Estimacion</vt:lpstr>
      <vt:lpstr>Inversiones</vt:lpstr>
      <vt:lpstr>Costos</vt:lpstr>
      <vt:lpstr>Utilidades</vt:lpstr>
      <vt:lpstr>Gastos</vt:lpstr>
      <vt:lpstr>Sueldos Y Salarios</vt:lpstr>
      <vt:lpstr>Ingresos</vt:lpstr>
      <vt:lpstr>Depreciaciones</vt:lpstr>
      <vt:lpstr>Prestamo</vt:lpstr>
      <vt:lpstr>Capital de Trabajo</vt:lpstr>
      <vt:lpstr>Flujo de Caja</vt:lpstr>
      <vt:lpstr>Analisis Sensibilidad</vt:lpstr>
      <vt:lpstr>CAPM</vt:lpstr>
      <vt:lpstr>Inflacion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Willington</dc:creator>
  <cp:lastModifiedBy>Gustavo</cp:lastModifiedBy>
  <dcterms:created xsi:type="dcterms:W3CDTF">2012-03-10T13:59:08Z</dcterms:created>
  <dcterms:modified xsi:type="dcterms:W3CDTF">2012-04-20T16:10:42Z</dcterms:modified>
</cp:coreProperties>
</file>