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600" windowHeight="8475" tabRatio="801" activeTab="5"/>
  </bookViews>
  <sheets>
    <sheet name="Inversión fija(2)" sheetId="32" r:id="rId1"/>
    <sheet name="Inversión y Costos (2)" sheetId="31" r:id="rId2"/>
    <sheet name="Demanda e Ingresos (2)" sheetId="33" r:id="rId3"/>
    <sheet name="costo de ventas (2)" sheetId="34" r:id="rId4"/>
    <sheet name="Gastos de Ventas" sheetId="17" r:id="rId5"/>
    <sheet name="Gastos Administrativos (2)" sheetId="35" r:id="rId6"/>
    <sheet name="Tabla depr" sheetId="15" r:id="rId7"/>
    <sheet name="gastos legales" sheetId="8" r:id="rId8"/>
    <sheet name="Amortización" sheetId="20" r:id="rId9"/>
    <sheet name="P&amp;G" sheetId="26" r:id="rId10"/>
    <sheet name="Flujo de Caja" sheetId="25" r:id="rId11"/>
    <sheet name="Analisis Sensibilidad" sheetId="21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E51" i="25" l="1"/>
  <c r="T89" i="15"/>
  <c r="O79" i="15"/>
  <c r="Q79" i="15" s="1"/>
  <c r="S79" i="15" s="1"/>
  <c r="O80" i="15"/>
  <c r="Q80" i="15" s="1"/>
  <c r="S80" i="15" s="1"/>
  <c r="O81" i="15"/>
  <c r="Q81" i="15" s="1"/>
  <c r="S81" i="15" s="1"/>
  <c r="O82" i="15"/>
  <c r="Q82" i="15" s="1"/>
  <c r="S82" i="15" s="1"/>
  <c r="O83" i="15"/>
  <c r="Q83" i="15" s="1"/>
  <c r="S83" i="15" s="1"/>
  <c r="O84" i="15"/>
  <c r="Q84" i="15" s="1"/>
  <c r="S84" i="15" s="1"/>
  <c r="O85" i="15"/>
  <c r="Q85" i="15" s="1"/>
  <c r="S85" i="15" s="1"/>
  <c r="O86" i="15"/>
  <c r="Q86" i="15" s="1"/>
  <c r="S86" i="15" s="1"/>
  <c r="O87" i="15"/>
  <c r="Q87" i="15" s="1"/>
  <c r="S87" i="15" s="1"/>
  <c r="O88" i="15"/>
  <c r="Q88" i="15" s="1"/>
  <c r="S88" i="15" s="1"/>
  <c r="O78" i="15"/>
  <c r="Q78" i="15" s="1"/>
  <c r="G11" i="17"/>
  <c r="E14" i="17"/>
  <c r="F11" i="17"/>
  <c r="F8" i="17"/>
  <c r="G8" i="17" s="1"/>
  <c r="G15" i="17" s="1"/>
  <c r="G16" i="34"/>
  <c r="G17" i="34"/>
  <c r="G18" i="34" s="1"/>
  <c r="F37" i="33"/>
  <c r="F42" i="33" s="1"/>
  <c r="H8" i="34"/>
  <c r="D31" i="33"/>
  <c r="F38" i="33"/>
  <c r="F39" i="33"/>
  <c r="F40" i="33"/>
  <c r="E26" i="31"/>
  <c r="E9" i="31"/>
  <c r="E8" i="31"/>
  <c r="E7" i="31"/>
  <c r="E6" i="31"/>
  <c r="E5" i="31"/>
  <c r="O46" i="15" s="1"/>
  <c r="B10" i="32"/>
  <c r="O32" i="15"/>
  <c r="J19" i="15"/>
  <c r="B19" i="32"/>
  <c r="E10" i="31"/>
  <c r="E11" i="31"/>
  <c r="E12" i="31"/>
  <c r="E13" i="31"/>
  <c r="E14" i="31"/>
  <c r="E33" i="15" s="1"/>
  <c r="E15" i="31"/>
  <c r="J47" i="15" s="1"/>
  <c r="E16" i="31"/>
  <c r="E17" i="31"/>
  <c r="E18" i="31"/>
  <c r="E19" i="31"/>
  <c r="D45" i="35"/>
  <c r="C45" i="35"/>
  <c r="H44" i="35"/>
  <c r="E44" i="35"/>
  <c r="J44" i="35"/>
  <c r="H43" i="35"/>
  <c r="E43" i="35"/>
  <c r="J43" i="35" s="1"/>
  <c r="L43" i="35" s="1"/>
  <c r="H42" i="35"/>
  <c r="E42" i="35"/>
  <c r="J42" i="35"/>
  <c r="H41" i="35"/>
  <c r="E41" i="35"/>
  <c r="J41" i="35" s="1"/>
  <c r="H40" i="35"/>
  <c r="E40" i="35"/>
  <c r="J40" i="35"/>
  <c r="H39" i="35"/>
  <c r="E39" i="35"/>
  <c r="J39" i="35" s="1"/>
  <c r="H38" i="35"/>
  <c r="E38" i="35"/>
  <c r="J38" i="35"/>
  <c r="H37" i="35"/>
  <c r="E37" i="35"/>
  <c r="J37" i="35" s="1"/>
  <c r="H36" i="35"/>
  <c r="H45" i="35" s="1"/>
  <c r="E36" i="35"/>
  <c r="J36" i="35" s="1"/>
  <c r="D29" i="35"/>
  <c r="D27" i="35"/>
  <c r="C22" i="35"/>
  <c r="D21" i="35"/>
  <c r="H20" i="35"/>
  <c r="D20" i="35"/>
  <c r="H19" i="35"/>
  <c r="D19" i="35"/>
  <c r="D18" i="35"/>
  <c r="D28" i="35"/>
  <c r="H17" i="35"/>
  <c r="H22" i="35"/>
  <c r="H23" i="35" s="1"/>
  <c r="G17" i="35"/>
  <c r="D17" i="35"/>
  <c r="D22" i="35"/>
  <c r="E12" i="35"/>
  <c r="F12" i="35"/>
  <c r="E11" i="35"/>
  <c r="F11" i="35"/>
  <c r="E10" i="35"/>
  <c r="F10" i="35"/>
  <c r="E9" i="35"/>
  <c r="F9" i="35"/>
  <c r="E8" i="35"/>
  <c r="F8" i="35"/>
  <c r="E7" i="35"/>
  <c r="F7" i="35"/>
  <c r="E6" i="35"/>
  <c r="F6" i="35"/>
  <c r="E5" i="35"/>
  <c r="F5" i="35"/>
  <c r="D26" i="35" s="1"/>
  <c r="D30" i="35" s="1"/>
  <c r="H9" i="34"/>
  <c r="H10" i="34"/>
  <c r="H11" i="34"/>
  <c r="D13" i="34"/>
  <c r="E13" i="34"/>
  <c r="F13" i="34"/>
  <c r="F19" i="34" s="1"/>
  <c r="H13" i="34"/>
  <c r="H16" i="34"/>
  <c r="H17" i="34"/>
  <c r="H18" i="34" s="1"/>
  <c r="J18" i="34" s="1"/>
  <c r="D18" i="34"/>
  <c r="D19" i="34" s="1"/>
  <c r="C24" i="33"/>
  <c r="D24" i="33" s="1"/>
  <c r="E24" i="33" s="1"/>
  <c r="C23" i="33"/>
  <c r="D23" i="33"/>
  <c r="E23" i="33" s="1"/>
  <c r="C22" i="33"/>
  <c r="D22" i="33" s="1"/>
  <c r="E22" i="33" s="1"/>
  <c r="C21" i="33"/>
  <c r="D21" i="33"/>
  <c r="E21" i="33" s="1"/>
  <c r="C20" i="33"/>
  <c r="D20" i="33" s="1"/>
  <c r="F12" i="33"/>
  <c r="E12" i="33"/>
  <c r="D12" i="33"/>
  <c r="E69" i="31"/>
  <c r="E68" i="31"/>
  <c r="E67" i="31"/>
  <c r="E70" i="31"/>
  <c r="E63" i="31"/>
  <c r="E62" i="31"/>
  <c r="E64" i="31" s="1"/>
  <c r="E58" i="31"/>
  <c r="E57" i="31"/>
  <c r="E56" i="31"/>
  <c r="E55" i="31"/>
  <c r="E59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52" i="31" s="1"/>
  <c r="E36" i="31"/>
  <c r="E35" i="31"/>
  <c r="E34" i="31"/>
  <c r="E33" i="31"/>
  <c r="E32" i="31"/>
  <c r="E31" i="31"/>
  <c r="E30" i="31"/>
  <c r="E29" i="31"/>
  <c r="E28" i="31"/>
  <c r="E27" i="31"/>
  <c r="E25" i="31"/>
  <c r="E24" i="31"/>
  <c r="E23" i="31"/>
  <c r="E37" i="31" s="1"/>
  <c r="Q11" i="25"/>
  <c r="G37" i="25"/>
  <c r="D35" i="26"/>
  <c r="M6" i="20"/>
  <c r="C7" i="8"/>
  <c r="C8" i="8"/>
  <c r="D8" i="8"/>
  <c r="L64" i="15"/>
  <c r="L65" i="15"/>
  <c r="L67" i="15"/>
  <c r="L68" i="15"/>
  <c r="L70" i="15"/>
  <c r="L71" i="15"/>
  <c r="L62" i="15"/>
  <c r="L63" i="15"/>
  <c r="L66" i="15"/>
  <c r="L69" i="15"/>
  <c r="M24" i="15"/>
  <c r="M28" i="15"/>
  <c r="H7" i="15"/>
  <c r="M13" i="15"/>
  <c r="H10" i="15"/>
  <c r="H13" i="15"/>
  <c r="C6" i="15"/>
  <c r="C8" i="15"/>
  <c r="C12" i="15"/>
  <c r="H8" i="15"/>
  <c r="H9" i="15"/>
  <c r="H14" i="15"/>
  <c r="H5" i="15"/>
  <c r="I5" i="15" s="1"/>
  <c r="I6" i="15" s="1"/>
  <c r="I7" i="15" s="1"/>
  <c r="I8" i="15" s="1"/>
  <c r="I9" i="15" s="1"/>
  <c r="I10" i="15" s="1"/>
  <c r="I11" i="15" s="1"/>
  <c r="H6" i="15"/>
  <c r="M12" i="15"/>
  <c r="M7" i="15"/>
  <c r="M23" i="15"/>
  <c r="M27" i="15"/>
  <c r="M21" i="15"/>
  <c r="M26" i="15"/>
  <c r="M22" i="15"/>
  <c r="M20" i="15"/>
  <c r="O23" i="15"/>
  <c r="M25" i="15"/>
  <c r="C7" i="15"/>
  <c r="C13" i="15"/>
  <c r="M34" i="15"/>
  <c r="H11" i="15"/>
  <c r="H12" i="15"/>
  <c r="M6" i="15"/>
  <c r="M19" i="15"/>
  <c r="N64" i="15" s="1"/>
  <c r="M64" i="15" s="1"/>
  <c r="M42" i="15"/>
  <c r="N42" i="15" s="1"/>
  <c r="M37" i="15"/>
  <c r="G36" i="35"/>
  <c r="G45" i="35" s="1"/>
  <c r="I36" i="35"/>
  <c r="K36" i="35"/>
  <c r="L36" i="35" s="1"/>
  <c r="G37" i="35"/>
  <c r="I37" i="35"/>
  <c r="K37" i="35"/>
  <c r="G38" i="35"/>
  <c r="I38" i="35"/>
  <c r="K38" i="35"/>
  <c r="G39" i="35"/>
  <c r="I39" i="35"/>
  <c r="K39" i="35"/>
  <c r="G40" i="35"/>
  <c r="I40" i="35"/>
  <c r="K40" i="35"/>
  <c r="G41" i="35"/>
  <c r="I41" i="35"/>
  <c r="K41" i="35"/>
  <c r="L41" i="35" s="1"/>
  <c r="G42" i="35"/>
  <c r="I42" i="35"/>
  <c r="K42" i="35"/>
  <c r="G43" i="35"/>
  <c r="I43" i="35"/>
  <c r="K43" i="35"/>
  <c r="G44" i="35"/>
  <c r="I44" i="35"/>
  <c r="L44" i="35" s="1"/>
  <c r="K44" i="35"/>
  <c r="E45" i="35"/>
  <c r="F36" i="35"/>
  <c r="F37" i="35"/>
  <c r="L37" i="35" s="1"/>
  <c r="F38" i="35"/>
  <c r="F39" i="35"/>
  <c r="F40" i="35"/>
  <c r="L40" i="35" s="1"/>
  <c r="F41" i="35"/>
  <c r="F42" i="35"/>
  <c r="F43" i="35"/>
  <c r="F44" i="35"/>
  <c r="H41" i="15"/>
  <c r="H20" i="15"/>
  <c r="J20" i="15" s="1"/>
  <c r="H24" i="15"/>
  <c r="H27" i="15"/>
  <c r="H28" i="15"/>
  <c r="H21" i="15"/>
  <c r="H23" i="15"/>
  <c r="I23" i="15" s="1"/>
  <c r="I24" i="15" s="1"/>
  <c r="H22" i="15"/>
  <c r="J22" i="15"/>
  <c r="H26" i="15"/>
  <c r="I26" i="15" s="1"/>
  <c r="I27" i="15" s="1"/>
  <c r="H29" i="15"/>
  <c r="I29" i="15" s="1"/>
  <c r="H25" i="15"/>
  <c r="L39" i="35"/>
  <c r="F45" i="35"/>
  <c r="L42" i="35"/>
  <c r="L38" i="35"/>
  <c r="I20" i="15"/>
  <c r="I21" i="15" s="1"/>
  <c r="I22" i="15" s="1"/>
  <c r="H42" i="15"/>
  <c r="H36" i="15"/>
  <c r="H43" i="15"/>
  <c r="H40" i="15"/>
  <c r="H37" i="15"/>
  <c r="M33" i="15"/>
  <c r="O33" i="15" s="1"/>
  <c r="O34" i="15" s="1"/>
  <c r="M38" i="15"/>
  <c r="M39" i="15"/>
  <c r="N39" i="15" s="1"/>
  <c r="M41" i="15"/>
  <c r="M40" i="15"/>
  <c r="M36" i="15"/>
  <c r="C14" i="15"/>
  <c r="C9" i="15"/>
  <c r="C11" i="15"/>
  <c r="C5" i="15"/>
  <c r="N61" i="15" s="1"/>
  <c r="M61" i="15" s="1"/>
  <c r="C10" i="15"/>
  <c r="E5" i="15"/>
  <c r="C6" i="8"/>
  <c r="D6" i="8" s="1"/>
  <c r="B9" i="8"/>
  <c r="M47" i="15"/>
  <c r="M50" i="15"/>
  <c r="N50" i="15" s="1"/>
  <c r="M53" i="15"/>
  <c r="N53" i="15" s="1"/>
  <c r="M11" i="15"/>
  <c r="M9" i="15"/>
  <c r="M5" i="15"/>
  <c r="N63" i="15" s="1"/>
  <c r="M63" i="15" s="1"/>
  <c r="M8" i="15"/>
  <c r="M14" i="15"/>
  <c r="M10" i="15"/>
  <c r="D5" i="15"/>
  <c r="D6" i="15" s="1"/>
  <c r="N36" i="15"/>
  <c r="N37" i="15" s="1"/>
  <c r="N38" i="15" s="1"/>
  <c r="C25" i="33"/>
  <c r="M35" i="15"/>
  <c r="O19" i="15"/>
  <c r="O20" i="15" s="1"/>
  <c r="O21" i="15" s="1"/>
  <c r="O22" i="15" s="1"/>
  <c r="H35" i="15"/>
  <c r="H39" i="15"/>
  <c r="H34" i="15"/>
  <c r="N69" i="15" s="1"/>
  <c r="M69" i="15" s="1"/>
  <c r="H38" i="15"/>
  <c r="J5" i="15"/>
  <c r="J6" i="15" s="1"/>
  <c r="J7" i="15" s="1"/>
  <c r="J8" i="15" s="1"/>
  <c r="J9" i="15" s="1"/>
  <c r="J10" i="15" s="1"/>
  <c r="J11" i="15" s="1"/>
  <c r="J12" i="15" s="1"/>
  <c r="J13" i="15" s="1"/>
  <c r="J14" i="15" s="1"/>
  <c r="N62" i="15"/>
  <c r="M62" i="15" s="1"/>
  <c r="D7" i="8"/>
  <c r="D9" i="8" s="1"/>
  <c r="C9" i="8"/>
  <c r="D12" i="26" s="1"/>
  <c r="D13" i="25"/>
  <c r="D25" i="25" s="1"/>
  <c r="F12" i="26"/>
  <c r="M12" i="26"/>
  <c r="H13" i="25"/>
  <c r="H25" i="25" s="1"/>
  <c r="I13" i="25"/>
  <c r="G12" i="26"/>
  <c r="E13" i="25"/>
  <c r="F13" i="25"/>
  <c r="F25" i="25" s="1"/>
  <c r="K13" i="25"/>
  <c r="K25" i="25" s="1"/>
  <c r="H12" i="26"/>
  <c r="J13" i="25"/>
  <c r="J25" i="25" s="1"/>
  <c r="J12" i="26"/>
  <c r="E25" i="25"/>
  <c r="I25" i="25"/>
  <c r="J34" i="15"/>
  <c r="J35" i="15" s="1"/>
  <c r="J36" i="15" s="1"/>
  <c r="J37" i="15" s="1"/>
  <c r="J38" i="15" s="1"/>
  <c r="J39" i="15" s="1"/>
  <c r="I34" i="15"/>
  <c r="I35" i="15" s="1"/>
  <c r="O35" i="15"/>
  <c r="O38" i="15" s="1"/>
  <c r="N66" i="15"/>
  <c r="M66" i="15" s="1"/>
  <c r="J25" i="15"/>
  <c r="J28" i="15" s="1"/>
  <c r="J29" i="15" s="1"/>
  <c r="K45" i="35"/>
  <c r="I45" i="35"/>
  <c r="J45" i="35"/>
  <c r="F13" i="35"/>
  <c r="E13" i="35"/>
  <c r="E14" i="26"/>
  <c r="G14" i="26"/>
  <c r="I14" i="26"/>
  <c r="K14" i="26"/>
  <c r="M14" i="26"/>
  <c r="D14" i="26"/>
  <c r="E15" i="25"/>
  <c r="G15" i="25"/>
  <c r="I15" i="25"/>
  <c r="K15" i="25"/>
  <c r="M15" i="25"/>
  <c r="F14" i="26"/>
  <c r="H14" i="26"/>
  <c r="J14" i="26"/>
  <c r="L14" i="26"/>
  <c r="F15" i="25"/>
  <c r="H15" i="25"/>
  <c r="J15" i="25"/>
  <c r="L15" i="25"/>
  <c r="D15" i="25"/>
  <c r="H19" i="34"/>
  <c r="J19" i="34"/>
  <c r="E20" i="33"/>
  <c r="D29" i="33" s="1"/>
  <c r="D32" i="33" s="1"/>
  <c r="D7" i="25" s="1"/>
  <c r="D25" i="33"/>
  <c r="E25" i="33" s="1"/>
  <c r="D6" i="26" s="1"/>
  <c r="G6" i="20"/>
  <c r="E20" i="31"/>
  <c r="E71" i="31" s="1"/>
  <c r="B22" i="32" s="1"/>
  <c r="E10" i="26"/>
  <c r="F10" i="26"/>
  <c r="G10" i="26"/>
  <c r="H10" i="26"/>
  <c r="I10" i="26"/>
  <c r="J10" i="26"/>
  <c r="K10" i="26"/>
  <c r="L10" i="26"/>
  <c r="M10" i="26"/>
  <c r="D10" i="26"/>
  <c r="E11" i="25"/>
  <c r="F11" i="25"/>
  <c r="G11" i="25"/>
  <c r="H11" i="25"/>
  <c r="I11" i="25"/>
  <c r="J11" i="25"/>
  <c r="K11" i="25"/>
  <c r="L11" i="25"/>
  <c r="M11" i="25"/>
  <c r="D11" i="25"/>
  <c r="H51" i="15"/>
  <c r="I51" i="15" s="1"/>
  <c r="H54" i="15"/>
  <c r="I54" i="15" s="1"/>
  <c r="H49" i="15"/>
  <c r="H50" i="15"/>
  <c r="H56" i="15"/>
  <c r="H52" i="15"/>
  <c r="H48" i="15"/>
  <c r="I48" i="15" s="1"/>
  <c r="I49" i="15" s="1"/>
  <c r="H53" i="15"/>
  <c r="H55" i="15"/>
  <c r="H57" i="15"/>
  <c r="I57" i="15" s="1"/>
  <c r="J48" i="15"/>
  <c r="J49" i="15" s="1"/>
  <c r="C41" i="15"/>
  <c r="E36" i="15"/>
  <c r="E39" i="15" s="1"/>
  <c r="E42" i="15" s="1"/>
  <c r="C35" i="15"/>
  <c r="C37" i="15"/>
  <c r="D37" i="15" s="1"/>
  <c r="C43" i="15"/>
  <c r="D43" i="15" s="1"/>
  <c r="C36" i="15"/>
  <c r="C38" i="15"/>
  <c r="C34" i="15"/>
  <c r="N68" i="15" s="1"/>
  <c r="M68" i="15" s="1"/>
  <c r="C42" i="15"/>
  <c r="C39" i="15"/>
  <c r="C40" i="15"/>
  <c r="D40" i="15" s="1"/>
  <c r="D41" i="15" s="1"/>
  <c r="D42" i="15" s="1"/>
  <c r="E34" i="15"/>
  <c r="E19" i="15"/>
  <c r="C22" i="15" s="1"/>
  <c r="D7" i="26"/>
  <c r="D8" i="25"/>
  <c r="C20" i="15"/>
  <c r="D20" i="15" s="1"/>
  <c r="N71" i="15"/>
  <c r="M71" i="15" s="1"/>
  <c r="F8" i="25"/>
  <c r="M8" i="25"/>
  <c r="K8" i="25"/>
  <c r="I8" i="25"/>
  <c r="G8" i="25"/>
  <c r="E8" i="25"/>
  <c r="L8" i="25"/>
  <c r="J8" i="25"/>
  <c r="H8" i="25"/>
  <c r="L7" i="25"/>
  <c r="L9" i="25" s="1"/>
  <c r="H7" i="25"/>
  <c r="H9" i="25" s="1"/>
  <c r="F7" i="25"/>
  <c r="F9" i="25" s="1"/>
  <c r="G7" i="25"/>
  <c r="G9" i="25" s="1"/>
  <c r="I7" i="25"/>
  <c r="I9" i="25" s="1"/>
  <c r="E7" i="25"/>
  <c r="E9" i="25" s="1"/>
  <c r="J7" i="25"/>
  <c r="J9" i="25" s="1"/>
  <c r="M7" i="25"/>
  <c r="M9" i="25" s="1"/>
  <c r="K7" i="25"/>
  <c r="K9" i="25" s="1"/>
  <c r="D9" i="25"/>
  <c r="I12" i="15" l="1"/>
  <c r="I13" i="15" s="1"/>
  <c r="I14" i="15" s="1"/>
  <c r="J40" i="15"/>
  <c r="J41" i="15" s="1"/>
  <c r="J42" i="15" s="1"/>
  <c r="J43" i="15" s="1"/>
  <c r="E37" i="15"/>
  <c r="E38" i="15" s="1"/>
  <c r="I36" i="15"/>
  <c r="I37" i="15" s="1"/>
  <c r="N19" i="15"/>
  <c r="N20" i="15" s="1"/>
  <c r="N21" i="15" s="1"/>
  <c r="N22" i="15" s="1"/>
  <c r="N23" i="15" s="1"/>
  <c r="N67" i="15"/>
  <c r="M67" i="15" s="1"/>
  <c r="D7" i="15"/>
  <c r="D8" i="15" s="1"/>
  <c r="D9" i="15" s="1"/>
  <c r="E6" i="15"/>
  <c r="E7" i="15" s="1"/>
  <c r="E8" i="15" s="1"/>
  <c r="E9" i="15" s="1"/>
  <c r="N65" i="15"/>
  <c r="M65" i="15" s="1"/>
  <c r="C24" i="15"/>
  <c r="E22" i="15"/>
  <c r="E25" i="15" s="1"/>
  <c r="E28" i="15" s="1"/>
  <c r="D38" i="15"/>
  <c r="D39" i="15" s="1"/>
  <c r="E43" i="15"/>
  <c r="I50" i="15"/>
  <c r="O36" i="15"/>
  <c r="O37" i="15" s="1"/>
  <c r="I38" i="15"/>
  <c r="I39" i="15" s="1"/>
  <c r="I40" i="15" s="1"/>
  <c r="I41" i="15" s="1"/>
  <c r="I42" i="15" s="1"/>
  <c r="I43" i="15" s="1"/>
  <c r="I28" i="15"/>
  <c r="O24" i="15"/>
  <c r="O25" i="15" s="1"/>
  <c r="O26" i="15" s="1"/>
  <c r="O27" i="15" s="1"/>
  <c r="O28" i="15" s="1"/>
  <c r="D34" i="15"/>
  <c r="D35" i="15" s="1"/>
  <c r="D36" i="15" s="1"/>
  <c r="I55" i="15"/>
  <c r="I56" i="15" s="1"/>
  <c r="N33" i="15"/>
  <c r="N34" i="15" s="1"/>
  <c r="N35" i="15" s="1"/>
  <c r="D10" i="15"/>
  <c r="D11" i="15" s="1"/>
  <c r="D12" i="15" s="1"/>
  <c r="D13" i="15" s="1"/>
  <c r="D14" i="15" s="1"/>
  <c r="E10" i="15"/>
  <c r="E11" i="15" s="1"/>
  <c r="E12" i="15" s="1"/>
  <c r="E13" i="15" s="1"/>
  <c r="E14" i="15" s="1"/>
  <c r="N40" i="15"/>
  <c r="N41" i="15" s="1"/>
  <c r="O39" i="15"/>
  <c r="O40" i="15" s="1"/>
  <c r="O41" i="15"/>
  <c r="O42" i="15" s="1"/>
  <c r="E40" i="15"/>
  <c r="E41" i="15" s="1"/>
  <c r="C21" i="15"/>
  <c r="D21" i="15" s="1"/>
  <c r="D22" i="15" s="1"/>
  <c r="C25" i="15"/>
  <c r="C23" i="15"/>
  <c r="E35" i="15"/>
  <c r="J50" i="15"/>
  <c r="J51" i="15" s="1"/>
  <c r="J52" i="15" s="1"/>
  <c r="J53" i="15" s="1"/>
  <c r="J54" i="15" s="1"/>
  <c r="J55" i="15" s="1"/>
  <c r="J56" i="15" s="1"/>
  <c r="J57" i="15" s="1"/>
  <c r="I52" i="15"/>
  <c r="I53" i="15" s="1"/>
  <c r="J26" i="15"/>
  <c r="J27" i="15" s="1"/>
  <c r="I25" i="15"/>
  <c r="E6" i="26"/>
  <c r="F6" i="26"/>
  <c r="D8" i="26"/>
  <c r="M6" i="26"/>
  <c r="J6" i="26"/>
  <c r="H6" i="26"/>
  <c r="D29" i="26"/>
  <c r="G6" i="26"/>
  <c r="K6" i="26"/>
  <c r="I6" i="26"/>
  <c r="L6" i="26"/>
  <c r="N24" i="15"/>
  <c r="N25" i="15" s="1"/>
  <c r="N26" i="15" s="1"/>
  <c r="N27" i="15" s="1"/>
  <c r="N28" i="15" s="1"/>
  <c r="H27" i="25"/>
  <c r="C29" i="15"/>
  <c r="D29" i="15" s="1"/>
  <c r="C27" i="15"/>
  <c r="C26" i="15"/>
  <c r="E20" i="15"/>
  <c r="E21" i="15" s="1"/>
  <c r="C28" i="15"/>
  <c r="M13" i="25"/>
  <c r="M25" i="25" s="1"/>
  <c r="L12" i="26"/>
  <c r="I12" i="26"/>
  <c r="G13" i="25"/>
  <c r="G25" i="25" s="1"/>
  <c r="K12" i="26"/>
  <c r="L13" i="25"/>
  <c r="L25" i="25" s="1"/>
  <c r="E12" i="26"/>
  <c r="O5" i="15"/>
  <c r="O6" i="15" s="1"/>
  <c r="O7" i="15" s="1"/>
  <c r="O8" i="15" s="1"/>
  <c r="O9" i="15" s="1"/>
  <c r="O10" i="15" s="1"/>
  <c r="O11" i="15" s="1"/>
  <c r="O12" i="15" s="1"/>
  <c r="O13" i="15" s="1"/>
  <c r="O14" i="15" s="1"/>
  <c r="N5" i="15"/>
  <c r="N6" i="15" s="1"/>
  <c r="N7" i="15" s="1"/>
  <c r="N8" i="15" s="1"/>
  <c r="N9" i="15" s="1"/>
  <c r="N10" i="15" s="1"/>
  <c r="N11" i="15" s="1"/>
  <c r="N12" i="15" s="1"/>
  <c r="N13" i="15" s="1"/>
  <c r="N14" i="15" s="1"/>
  <c r="N47" i="15"/>
  <c r="N70" i="15"/>
  <c r="M70" i="15" s="1"/>
  <c r="M72" i="15" s="1"/>
  <c r="N72" i="15" s="1"/>
  <c r="J23" i="15"/>
  <c r="J24" i="15" s="1"/>
  <c r="J21" i="15"/>
  <c r="O47" i="15"/>
  <c r="M54" i="15"/>
  <c r="N54" i="15" s="1"/>
  <c r="M51" i="15"/>
  <c r="N51" i="15" s="1"/>
  <c r="M49" i="15"/>
  <c r="M52" i="15"/>
  <c r="N52" i="15" s="1"/>
  <c r="M55" i="15"/>
  <c r="M56" i="15"/>
  <c r="N56" i="15" s="1"/>
  <c r="M48" i="15"/>
  <c r="F15" i="26"/>
  <c r="H15" i="26"/>
  <c r="J15" i="26"/>
  <c r="L15" i="26"/>
  <c r="D15" i="26"/>
  <c r="F16" i="25"/>
  <c r="H16" i="25"/>
  <c r="J16" i="25"/>
  <c r="L16" i="25"/>
  <c r="D16" i="25"/>
  <c r="E15" i="26"/>
  <c r="G15" i="26"/>
  <c r="I15" i="26"/>
  <c r="K15" i="26"/>
  <c r="M15" i="26"/>
  <c r="E16" i="25"/>
  <c r="G16" i="25"/>
  <c r="I16" i="25"/>
  <c r="K16" i="25"/>
  <c r="M16" i="25"/>
  <c r="L45" i="35"/>
  <c r="L46" i="35" s="1"/>
  <c r="C30" i="25"/>
  <c r="M31" i="25" s="1"/>
  <c r="B20" i="32"/>
  <c r="B24" i="32" s="1"/>
  <c r="G5" i="20" s="1"/>
  <c r="G7" i="20" s="1"/>
  <c r="F6" i="20" s="1"/>
  <c r="F7" i="20" s="1"/>
  <c r="Q89" i="15"/>
  <c r="S78" i="15"/>
  <c r="F27" i="25" l="1"/>
  <c r="O48" i="15"/>
  <c r="O49" i="15" s="1"/>
  <c r="O50" i="15" s="1"/>
  <c r="D23" i="15"/>
  <c r="D24" i="15" s="1"/>
  <c r="D25" i="15" s="1"/>
  <c r="I27" i="25" s="1"/>
  <c r="E23" i="15"/>
  <c r="E24" i="15" s="1"/>
  <c r="E14" i="25"/>
  <c r="E10" i="25" s="1"/>
  <c r="E17" i="25" s="1"/>
  <c r="F13" i="26"/>
  <c r="M13" i="26"/>
  <c r="J14" i="25"/>
  <c r="G13" i="26"/>
  <c r="M14" i="25"/>
  <c r="D14" i="25"/>
  <c r="D10" i="25" s="1"/>
  <c r="D17" i="25" s="1"/>
  <c r="H14" i="25"/>
  <c r="D13" i="26"/>
  <c r="I13" i="26"/>
  <c r="F14" i="25"/>
  <c r="F10" i="25" s="1"/>
  <c r="F17" i="25" s="1"/>
  <c r="J13" i="26"/>
  <c r="H13" i="26"/>
  <c r="I14" i="25"/>
  <c r="L13" i="26"/>
  <c r="E13" i="26"/>
  <c r="G14" i="25"/>
  <c r="G10" i="25" s="1"/>
  <c r="G17" i="25" s="1"/>
  <c r="L14" i="25"/>
  <c r="K13" i="26"/>
  <c r="K14" i="25"/>
  <c r="L6" i="20"/>
  <c r="L8" i="20"/>
  <c r="N55" i="15"/>
  <c r="L29" i="26"/>
  <c r="L7" i="26"/>
  <c r="L8" i="26" s="1"/>
  <c r="K7" i="26"/>
  <c r="K29" i="26"/>
  <c r="K8" i="26"/>
  <c r="J7" i="26"/>
  <c r="J8" i="26"/>
  <c r="J29" i="26"/>
  <c r="E7" i="26"/>
  <c r="E8" i="26" s="1"/>
  <c r="E29" i="26"/>
  <c r="E11" i="26"/>
  <c r="F11" i="26"/>
  <c r="J12" i="25"/>
  <c r="K11" i="26"/>
  <c r="H12" i="25"/>
  <c r="K12" i="25"/>
  <c r="G11" i="26"/>
  <c r="H11" i="26"/>
  <c r="I12" i="25"/>
  <c r="M11" i="26"/>
  <c r="G12" i="25"/>
  <c r="F12" i="25"/>
  <c r="D12" i="25"/>
  <c r="L12" i="25"/>
  <c r="J11" i="26"/>
  <c r="D11" i="26"/>
  <c r="L11" i="26"/>
  <c r="M12" i="25"/>
  <c r="E12" i="25"/>
  <c r="I11" i="26"/>
  <c r="O51" i="15"/>
  <c r="O52" i="15" s="1"/>
  <c r="O53" i="15" s="1"/>
  <c r="O54" i="15" s="1"/>
  <c r="O55" i="15" s="1"/>
  <c r="O56" i="15" s="1"/>
  <c r="N48" i="15"/>
  <c r="N49" i="15" s="1"/>
  <c r="D26" i="15"/>
  <c r="D27" i="15" s="1"/>
  <c r="D28" i="15" s="1"/>
  <c r="L27" i="25" s="1"/>
  <c r="E26" i="15"/>
  <c r="E27" i="15" s="1"/>
  <c r="I7" i="26"/>
  <c r="I29" i="26"/>
  <c r="I8" i="26"/>
  <c r="G7" i="26"/>
  <c r="G29" i="26"/>
  <c r="G8" i="26"/>
  <c r="H7" i="26"/>
  <c r="H8" i="26"/>
  <c r="H29" i="26"/>
  <c r="M7" i="26"/>
  <c r="M8" i="26" s="1"/>
  <c r="M29" i="26"/>
  <c r="F7" i="26"/>
  <c r="F29" i="26"/>
  <c r="F8" i="26"/>
  <c r="E29" i="15"/>
  <c r="J26" i="25"/>
  <c r="J10" i="25"/>
  <c r="J17" i="25" s="1"/>
  <c r="I26" i="25"/>
  <c r="I10" i="25"/>
  <c r="I17" i="25" s="1"/>
  <c r="K26" i="25"/>
  <c r="K10" i="25"/>
  <c r="K17" i="25" s="1"/>
  <c r="F26" i="25"/>
  <c r="L26" i="25"/>
  <c r="L10" i="25"/>
  <c r="L17" i="25" s="1"/>
  <c r="H26" i="25"/>
  <c r="H10" i="25"/>
  <c r="H17" i="25" s="1"/>
  <c r="D26" i="25"/>
  <c r="M26" i="25"/>
  <c r="M10" i="25"/>
  <c r="M17" i="25" s="1"/>
  <c r="E26" i="25"/>
  <c r="G26" i="25" l="1"/>
  <c r="L12" i="20"/>
  <c r="C28" i="25"/>
  <c r="E9" i="26"/>
  <c r="E16" i="26" s="1"/>
  <c r="J9" i="26"/>
  <c r="J16" i="26" s="1"/>
  <c r="I9" i="26"/>
  <c r="I16" i="26" s="1"/>
  <c r="F9" i="26"/>
  <c r="F16" i="26" s="1"/>
  <c r="M32" i="25"/>
  <c r="L7" i="20"/>
  <c r="C27" i="25"/>
  <c r="C33" i="25" s="1"/>
  <c r="K9" i="26"/>
  <c r="K16" i="26" s="1"/>
  <c r="L9" i="26"/>
  <c r="L16" i="26" s="1"/>
  <c r="H9" i="26"/>
  <c r="H16" i="26" s="1"/>
  <c r="D9" i="26"/>
  <c r="D16" i="26" s="1"/>
  <c r="G9" i="26"/>
  <c r="G16" i="26" s="1"/>
  <c r="M9" i="26"/>
  <c r="M16" i="26" s="1"/>
  <c r="C39" i="25" l="1"/>
  <c r="C40" i="25" s="1"/>
  <c r="C41" i="25" s="1"/>
  <c r="I47" i="25"/>
  <c r="K47" i="25" s="1"/>
  <c r="H14" i="20"/>
  <c r="H13" i="20"/>
  <c r="H19" i="20"/>
  <c r="H15" i="20"/>
  <c r="H21" i="20"/>
  <c r="H18" i="20"/>
  <c r="H20" i="20"/>
  <c r="H17" i="20"/>
  <c r="E12" i="20"/>
  <c r="H22" i="20"/>
  <c r="H16" i="20"/>
  <c r="G13" i="20" l="1"/>
  <c r="D18" i="26" l="1"/>
  <c r="D17" i="26" s="1"/>
  <c r="D19" i="26" s="1"/>
  <c r="D19" i="25"/>
  <c r="D18" i="25" s="1"/>
  <c r="D20" i="25" s="1"/>
  <c r="F13" i="20"/>
  <c r="D21" i="25" l="1"/>
  <c r="D22" i="25" s="1"/>
  <c r="D29" i="25"/>
  <c r="E13" i="20"/>
  <c r="D20" i="26"/>
  <c r="D21" i="26" s="1"/>
  <c r="D22" i="26" l="1"/>
  <c r="D23" i="26" s="1"/>
  <c r="D23" i="25"/>
  <c r="D24" i="25" s="1"/>
  <c r="D33" i="25" s="1"/>
  <c r="G14" i="20"/>
  <c r="D39" i="25" l="1"/>
  <c r="D40" i="25" s="1"/>
  <c r="D41" i="25" s="1"/>
  <c r="J47" i="25"/>
  <c r="L47" i="25" s="1"/>
  <c r="I48" i="25" s="1"/>
  <c r="K48" i="25" s="1"/>
  <c r="E19" i="25"/>
  <c r="E18" i="25" s="1"/>
  <c r="E20" i="25" s="1"/>
  <c r="E18" i="26"/>
  <c r="E17" i="26" s="1"/>
  <c r="E19" i="26" s="1"/>
  <c r="F14" i="20"/>
  <c r="E20" i="26" l="1"/>
  <c r="E21" i="26" s="1"/>
  <c r="E29" i="25"/>
  <c r="E14" i="20"/>
  <c r="E21" i="25"/>
  <c r="E22" i="25" s="1"/>
  <c r="E23" i="25" l="1"/>
  <c r="E24" i="25" s="1"/>
  <c r="E33" i="25" s="1"/>
  <c r="G15" i="20"/>
  <c r="E22" i="26"/>
  <c r="E23" i="26" s="1"/>
  <c r="J48" i="25" l="1"/>
  <c r="L48" i="25" s="1"/>
  <c r="I49" i="25" s="1"/>
  <c r="E39" i="25"/>
  <c r="E40" i="25" s="1"/>
  <c r="E41" i="25" s="1"/>
  <c r="F19" i="25"/>
  <c r="F18" i="25" s="1"/>
  <c r="F20" i="25" s="1"/>
  <c r="F18" i="26"/>
  <c r="F17" i="26" s="1"/>
  <c r="F19" i="26" s="1"/>
  <c r="F15" i="20"/>
  <c r="F29" i="25" l="1"/>
  <c r="E15" i="20"/>
  <c r="F20" i="26"/>
  <c r="F21" i="26" s="1"/>
  <c r="F21" i="25"/>
  <c r="F22" i="25" s="1"/>
  <c r="K49" i="25"/>
  <c r="F22" i="26" l="1"/>
  <c r="F23" i="26" s="1"/>
  <c r="F23" i="25"/>
  <c r="F24" i="25" s="1"/>
  <c r="F33" i="25" s="1"/>
  <c r="G16" i="20"/>
  <c r="J49" i="25" l="1"/>
  <c r="L49" i="25" s="1"/>
  <c r="I50" i="25" s="1"/>
  <c r="F39" i="25"/>
  <c r="F40" i="25" s="1"/>
  <c r="F41" i="25" s="1"/>
  <c r="G18" i="26"/>
  <c r="G17" i="26" s="1"/>
  <c r="G19" i="26" s="1"/>
  <c r="G19" i="25"/>
  <c r="G18" i="25" s="1"/>
  <c r="G20" i="25" s="1"/>
  <c r="F16" i="20"/>
  <c r="G21" i="25" l="1"/>
  <c r="G22" i="25" s="1"/>
  <c r="G29" i="25"/>
  <c r="E16" i="20"/>
  <c r="G20" i="26"/>
  <c r="G21" i="26" s="1"/>
  <c r="K50" i="25"/>
  <c r="G22" i="26" l="1"/>
  <c r="G23" i="26" s="1"/>
  <c r="G17" i="20"/>
  <c r="G23" i="25"/>
  <c r="G24" i="25" s="1"/>
  <c r="G33" i="25" s="1"/>
  <c r="G39" i="25" l="1"/>
  <c r="G40" i="25" s="1"/>
  <c r="G41" i="25" s="1"/>
  <c r="J50" i="25"/>
  <c r="L50" i="25" s="1"/>
  <c r="I51" i="25" s="1"/>
  <c r="H19" i="25"/>
  <c r="H18" i="25" s="1"/>
  <c r="H20" i="25" s="1"/>
  <c r="H18" i="26"/>
  <c r="H17" i="26" s="1"/>
  <c r="H19" i="26" s="1"/>
  <c r="F17" i="20"/>
  <c r="K51" i="25" l="1"/>
  <c r="H20" i="26"/>
  <c r="H21" i="26" s="1"/>
  <c r="H29" i="25"/>
  <c r="E17" i="20"/>
  <c r="H21" i="25"/>
  <c r="H22" i="25" s="1"/>
  <c r="H23" i="25" l="1"/>
  <c r="H24" i="25" s="1"/>
  <c r="H33" i="25" s="1"/>
  <c r="G18" i="20"/>
  <c r="H22" i="26"/>
  <c r="H23" i="26" s="1"/>
  <c r="I19" i="25" l="1"/>
  <c r="I18" i="25" s="1"/>
  <c r="I20" i="25" s="1"/>
  <c r="I18" i="26"/>
  <c r="I17" i="26" s="1"/>
  <c r="I19" i="26" s="1"/>
  <c r="F18" i="20"/>
  <c r="H39" i="25"/>
  <c r="H40" i="25" s="1"/>
  <c r="H41" i="25" s="1"/>
  <c r="J51" i="25"/>
  <c r="L51" i="25" s="1"/>
  <c r="I52" i="25" s="1"/>
  <c r="I20" i="26" l="1"/>
  <c r="I21" i="26" s="1"/>
  <c r="K52" i="25"/>
  <c r="I29" i="25"/>
  <c r="E18" i="20"/>
  <c r="I21" i="25"/>
  <c r="I22" i="25" s="1"/>
  <c r="I22" i="26" l="1"/>
  <c r="I23" i="26" s="1"/>
  <c r="I23" i="25"/>
  <c r="I24" i="25" s="1"/>
  <c r="I33" i="25" s="1"/>
  <c r="G19" i="20"/>
  <c r="I39" i="25" l="1"/>
  <c r="I40" i="25" s="1"/>
  <c r="I41" i="25" s="1"/>
  <c r="J52" i="25"/>
  <c r="L52" i="25" s="1"/>
  <c r="I53" i="25" s="1"/>
  <c r="J19" i="25"/>
  <c r="J18" i="25" s="1"/>
  <c r="J20" i="25" s="1"/>
  <c r="J18" i="26"/>
  <c r="J17" i="26" s="1"/>
  <c r="J19" i="26" s="1"/>
  <c r="F19" i="20"/>
  <c r="J21" i="25" l="1"/>
  <c r="J22" i="25" s="1"/>
  <c r="J20" i="26"/>
  <c r="J21" i="26" s="1"/>
  <c r="K53" i="25"/>
  <c r="J29" i="25"/>
  <c r="E19" i="20"/>
  <c r="J22" i="26" l="1"/>
  <c r="J23" i="26" s="1"/>
  <c r="J23" i="25"/>
  <c r="J24" i="25" s="1"/>
  <c r="J33" i="25" s="1"/>
  <c r="G20" i="20"/>
  <c r="J39" i="25" l="1"/>
  <c r="J40" i="25" s="1"/>
  <c r="J41" i="25" s="1"/>
  <c r="J53" i="25"/>
  <c r="L53" i="25" s="1"/>
  <c r="I54" i="25" s="1"/>
  <c r="K18" i="26"/>
  <c r="K17" i="26" s="1"/>
  <c r="K19" i="26" s="1"/>
  <c r="K19" i="25"/>
  <c r="K18" i="25" s="1"/>
  <c r="K20" i="25" s="1"/>
  <c r="F20" i="20"/>
  <c r="K20" i="26" l="1"/>
  <c r="K21" i="26" s="1"/>
  <c r="K21" i="25"/>
  <c r="K22" i="25" s="1"/>
  <c r="K54" i="25"/>
  <c r="K29" i="25"/>
  <c r="E20" i="20"/>
  <c r="G43" i="25"/>
  <c r="K23" i="25" l="1"/>
  <c r="K24" i="25" s="1"/>
  <c r="K33" i="25" s="1"/>
  <c r="G21" i="20"/>
  <c r="K22" i="26"/>
  <c r="K23" i="26" s="1"/>
  <c r="L18" i="26" l="1"/>
  <c r="L17" i="26" s="1"/>
  <c r="L19" i="26" s="1"/>
  <c r="L19" i="25"/>
  <c r="L18" i="25" s="1"/>
  <c r="L20" i="25" s="1"/>
  <c r="F21" i="20"/>
  <c r="K39" i="25"/>
  <c r="K40" i="25" s="1"/>
  <c r="K41" i="25" s="1"/>
  <c r="J54" i="25"/>
  <c r="L54" i="25" s="1"/>
  <c r="I55" i="25" s="1"/>
  <c r="L21" i="25" l="1"/>
  <c r="L22" i="25" s="1"/>
  <c r="K55" i="25"/>
  <c r="L29" i="25"/>
  <c r="E21" i="20"/>
  <c r="L20" i="26"/>
  <c r="L21" i="26" s="1"/>
  <c r="L22" i="26" l="1"/>
  <c r="L23" i="26" s="1"/>
  <c r="G22" i="20"/>
  <c r="L23" i="25"/>
  <c r="L24" i="25" s="1"/>
  <c r="L33" i="25" s="1"/>
  <c r="L39" i="25" l="1"/>
  <c r="L40" i="25" s="1"/>
  <c r="L41" i="25" s="1"/>
  <c r="J55" i="25"/>
  <c r="L55" i="25" s="1"/>
  <c r="I56" i="25" s="1"/>
  <c r="K56" i="25" s="1"/>
  <c r="M19" i="25"/>
  <c r="M18" i="25" s="1"/>
  <c r="M20" i="25" s="1"/>
  <c r="M18" i="26"/>
  <c r="M17" i="26" s="1"/>
  <c r="M19" i="26" s="1"/>
  <c r="F22" i="20"/>
  <c r="M20" i="26" l="1"/>
  <c r="M21" i="26" s="1"/>
  <c r="M29" i="25"/>
  <c r="E22" i="20"/>
  <c r="M21" i="25"/>
  <c r="M22" i="25" s="1"/>
  <c r="M23" i="25" l="1"/>
  <c r="M24" i="25" s="1"/>
  <c r="M33" i="25" s="1"/>
  <c r="M22" i="26"/>
  <c r="M23" i="26" s="1"/>
  <c r="M39" i="25" l="1"/>
  <c r="M40" i="25" s="1"/>
  <c r="M41" i="25" s="1"/>
  <c r="J56" i="25"/>
  <c r="L56" i="25" s="1"/>
  <c r="G35" i="25"/>
  <c r="G36" i="25"/>
  <c r="H7" i="21" l="1"/>
  <c r="H36" i="21"/>
  <c r="F36" i="21"/>
  <c r="F7" i="21"/>
</calcChain>
</file>

<file path=xl/comments1.xml><?xml version="1.0" encoding="utf-8"?>
<comments xmlns="http://schemas.openxmlformats.org/spreadsheetml/2006/main">
  <authors>
    <author>FIEC</author>
  </authors>
  <commentList>
    <comment ref="J35" authorId="0">
      <text>
        <r>
          <rPr>
            <b/>
            <sz val="8"/>
            <color indexed="81"/>
            <rFont val="Tahoma"/>
            <family val="2"/>
          </rPr>
          <t>FIEC:</t>
        </r>
        <r>
          <rPr>
            <sz val="8"/>
            <color indexed="81"/>
            <rFont val="Tahoma"/>
            <family val="2"/>
          </rPr>
          <t xml:space="preserve">
0,5% IECE 
0,5% SECAP
</t>
        </r>
      </text>
    </comment>
  </commentList>
</comments>
</file>

<file path=xl/comments2.xml><?xml version="1.0" encoding="utf-8"?>
<comments xmlns="http://schemas.openxmlformats.org/spreadsheetml/2006/main">
  <authors>
    <author>Carlos Hidalgo</author>
  </authors>
  <commentList>
    <comment ref="H45" authorId="0">
      <text>
        <r>
          <rPr>
            <b/>
            <sz val="9"/>
            <color indexed="81"/>
            <rFont val="Tahoma"/>
            <family val="2"/>
          </rPr>
          <t>Carlos Hidalgo:</t>
        </r>
        <r>
          <rPr>
            <sz val="9"/>
            <color indexed="81"/>
            <rFont val="Tahoma"/>
            <family val="2"/>
          </rPr>
          <t xml:space="preserve">
recuperacion de inv
</t>
        </r>
      </text>
    </comment>
  </commentList>
</comments>
</file>

<file path=xl/sharedStrings.xml><?xml version="1.0" encoding="utf-8"?>
<sst xmlns="http://schemas.openxmlformats.org/spreadsheetml/2006/main" count="495" uniqueCount="318">
  <si>
    <t>Costo en USD</t>
  </si>
  <si>
    <t>Arreglo de paredes y tumbado</t>
  </si>
  <si>
    <t>Total</t>
  </si>
  <si>
    <t>Computadora</t>
  </si>
  <si>
    <t>Inversión en Maquinarias y Equipos</t>
  </si>
  <si>
    <t>Rubro</t>
  </si>
  <si>
    <t>Valor en USD</t>
  </si>
  <si>
    <t>Gastos Legales</t>
  </si>
  <si>
    <t>USD</t>
  </si>
  <si>
    <t>Honorarios de Abogados</t>
  </si>
  <si>
    <t>Permisos de Funcionamiento</t>
  </si>
  <si>
    <t>Valor a la Superintendencia de Compañía (reembolsable)</t>
  </si>
  <si>
    <t>TOTAL</t>
  </si>
  <si>
    <t>Servicios Básicos</t>
  </si>
  <si>
    <t>Ingresos</t>
  </si>
  <si>
    <t>Amortización Anual</t>
  </si>
  <si>
    <t>Amortización Mensual</t>
  </si>
  <si>
    <t>(+) Préstamo</t>
  </si>
  <si>
    <t xml:space="preserve">TIR </t>
  </si>
  <si>
    <t>VAN</t>
  </si>
  <si>
    <t>Impresora 3 en 1</t>
  </si>
  <si>
    <t>ROUTER</t>
  </si>
  <si>
    <t>Microonda LG</t>
  </si>
  <si>
    <t>Escritorios</t>
  </si>
  <si>
    <t>Archivadores</t>
  </si>
  <si>
    <t>Cantidad</t>
  </si>
  <si>
    <t>Diarias</t>
  </si>
  <si>
    <t>Mensual</t>
  </si>
  <si>
    <t>Anual</t>
  </si>
  <si>
    <t>Mensuales</t>
  </si>
  <si>
    <t>Suministros de Limpieza y/o Mantenimiento</t>
  </si>
  <si>
    <t>Materiales/Suministros de Oficina</t>
  </si>
  <si>
    <t>Internet</t>
  </si>
  <si>
    <t>Teléfono</t>
  </si>
  <si>
    <t>Agua</t>
  </si>
  <si>
    <t>Luz</t>
  </si>
  <si>
    <t>Auxiliar de Limpieza</t>
  </si>
  <si>
    <t>Auxiliar Contable</t>
  </si>
  <si>
    <t>Gerente General</t>
  </si>
  <si>
    <t>Sueldos/ Salarios</t>
  </si>
  <si>
    <t>Personal</t>
  </si>
  <si>
    <t>Sueldos y/o Salarios</t>
  </si>
  <si>
    <t>Anuales</t>
  </si>
  <si>
    <t>DEP. ANUAL</t>
  </si>
  <si>
    <t>DEP. ACUM</t>
  </si>
  <si>
    <t>VALOR EN LIBROS</t>
  </si>
  <si>
    <t>CONSOLIDADO DE DEPRECIACIONES</t>
  </si>
  <si>
    <t>GASTOS DE DEPRECIACIÓN</t>
  </si>
  <si>
    <t>DEPRECIACIÓN MENSUAL</t>
  </si>
  <si>
    <t>DEPRECIACIÓN ANUAL</t>
  </si>
  <si>
    <t xml:space="preserve">TOTAL </t>
  </si>
  <si>
    <t>Onda Cero</t>
  </si>
  <si>
    <t>Muebles y Equipos</t>
  </si>
  <si>
    <t>Detalles</t>
  </si>
  <si>
    <t>Precio Unitario</t>
  </si>
  <si>
    <t xml:space="preserve">Aire acondicionado central </t>
  </si>
  <si>
    <t>Computadoras</t>
  </si>
  <si>
    <t>Impresora 3 en uno</t>
  </si>
  <si>
    <t xml:space="preserve">Dispensador de agua </t>
  </si>
  <si>
    <t>Secador de Mano</t>
  </si>
  <si>
    <t>CAPITAL DE TRABAJO</t>
  </si>
  <si>
    <t>Sillas con apoyo y ruedas</t>
  </si>
  <si>
    <t xml:space="preserve">Sillas sin ruedas </t>
  </si>
  <si>
    <t>Impresoras laser</t>
  </si>
  <si>
    <t>Mesas</t>
  </si>
  <si>
    <t>Sillas Plasticas</t>
  </si>
  <si>
    <t xml:space="preserve">Teléfonos </t>
  </si>
  <si>
    <t>Materiales y/o Suministros de Oficina</t>
  </si>
  <si>
    <t>Precio Total</t>
  </si>
  <si>
    <t>Carpetas tamaño oficio</t>
  </si>
  <si>
    <t>Cartuchos de impresora de color</t>
  </si>
  <si>
    <t>Cartuchos de impresora color negra</t>
  </si>
  <si>
    <t>Cajas de Plumas Bic (negras y rojas)</t>
  </si>
  <si>
    <t>Cajas Lápices Bic</t>
  </si>
  <si>
    <t xml:space="preserve">Caja de Saca punta </t>
  </si>
  <si>
    <t>Caja de Borrador</t>
  </si>
  <si>
    <t>Grapadora</t>
  </si>
  <si>
    <t>Cajas de grapa</t>
  </si>
  <si>
    <t>Saca grapa</t>
  </si>
  <si>
    <t>Perforadora</t>
  </si>
  <si>
    <t>Caja de vinchas para carpetas</t>
  </si>
  <si>
    <t>Carpetas Folder</t>
  </si>
  <si>
    <t>Paños</t>
  </si>
  <si>
    <t>Escoba</t>
  </si>
  <si>
    <t xml:space="preserve">Detergente </t>
  </si>
  <si>
    <t>Jabon Clorado</t>
  </si>
  <si>
    <t>Acido Nitrico</t>
  </si>
  <si>
    <t>Manguera</t>
  </si>
  <si>
    <t>Uniformes</t>
  </si>
  <si>
    <t>Caja Pares de Guantes</t>
  </si>
  <si>
    <t>Transporte</t>
  </si>
  <si>
    <t>Maquinaria</t>
  </si>
  <si>
    <t>tasa</t>
  </si>
  <si>
    <t>CUOTA</t>
  </si>
  <si>
    <t>SALDO</t>
  </si>
  <si>
    <t>CAPITAL</t>
  </si>
  <si>
    <t>INTERESES</t>
  </si>
  <si>
    <t>(-) Inversión</t>
  </si>
  <si>
    <t>(-) Amortización Capital del Prestamo</t>
  </si>
  <si>
    <t>(-) Capital de Trabajo</t>
  </si>
  <si>
    <t>(+) Recuperación Capital de Trabj.</t>
  </si>
  <si>
    <t>(+) Valor de Desecho</t>
  </si>
  <si>
    <t>Flujo de Efectivo</t>
  </si>
  <si>
    <t>Flujo de Efectivo Descontado</t>
  </si>
  <si>
    <t>Flujo de Efectivo Dsctado. Acumulado</t>
  </si>
  <si>
    <t>PAYBACK</t>
  </si>
  <si>
    <t>Patrimonio</t>
  </si>
  <si>
    <t>Rd</t>
  </si>
  <si>
    <t>Deuda</t>
  </si>
  <si>
    <t>Rf</t>
  </si>
  <si>
    <t>Rm</t>
  </si>
  <si>
    <t>Beta</t>
  </si>
  <si>
    <t>Riesgo País</t>
  </si>
  <si>
    <t>Re</t>
  </si>
  <si>
    <t>PERIODO AÑOS</t>
  </si>
  <si>
    <t>SALDO DE INVERSIÓN</t>
  </si>
  <si>
    <t>FLUJO DE CAJA</t>
  </si>
  <si>
    <t>RENTABILIDAD EXIGIDA</t>
  </si>
  <si>
    <t>RECUPERACIÓN INVERSIÓN</t>
  </si>
  <si>
    <t>Análisis de Sensibilidad Respecto a Ingresos</t>
  </si>
  <si>
    <t>VARIACIÓN</t>
  </si>
  <si>
    <t>TIR</t>
  </si>
  <si>
    <t>RESULTADO</t>
  </si>
  <si>
    <t>FACTIBLE</t>
  </si>
  <si>
    <t>NO FACTIBLE</t>
  </si>
  <si>
    <t>tmar = CAPM</t>
  </si>
  <si>
    <t>(=) Flujo Neto Efectivo</t>
  </si>
  <si>
    <t>(+) Depreciacion (de activos fijos)</t>
  </si>
  <si>
    <t>(+) Amortización (de Intangibles)</t>
  </si>
  <si>
    <t>(=) UTILIDAD NETA</t>
  </si>
  <si>
    <t>(-) 25% Impuesto a la Renta</t>
  </si>
  <si>
    <t>(=) Utilidad antes de Impuestos</t>
  </si>
  <si>
    <t>(-) 15% Participación de Trabajadores</t>
  </si>
  <si>
    <t>(=) Utilidad antes de Part. Trab. E Impuestos</t>
  </si>
  <si>
    <t>Gastos Financieros (intereses sobre prestamos)</t>
  </si>
  <si>
    <t>(-) Gastos No Operacionales</t>
  </si>
  <si>
    <t>(=) Utilidad Operacional</t>
  </si>
  <si>
    <t>Gastos de Venta</t>
  </si>
  <si>
    <t>Depreciación (de activos fijos)</t>
  </si>
  <si>
    <t>Amortización (de intangibles)</t>
  </si>
  <si>
    <t>Gastos Administrativos</t>
  </si>
  <si>
    <t>Aqui aparecen ejemplos de los tipicos gastos operacionales, no los unicos.  Aqui deberan poner los gastos relacionados con la operacion de la empresa dependiendo del proyecto que se este planteando.</t>
  </si>
  <si>
    <t>Gastos de Servicios</t>
  </si>
  <si>
    <t>(-) Gastos Operacionales</t>
  </si>
  <si>
    <t>(=) Utilidad Bruta</t>
  </si>
  <si>
    <t>(-) Costo de Venta</t>
  </si>
  <si>
    <t>Año 5</t>
  </si>
  <si>
    <t>Año 4</t>
  </si>
  <si>
    <t>Año 3</t>
  </si>
  <si>
    <t>Año 2</t>
  </si>
  <si>
    <t>Año 1</t>
  </si>
  <si>
    <t>Detalle</t>
  </si>
  <si>
    <t>ESTADO DE PERDIDAS Y GANANCIAS</t>
  </si>
  <si>
    <t>Otros Gastos</t>
  </si>
  <si>
    <t>Año 6</t>
  </si>
  <si>
    <t>Año 7</t>
  </si>
  <si>
    <t>Año 8</t>
  </si>
  <si>
    <t>Año 9</t>
  </si>
  <si>
    <t>Año 10</t>
  </si>
  <si>
    <t>Suministros Limpieza</t>
  </si>
  <si>
    <t>Materiales Oficina</t>
  </si>
  <si>
    <t>Movilización y Mantenimiento</t>
  </si>
  <si>
    <t>Vallas Publicitarias</t>
  </si>
  <si>
    <t>Tmar</t>
  </si>
  <si>
    <t>Porcentaje</t>
  </si>
  <si>
    <t>Montos $</t>
  </si>
  <si>
    <t>Monto Requerido</t>
  </si>
  <si>
    <t>Capital Propio</t>
  </si>
  <si>
    <t>Prestamo</t>
  </si>
  <si>
    <t>Plazo</t>
  </si>
  <si>
    <t>Tasa de Interes</t>
  </si>
  <si>
    <t>Detalle del Prestamo</t>
  </si>
  <si>
    <t>10 años</t>
  </si>
  <si>
    <t>Monto</t>
  </si>
  <si>
    <t>Tasa de Crecimiento Promedio</t>
  </si>
  <si>
    <t>Inflacion Anual</t>
  </si>
  <si>
    <t>Tasa de crecimiento + Inflación Anual</t>
  </si>
  <si>
    <t>TABLA DE IMPUESTO A LA RENTA</t>
  </si>
  <si>
    <t>AÑO 2011</t>
  </si>
  <si>
    <t>AÑO 2012</t>
  </si>
  <si>
    <t xml:space="preserve">AÑO 2013 EN ADELANTE </t>
  </si>
  <si>
    <t>MENSUAL</t>
  </si>
  <si>
    <t>Cargo</t>
  </si>
  <si>
    <t>Vacaciones</t>
  </si>
  <si>
    <t>IECE y Secap</t>
  </si>
  <si>
    <t>INVERSIÓN INICIAL</t>
  </si>
  <si>
    <t xml:space="preserve">Deuda a Financiar  </t>
  </si>
  <si>
    <t>Monto
 Mensual
 por puesto</t>
  </si>
  <si>
    <t>Monto
 Mensual
 total</t>
  </si>
  <si>
    <t>Aporte 
Patronal 11,15%</t>
  </si>
  <si>
    <t>Decimo 
tercero</t>
  </si>
  <si>
    <t>Decimo 
Cuarto</t>
  </si>
  <si>
    <t xml:space="preserve">Número
 de Puestos </t>
  </si>
  <si>
    <t>Total Publicidad anual</t>
  </si>
  <si>
    <t>chofer</t>
  </si>
  <si>
    <t>Análisis de Sensibilidad Respecto a Gastos</t>
  </si>
  <si>
    <t>TMAR</t>
  </si>
  <si>
    <t>Contador</t>
  </si>
  <si>
    <t>Empresa de seguridad</t>
  </si>
  <si>
    <t>Despachadores</t>
  </si>
  <si>
    <t>Supervisor de Pista</t>
  </si>
  <si>
    <t>Administrador</t>
  </si>
  <si>
    <t>Dispenzadores</t>
  </si>
  <si>
    <t>Tanques de almacenamiento</t>
  </si>
  <si>
    <t xml:space="preserve">Inversión en Adecuación </t>
  </si>
  <si>
    <t>Rexma de hojas tamaño A4</t>
  </si>
  <si>
    <t>Desinfectante/GL</t>
  </si>
  <si>
    <t>Cloro/GL</t>
  </si>
  <si>
    <t>Limpia vidrios</t>
  </si>
  <si>
    <t>Jabón líquido/GL</t>
  </si>
  <si>
    <t>gorras</t>
  </si>
  <si>
    <t>botas</t>
  </si>
  <si>
    <t>tanquero</t>
  </si>
  <si>
    <t>Auto movil</t>
  </si>
  <si>
    <t>Ganerador electrico Industrial</t>
  </si>
  <si>
    <t>LUNES- VIERNES</t>
  </si>
  <si>
    <t>SABADOS/ DOMINGOS</t>
  </si>
  <si>
    <t>PRECIO</t>
  </si>
  <si>
    <t>COMBUSTIBLES</t>
  </si>
  <si>
    <t>GALONES/DIA</t>
  </si>
  <si>
    <t>PRECIO / GALON</t>
  </si>
  <si>
    <t>EXTRA</t>
  </si>
  <si>
    <t>ECO. PAIS</t>
  </si>
  <si>
    <t>SUPER</t>
  </si>
  <si>
    <t>DIESEL</t>
  </si>
  <si>
    <t>GAS (GLP)</t>
  </si>
  <si>
    <t>-</t>
  </si>
  <si>
    <t>VENTAS</t>
  </si>
  <si>
    <t>COSTOS TOTALES</t>
  </si>
  <si>
    <t>COMBUSTUBLE/ TANQUERO PROPIO</t>
  </si>
  <si>
    <t>SEMANAL</t>
  </si>
  <si>
    <t>GALON</t>
  </si>
  <si>
    <t>PRECIO COMPRA</t>
  </si>
  <si>
    <t>facturas</t>
  </si>
  <si>
    <t>Franquicia</t>
  </si>
  <si>
    <t>Radio</t>
  </si>
  <si>
    <t>Periodico</t>
  </si>
  <si>
    <t>Dispensadores</t>
  </si>
  <si>
    <t>Generador Electrico</t>
  </si>
  <si>
    <t>Tanques de Almacenamiento</t>
  </si>
  <si>
    <t>Terreno</t>
  </si>
  <si>
    <t>Construccion</t>
  </si>
  <si>
    <t>5años</t>
  </si>
  <si>
    <t>Vehiculo</t>
  </si>
  <si>
    <t>Router</t>
  </si>
  <si>
    <t>Muebles de oficina</t>
  </si>
  <si>
    <t xml:space="preserve">Microonda </t>
  </si>
  <si>
    <t>Aire acondicionado</t>
  </si>
  <si>
    <t>IMPRESORA LASER</t>
  </si>
  <si>
    <r>
      <t xml:space="preserve"> </t>
    </r>
    <r>
      <rPr>
        <b/>
        <sz val="12"/>
        <color indexed="8"/>
        <rFont val="Arial"/>
        <family val="2"/>
      </rPr>
      <t>Descripción</t>
    </r>
  </si>
  <si>
    <t>Paquete Papel Higienico/Rollo</t>
  </si>
  <si>
    <t>Acerrin/Saco</t>
  </si>
  <si>
    <t>INVERSIÓN</t>
  </si>
  <si>
    <t>TOTAL EN INVERSIÓN</t>
  </si>
  <si>
    <t>GASTOS ADMINISTRATIVOS</t>
  </si>
  <si>
    <t>Total Gastos de Personal (mensual)</t>
  </si>
  <si>
    <t>Total Gastos de Personal (anual)</t>
  </si>
  <si>
    <t>TOTAL ANUAL</t>
  </si>
  <si>
    <t>Iess 9,35%</t>
  </si>
  <si>
    <t>Total de Gastos</t>
  </si>
  <si>
    <t>COMPORTAMIENTO DE LA DEMANDA</t>
  </si>
  <si>
    <t>DEMANDA %</t>
  </si>
  <si>
    <t>SABADOS - DOMINGOS</t>
  </si>
  <si>
    <t>LUNES - VIERNES</t>
  </si>
  <si>
    <t>Capital de Trabajo</t>
  </si>
  <si>
    <t>PRECIO COMPRA/GALON</t>
  </si>
  <si>
    <t>(MENSUAL)</t>
  </si>
  <si>
    <t xml:space="preserve">Total de Capital de Trabajo </t>
  </si>
  <si>
    <r>
      <t>Mejoras y Adecuación de Baños</t>
    </r>
    <r>
      <rPr>
        <sz val="12"/>
        <color indexed="8"/>
        <rFont val="Arial"/>
        <family val="2"/>
      </rPr>
      <t xml:space="preserve"> </t>
    </r>
  </si>
  <si>
    <t>Inversiones en la Adecuación la Estación</t>
  </si>
  <si>
    <t>Mejoramiento de la Fachada</t>
  </si>
  <si>
    <t>Adecuación de las Oficinas</t>
  </si>
  <si>
    <t>INGRESOS</t>
  </si>
  <si>
    <t>Otros Ingresos</t>
  </si>
  <si>
    <t>Ingresos por Ventas</t>
  </si>
  <si>
    <t>3 Alquiler locales</t>
  </si>
  <si>
    <t>Total de Ingresos</t>
  </si>
  <si>
    <t>Costos Directos/Combustible</t>
  </si>
  <si>
    <t>DEMANDA%</t>
  </si>
  <si>
    <t>COSTOS DE VENTAS</t>
  </si>
  <si>
    <t>OTROS</t>
  </si>
  <si>
    <t>FLETES ADICIONALES</t>
  </si>
  <si>
    <t>ANUAL</t>
  </si>
  <si>
    <t>GASTOS DE VENTAS</t>
  </si>
  <si>
    <t>PUBLICIDAD</t>
  </si>
  <si>
    <t># Vallas</t>
  </si>
  <si>
    <t>VALOR</t>
  </si>
  <si>
    <t># ANUNCIOS</t>
  </si>
  <si>
    <t># CUÑAS</t>
  </si>
  <si>
    <t>VALOR UNITARIO</t>
  </si>
  <si>
    <t>GASTOS LEGALES</t>
  </si>
  <si>
    <t xml:space="preserve">Aqui deberan poner los gastos NO relacionados con la </t>
  </si>
  <si>
    <t>operacion de la empresa dependiendo del proyecto que</t>
  </si>
  <si>
    <t xml:space="preserve"> se este planteando.</t>
  </si>
  <si>
    <t>AÑO</t>
  </si>
  <si>
    <r>
      <rPr>
        <vertAlign val="subscript"/>
        <sz val="12"/>
        <color indexed="8"/>
        <rFont val="Arial"/>
        <family val="2"/>
      </rPr>
      <t>Re</t>
    </r>
    <r>
      <rPr>
        <sz val="12"/>
        <color indexed="8"/>
        <rFont val="Arial"/>
        <family val="2"/>
      </rPr>
      <t xml:space="preserve"> = r</t>
    </r>
    <r>
      <rPr>
        <vertAlign val="subscript"/>
        <sz val="12"/>
        <color indexed="8"/>
        <rFont val="Arial"/>
        <family val="2"/>
      </rPr>
      <t>f</t>
    </r>
    <r>
      <rPr>
        <sz val="12"/>
        <color indexed="8"/>
        <rFont val="Arial"/>
        <family val="2"/>
      </rPr>
      <t xml:space="preserve"> + b (r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–  r</t>
    </r>
    <r>
      <rPr>
        <vertAlign val="subscript"/>
        <sz val="12"/>
        <color indexed="8"/>
        <rFont val="Arial"/>
        <family val="2"/>
      </rPr>
      <t>f</t>
    </r>
    <r>
      <rPr>
        <sz val="12"/>
        <color indexed="8"/>
        <rFont val="Arial"/>
        <family val="2"/>
      </rPr>
      <t xml:space="preserve"> )</t>
    </r>
  </si>
  <si>
    <t>TOTAL COSTOS FIJOS</t>
  </si>
  <si>
    <t>TOTAL COSTOS  VARIABLES</t>
  </si>
  <si>
    <t>Costos Variables</t>
  </si>
  <si>
    <t>Costos Fijos</t>
  </si>
  <si>
    <t>INGRESOS DE VENTAS</t>
  </si>
  <si>
    <t>VALOR DE DESECHO</t>
  </si>
  <si>
    <t>Generador Eléctrico</t>
  </si>
  <si>
    <t>Impresora Láser</t>
  </si>
  <si>
    <t>Teléfonos</t>
  </si>
  <si>
    <t xml:space="preserve">Dispensador </t>
  </si>
  <si>
    <t>Valor Unitario</t>
  </si>
  <si>
    <t>Valor Total</t>
  </si>
  <si>
    <t>Vida Util</t>
  </si>
  <si>
    <t>Depreciación Anual</t>
  </si>
  <si>
    <t>Años</t>
  </si>
  <si>
    <t>Depreciación Acumulada</t>
  </si>
  <si>
    <t>Valor en Libros</t>
  </si>
  <si>
    <t>DEPRECIACIÓN</t>
  </si>
  <si>
    <r>
      <t>Re= (</t>
    </r>
    <r>
      <rPr>
        <sz val="12"/>
        <color rgb="FF000000"/>
        <rFont val="Arial"/>
        <family val="2"/>
      </rPr>
      <t>0.0193 + 0.53 (0.11‐0.0193)) + 0.0808</t>
    </r>
  </si>
  <si>
    <t>Re= 0,1482</t>
  </si>
  <si>
    <t>Re=14,82%</t>
  </si>
  <si>
    <t>Automóvil y autotanque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</si>
</sst>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300A]\ #,##0.00"/>
    <numFmt numFmtId="167" formatCode="&quot;$&quot;\ #,##0.00"/>
    <numFmt numFmtId="168" formatCode="[$$-409]#,##0.00;[Red][$$-409]#,##0.00"/>
    <numFmt numFmtId="169" formatCode="_-[$$-300A]\ * #,##0.00_ ;_-[$$-300A]\ * \-#,##0.00\ ;_-[$$-300A]\ * &quot;-&quot;??_ ;_-@_ "/>
    <numFmt numFmtId="170" formatCode="_-* #,##0.000000\ _€_-;\-* #,##0.000000\ _€_-;_-* &quot;-&quot;??\ _€_-;_-@_-"/>
    <numFmt numFmtId="171" formatCode="_-* #,##0\ _€_-;\-* #,##0\ _€_-;_-* &quot;-&quot;??\ _€_-;_-@_-"/>
    <numFmt numFmtId="172" formatCode="[$$-340A]\ #,##0.00"/>
    <numFmt numFmtId="173" formatCode="[$$-340A]\ #,##0.00;\-[$$-340A]\ #,##0.00"/>
    <numFmt numFmtId="174" formatCode="[$$-340A]\ #,##0.000000;\-[$$-340A]\ #,##0.000000"/>
    <numFmt numFmtId="175" formatCode="[$$-300A]\ #,##0.00_ ;[Red]\-[$$-300A]\ #,##0.00\ "/>
    <numFmt numFmtId="176" formatCode="0.0%"/>
  </numFmts>
  <fonts count="42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bscript"/>
      <sz val="12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i/>
      <u/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0"/>
      <name val="Albertus Medium"/>
      <family val="2"/>
    </font>
    <font>
      <sz val="12"/>
      <color theme="1"/>
      <name val="Albertus Medium"/>
      <family val="2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9" tint="-0.49998474074526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theme="6" tint="-0.249977111117893"/>
      </left>
      <right style="double">
        <color theme="6" tint="-0.249977111117893"/>
      </right>
      <top style="double">
        <color theme="6" tint="-0.249977111117893"/>
      </top>
      <bottom style="double">
        <color theme="6" tint="-0.249977111117893"/>
      </bottom>
      <diagonal/>
    </border>
    <border>
      <left style="double">
        <color theme="6" tint="-0.249977111117893"/>
      </left>
      <right style="double">
        <color theme="6" tint="-0.249977111117893"/>
      </right>
      <top style="double">
        <color theme="6" tint="-0.249977111117893"/>
      </top>
      <bottom/>
      <diagonal/>
    </border>
    <border>
      <left style="double">
        <color theme="6" tint="-0.249977111117893"/>
      </left>
      <right style="double">
        <color theme="6" tint="-0.249977111117893"/>
      </right>
      <top/>
      <bottom/>
      <diagonal/>
    </border>
    <border>
      <left style="double">
        <color theme="6" tint="-0.249977111117893"/>
      </left>
      <right style="double">
        <color theme="6" tint="-0.249977111117893"/>
      </right>
      <top/>
      <bottom style="double">
        <color theme="6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4" fontId="0" fillId="0" borderId="0" xfId="0" applyNumberFormat="1" applyBorder="1"/>
    <xf numFmtId="0" fontId="20" fillId="0" borderId="0" xfId="11"/>
    <xf numFmtId="1" fontId="20" fillId="0" borderId="0" xfId="11" applyNumberFormat="1" applyBorder="1" applyAlignment="1">
      <alignment horizontal="center"/>
    </xf>
    <xf numFmtId="0" fontId="21" fillId="0" borderId="0" xfId="11" applyFont="1" applyBorder="1" applyAlignment="1"/>
    <xf numFmtId="0" fontId="20" fillId="0" borderId="0" xfId="11" applyBorder="1"/>
    <xf numFmtId="0" fontId="23" fillId="0" borderId="0" xfId="12" applyFont="1" applyBorder="1" applyAlignment="1">
      <alignment horizontal="center"/>
    </xf>
    <xf numFmtId="0" fontId="7" fillId="0" borderId="0" xfId="12" applyFont="1" applyBorder="1" applyAlignment="1">
      <alignment horizontal="center"/>
    </xf>
    <xf numFmtId="166" fontId="24" fillId="0" borderId="0" xfId="7" applyNumberFormat="1" applyFont="1" applyBorder="1" applyAlignment="1">
      <alignment horizontal="center"/>
    </xf>
    <xf numFmtId="0" fontId="20" fillId="0" borderId="0" xfId="11" applyBorder="1" applyAlignment="1">
      <alignment horizontal="center"/>
    </xf>
    <xf numFmtId="0" fontId="21" fillId="0" borderId="0" xfId="11" applyFont="1" applyBorder="1"/>
    <xf numFmtId="0" fontId="8" fillId="0" borderId="0" xfId="12" applyFont="1" applyBorder="1" applyAlignment="1">
      <alignment horizontal="center"/>
    </xf>
    <xf numFmtId="0" fontId="21" fillId="0" borderId="0" xfId="0" applyFont="1"/>
    <xf numFmtId="0" fontId="20" fillId="0" borderId="0" xfId="11" applyFont="1"/>
    <xf numFmtId="43" fontId="5" fillId="0" borderId="0" xfId="4" applyFont="1" applyBorder="1"/>
    <xf numFmtId="9" fontId="0" fillId="0" borderId="0" xfId="0" applyNumberFormat="1"/>
    <xf numFmtId="1" fontId="20" fillId="0" borderId="0" xfId="11" applyNumberFormat="1"/>
    <xf numFmtId="0" fontId="0" fillId="0" borderId="0" xfId="0" applyFont="1" applyFill="1" applyBorder="1" applyAlignment="1">
      <alignment horizontal="justify" vertical="center"/>
    </xf>
    <xf numFmtId="0" fontId="0" fillId="0" borderId="0" xfId="0" applyFill="1" applyBorder="1"/>
    <xf numFmtId="0" fontId="22" fillId="0" borderId="0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27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4" fontId="0" fillId="0" borderId="0" xfId="0" applyNumberFormat="1" applyFont="1" applyFill="1" applyBorder="1" applyAlignment="1">
      <alignment horizontal="justify" vertical="center"/>
    </xf>
    <xf numFmtId="0" fontId="0" fillId="0" borderId="0" xfId="0" applyFill="1" applyBorder="1" applyAlignment="1">
      <alignment horizontal="justify" vertical="center" wrapText="1"/>
    </xf>
    <xf numFmtId="4" fontId="28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Fill="1" applyBorder="1" applyAlignment="1">
      <alignment horizontal="right" vertical="top" wrapText="1"/>
    </xf>
    <xf numFmtId="4" fontId="0" fillId="0" borderId="0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 applyBorder="1" applyAlignment="1">
      <alignment horizontal="justify" vertical="top" wrapText="1"/>
    </xf>
    <xf numFmtId="0" fontId="0" fillId="0" borderId="0" xfId="0" applyBorder="1" applyAlignment="1">
      <alignment horizontal="right"/>
    </xf>
    <xf numFmtId="0" fontId="27" fillId="0" borderId="0" xfId="0" applyFont="1" applyBorder="1" applyAlignment="1">
      <alignment horizontal="right"/>
    </xf>
    <xf numFmtId="0" fontId="0" fillId="0" borderId="0" xfId="0" applyFont="1" applyBorder="1"/>
    <xf numFmtId="0" fontId="5" fillId="0" borderId="0" xfId="14" applyFont="1"/>
    <xf numFmtId="0" fontId="20" fillId="0" borderId="0" xfId="14"/>
    <xf numFmtId="0" fontId="20" fillId="0" borderId="0" xfId="14" applyBorder="1"/>
    <xf numFmtId="167" fontId="5" fillId="0" borderId="0" xfId="14" applyNumberFormat="1" applyFont="1"/>
    <xf numFmtId="0" fontId="20" fillId="0" borderId="0" xfId="14" applyFont="1"/>
    <xf numFmtId="0" fontId="20" fillId="0" borderId="0" xfId="14" applyFont="1" applyBorder="1"/>
    <xf numFmtId="168" fontId="20" fillId="0" borderId="0" xfId="14" applyNumberFormat="1" applyBorder="1"/>
    <xf numFmtId="0" fontId="10" fillId="0" borderId="0" xfId="15" applyFont="1"/>
    <xf numFmtId="44" fontId="20" fillId="0" borderId="0" xfId="14" applyNumberFormat="1" applyFont="1" applyBorder="1"/>
    <xf numFmtId="0" fontId="20" fillId="0" borderId="0" xfId="14" applyFill="1" applyBorder="1"/>
    <xf numFmtId="9" fontId="29" fillId="0" borderId="1" xfId="2" applyNumberFormat="1" applyFont="1" applyBorder="1" applyAlignment="1">
      <alignment horizontal="center" vertical="center"/>
    </xf>
    <xf numFmtId="43" fontId="29" fillId="0" borderId="1" xfId="2" applyNumberFormat="1" applyFont="1" applyBorder="1" applyAlignment="1">
      <alignment horizontal="center" vertical="center"/>
    </xf>
    <xf numFmtId="9" fontId="29" fillId="0" borderId="1" xfId="0" applyNumberFormat="1" applyFont="1" applyBorder="1" applyAlignment="1">
      <alignment horizontal="center" vertical="center"/>
    </xf>
    <xf numFmtId="9" fontId="30" fillId="0" borderId="1" xfId="2" applyNumberFormat="1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/>
    </xf>
    <xf numFmtId="8" fontId="30" fillId="0" borderId="1" xfId="2" applyNumberFormat="1" applyFont="1" applyBorder="1" applyAlignment="1">
      <alignment horizontal="center" vertical="center"/>
    </xf>
    <xf numFmtId="43" fontId="29" fillId="0" borderId="0" xfId="2" applyNumberFormat="1" applyFont="1" applyBorder="1" applyAlignment="1">
      <alignment horizontal="center" vertical="center"/>
    </xf>
    <xf numFmtId="43" fontId="30" fillId="0" borderId="1" xfId="2" applyNumberFormat="1" applyFont="1" applyBorder="1" applyAlignment="1">
      <alignment horizontal="center" vertical="center"/>
    </xf>
    <xf numFmtId="0" fontId="6" fillId="0" borderId="0" xfId="12"/>
    <xf numFmtId="0" fontId="6" fillId="0" borderId="0" xfId="12" applyFont="1"/>
    <xf numFmtId="0" fontId="11" fillId="0" borderId="0" xfId="12" applyFont="1"/>
    <xf numFmtId="166" fontId="28" fillId="0" borderId="1" xfId="0" applyNumberFormat="1" applyFont="1" applyBorder="1" applyAlignment="1">
      <alignment horizontal="right"/>
    </xf>
    <xf numFmtId="0" fontId="12" fillId="0" borderId="1" xfId="12" applyFont="1" applyBorder="1" applyAlignment="1">
      <alignment horizontal="center"/>
    </xf>
    <xf numFmtId="0" fontId="22" fillId="0" borderId="0" xfId="0" applyFont="1" applyBorder="1"/>
    <xf numFmtId="0" fontId="20" fillId="0" borderId="0" xfId="14" applyFont="1" applyAlignment="1">
      <alignment horizontal="center"/>
    </xf>
    <xf numFmtId="0" fontId="20" fillId="0" borderId="0" xfId="11" applyFont="1" applyAlignment="1">
      <alignment horizontal="center"/>
    </xf>
    <xf numFmtId="9" fontId="29" fillId="0" borderId="1" xfId="16" applyFont="1" applyBorder="1" applyAlignment="1">
      <alignment horizontal="center" vertical="center"/>
    </xf>
    <xf numFmtId="0" fontId="20" fillId="0" borderId="0" xfId="14" applyBorder="1" applyAlignment="1">
      <alignment horizontal="left"/>
    </xf>
    <xf numFmtId="0" fontId="2" fillId="0" borderId="0" xfId="14" applyFont="1" applyBorder="1" applyAlignment="1">
      <alignment horizontal="left"/>
    </xf>
    <xf numFmtId="44" fontId="19" fillId="0" borderId="0" xfId="10" applyFont="1" applyBorder="1" applyAlignment="1">
      <alignment horizontal="right" vertical="center"/>
    </xf>
    <xf numFmtId="1" fontId="21" fillId="0" borderId="0" xfId="11" applyNumberFormat="1" applyFont="1" applyBorder="1" applyAlignment="1">
      <alignment horizontal="center"/>
    </xf>
    <xf numFmtId="8" fontId="0" fillId="0" borderId="0" xfId="0" applyNumberFormat="1" applyFont="1" applyBorder="1" applyAlignment="1">
      <alignment horizontal="right" vertical="center"/>
    </xf>
    <xf numFmtId="4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 vertical="center" wrapText="1"/>
    </xf>
    <xf numFmtId="4" fontId="0" fillId="2" borderId="0" xfId="0" applyNumberFormat="1" applyFont="1" applyFill="1" applyBorder="1" applyAlignment="1">
      <alignment horizontal="right" vertical="center" wrapText="1"/>
    </xf>
    <xf numFmtId="4" fontId="22" fillId="2" borderId="0" xfId="0" applyNumberFormat="1" applyFont="1" applyFill="1" applyBorder="1" applyAlignment="1">
      <alignment horizontal="right" vertical="top" wrapText="1"/>
    </xf>
    <xf numFmtId="0" fontId="31" fillId="0" borderId="0" xfId="14" applyFont="1"/>
    <xf numFmtId="0" fontId="31" fillId="0" borderId="2" xfId="14" applyFont="1" applyFill="1" applyBorder="1" applyAlignment="1">
      <alignment horizontal="left"/>
    </xf>
    <xf numFmtId="44" fontId="31" fillId="0" borderId="2" xfId="10" applyFont="1" applyBorder="1" applyAlignment="1">
      <alignment vertical="center"/>
    </xf>
    <xf numFmtId="0" fontId="31" fillId="0" borderId="1" xfId="14" applyFont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44" fontId="31" fillId="0" borderId="1" xfId="10" applyFont="1" applyBorder="1" applyAlignment="1">
      <alignment horizontal="right" vertical="center"/>
    </xf>
    <xf numFmtId="0" fontId="16" fillId="0" borderId="1" xfId="14" applyFont="1" applyFill="1" applyBorder="1" applyAlignment="1">
      <alignment horizontal="left"/>
    </xf>
    <xf numFmtId="44" fontId="31" fillId="0" borderId="1" xfId="10" applyFont="1" applyBorder="1" applyAlignment="1">
      <alignment vertical="center"/>
    </xf>
    <xf numFmtId="0" fontId="31" fillId="0" borderId="3" xfId="14" applyFont="1" applyFill="1" applyBorder="1" applyAlignment="1">
      <alignment horizontal="left"/>
    </xf>
    <xf numFmtId="44" fontId="31" fillId="0" borderId="3" xfId="10" applyFont="1" applyBorder="1" applyAlignment="1">
      <alignment horizontal="right" vertical="center"/>
    </xf>
    <xf numFmtId="44" fontId="31" fillId="0" borderId="1" xfId="10" applyFont="1" applyBorder="1" applyAlignment="1">
      <alignment horizontal="left" vertical="center"/>
    </xf>
    <xf numFmtId="0" fontId="31" fillId="0" borderId="1" xfId="14" applyFont="1" applyBorder="1"/>
    <xf numFmtId="0" fontId="31" fillId="0" borderId="1" xfId="14" applyFont="1" applyBorder="1" applyAlignment="1">
      <alignment vertical="center"/>
    </xf>
    <xf numFmtId="0" fontId="31" fillId="0" borderId="2" xfId="14" applyFont="1" applyBorder="1"/>
    <xf numFmtId="44" fontId="31" fillId="0" borderId="2" xfId="10" applyFont="1" applyBorder="1" applyAlignment="1">
      <alignment horizontal="right" vertical="center"/>
    </xf>
    <xf numFmtId="0" fontId="31" fillId="0" borderId="3" xfId="14" applyFont="1" applyBorder="1"/>
    <xf numFmtId="0" fontId="31" fillId="0" borderId="3" xfId="14" applyFont="1" applyFill="1" applyBorder="1"/>
    <xf numFmtId="0" fontId="31" fillId="0" borderId="0" xfId="0" applyFont="1"/>
    <xf numFmtId="0" fontId="31" fillId="0" borderId="1" xfId="0" applyFont="1" applyBorder="1"/>
    <xf numFmtId="4" fontId="31" fillId="0" borderId="1" xfId="0" applyNumberFormat="1" applyFont="1" applyBorder="1"/>
    <xf numFmtId="0" fontId="31" fillId="0" borderId="3" xfId="14" applyFont="1" applyBorder="1" applyAlignment="1">
      <alignment vertical="center"/>
    </xf>
    <xf numFmtId="0" fontId="31" fillId="0" borderId="7" xfId="14" applyFont="1" applyBorder="1"/>
    <xf numFmtId="44" fontId="31" fillId="0" borderId="8" xfId="10" applyFont="1" applyBorder="1" applyAlignment="1">
      <alignment horizontal="right" vertical="center"/>
    </xf>
    <xf numFmtId="0" fontId="31" fillId="0" borderId="9" xfId="14" applyFont="1" applyBorder="1" applyAlignment="1">
      <alignment horizontal="center" vertical="center"/>
    </xf>
    <xf numFmtId="44" fontId="31" fillId="0" borderId="10" xfId="10" applyFont="1" applyBorder="1" applyAlignment="1">
      <alignment horizontal="right" vertical="center"/>
    </xf>
    <xf numFmtId="0" fontId="31" fillId="0" borderId="7" xfId="14" applyFont="1" applyBorder="1" applyAlignment="1">
      <alignment horizontal="center" vertical="center"/>
    </xf>
    <xf numFmtId="0" fontId="31" fillId="0" borderId="11" xfId="14" applyFont="1" applyBorder="1" applyAlignment="1">
      <alignment horizontal="center" vertical="center"/>
    </xf>
    <xf numFmtId="44" fontId="31" fillId="0" borderId="12" xfId="10" applyFont="1" applyBorder="1" applyAlignment="1">
      <alignment horizontal="right" vertical="center"/>
    </xf>
    <xf numFmtId="0" fontId="31" fillId="0" borderId="7" xfId="14" applyFont="1" applyBorder="1" applyAlignment="1">
      <alignment horizontal="center"/>
    </xf>
    <xf numFmtId="0" fontId="31" fillId="0" borderId="9" xfId="14" applyFont="1" applyBorder="1" applyAlignment="1">
      <alignment horizontal="center"/>
    </xf>
    <xf numFmtId="44" fontId="31" fillId="0" borderId="10" xfId="10" applyFont="1" applyBorder="1" applyAlignment="1">
      <alignment vertical="center"/>
    </xf>
    <xf numFmtId="0" fontId="31" fillId="0" borderId="11" xfId="14" applyFont="1" applyBorder="1" applyAlignment="1">
      <alignment horizontal="center"/>
    </xf>
    <xf numFmtId="0" fontId="31" fillId="0" borderId="0" xfId="11" applyFont="1"/>
    <xf numFmtId="0" fontId="31" fillId="0" borderId="7" xfId="11" applyFont="1" applyBorder="1" applyAlignment="1">
      <alignment horizontal="justify" vertical="top" wrapText="1"/>
    </xf>
    <xf numFmtId="0" fontId="31" fillId="0" borderId="1" xfId="11" applyFont="1" applyBorder="1" applyAlignment="1">
      <alignment horizontal="center" vertical="top" wrapText="1"/>
    </xf>
    <xf numFmtId="8" fontId="31" fillId="0" borderId="1" xfId="11" applyNumberFormat="1" applyFont="1" applyBorder="1" applyAlignment="1">
      <alignment horizontal="right" vertical="top" wrapText="1"/>
    </xf>
    <xf numFmtId="8" fontId="31" fillId="0" borderId="8" xfId="11" applyNumberFormat="1" applyFont="1" applyBorder="1" applyAlignment="1">
      <alignment horizontal="right" vertical="top" wrapText="1"/>
    </xf>
    <xf numFmtId="8" fontId="31" fillId="0" borderId="0" xfId="11" applyNumberFormat="1" applyFont="1"/>
    <xf numFmtId="43" fontId="31" fillId="0" borderId="0" xfId="5" applyFont="1"/>
    <xf numFmtId="43" fontId="31" fillId="0" borderId="9" xfId="5" applyFont="1" applyBorder="1"/>
    <xf numFmtId="43" fontId="31" fillId="0" borderId="2" xfId="5" applyFont="1" applyBorder="1" applyAlignment="1">
      <alignment horizontal="center"/>
    </xf>
    <xf numFmtId="43" fontId="31" fillId="0" borderId="10" xfId="5" applyFont="1" applyBorder="1" applyAlignment="1">
      <alignment horizontal="center"/>
    </xf>
    <xf numFmtId="43" fontId="31" fillId="0" borderId="10" xfId="5" applyFont="1" applyBorder="1"/>
    <xf numFmtId="43" fontId="31" fillId="0" borderId="7" xfId="5" applyFont="1" applyBorder="1"/>
    <xf numFmtId="43" fontId="31" fillId="0" borderId="1" xfId="5" applyFont="1" applyBorder="1"/>
    <xf numFmtId="43" fontId="31" fillId="0" borderId="8" xfId="5" applyFont="1" applyBorder="1"/>
    <xf numFmtId="43" fontId="31" fillId="0" borderId="11" xfId="5" applyFont="1" applyBorder="1"/>
    <xf numFmtId="43" fontId="31" fillId="0" borderId="3" xfId="5" applyFont="1" applyBorder="1"/>
    <xf numFmtId="43" fontId="31" fillId="0" borderId="12" xfId="5" applyFont="1" applyBorder="1"/>
    <xf numFmtId="0" fontId="31" fillId="0" borderId="11" xfId="11" applyFont="1" applyBorder="1"/>
    <xf numFmtId="0" fontId="31" fillId="0" borderId="0" xfId="11" applyFont="1" applyAlignment="1">
      <alignment horizontal="center"/>
    </xf>
    <xf numFmtId="0" fontId="32" fillId="2" borderId="7" xfId="0" applyFont="1" applyFill="1" applyBorder="1" applyAlignment="1">
      <alignment horizontal="left" vertical="center"/>
    </xf>
    <xf numFmtId="1" fontId="32" fillId="2" borderId="1" xfId="7" applyNumberFormat="1" applyFont="1" applyFill="1" applyBorder="1" applyAlignment="1">
      <alignment horizontal="center" vertical="center"/>
    </xf>
    <xf numFmtId="44" fontId="32" fillId="2" borderId="1" xfId="7" applyNumberFormat="1" applyFont="1" applyFill="1" applyBorder="1" applyAlignment="1">
      <alignment horizontal="center" vertical="center"/>
    </xf>
    <xf numFmtId="169" fontId="31" fillId="2" borderId="1" xfId="0" applyNumberFormat="1" applyFont="1" applyFill="1" applyBorder="1" applyAlignment="1">
      <alignment horizontal="center" vertical="center"/>
    </xf>
    <xf numFmtId="169" fontId="31" fillId="2" borderId="8" xfId="0" applyNumberFormat="1" applyFont="1" applyFill="1" applyBorder="1" applyAlignment="1">
      <alignment horizontal="center" vertical="center"/>
    </xf>
    <xf numFmtId="0" fontId="31" fillId="2" borderId="7" xfId="11" applyFont="1" applyFill="1" applyBorder="1" applyAlignment="1">
      <alignment horizontal="left" vertical="center" wrapText="1"/>
    </xf>
    <xf numFmtId="0" fontId="31" fillId="2" borderId="11" xfId="11" applyFont="1" applyFill="1" applyBorder="1" applyAlignment="1">
      <alignment horizontal="left" vertical="center" wrapText="1"/>
    </xf>
    <xf numFmtId="1" fontId="32" fillId="2" borderId="3" xfId="7" applyNumberFormat="1" applyFont="1" applyFill="1" applyBorder="1" applyAlignment="1">
      <alignment horizontal="center" vertical="center"/>
    </xf>
    <xf numFmtId="44" fontId="32" fillId="2" borderId="3" xfId="7" applyNumberFormat="1" applyFont="1" applyFill="1" applyBorder="1" applyAlignment="1">
      <alignment horizontal="center" vertical="center"/>
    </xf>
    <xf numFmtId="169" fontId="31" fillId="2" borderId="3" xfId="0" applyNumberFormat="1" applyFont="1" applyFill="1" applyBorder="1" applyAlignment="1">
      <alignment horizontal="center" vertical="center"/>
    </xf>
    <xf numFmtId="169" fontId="31" fillId="2" borderId="12" xfId="0" applyNumberFormat="1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left" vertical="center"/>
    </xf>
    <xf numFmtId="1" fontId="32" fillId="4" borderId="14" xfId="0" applyNumberFormat="1" applyFont="1" applyFill="1" applyBorder="1" applyAlignment="1">
      <alignment horizontal="center" vertical="center"/>
    </xf>
    <xf numFmtId="44" fontId="12" fillId="4" borderId="14" xfId="7" applyNumberFormat="1" applyFont="1" applyFill="1" applyBorder="1" applyAlignment="1">
      <alignment horizontal="center" vertical="center"/>
    </xf>
    <xf numFmtId="44" fontId="12" fillId="4" borderId="15" xfId="7" applyNumberFormat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43" fontId="34" fillId="4" borderId="13" xfId="5" applyFont="1" applyFill="1" applyBorder="1"/>
    <xf numFmtId="43" fontId="34" fillId="4" borderId="15" xfId="5" applyFont="1" applyFill="1" applyBorder="1"/>
    <xf numFmtId="0" fontId="15" fillId="4" borderId="7" xfId="11" applyFont="1" applyFill="1" applyBorder="1" applyAlignment="1">
      <alignment horizontal="center" vertical="center" wrapText="1"/>
    </xf>
    <xf numFmtId="0" fontId="15" fillId="4" borderId="1" xfId="11" applyFont="1" applyFill="1" applyBorder="1" applyAlignment="1">
      <alignment horizontal="center" vertical="center" wrapText="1"/>
    </xf>
    <xf numFmtId="0" fontId="15" fillId="4" borderId="8" xfId="11" applyFont="1" applyFill="1" applyBorder="1" applyAlignment="1">
      <alignment horizontal="center" vertical="center" wrapText="1"/>
    </xf>
    <xf numFmtId="0" fontId="31" fillId="0" borderId="0" xfId="11" applyFont="1" applyAlignment="1"/>
    <xf numFmtId="166" fontId="31" fillId="0" borderId="18" xfId="11" applyNumberFormat="1" applyFont="1" applyBorder="1"/>
    <xf numFmtId="166" fontId="31" fillId="0" borderId="8" xfId="5" applyNumberFormat="1" applyFont="1" applyBorder="1"/>
    <xf numFmtId="166" fontId="31" fillId="0" borderId="12" xfId="5" applyNumberFormat="1" applyFont="1" applyBorder="1"/>
    <xf numFmtId="0" fontId="17" fillId="0" borderId="19" xfId="12" applyFont="1" applyBorder="1" applyAlignment="1">
      <alignment horizontal="center"/>
    </xf>
    <xf numFmtId="10" fontId="17" fillId="0" borderId="20" xfId="12" applyNumberFormat="1" applyFont="1" applyBorder="1" applyAlignment="1">
      <alignment horizontal="center"/>
    </xf>
    <xf numFmtId="165" fontId="17" fillId="0" borderId="2" xfId="2" applyFont="1" applyBorder="1" applyAlignment="1">
      <alignment horizontal="center"/>
    </xf>
    <xf numFmtId="0" fontId="17" fillId="0" borderId="21" xfId="12" applyFont="1" applyBorder="1" applyAlignment="1">
      <alignment horizontal="center"/>
    </xf>
    <xf numFmtId="10" fontId="17" fillId="0" borderId="22" xfId="12" applyNumberFormat="1" applyFont="1" applyBorder="1" applyAlignment="1">
      <alignment horizontal="center"/>
    </xf>
    <xf numFmtId="165" fontId="17" fillId="0" borderId="1" xfId="2" applyFont="1" applyBorder="1" applyAlignment="1">
      <alignment horizontal="center"/>
    </xf>
    <xf numFmtId="0" fontId="17" fillId="0" borderId="23" xfId="12" applyFont="1" applyBorder="1" applyAlignment="1">
      <alignment horizontal="center"/>
    </xf>
    <xf numFmtId="10" fontId="17" fillId="0" borderId="24" xfId="12" applyNumberFormat="1" applyFont="1" applyBorder="1" applyAlignment="1">
      <alignment horizontal="center"/>
    </xf>
    <xf numFmtId="165" fontId="17" fillId="0" borderId="3" xfId="2" applyFont="1" applyBorder="1" applyAlignment="1">
      <alignment horizontal="center"/>
    </xf>
    <xf numFmtId="165" fontId="31" fillId="0" borderId="3" xfId="2" applyFont="1" applyBorder="1" applyAlignment="1">
      <alignment horizontal="center"/>
    </xf>
    <xf numFmtId="1" fontId="31" fillId="0" borderId="3" xfId="11" applyNumberFormat="1" applyFont="1" applyBorder="1" applyAlignment="1">
      <alignment horizontal="center"/>
    </xf>
    <xf numFmtId="0" fontId="34" fillId="4" borderId="26" xfId="11" applyFont="1" applyFill="1" applyBorder="1" applyAlignment="1">
      <alignment horizontal="center"/>
    </xf>
    <xf numFmtId="0" fontId="34" fillId="4" borderId="27" xfId="11" applyFont="1" applyFill="1" applyBorder="1" applyAlignment="1">
      <alignment horizontal="center"/>
    </xf>
    <xf numFmtId="0" fontId="34" fillId="4" borderId="28" xfId="11" applyFont="1" applyFill="1" applyBorder="1" applyAlignment="1">
      <alignment horizontal="center"/>
    </xf>
    <xf numFmtId="165" fontId="12" fillId="4" borderId="27" xfId="2" applyFont="1" applyFill="1" applyBorder="1" applyAlignment="1">
      <alignment horizontal="center"/>
    </xf>
    <xf numFmtId="172" fontId="17" fillId="0" borderId="2" xfId="2" applyNumberFormat="1" applyFont="1" applyBorder="1" applyAlignment="1">
      <alignment horizontal="center"/>
    </xf>
    <xf numFmtId="172" fontId="17" fillId="0" borderId="1" xfId="2" applyNumberFormat="1" applyFont="1" applyBorder="1" applyAlignment="1">
      <alignment horizontal="center"/>
    </xf>
    <xf numFmtId="0" fontId="31" fillId="0" borderId="1" xfId="11" applyFont="1" applyBorder="1"/>
    <xf numFmtId="0" fontId="31" fillId="0" borderId="0" xfId="11" applyFont="1" applyBorder="1"/>
    <xf numFmtId="172" fontId="12" fillId="0" borderId="1" xfId="2" applyNumberFormat="1" applyFont="1" applyBorder="1" applyAlignment="1">
      <alignment horizontal="center"/>
    </xf>
    <xf numFmtId="0" fontId="34" fillId="4" borderId="25" xfId="11" applyFont="1" applyFill="1" applyBorder="1" applyAlignment="1">
      <alignment horizontal="center"/>
    </xf>
    <xf numFmtId="0" fontId="34" fillId="4" borderId="29" xfId="11" applyFont="1" applyFill="1" applyBorder="1" applyAlignment="1">
      <alignment horizontal="center"/>
    </xf>
    <xf numFmtId="0" fontId="34" fillId="4" borderId="5" xfId="11" applyFont="1" applyFill="1" applyBorder="1" applyAlignment="1">
      <alignment horizontal="center"/>
    </xf>
    <xf numFmtId="0" fontId="34" fillId="4" borderId="30" xfId="11" applyFont="1" applyFill="1" applyBorder="1" applyAlignment="1">
      <alignment horizontal="center"/>
    </xf>
    <xf numFmtId="173" fontId="31" fillId="0" borderId="2" xfId="2" applyNumberFormat="1" applyFont="1" applyBorder="1" applyAlignment="1">
      <alignment horizontal="center"/>
    </xf>
    <xf numFmtId="173" fontId="31" fillId="0" borderId="1" xfId="2" applyNumberFormat="1" applyFont="1" applyBorder="1" applyAlignment="1">
      <alignment horizontal="center"/>
    </xf>
    <xf numFmtId="172" fontId="20" fillId="0" borderId="0" xfId="11" applyNumberFormat="1"/>
    <xf numFmtId="165" fontId="17" fillId="0" borderId="23" xfId="2" applyFont="1" applyBorder="1" applyAlignment="1">
      <alignment horizontal="center" vertical="center"/>
    </xf>
    <xf numFmtId="0" fontId="17" fillId="0" borderId="32" xfId="12" applyFont="1" applyBorder="1" applyAlignment="1">
      <alignment horizontal="center"/>
    </xf>
    <xf numFmtId="174" fontId="31" fillId="0" borderId="18" xfId="2" applyNumberFormat="1" applyFont="1" applyBorder="1"/>
    <xf numFmtId="0" fontId="17" fillId="0" borderId="22" xfId="12" applyFont="1" applyBorder="1" applyAlignment="1">
      <alignment horizontal="center"/>
    </xf>
    <xf numFmtId="174" fontId="31" fillId="0" borderId="10" xfId="2" applyNumberFormat="1" applyFont="1" applyBorder="1"/>
    <xf numFmtId="0" fontId="17" fillId="0" borderId="33" xfId="12" applyFont="1" applyBorder="1" applyAlignment="1">
      <alignment horizontal="center"/>
    </xf>
    <xf numFmtId="174" fontId="31" fillId="0" borderId="34" xfId="2" applyNumberFormat="1" applyFont="1" applyBorder="1" applyAlignment="1">
      <alignment horizontal="center"/>
    </xf>
    <xf numFmtId="172" fontId="31" fillId="0" borderId="12" xfId="11" applyNumberFormat="1" applyFont="1" applyBorder="1" applyAlignment="1">
      <alignment horizontal="center" vertical="center"/>
    </xf>
    <xf numFmtId="172" fontId="31" fillId="0" borderId="10" xfId="11" applyNumberFormat="1" applyFont="1" applyBorder="1" applyAlignment="1">
      <alignment horizontal="right" vertical="center"/>
    </xf>
    <xf numFmtId="0" fontId="34" fillId="4" borderId="28" xfId="11" applyFont="1" applyFill="1" applyBorder="1" applyAlignment="1"/>
    <xf numFmtId="0" fontId="34" fillId="2" borderId="0" xfId="11" applyFont="1" applyFill="1" applyBorder="1" applyAlignment="1"/>
    <xf numFmtId="165" fontId="17" fillId="0" borderId="21" xfId="2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right" vertical="center" wrapText="1"/>
    </xf>
    <xf numFmtId="44" fontId="31" fillId="0" borderId="3" xfId="10" applyFont="1" applyBorder="1" applyAlignment="1">
      <alignment horizontal="left" vertical="center"/>
    </xf>
    <xf numFmtId="0" fontId="31" fillId="0" borderId="2" xfId="11" applyFont="1" applyBorder="1"/>
    <xf numFmtId="173" fontId="31" fillId="0" borderId="2" xfId="11" applyNumberFormat="1" applyFont="1" applyBorder="1"/>
    <xf numFmtId="1" fontId="34" fillId="5" borderId="13" xfId="11" applyNumberFormat="1" applyFont="1" applyFill="1" applyBorder="1" applyAlignment="1">
      <alignment horizontal="center"/>
    </xf>
    <xf numFmtId="172" fontId="34" fillId="5" borderId="14" xfId="2" applyNumberFormat="1" applyFont="1" applyFill="1" applyBorder="1" applyAlignment="1">
      <alignment horizontal="center"/>
    </xf>
    <xf numFmtId="172" fontId="12" fillId="5" borderId="14" xfId="12" applyNumberFormat="1" applyFont="1" applyFill="1" applyBorder="1" applyAlignment="1">
      <alignment horizontal="center"/>
    </xf>
    <xf numFmtId="172" fontId="34" fillId="5" borderId="15" xfId="2" applyNumberFormat="1" applyFont="1" applyFill="1" applyBorder="1" applyAlignment="1">
      <alignment horizontal="center"/>
    </xf>
    <xf numFmtId="0" fontId="31" fillId="3" borderId="1" xfId="11" applyFont="1" applyFill="1" applyBorder="1"/>
    <xf numFmtId="172" fontId="34" fillId="5" borderId="27" xfId="11" applyNumberFormat="1" applyFont="1" applyFill="1" applyBorder="1"/>
    <xf numFmtId="0" fontId="34" fillId="5" borderId="27" xfId="11" applyFont="1" applyFill="1" applyBorder="1" applyAlignment="1">
      <alignment horizontal="center"/>
    </xf>
    <xf numFmtId="10" fontId="12" fillId="5" borderId="27" xfId="12" applyNumberFormat="1" applyFont="1" applyFill="1" applyBorder="1" applyAlignment="1">
      <alignment horizontal="center"/>
    </xf>
    <xf numFmtId="165" fontId="12" fillId="5" borderId="27" xfId="2" applyFont="1" applyFill="1" applyBorder="1" applyAlignment="1">
      <alignment horizontal="center"/>
    </xf>
    <xf numFmtId="0" fontId="31" fillId="0" borderId="7" xfId="0" applyFont="1" applyBorder="1"/>
    <xf numFmtId="166" fontId="31" fillId="0" borderId="8" xfId="0" applyNumberFormat="1" applyFont="1" applyBorder="1"/>
    <xf numFmtId="0" fontId="31" fillId="0" borderId="11" xfId="0" applyFont="1" applyBorder="1"/>
    <xf numFmtId="166" fontId="31" fillId="0" borderId="12" xfId="0" applyNumberFormat="1" applyFont="1" applyBorder="1"/>
    <xf numFmtId="0" fontId="34" fillId="5" borderId="13" xfId="0" applyFont="1" applyFill="1" applyBorder="1"/>
    <xf numFmtId="166" fontId="34" fillId="5" borderId="15" xfId="0" applyNumberFormat="1" applyFont="1" applyFill="1" applyBorder="1"/>
    <xf numFmtId="0" fontId="34" fillId="3" borderId="9" xfId="0" applyFont="1" applyFill="1" applyBorder="1" applyAlignment="1">
      <alignment vertical="center"/>
    </xf>
    <xf numFmtId="0" fontId="34" fillId="3" borderId="10" xfId="0" applyFont="1" applyFill="1" applyBorder="1" applyAlignment="1">
      <alignment horizontal="center" vertical="center"/>
    </xf>
    <xf numFmtId="166" fontId="31" fillId="0" borderId="3" xfId="0" applyNumberFormat="1" applyFont="1" applyBorder="1" applyAlignment="1">
      <alignment horizontal="right" vertical="center" wrapText="1"/>
    </xf>
    <xf numFmtId="0" fontId="34" fillId="5" borderId="28" xfId="0" applyFont="1" applyFill="1" applyBorder="1" applyAlignment="1">
      <alignment vertical="top" wrapText="1"/>
    </xf>
    <xf numFmtId="166" fontId="34" fillId="5" borderId="27" xfId="0" applyNumberFormat="1" applyFont="1" applyFill="1" applyBorder="1" applyAlignment="1">
      <alignment horizontal="right" vertical="center" wrapText="1"/>
    </xf>
    <xf numFmtId="0" fontId="31" fillId="2" borderId="7" xfId="0" applyFont="1" applyFill="1" applyBorder="1" applyAlignment="1">
      <alignment vertical="center" wrapText="1"/>
    </xf>
    <xf numFmtId="166" fontId="31" fillId="2" borderId="8" xfId="2" applyNumberFormat="1" applyFont="1" applyFill="1" applyBorder="1" applyAlignment="1">
      <alignment horizontal="right" vertical="center" wrapText="1"/>
    </xf>
    <xf numFmtId="0" fontId="31" fillId="0" borderId="7" xfId="0" applyFont="1" applyBorder="1" applyAlignment="1">
      <alignment horizontal="justify" vertical="center" wrapText="1"/>
    </xf>
    <xf numFmtId="166" fontId="31" fillId="0" borderId="8" xfId="0" applyNumberFormat="1" applyFont="1" applyBorder="1" applyAlignment="1">
      <alignment horizontal="right" vertical="center" wrapText="1"/>
    </xf>
    <xf numFmtId="0" fontId="31" fillId="0" borderId="37" xfId="0" applyFont="1" applyBorder="1" applyAlignment="1">
      <alignment horizontal="justify" vertical="center" wrapText="1"/>
    </xf>
    <xf numFmtId="166" fontId="31" fillId="0" borderId="34" xfId="0" applyNumberFormat="1" applyFont="1" applyBorder="1" applyAlignment="1">
      <alignment horizontal="right" vertical="center" wrapText="1"/>
    </xf>
    <xf numFmtId="0" fontId="34" fillId="3" borderId="9" xfId="0" applyFont="1" applyFill="1" applyBorder="1" applyAlignment="1">
      <alignment vertical="center" wrapText="1"/>
    </xf>
    <xf numFmtId="0" fontId="34" fillId="3" borderId="10" xfId="0" applyFont="1" applyFill="1" applyBorder="1" applyAlignment="1">
      <alignment horizontal="center" vertical="center" wrapText="1"/>
    </xf>
    <xf numFmtId="44" fontId="31" fillId="6" borderId="27" xfId="14" applyNumberFormat="1" applyFont="1" applyFill="1" applyBorder="1"/>
    <xf numFmtId="173" fontId="34" fillId="5" borderId="5" xfId="11" applyNumberFormat="1" applyFont="1" applyFill="1" applyBorder="1"/>
    <xf numFmtId="172" fontId="31" fillId="0" borderId="1" xfId="11" applyNumberFormat="1" applyFont="1" applyBorder="1"/>
    <xf numFmtId="0" fontId="31" fillId="0" borderId="0" xfId="0" applyFont="1" applyAlignment="1">
      <alignment horizontal="left"/>
    </xf>
    <xf numFmtId="0" fontId="31" fillId="0" borderId="0" xfId="0" applyFont="1" applyBorder="1"/>
    <xf numFmtId="8" fontId="31" fillId="0" borderId="0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34" fillId="0" borderId="1" xfId="11" applyFont="1" applyBorder="1" applyAlignment="1">
      <alignment horizontal="center"/>
    </xf>
    <xf numFmtId="0" fontId="34" fillId="0" borderId="1" xfId="0" applyFont="1" applyBorder="1"/>
    <xf numFmtId="1" fontId="34" fillId="0" borderId="1" xfId="0" applyNumberFormat="1" applyFont="1" applyBorder="1" applyAlignment="1">
      <alignment horizontal="center"/>
    </xf>
    <xf numFmtId="10" fontId="17" fillId="0" borderId="1" xfId="12" applyNumberFormat="1" applyFont="1" applyBorder="1" applyAlignment="1">
      <alignment horizontal="center"/>
    </xf>
    <xf numFmtId="170" fontId="31" fillId="0" borderId="1" xfId="2" applyNumberFormat="1" applyFont="1" applyBorder="1"/>
    <xf numFmtId="10" fontId="12" fillId="7" borderId="1" xfId="12" applyNumberFormat="1" applyFont="1" applyFill="1" applyBorder="1" applyAlignment="1">
      <alignment horizontal="center"/>
    </xf>
    <xf numFmtId="165" fontId="12" fillId="7" borderId="1" xfId="2" applyFont="1" applyFill="1" applyBorder="1" applyAlignment="1">
      <alignment horizontal="center"/>
    </xf>
    <xf numFmtId="0" fontId="31" fillId="7" borderId="1" xfId="0" applyFont="1" applyFill="1" applyBorder="1"/>
    <xf numFmtId="165" fontId="31" fillId="8" borderId="27" xfId="2" applyFont="1" applyFill="1" applyBorder="1"/>
    <xf numFmtId="0" fontId="34" fillId="0" borderId="2" xfId="11" applyFont="1" applyBorder="1" applyAlignment="1">
      <alignment horizontal="center"/>
    </xf>
    <xf numFmtId="10" fontId="17" fillId="0" borderId="3" xfId="12" applyNumberFormat="1" applyFont="1" applyBorder="1" applyAlignment="1">
      <alignment horizontal="center"/>
    </xf>
    <xf numFmtId="170" fontId="31" fillId="0" borderId="3" xfId="2" applyNumberFormat="1" applyFont="1" applyBorder="1"/>
    <xf numFmtId="166" fontId="31" fillId="0" borderId="47" xfId="0" applyNumberFormat="1" applyFont="1" applyBorder="1"/>
    <xf numFmtId="166" fontId="31" fillId="0" borderId="3" xfId="2" applyNumberFormat="1" applyFont="1" applyBorder="1"/>
    <xf numFmtId="166" fontId="31" fillId="0" borderId="3" xfId="0" applyNumberFormat="1" applyFont="1" applyBorder="1"/>
    <xf numFmtId="166" fontId="31" fillId="8" borderId="27" xfId="2" applyNumberFormat="1" applyFont="1" applyFill="1" applyBorder="1"/>
    <xf numFmtId="166" fontId="31" fillId="8" borderId="27" xfId="0" applyNumberFormat="1" applyFont="1" applyFill="1" applyBorder="1"/>
    <xf numFmtId="0" fontId="34" fillId="0" borderId="2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6" fontId="34" fillId="6" borderId="27" xfId="0" applyNumberFormat="1" applyFont="1" applyFill="1" applyBorder="1"/>
    <xf numFmtId="166" fontId="31" fillId="0" borderId="47" xfId="0" applyNumberFormat="1" applyFont="1" applyBorder="1" applyAlignment="1">
      <alignment horizontal="center"/>
    </xf>
    <xf numFmtId="0" fontId="34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2" xfId="0" applyFont="1" applyBorder="1"/>
    <xf numFmtId="166" fontId="34" fillId="6" borderId="5" xfId="0" applyNumberFormat="1" applyFont="1" applyFill="1" applyBorder="1"/>
    <xf numFmtId="166" fontId="34" fillId="6" borderId="15" xfId="11" applyNumberFormat="1" applyFont="1" applyFill="1" applyBorder="1"/>
    <xf numFmtId="43" fontId="34" fillId="6" borderId="4" xfId="5" applyFont="1" applyFill="1" applyBorder="1"/>
    <xf numFmtId="43" fontId="34" fillId="6" borderId="27" xfId="5" applyFont="1" applyFill="1" applyBorder="1"/>
    <xf numFmtId="43" fontId="34" fillId="6" borderId="28" xfId="5" applyFont="1" applyFill="1" applyBorder="1"/>
    <xf numFmtId="43" fontId="15" fillId="6" borderId="29" xfId="5" applyFont="1" applyFill="1" applyBorder="1"/>
    <xf numFmtId="8" fontId="15" fillId="6" borderId="52" xfId="11" applyNumberFormat="1" applyFont="1" applyFill="1" applyBorder="1" applyAlignment="1">
      <alignment vertical="top" wrapText="1"/>
    </xf>
    <xf numFmtId="8" fontId="34" fillId="6" borderId="34" xfId="11" applyNumberFormat="1" applyFont="1" applyFill="1" applyBorder="1" applyAlignment="1">
      <alignment horizontal="right" vertical="top" wrapText="1"/>
    </xf>
    <xf numFmtId="166" fontId="34" fillId="6" borderId="27" xfId="11" applyNumberFormat="1" applyFont="1" applyFill="1" applyBorder="1"/>
    <xf numFmtId="43" fontId="15" fillId="6" borderId="28" xfId="5" applyFont="1" applyFill="1" applyBorder="1"/>
    <xf numFmtId="43" fontId="34" fillId="6" borderId="14" xfId="5" applyFont="1" applyFill="1" applyBorder="1" applyAlignment="1">
      <alignment horizontal="center"/>
    </xf>
    <xf numFmtId="43" fontId="34" fillId="6" borderId="15" xfId="5" applyFont="1" applyFill="1" applyBorder="1" applyAlignment="1">
      <alignment horizontal="center"/>
    </xf>
    <xf numFmtId="44" fontId="10" fillId="0" borderId="0" xfId="0" applyNumberFormat="1" applyFont="1" applyBorder="1"/>
    <xf numFmtId="167" fontId="20" fillId="0" borderId="0" xfId="14" applyNumberFormat="1" applyBorder="1"/>
    <xf numFmtId="165" fontId="20" fillId="0" borderId="0" xfId="2" applyNumberFormat="1" applyFont="1" applyBorder="1" applyAlignment="1">
      <alignment horizontal="right"/>
    </xf>
    <xf numFmtId="0" fontId="31" fillId="0" borderId="1" xfId="14" applyFont="1" applyBorder="1" applyAlignment="1"/>
    <xf numFmtId="167" fontId="16" fillId="0" borderId="1" xfId="14" applyNumberFormat="1" applyFont="1" applyBorder="1" applyAlignment="1">
      <alignment horizontal="center"/>
    </xf>
    <xf numFmtId="0" fontId="31" fillId="0" borderId="8" xfId="14" applyFont="1" applyBorder="1" applyAlignment="1">
      <alignment horizontal="center"/>
    </xf>
    <xf numFmtId="167" fontId="15" fillId="6" borderId="30" xfId="14" applyNumberFormat="1" applyFont="1" applyFill="1" applyBorder="1"/>
    <xf numFmtId="0" fontId="31" fillId="0" borderId="7" xfId="14" applyFont="1" applyBorder="1" applyAlignment="1"/>
    <xf numFmtId="166" fontId="31" fillId="0" borderId="8" xfId="14" applyNumberFormat="1" applyFont="1" applyBorder="1" applyAlignment="1">
      <alignment horizontal="center"/>
    </xf>
    <xf numFmtId="175" fontId="31" fillId="0" borderId="1" xfId="2" applyNumberFormat="1" applyFont="1" applyBorder="1" applyAlignment="1">
      <alignment horizontal="center"/>
    </xf>
    <xf numFmtId="175" fontId="31" fillId="0" borderId="8" xfId="14" applyNumberFormat="1" applyFont="1" applyBorder="1" applyAlignment="1">
      <alignment horizontal="center"/>
    </xf>
    <xf numFmtId="0" fontId="34" fillId="0" borderId="8" xfId="0" applyFont="1" applyBorder="1"/>
    <xf numFmtId="4" fontId="31" fillId="0" borderId="8" xfId="0" applyNumberFormat="1" applyFont="1" applyBorder="1"/>
    <xf numFmtId="4" fontId="31" fillId="0" borderId="52" xfId="0" applyNumberFormat="1" applyFont="1" applyBorder="1"/>
    <xf numFmtId="4" fontId="31" fillId="0" borderId="34" xfId="0" applyNumberFormat="1" applyFont="1" applyBorder="1"/>
    <xf numFmtId="4" fontId="31" fillId="0" borderId="0" xfId="0" applyNumberFormat="1" applyFont="1" applyBorder="1"/>
    <xf numFmtId="0" fontId="34" fillId="0" borderId="0" xfId="0" applyFont="1" applyBorder="1"/>
    <xf numFmtId="0" fontId="34" fillId="15" borderId="55" xfId="0" applyFont="1" applyFill="1" applyBorder="1" applyAlignment="1">
      <alignment horizontal="center" vertical="center" wrapText="1"/>
    </xf>
    <xf numFmtId="0" fontId="34" fillId="15" borderId="56" xfId="0" applyFont="1" applyFill="1" applyBorder="1" applyAlignment="1">
      <alignment horizontal="center" vertical="center" wrapText="1"/>
    </xf>
    <xf numFmtId="0" fontId="34" fillId="15" borderId="5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44" fontId="31" fillId="0" borderId="17" xfId="0" applyNumberFormat="1" applyFont="1" applyBorder="1" applyAlignment="1">
      <alignment horizontal="right" vertical="center"/>
    </xf>
    <xf numFmtId="44" fontId="32" fillId="0" borderId="18" xfId="8" applyFont="1" applyBorder="1" applyAlignment="1">
      <alignment horizontal="right" vertical="center"/>
    </xf>
    <xf numFmtId="0" fontId="31" fillId="0" borderId="7" xfId="0" applyFont="1" applyBorder="1" applyAlignment="1">
      <alignment horizontal="left" vertical="center" wrapText="1"/>
    </xf>
    <xf numFmtId="44" fontId="31" fillId="0" borderId="1" xfId="0" applyNumberFormat="1" applyFont="1" applyBorder="1" applyAlignment="1">
      <alignment horizontal="right" vertical="center"/>
    </xf>
    <xf numFmtId="44" fontId="32" fillId="0" borderId="8" xfId="8" applyFont="1" applyBorder="1" applyAlignment="1">
      <alignment horizontal="right" vertical="center"/>
    </xf>
    <xf numFmtId="0" fontId="31" fillId="0" borderId="11" xfId="0" applyFont="1" applyBorder="1" applyAlignment="1">
      <alignment horizontal="left" vertical="center" wrapText="1"/>
    </xf>
    <xf numFmtId="44" fontId="31" fillId="0" borderId="3" xfId="0" applyNumberFormat="1" applyFont="1" applyBorder="1" applyAlignment="1">
      <alignment horizontal="right" vertical="center"/>
    </xf>
    <xf numFmtId="44" fontId="32" fillId="0" borderId="12" xfId="8" applyFont="1" applyBorder="1" applyAlignment="1">
      <alignment horizontal="right" vertical="center"/>
    </xf>
    <xf numFmtId="0" fontId="34" fillId="12" borderId="13" xfId="0" applyFont="1" applyFill="1" applyBorder="1" applyAlignment="1">
      <alignment horizontal="center" vertical="center" wrapText="1"/>
    </xf>
    <xf numFmtId="44" fontId="34" fillId="12" borderId="14" xfId="0" applyNumberFormat="1" applyFont="1" applyFill="1" applyBorder="1"/>
    <xf numFmtId="44" fontId="34" fillId="12" borderId="15" xfId="0" applyNumberFormat="1" applyFont="1" applyFill="1" applyBorder="1"/>
    <xf numFmtId="44" fontId="34" fillId="0" borderId="0" xfId="0" applyNumberFormat="1" applyFont="1" applyFill="1" applyBorder="1"/>
    <xf numFmtId="0" fontId="31" fillId="0" borderId="7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0" xfId="0" applyFont="1" applyAlignment="1">
      <alignment vertical="center"/>
    </xf>
    <xf numFmtId="4" fontId="31" fillId="0" borderId="7" xfId="0" applyNumberFormat="1" applyFont="1" applyBorder="1" applyAlignment="1">
      <alignment horizontal="left" vertical="center" wrapText="1"/>
    </xf>
    <xf numFmtId="4" fontId="31" fillId="0" borderId="11" xfId="0" applyNumberFormat="1" applyFont="1" applyBorder="1" applyAlignment="1">
      <alignment horizontal="left" vertical="center" wrapText="1"/>
    </xf>
    <xf numFmtId="0" fontId="31" fillId="0" borderId="0" xfId="0" applyFont="1" applyFill="1" applyBorder="1"/>
    <xf numFmtId="4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166" fontId="31" fillId="0" borderId="12" xfId="0" applyNumberFormat="1" applyFont="1" applyBorder="1" applyAlignment="1">
      <alignment horizontal="right" vertical="center" wrapText="1"/>
    </xf>
    <xf numFmtId="4" fontId="34" fillId="9" borderId="9" xfId="0" applyNumberFormat="1" applyFont="1" applyFill="1" applyBorder="1" applyAlignment="1">
      <alignment horizontal="center" vertical="top" wrapText="1"/>
    </xf>
    <xf numFmtId="4" fontId="34" fillId="9" borderId="2" xfId="0" applyNumberFormat="1" applyFont="1" applyFill="1" applyBorder="1" applyAlignment="1">
      <alignment horizontal="center" vertical="top" wrapText="1"/>
    </xf>
    <xf numFmtId="4" fontId="34" fillId="9" borderId="10" xfId="0" applyNumberFormat="1" applyFont="1" applyFill="1" applyBorder="1" applyAlignment="1">
      <alignment horizontal="center" vertical="top" wrapText="1"/>
    </xf>
    <xf numFmtId="4" fontId="34" fillId="17" borderId="28" xfId="0" applyNumberFormat="1" applyFont="1" applyFill="1" applyBorder="1" applyAlignment="1">
      <alignment horizontal="justify" vertical="top" wrapText="1"/>
    </xf>
    <xf numFmtId="166" fontId="34" fillId="17" borderId="27" xfId="0" applyNumberFormat="1" applyFont="1" applyFill="1" applyBorder="1" applyAlignment="1">
      <alignment horizontal="right" vertical="top" wrapText="1"/>
    </xf>
    <xf numFmtId="166" fontId="34" fillId="17" borderId="35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7" fillId="0" borderId="0" xfId="12" applyFont="1"/>
    <xf numFmtId="0" fontId="17" fillId="0" borderId="9" xfId="12" applyFont="1" applyBorder="1" applyAlignment="1">
      <alignment horizontal="center"/>
    </xf>
    <xf numFmtId="0" fontId="17" fillId="0" borderId="2" xfId="12" applyFont="1" applyBorder="1" applyAlignment="1">
      <alignment horizontal="center"/>
    </xf>
    <xf numFmtId="0" fontId="17" fillId="0" borderId="10" xfId="12" applyFont="1" applyBorder="1" applyAlignment="1">
      <alignment horizontal="center"/>
    </xf>
    <xf numFmtId="0" fontId="17" fillId="0" borderId="7" xfId="12" applyFont="1" applyBorder="1"/>
    <xf numFmtId="0" fontId="17" fillId="0" borderId="1" xfId="12" applyFont="1" applyBorder="1"/>
    <xf numFmtId="166" fontId="28" fillId="0" borderId="8" xfId="0" applyNumberFormat="1" applyFont="1" applyBorder="1" applyAlignment="1">
      <alignment horizontal="right"/>
    </xf>
    <xf numFmtId="0" fontId="12" fillId="3" borderId="7" xfId="12" applyFont="1" applyFill="1" applyBorder="1"/>
    <xf numFmtId="0" fontId="12" fillId="3" borderId="1" xfId="12" applyFont="1" applyFill="1" applyBorder="1"/>
    <xf numFmtId="166" fontId="25" fillId="3" borderId="1" xfId="0" applyNumberFormat="1" applyFont="1" applyFill="1" applyBorder="1" applyAlignment="1">
      <alignment horizontal="right"/>
    </xf>
    <xf numFmtId="166" fontId="25" fillId="3" borderId="8" xfId="0" applyNumberFormat="1" applyFont="1" applyFill="1" applyBorder="1" applyAlignment="1">
      <alignment horizontal="right"/>
    </xf>
    <xf numFmtId="0" fontId="12" fillId="9" borderId="7" xfId="12" applyFont="1" applyFill="1" applyBorder="1"/>
    <xf numFmtId="0" fontId="12" fillId="9" borderId="1" xfId="12" applyFont="1" applyFill="1" applyBorder="1"/>
    <xf numFmtId="166" fontId="25" fillId="9" borderId="1" xfId="0" applyNumberFormat="1" applyFont="1" applyFill="1" applyBorder="1" applyAlignment="1">
      <alignment horizontal="right"/>
    </xf>
    <xf numFmtId="166" fontId="25" fillId="9" borderId="8" xfId="0" applyNumberFormat="1" applyFont="1" applyFill="1" applyBorder="1" applyAlignment="1">
      <alignment horizontal="right"/>
    </xf>
    <xf numFmtId="0" fontId="12" fillId="0" borderId="7" xfId="12" applyFont="1" applyBorder="1"/>
    <xf numFmtId="0" fontId="12" fillId="0" borderId="1" xfId="12" applyFont="1" applyBorder="1"/>
    <xf numFmtId="166" fontId="25" fillId="0" borderId="1" xfId="0" applyNumberFormat="1" applyFont="1" applyBorder="1" applyAlignment="1">
      <alignment horizontal="right"/>
    </xf>
    <xf numFmtId="166" fontId="25" fillId="0" borderId="8" xfId="0" applyNumberFormat="1" applyFont="1" applyBorder="1" applyAlignment="1">
      <alignment horizontal="right"/>
    </xf>
    <xf numFmtId="0" fontId="12" fillId="19" borderId="7" xfId="12" applyFont="1" applyFill="1" applyBorder="1"/>
    <xf numFmtId="0" fontId="12" fillId="19" borderId="1" xfId="12" applyFont="1" applyFill="1" applyBorder="1"/>
    <xf numFmtId="166" fontId="25" fillId="19" borderId="1" xfId="0" applyNumberFormat="1" applyFont="1" applyFill="1" applyBorder="1" applyAlignment="1">
      <alignment horizontal="right"/>
    </xf>
    <xf numFmtId="166" fontId="25" fillId="19" borderId="8" xfId="0" applyNumberFormat="1" applyFont="1" applyFill="1" applyBorder="1" applyAlignment="1">
      <alignment horizontal="right"/>
    </xf>
    <xf numFmtId="9" fontId="17" fillId="0" borderId="1" xfId="12" applyNumberFormat="1" applyFont="1" applyBorder="1" applyAlignment="1">
      <alignment horizontal="center"/>
    </xf>
    <xf numFmtId="0" fontId="12" fillId="8" borderId="58" xfId="12" applyFont="1" applyFill="1" applyBorder="1"/>
    <xf numFmtId="0" fontId="12" fillId="8" borderId="47" xfId="12" applyFont="1" applyFill="1" applyBorder="1" applyAlignment="1">
      <alignment horizontal="center"/>
    </xf>
    <xf numFmtId="166" fontId="25" fillId="8" borderId="1" xfId="0" applyNumberFormat="1" applyFont="1" applyFill="1" applyBorder="1" applyAlignment="1">
      <alignment horizontal="right"/>
    </xf>
    <xf numFmtId="166" fontId="25" fillId="8" borderId="8" xfId="0" applyNumberFormat="1" applyFont="1" applyFill="1" applyBorder="1" applyAlignment="1">
      <alignment horizontal="right"/>
    </xf>
    <xf numFmtId="0" fontId="17" fillId="0" borderId="11" xfId="12" applyFont="1" applyBorder="1"/>
    <xf numFmtId="9" fontId="17" fillId="0" borderId="3" xfId="12" applyNumberFormat="1" applyFont="1" applyBorder="1" applyAlignment="1">
      <alignment horizontal="center"/>
    </xf>
    <xf numFmtId="166" fontId="28" fillId="0" borderId="3" xfId="0" applyNumberFormat="1" applyFont="1" applyBorder="1" applyAlignment="1">
      <alignment horizontal="right"/>
    </xf>
    <xf numFmtId="166" fontId="28" fillId="0" borderId="12" xfId="0" applyNumberFormat="1" applyFont="1" applyBorder="1" applyAlignment="1">
      <alignment horizontal="right"/>
    </xf>
    <xf numFmtId="0" fontId="12" fillId="18" borderId="13" xfId="12" applyFont="1" applyFill="1" applyBorder="1"/>
    <xf numFmtId="0" fontId="12" fillId="18" borderId="14" xfId="12" applyFont="1" applyFill="1" applyBorder="1"/>
    <xf numFmtId="166" fontId="25" fillId="18" borderId="14" xfId="0" applyNumberFormat="1" applyFont="1" applyFill="1" applyBorder="1" applyAlignment="1">
      <alignment horizontal="right"/>
    </xf>
    <xf numFmtId="166" fontId="25" fillId="18" borderId="15" xfId="0" applyNumberFormat="1" applyFont="1" applyFill="1" applyBorder="1" applyAlignment="1">
      <alignment horizontal="right"/>
    </xf>
    <xf numFmtId="10" fontId="35" fillId="20" borderId="36" xfId="16" applyNumberFormat="1" applyFont="1" applyFill="1" applyBorder="1"/>
    <xf numFmtId="10" fontId="35" fillId="20" borderId="49" xfId="16" applyNumberFormat="1" applyFont="1" applyFill="1" applyBorder="1"/>
    <xf numFmtId="10" fontId="36" fillId="2" borderId="30" xfId="16" applyNumberFormat="1" applyFont="1" applyFill="1" applyBorder="1"/>
    <xf numFmtId="167" fontId="37" fillId="3" borderId="59" xfId="0" applyNumberFormat="1" applyFont="1" applyFill="1" applyBorder="1"/>
    <xf numFmtId="167" fontId="38" fillId="0" borderId="0" xfId="0" applyNumberFormat="1" applyFont="1" applyFill="1"/>
    <xf numFmtId="167" fontId="38" fillId="3" borderId="60" xfId="0" applyNumberFormat="1" applyFont="1" applyFill="1" applyBorder="1"/>
    <xf numFmtId="9" fontId="38" fillId="3" borderId="60" xfId="16" applyFont="1" applyFill="1" applyBorder="1"/>
    <xf numFmtId="167" fontId="38" fillId="3" borderId="61" xfId="0" applyNumberFormat="1" applyFont="1" applyFill="1" applyBorder="1"/>
    <xf numFmtId="9" fontId="38" fillId="3" borderId="61" xfId="16" applyFont="1" applyFill="1" applyBorder="1"/>
    <xf numFmtId="167" fontId="38" fillId="3" borderId="62" xfId="0" applyNumberFormat="1" applyFont="1" applyFill="1" applyBorder="1"/>
    <xf numFmtId="9" fontId="38" fillId="3" borderId="62" xfId="16" applyFont="1" applyFill="1" applyBorder="1"/>
    <xf numFmtId="0" fontId="12" fillId="0" borderId="0" xfId="12" applyFont="1"/>
    <xf numFmtId="0" fontId="17" fillId="0" borderId="46" xfId="12" applyFont="1" applyBorder="1"/>
    <xf numFmtId="0" fontId="17" fillId="0" borderId="0" xfId="12" applyFont="1" applyBorder="1"/>
    <xf numFmtId="0" fontId="17" fillId="0" borderId="49" xfId="12" applyFont="1" applyBorder="1"/>
    <xf numFmtId="0" fontId="17" fillId="0" borderId="4" xfId="12" applyFont="1" applyBorder="1"/>
    <xf numFmtId="0" fontId="6" fillId="0" borderId="6" xfId="12" applyBorder="1"/>
    <xf numFmtId="0" fontId="17" fillId="0" borderId="6" xfId="12" applyFont="1" applyBorder="1"/>
    <xf numFmtId="0" fontId="17" fillId="0" borderId="30" xfId="12" applyFont="1" applyBorder="1"/>
    <xf numFmtId="0" fontId="30" fillId="0" borderId="8" xfId="0" applyFont="1" applyBorder="1" applyAlignment="1">
      <alignment horizontal="center" vertical="center"/>
    </xf>
    <xf numFmtId="9" fontId="29" fillId="0" borderId="52" xfId="0" applyNumberFormat="1" applyFont="1" applyBorder="1" applyAlignment="1">
      <alignment horizontal="center" vertical="center"/>
    </xf>
    <xf numFmtId="43" fontId="29" fillId="0" borderId="52" xfId="2" applyNumberFormat="1" applyFont="1" applyBorder="1" applyAlignment="1">
      <alignment horizontal="center" vertical="center"/>
    </xf>
    <xf numFmtId="9" fontId="29" fillId="0" borderId="52" xfId="16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16" fillId="0" borderId="0" xfId="15" applyFont="1"/>
    <xf numFmtId="44" fontId="15" fillId="0" borderId="1" xfId="15" applyNumberFormat="1" applyFont="1" applyBorder="1"/>
    <xf numFmtId="44" fontId="16" fillId="0" borderId="1" xfId="15" applyNumberFormat="1" applyFont="1" applyBorder="1"/>
    <xf numFmtId="165" fontId="16" fillId="0" borderId="0" xfId="15" applyNumberFormat="1" applyFont="1"/>
    <xf numFmtId="9" fontId="16" fillId="0" borderId="0" xfId="15" applyNumberFormat="1" applyFont="1"/>
    <xf numFmtId="0" fontId="15" fillId="0" borderId="1" xfId="15" applyFont="1" applyBorder="1" applyAlignment="1">
      <alignment horizontal="center"/>
    </xf>
    <xf numFmtId="0" fontId="16" fillId="0" borderId="1" xfId="15" applyFont="1" applyBorder="1"/>
    <xf numFmtId="9" fontId="16" fillId="0" borderId="1" xfId="15" applyNumberFormat="1" applyFont="1" applyBorder="1" applyAlignment="1">
      <alignment horizontal="center"/>
    </xf>
    <xf numFmtId="10" fontId="16" fillId="0" borderId="0" xfId="15" applyNumberFormat="1" applyFont="1"/>
    <xf numFmtId="0" fontId="16" fillId="0" borderId="1" xfId="15" applyFont="1" applyBorder="1" applyAlignment="1">
      <alignment horizontal="center"/>
    </xf>
    <xf numFmtId="0" fontId="16" fillId="0" borderId="1" xfId="15" applyFont="1" applyBorder="1" applyAlignment="1">
      <alignment horizontal="right"/>
    </xf>
    <xf numFmtId="9" fontId="16" fillId="0" borderId="1" xfId="15" applyNumberFormat="1" applyFont="1" applyBorder="1"/>
    <xf numFmtId="0" fontId="16" fillId="0" borderId="1" xfId="15" applyFont="1" applyFill="1" applyBorder="1" applyAlignment="1">
      <alignment horizontal="center"/>
    </xf>
    <xf numFmtId="0" fontId="40" fillId="21" borderId="31" xfId="12" applyFont="1" applyFill="1" applyBorder="1"/>
    <xf numFmtId="0" fontId="40" fillId="21" borderId="17" xfId="12" applyFont="1" applyFill="1" applyBorder="1" applyAlignment="1">
      <alignment horizontal="center"/>
    </xf>
    <xf numFmtId="0" fontId="40" fillId="21" borderId="18" xfId="12" applyFont="1" applyFill="1" applyBorder="1" applyAlignment="1">
      <alignment horizontal="center"/>
    </xf>
    <xf numFmtId="44" fontId="31" fillId="0" borderId="1" xfId="9" applyFont="1" applyBorder="1" applyAlignment="1">
      <alignment horizontal="right" vertical="center"/>
    </xf>
    <xf numFmtId="44" fontId="31" fillId="0" borderId="8" xfId="9" applyFont="1" applyBorder="1" applyAlignment="1">
      <alignment horizontal="right" vertical="center"/>
    </xf>
    <xf numFmtId="0" fontId="12" fillId="10" borderId="7" xfId="12" applyFont="1" applyFill="1" applyBorder="1"/>
    <xf numFmtId="0" fontId="12" fillId="10" borderId="1" xfId="12" applyFont="1" applyFill="1" applyBorder="1"/>
    <xf numFmtId="44" fontId="34" fillId="10" borderId="1" xfId="9" applyFont="1" applyFill="1" applyBorder="1" applyAlignment="1">
      <alignment horizontal="right" vertical="center"/>
    </xf>
    <xf numFmtId="44" fontId="34" fillId="10" borderId="8" xfId="9" applyFont="1" applyFill="1" applyBorder="1" applyAlignment="1">
      <alignment horizontal="right" vertical="center"/>
    </xf>
    <xf numFmtId="0" fontId="12" fillId="5" borderId="7" xfId="12" applyFont="1" applyFill="1" applyBorder="1"/>
    <xf numFmtId="0" fontId="12" fillId="5" borderId="1" xfId="12" applyFont="1" applyFill="1" applyBorder="1"/>
    <xf numFmtId="44" fontId="34" fillId="5" borderId="1" xfId="9" applyFont="1" applyFill="1" applyBorder="1" applyAlignment="1">
      <alignment horizontal="right" vertical="center"/>
    </xf>
    <xf numFmtId="44" fontId="34" fillId="5" borderId="8" xfId="9" applyFont="1" applyFill="1" applyBorder="1" applyAlignment="1">
      <alignment horizontal="right" vertical="center"/>
    </xf>
    <xf numFmtId="0" fontId="12" fillId="13" borderId="7" xfId="12" applyFont="1" applyFill="1" applyBorder="1"/>
    <xf numFmtId="0" fontId="12" fillId="13" borderId="1" xfId="12" applyFont="1" applyFill="1" applyBorder="1"/>
    <xf numFmtId="44" fontId="34" fillId="13" borderId="1" xfId="9" applyFont="1" applyFill="1" applyBorder="1" applyAlignment="1">
      <alignment horizontal="right" vertical="center"/>
    </xf>
    <xf numFmtId="44" fontId="34" fillId="13" borderId="8" xfId="9" applyFont="1" applyFill="1" applyBorder="1" applyAlignment="1">
      <alignment horizontal="right" vertical="center"/>
    </xf>
    <xf numFmtId="9" fontId="17" fillId="0" borderId="1" xfId="12" applyNumberFormat="1" applyFont="1" applyBorder="1"/>
    <xf numFmtId="0" fontId="12" fillId="10" borderId="58" xfId="12" applyFont="1" applyFill="1" applyBorder="1"/>
    <xf numFmtId="0" fontId="12" fillId="22" borderId="7" xfId="12" applyFont="1" applyFill="1" applyBorder="1"/>
    <xf numFmtId="0" fontId="12" fillId="22" borderId="1" xfId="12" applyFont="1" applyFill="1" applyBorder="1"/>
    <xf numFmtId="44" fontId="34" fillId="22" borderId="1" xfId="9" applyFont="1" applyFill="1" applyBorder="1" applyAlignment="1">
      <alignment horizontal="right" vertical="center"/>
    </xf>
    <xf numFmtId="44" fontId="34" fillId="22" borderId="8" xfId="9" applyFont="1" applyFill="1" applyBorder="1" applyAlignment="1">
      <alignment horizontal="right" vertical="center"/>
    </xf>
    <xf numFmtId="0" fontId="16" fillId="0" borderId="7" xfId="12" applyFont="1" applyFill="1" applyBorder="1"/>
    <xf numFmtId="43" fontId="31" fillId="0" borderId="1" xfId="0" applyNumberFormat="1" applyFont="1" applyBorder="1" applyAlignment="1">
      <alignment horizontal="right"/>
    </xf>
    <xf numFmtId="0" fontId="16" fillId="16" borderId="7" xfId="12" applyFont="1" applyFill="1" applyBorder="1"/>
    <xf numFmtId="44" fontId="31" fillId="16" borderId="1" xfId="9" applyFont="1" applyFill="1" applyBorder="1" applyAlignment="1">
      <alignment horizontal="right" vertical="center"/>
    </xf>
    <xf numFmtId="0" fontId="16" fillId="6" borderId="7" xfId="12" applyFont="1" applyFill="1" applyBorder="1"/>
    <xf numFmtId="44" fontId="31" fillId="6" borderId="1" xfId="9" applyFont="1" applyFill="1" applyBorder="1" applyAlignment="1">
      <alignment horizontal="right" vertical="center"/>
    </xf>
    <xf numFmtId="0" fontId="16" fillId="23" borderId="7" xfId="12" applyFont="1" applyFill="1" applyBorder="1"/>
    <xf numFmtId="44" fontId="31" fillId="23" borderId="1" xfId="9" applyFont="1" applyFill="1" applyBorder="1" applyAlignment="1">
      <alignment horizontal="right" vertical="center"/>
    </xf>
    <xf numFmtId="44" fontId="31" fillId="23" borderId="8" xfId="9" applyFont="1" applyFill="1" applyBorder="1" applyAlignment="1">
      <alignment horizontal="right" vertical="center"/>
    </xf>
    <xf numFmtId="0" fontId="16" fillId="24" borderId="11" xfId="12" applyFont="1" applyFill="1" applyBorder="1"/>
    <xf numFmtId="44" fontId="31" fillId="0" borderId="3" xfId="9" applyFont="1" applyBorder="1" applyAlignment="1">
      <alignment horizontal="right" vertical="center"/>
    </xf>
    <xf numFmtId="44" fontId="31" fillId="24" borderId="12" xfId="9" applyFont="1" applyFill="1" applyBorder="1" applyAlignment="1">
      <alignment horizontal="right" vertical="center"/>
    </xf>
    <xf numFmtId="0" fontId="40" fillId="21" borderId="13" xfId="12" applyFont="1" applyFill="1" applyBorder="1"/>
    <xf numFmtId="44" fontId="40" fillId="21" borderId="14" xfId="9" applyFont="1" applyFill="1" applyBorder="1" applyAlignment="1">
      <alignment horizontal="right" vertical="center"/>
    </xf>
    <xf numFmtId="44" fontId="40" fillId="21" borderId="15" xfId="9" applyFont="1" applyFill="1" applyBorder="1" applyAlignment="1">
      <alignment horizontal="right" vertical="center"/>
    </xf>
    <xf numFmtId="0" fontId="15" fillId="0" borderId="1" xfId="0" applyFont="1" applyBorder="1"/>
    <xf numFmtId="44" fontId="31" fillId="2" borderId="1" xfId="9" applyFont="1" applyFill="1" applyBorder="1" applyAlignment="1">
      <alignment horizontal="right" vertical="center"/>
    </xf>
    <xf numFmtId="44" fontId="31" fillId="25" borderId="1" xfId="9" applyFont="1" applyFill="1" applyBorder="1" applyAlignment="1">
      <alignment horizontal="right" vertical="center"/>
    </xf>
    <xf numFmtId="2" fontId="12" fillId="0" borderId="0" xfId="12" applyNumberFormat="1" applyFont="1"/>
    <xf numFmtId="0" fontId="16" fillId="0" borderId="0" xfId="0" applyFont="1"/>
    <xf numFmtId="9" fontId="16" fillId="12" borderId="1" xfId="0" applyNumberFormat="1" applyFont="1" applyFill="1" applyBorder="1"/>
    <xf numFmtId="9" fontId="16" fillId="21" borderId="1" xfId="0" applyNumberFormat="1" applyFont="1" applyFill="1" applyBorder="1"/>
    <xf numFmtId="0" fontId="15" fillId="0" borderId="28" xfId="0" applyFont="1" applyBorder="1"/>
    <xf numFmtId="10" fontId="15" fillId="12" borderId="27" xfId="0" applyNumberFormat="1" applyFont="1" applyFill="1" applyBorder="1"/>
    <xf numFmtId="0" fontId="16" fillId="0" borderId="2" xfId="0" applyFont="1" applyBorder="1"/>
    <xf numFmtId="10" fontId="16" fillId="0" borderId="2" xfId="0" applyNumberFormat="1" applyFont="1" applyBorder="1"/>
    <xf numFmtId="0" fontId="16" fillId="0" borderId="1" xfId="0" applyFont="1" applyBorder="1"/>
    <xf numFmtId="10" fontId="16" fillId="0" borderId="1" xfId="0" applyNumberFormat="1" applyFont="1" applyBorder="1"/>
    <xf numFmtId="0" fontId="16" fillId="0" borderId="3" xfId="0" applyFont="1" applyBorder="1"/>
    <xf numFmtId="10" fontId="16" fillId="0" borderId="1" xfId="18" applyNumberFormat="1" applyFont="1" applyBorder="1"/>
    <xf numFmtId="10" fontId="17" fillId="26" borderId="0" xfId="16" applyNumberFormat="1" applyFont="1" applyFill="1"/>
    <xf numFmtId="167" fontId="40" fillId="25" borderId="1" xfId="0" applyNumberFormat="1" applyFont="1" applyFill="1" applyBorder="1"/>
    <xf numFmtId="167" fontId="31" fillId="2" borderId="1" xfId="0" applyNumberFormat="1" applyFont="1" applyFill="1" applyBorder="1"/>
    <xf numFmtId="9" fontId="31" fillId="2" borderId="1" xfId="16" applyFont="1" applyFill="1" applyBorder="1"/>
    <xf numFmtId="0" fontId="34" fillId="6" borderId="16" xfId="0" applyFont="1" applyFill="1" applyBorder="1" applyAlignment="1">
      <alignment horizontal="right"/>
    </xf>
    <xf numFmtId="8" fontId="34" fillId="6" borderId="18" xfId="0" applyNumberFormat="1" applyFont="1" applyFill="1" applyBorder="1"/>
    <xf numFmtId="0" fontId="34" fillId="11" borderId="7" xfId="0" applyFont="1" applyFill="1" applyBorder="1" applyAlignment="1">
      <alignment horizontal="right"/>
    </xf>
    <xf numFmtId="10" fontId="34" fillId="11" borderId="8" xfId="0" applyNumberFormat="1" applyFont="1" applyFill="1" applyBorder="1" applyAlignment="1">
      <alignment horizontal="right"/>
    </xf>
    <xf numFmtId="0" fontId="34" fillId="17" borderId="4" xfId="0" applyFont="1" applyFill="1" applyBorder="1" applyAlignment="1">
      <alignment horizontal="right"/>
    </xf>
    <xf numFmtId="10" fontId="34" fillId="17" borderId="34" xfId="16" applyNumberFormat="1" applyFont="1" applyFill="1" applyBorder="1" applyAlignment="1">
      <alignment horizontal="right"/>
    </xf>
    <xf numFmtId="0" fontId="31" fillId="0" borderId="16" xfId="0" applyFont="1" applyBorder="1" applyAlignment="1">
      <alignment horizontal="center"/>
    </xf>
    <xf numFmtId="8" fontId="31" fillId="0" borderId="17" xfId="6" applyNumberFormat="1" applyFont="1" applyBorder="1"/>
    <xf numFmtId="44" fontId="31" fillId="0" borderId="1" xfId="6" applyNumberFormat="1" applyFont="1" applyBorder="1"/>
    <xf numFmtId="8" fontId="31" fillId="0" borderId="1" xfId="6" applyNumberFormat="1" applyFont="1" applyBorder="1"/>
    <xf numFmtId="44" fontId="31" fillId="0" borderId="18" xfId="6" applyNumberFormat="1" applyFont="1" applyBorder="1"/>
    <xf numFmtId="8" fontId="31" fillId="0" borderId="8" xfId="6" applyNumberFormat="1" applyFont="1" applyBorder="1"/>
    <xf numFmtId="0" fontId="31" fillId="0" borderId="7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8" fontId="31" fillId="0" borderId="52" xfId="6" applyNumberFormat="1" applyFont="1" applyFill="1" applyBorder="1"/>
    <xf numFmtId="8" fontId="31" fillId="0" borderId="34" xfId="6" applyNumberFormat="1" applyFont="1" applyFill="1" applyBorder="1"/>
    <xf numFmtId="0" fontId="15" fillId="7" borderId="7" xfId="14" applyFont="1" applyFill="1" applyBorder="1" applyAlignment="1">
      <alignment horizontal="center" vertical="center"/>
    </xf>
    <xf numFmtId="0" fontId="15" fillId="7" borderId="1" xfId="14" applyFont="1" applyFill="1" applyBorder="1" applyAlignment="1">
      <alignment horizontal="center" vertical="center"/>
    </xf>
    <xf numFmtId="0" fontId="15" fillId="7" borderId="1" xfId="14" applyFont="1" applyFill="1" applyBorder="1" applyAlignment="1">
      <alignment horizontal="center" vertical="center" wrapText="1"/>
    </xf>
    <xf numFmtId="0" fontId="15" fillId="7" borderId="8" xfId="14" applyFont="1" applyFill="1" applyBorder="1" applyAlignment="1">
      <alignment horizontal="center" vertical="center"/>
    </xf>
    <xf numFmtId="44" fontId="34" fillId="16" borderId="15" xfId="10" applyFont="1" applyFill="1" applyBorder="1" applyAlignment="1">
      <alignment horizontal="right" vertical="center"/>
    </xf>
    <xf numFmtId="0" fontId="15" fillId="9" borderId="1" xfId="14" applyFont="1" applyFill="1" applyBorder="1" applyAlignment="1">
      <alignment horizontal="center" vertical="center"/>
    </xf>
    <xf numFmtId="0" fontId="15" fillId="9" borderId="1" xfId="14" applyFont="1" applyFill="1" applyBorder="1" applyAlignment="1">
      <alignment horizontal="center" vertical="center" wrapText="1"/>
    </xf>
    <xf numFmtId="0" fontId="15" fillId="9" borderId="8" xfId="14" applyFont="1" applyFill="1" applyBorder="1" applyAlignment="1">
      <alignment horizontal="center" vertical="center"/>
    </xf>
    <xf numFmtId="0" fontId="15" fillId="8" borderId="7" xfId="14" applyFont="1" applyFill="1" applyBorder="1" applyAlignment="1">
      <alignment vertical="center"/>
    </xf>
    <xf numFmtId="0" fontId="15" fillId="8" borderId="1" xfId="14" applyFont="1" applyFill="1" applyBorder="1" applyAlignment="1">
      <alignment horizontal="center" vertical="center"/>
    </xf>
    <xf numFmtId="0" fontId="15" fillId="8" borderId="1" xfId="14" applyFont="1" applyFill="1" applyBorder="1" applyAlignment="1">
      <alignment horizontal="center" vertical="center" wrapText="1"/>
    </xf>
    <xf numFmtId="0" fontId="15" fillId="8" borderId="8" xfId="14" applyFont="1" applyFill="1" applyBorder="1" applyAlignment="1">
      <alignment horizontal="center" vertical="center"/>
    </xf>
    <xf numFmtId="0" fontId="15" fillId="19" borderId="7" xfId="14" applyFont="1" applyFill="1" applyBorder="1" applyAlignment="1">
      <alignment horizontal="center" vertical="center"/>
    </xf>
    <xf numFmtId="0" fontId="15" fillId="19" borderId="1" xfId="14" applyFont="1" applyFill="1" applyBorder="1" applyAlignment="1">
      <alignment horizontal="center" vertical="center"/>
    </xf>
    <xf numFmtId="0" fontId="15" fillId="19" borderId="1" xfId="14" applyFont="1" applyFill="1" applyBorder="1" applyAlignment="1">
      <alignment horizontal="center" vertical="center" wrapText="1"/>
    </xf>
    <xf numFmtId="0" fontId="15" fillId="19" borderId="8" xfId="14" applyFont="1" applyFill="1" applyBorder="1" applyAlignment="1">
      <alignment horizontal="center" vertical="center"/>
    </xf>
    <xf numFmtId="0" fontId="15" fillId="9" borderId="7" xfId="14" applyFont="1" applyFill="1" applyBorder="1" applyAlignment="1">
      <alignment horizontal="center" vertical="center"/>
    </xf>
    <xf numFmtId="44" fontId="34" fillId="18" borderId="34" xfId="10" applyFont="1" applyFill="1" applyBorder="1" applyAlignment="1">
      <alignment horizontal="right" vertical="center"/>
    </xf>
    <xf numFmtId="0" fontId="15" fillId="8" borderId="4" xfId="14" applyFont="1" applyFill="1" applyBorder="1" applyAlignment="1">
      <alignment vertical="center"/>
    </xf>
    <xf numFmtId="0" fontId="15" fillId="8" borderId="5" xfId="14" applyFont="1" applyFill="1" applyBorder="1" applyAlignment="1">
      <alignment horizontal="center" vertical="center"/>
    </xf>
    <xf numFmtId="0" fontId="15" fillId="8" borderId="6" xfId="14" applyFont="1" applyFill="1" applyBorder="1" applyAlignment="1">
      <alignment horizontal="center" vertical="center" wrapText="1"/>
    </xf>
    <xf numFmtId="0" fontId="15" fillId="8" borderId="5" xfId="14" applyFont="1" applyFill="1" applyBorder="1" applyAlignment="1">
      <alignment vertical="center"/>
    </xf>
    <xf numFmtId="44" fontId="34" fillId="16" borderId="27" xfId="10" applyFont="1" applyFill="1" applyBorder="1" applyAlignment="1">
      <alignment horizontal="right" vertical="center"/>
    </xf>
    <xf numFmtId="44" fontId="34" fillId="17" borderId="41" xfId="10" applyFont="1" applyFill="1" applyBorder="1" applyAlignment="1">
      <alignment horizontal="right" vertical="center"/>
    </xf>
    <xf numFmtId="44" fontId="34" fillId="27" borderId="27" xfId="10" applyFont="1" applyFill="1" applyBorder="1" applyAlignment="1">
      <alignment horizontal="right" vertical="center"/>
    </xf>
    <xf numFmtId="44" fontId="34" fillId="18" borderId="27" xfId="14" applyNumberFormat="1" applyFont="1" applyFill="1" applyBorder="1" applyAlignment="1">
      <alignment horizontal="right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wrapText="1"/>
    </xf>
    <xf numFmtId="8" fontId="41" fillId="29" borderId="8" xfId="6" applyNumberFormat="1" applyFont="1" applyFill="1" applyBorder="1"/>
    <xf numFmtId="0" fontId="17" fillId="0" borderId="0" xfId="12" applyFont="1" applyAlignment="1">
      <alignment horizontal="center"/>
    </xf>
    <xf numFmtId="0" fontId="31" fillId="0" borderId="0" xfId="14" applyFont="1" applyBorder="1"/>
    <xf numFmtId="44" fontId="31" fillId="0" borderId="0" xfId="10" applyFont="1" applyBorder="1" applyAlignment="1">
      <alignment horizontal="right" vertical="center"/>
    </xf>
    <xf numFmtId="0" fontId="31" fillId="0" borderId="0" xfId="14" applyFont="1" applyFill="1" applyBorder="1"/>
    <xf numFmtId="0" fontId="31" fillId="0" borderId="0" xfId="14" applyFont="1" applyBorder="1" applyAlignment="1">
      <alignment horizontal="center"/>
    </xf>
    <xf numFmtId="0" fontId="31" fillId="0" borderId="0" xfId="14" applyFont="1" applyFill="1" applyBorder="1" applyAlignment="1">
      <alignment horizontal="left"/>
    </xf>
    <xf numFmtId="44" fontId="31" fillId="0" borderId="0" xfId="10" applyFont="1" applyBorder="1" applyAlignment="1">
      <alignment vertical="center"/>
    </xf>
    <xf numFmtId="0" fontId="16" fillId="0" borderId="0" xfId="14" applyFont="1" applyFill="1" applyBorder="1" applyAlignment="1">
      <alignment horizontal="left"/>
    </xf>
    <xf numFmtId="0" fontId="31" fillId="0" borderId="1" xfId="0" applyFont="1" applyBorder="1" applyAlignment="1">
      <alignment horizontal="center"/>
    </xf>
    <xf numFmtId="165" fontId="31" fillId="0" borderId="1" xfId="2" applyFont="1" applyBorder="1"/>
    <xf numFmtId="165" fontId="31" fillId="0" borderId="1" xfId="0" applyNumberFormat="1" applyFont="1" applyBorder="1"/>
    <xf numFmtId="0" fontId="31" fillId="0" borderId="1" xfId="0" applyNumberFormat="1" applyFont="1" applyBorder="1" applyAlignment="1">
      <alignment horizontal="center"/>
    </xf>
    <xf numFmtId="0" fontId="34" fillId="0" borderId="16" xfId="0" applyFont="1" applyBorder="1" applyAlignment="1">
      <alignment horizontal="center" vertical="center"/>
    </xf>
    <xf numFmtId="0" fontId="31" fillId="0" borderId="8" xfId="0" applyNumberFormat="1" applyFont="1" applyBorder="1"/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1" fillId="11" borderId="7" xfId="0" applyFont="1" applyFill="1" applyBorder="1"/>
    <xf numFmtId="165" fontId="34" fillId="18" borderId="0" xfId="0" applyNumberFormat="1" applyFont="1" applyFill="1"/>
    <xf numFmtId="0" fontId="34" fillId="18" borderId="0" xfId="0" applyNumberFormat="1" applyFont="1" applyFill="1"/>
    <xf numFmtId="165" fontId="34" fillId="27" borderId="0" xfId="0" applyNumberFormat="1" applyFont="1" applyFill="1"/>
    <xf numFmtId="176" fontId="17" fillId="0" borderId="0" xfId="16" applyNumberFormat="1" applyFont="1"/>
    <xf numFmtId="10" fontId="17" fillId="0" borderId="0" xfId="16" applyNumberFormat="1" applyFont="1"/>
    <xf numFmtId="165" fontId="17" fillId="0" borderId="0" xfId="2" applyFont="1"/>
    <xf numFmtId="0" fontId="16" fillId="0" borderId="64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readingOrder="1"/>
    </xf>
    <xf numFmtId="10" fontId="17" fillId="0" borderId="65" xfId="12" applyNumberFormat="1" applyFont="1" applyBorder="1" applyAlignment="1">
      <alignment horizontal="center"/>
    </xf>
    <xf numFmtId="0" fontId="17" fillId="0" borderId="66" xfId="12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4" fillId="2" borderId="0" xfId="0" applyFont="1" applyFill="1" applyBorder="1" applyAlignment="1"/>
    <xf numFmtId="0" fontId="34" fillId="5" borderId="31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20" fillId="0" borderId="0" xfId="14" applyBorder="1" applyAlignment="1">
      <alignment horizontal="left"/>
    </xf>
    <xf numFmtId="44" fontId="34" fillId="6" borderId="28" xfId="10" applyFont="1" applyFill="1" applyBorder="1" applyAlignment="1">
      <alignment horizontal="center" vertical="center"/>
    </xf>
    <xf numFmtId="44" fontId="34" fillId="6" borderId="35" xfId="10" applyFont="1" applyFill="1" applyBorder="1" applyAlignment="1">
      <alignment horizontal="center" vertical="center"/>
    </xf>
    <xf numFmtId="44" fontId="34" fillId="6" borderId="29" xfId="10" applyFont="1" applyFill="1" applyBorder="1" applyAlignment="1">
      <alignment horizontal="center" vertical="center"/>
    </xf>
    <xf numFmtId="44" fontId="34" fillId="27" borderId="28" xfId="10" applyFont="1" applyFill="1" applyBorder="1" applyAlignment="1">
      <alignment horizontal="left" vertical="center"/>
    </xf>
    <xf numFmtId="44" fontId="34" fillId="27" borderId="35" xfId="10" applyFont="1" applyFill="1" applyBorder="1" applyAlignment="1">
      <alignment horizontal="left" vertical="center"/>
    </xf>
    <xf numFmtId="44" fontId="34" fillId="27" borderId="29" xfId="10" applyFont="1" applyFill="1" applyBorder="1" applyAlignment="1">
      <alignment horizontal="left" vertical="center"/>
    </xf>
    <xf numFmtId="0" fontId="34" fillId="18" borderId="32" xfId="14" applyFont="1" applyFill="1" applyBorder="1" applyAlignment="1">
      <alignment horizontal="left" vertical="center"/>
    </xf>
    <xf numFmtId="0" fontId="34" fillId="18" borderId="50" xfId="14" applyFont="1" applyFill="1" applyBorder="1" applyAlignment="1">
      <alignment horizontal="left" vertical="center"/>
    </xf>
    <xf numFmtId="0" fontId="34" fillId="18" borderId="51" xfId="14" applyFont="1" applyFill="1" applyBorder="1" applyAlignment="1">
      <alignment horizontal="left" vertical="center"/>
    </xf>
    <xf numFmtId="0" fontId="34" fillId="16" borderId="32" xfId="14" applyFont="1" applyFill="1" applyBorder="1" applyAlignment="1">
      <alignment horizontal="left"/>
    </xf>
    <xf numFmtId="0" fontId="34" fillId="16" borderId="50" xfId="14" applyFont="1" applyFill="1" applyBorder="1" applyAlignment="1">
      <alignment horizontal="left"/>
    </xf>
    <xf numFmtId="0" fontId="34" fillId="16" borderId="51" xfId="14" applyFont="1" applyFill="1" applyBorder="1" applyAlignment="1">
      <alignment horizontal="left"/>
    </xf>
    <xf numFmtId="0" fontId="34" fillId="16" borderId="28" xfId="14" applyFont="1" applyFill="1" applyBorder="1" applyAlignment="1">
      <alignment horizontal="left"/>
    </xf>
    <xf numFmtId="0" fontId="34" fillId="16" borderId="35" xfId="14" applyFont="1" applyFill="1" applyBorder="1" applyAlignment="1">
      <alignment horizontal="left"/>
    </xf>
    <xf numFmtId="0" fontId="34" fillId="16" borderId="29" xfId="14" applyFont="1" applyFill="1" applyBorder="1" applyAlignment="1">
      <alignment horizontal="left"/>
    </xf>
    <xf numFmtId="44" fontId="34" fillId="17" borderId="33" xfId="10" applyFont="1" applyFill="1" applyBorder="1" applyAlignment="1">
      <alignment horizontal="left" vertical="center"/>
    </xf>
    <xf numFmtId="44" fontId="34" fillId="17" borderId="39" xfId="10" applyFont="1" applyFill="1" applyBorder="1" applyAlignment="1">
      <alignment horizontal="left" vertical="center"/>
    </xf>
    <xf numFmtId="44" fontId="34" fillId="17" borderId="40" xfId="10" applyFont="1" applyFill="1" applyBorder="1" applyAlignment="1">
      <alignment horizontal="left" vertical="center"/>
    </xf>
    <xf numFmtId="44" fontId="34" fillId="18" borderId="33" xfId="10" applyFont="1" applyFill="1" applyBorder="1" applyAlignment="1">
      <alignment horizontal="left" vertical="center"/>
    </xf>
    <xf numFmtId="44" fontId="34" fillId="18" borderId="39" xfId="10" applyFont="1" applyFill="1" applyBorder="1" applyAlignment="1">
      <alignment horizontal="left" vertical="center"/>
    </xf>
    <xf numFmtId="44" fontId="34" fillId="18" borderId="40" xfId="10" applyFont="1" applyFill="1" applyBorder="1" applyAlignment="1">
      <alignment horizontal="left" vertical="center"/>
    </xf>
    <xf numFmtId="0" fontId="31" fillId="18" borderId="28" xfId="14" applyFont="1" applyFill="1" applyBorder="1" applyAlignment="1">
      <alignment horizontal="left"/>
    </xf>
    <xf numFmtId="0" fontId="31" fillId="18" borderId="35" xfId="14" applyFont="1" applyFill="1" applyBorder="1" applyAlignment="1">
      <alignment horizontal="left"/>
    </xf>
    <xf numFmtId="0" fontId="31" fillId="18" borderId="29" xfId="14" applyFont="1" applyFill="1" applyBorder="1" applyAlignment="1">
      <alignment horizontal="left"/>
    </xf>
    <xf numFmtId="0" fontId="34" fillId="16" borderId="38" xfId="14" applyFont="1" applyFill="1" applyBorder="1" applyAlignment="1">
      <alignment horizontal="left"/>
    </xf>
    <xf numFmtId="0" fontId="15" fillId="16" borderId="32" xfId="14" applyFont="1" applyFill="1" applyBorder="1" applyAlignment="1">
      <alignment horizontal="left"/>
    </xf>
    <xf numFmtId="0" fontId="15" fillId="16" borderId="50" xfId="14" applyFont="1" applyFill="1" applyBorder="1" applyAlignment="1">
      <alignment horizontal="left"/>
    </xf>
    <xf numFmtId="0" fontId="15" fillId="16" borderId="51" xfId="14" applyFont="1" applyFill="1" applyBorder="1" applyAlignment="1">
      <alignment horizontal="left"/>
    </xf>
    <xf numFmtId="0" fontId="15" fillId="27" borderId="32" xfId="14" applyFont="1" applyFill="1" applyBorder="1" applyAlignment="1"/>
    <xf numFmtId="0" fontId="15" fillId="27" borderId="50" xfId="14" applyFont="1" applyFill="1" applyBorder="1" applyAlignment="1"/>
    <xf numFmtId="0" fontId="15" fillId="27" borderId="51" xfId="14" applyFont="1" applyFill="1" applyBorder="1" applyAlignment="1"/>
    <xf numFmtId="0" fontId="34" fillId="17" borderId="32" xfId="14" applyFont="1" applyFill="1" applyBorder="1" applyAlignment="1">
      <alignment horizontal="left"/>
    </xf>
    <xf numFmtId="0" fontId="34" fillId="17" borderId="50" xfId="14" applyFont="1" applyFill="1" applyBorder="1" applyAlignment="1">
      <alignment horizontal="left"/>
    </xf>
    <xf numFmtId="0" fontId="34" fillId="17" borderId="51" xfId="14" applyFont="1" applyFill="1" applyBorder="1" applyAlignment="1">
      <alignment horizontal="left"/>
    </xf>
    <xf numFmtId="0" fontId="2" fillId="0" borderId="0" xfId="14" applyFont="1" applyBorder="1" applyAlignment="1">
      <alignment horizontal="center"/>
    </xf>
    <xf numFmtId="0" fontId="15" fillId="18" borderId="32" xfId="14" applyFont="1" applyFill="1" applyBorder="1" applyAlignment="1">
      <alignment horizontal="left"/>
    </xf>
    <xf numFmtId="0" fontId="15" fillId="18" borderId="50" xfId="14" applyFont="1" applyFill="1" applyBorder="1" applyAlignment="1">
      <alignment horizontal="left"/>
    </xf>
    <xf numFmtId="0" fontId="15" fillId="18" borderId="51" xfId="14" applyFont="1" applyFill="1" applyBorder="1" applyAlignment="1">
      <alignment horizontal="left"/>
    </xf>
    <xf numFmtId="0" fontId="34" fillId="5" borderId="28" xfId="11" applyFont="1" applyFill="1" applyBorder="1" applyAlignment="1">
      <alignment horizontal="center"/>
    </xf>
    <xf numFmtId="0" fontId="34" fillId="5" borderId="35" xfId="11" applyFont="1" applyFill="1" applyBorder="1" applyAlignment="1">
      <alignment horizontal="center"/>
    </xf>
    <xf numFmtId="0" fontId="34" fillId="5" borderId="29" xfId="11" applyFont="1" applyFill="1" applyBorder="1" applyAlignment="1">
      <alignment horizontal="center"/>
    </xf>
    <xf numFmtId="0" fontId="31" fillId="3" borderId="1" xfId="11" applyFont="1" applyFill="1" applyBorder="1" applyAlignment="1">
      <alignment horizontal="left"/>
    </xf>
    <xf numFmtId="0" fontId="34" fillId="5" borderId="33" xfId="11" applyFont="1" applyFill="1" applyBorder="1" applyAlignment="1">
      <alignment horizontal="center"/>
    </xf>
    <xf numFmtId="0" fontId="34" fillId="5" borderId="41" xfId="11" applyFont="1" applyFill="1" applyBorder="1" applyAlignment="1">
      <alignment horizontal="center"/>
    </xf>
    <xf numFmtId="0" fontId="34" fillId="4" borderId="25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25" xfId="11" applyFont="1" applyFill="1" applyBorder="1" applyAlignment="1">
      <alignment horizontal="center" vertical="center"/>
    </xf>
    <xf numFmtId="0" fontId="34" fillId="4" borderId="5" xfId="11" applyFont="1" applyFill="1" applyBorder="1" applyAlignment="1">
      <alignment horizontal="center" vertical="center"/>
    </xf>
    <xf numFmtId="0" fontId="34" fillId="4" borderId="28" xfId="11" applyFont="1" applyFill="1" applyBorder="1" applyAlignment="1">
      <alignment horizontal="center"/>
    </xf>
    <xf numFmtId="0" fontId="34" fillId="4" borderId="29" xfId="11" applyFont="1" applyFill="1" applyBorder="1" applyAlignment="1">
      <alignment horizontal="center"/>
    </xf>
    <xf numFmtId="0" fontId="34" fillId="4" borderId="31" xfId="11" applyFont="1" applyFill="1" applyBorder="1" applyAlignment="1">
      <alignment horizontal="center" vertical="center"/>
    </xf>
    <xf numFmtId="0" fontId="34" fillId="4" borderId="4" xfId="11" applyFont="1" applyFill="1" applyBorder="1" applyAlignment="1">
      <alignment horizontal="center" vertical="center"/>
    </xf>
    <xf numFmtId="166" fontId="31" fillId="7" borderId="1" xfId="0" applyNumberFormat="1" applyFont="1" applyFill="1" applyBorder="1" applyAlignment="1">
      <alignment horizontal="center"/>
    </xf>
    <xf numFmtId="166" fontId="31" fillId="7" borderId="8" xfId="0" applyNumberFormat="1" applyFont="1" applyFill="1" applyBorder="1" applyAlignment="1">
      <alignment horizontal="center"/>
    </xf>
    <xf numFmtId="0" fontId="12" fillId="8" borderId="7" xfId="12" applyFont="1" applyFill="1" applyBorder="1" applyAlignment="1">
      <alignment horizontal="left"/>
    </xf>
    <xf numFmtId="0" fontId="12" fillId="8" borderId="1" xfId="12" applyFont="1" applyFill="1" applyBorder="1" applyAlignment="1">
      <alignment horizontal="left"/>
    </xf>
    <xf numFmtId="0" fontId="12" fillId="8" borderId="8" xfId="12" applyFont="1" applyFill="1" applyBorder="1" applyAlignment="1">
      <alignment horizontal="left"/>
    </xf>
    <xf numFmtId="166" fontId="31" fillId="0" borderId="19" xfId="2" applyNumberFormat="1" applyFont="1" applyBorder="1" applyAlignment="1">
      <alignment horizontal="right" vertical="center" wrapText="1"/>
    </xf>
    <xf numFmtId="166" fontId="31" fillId="0" borderId="45" xfId="2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22" xfId="12" applyFont="1" applyBorder="1" applyAlignment="1">
      <alignment horizontal="center"/>
    </xf>
    <xf numFmtId="0" fontId="17" fillId="0" borderId="43" xfId="12" applyFont="1" applyBorder="1" applyAlignment="1">
      <alignment horizontal="center"/>
    </xf>
    <xf numFmtId="0" fontId="17" fillId="0" borderId="11" xfId="12" applyFont="1" applyBorder="1" applyAlignment="1">
      <alignment horizontal="center"/>
    </xf>
    <xf numFmtId="0" fontId="17" fillId="0" borderId="23" xfId="12" applyFont="1" applyBorder="1" applyAlignment="1">
      <alignment horizontal="center"/>
    </xf>
    <xf numFmtId="0" fontId="12" fillId="2" borderId="20" xfId="12" applyFont="1" applyFill="1" applyBorder="1" applyAlignment="1">
      <alignment horizontal="center"/>
    </xf>
    <xf numFmtId="0" fontId="12" fillId="2" borderId="45" xfId="12" applyFont="1" applyFill="1" applyBorder="1" applyAlignment="1">
      <alignment horizontal="center"/>
    </xf>
    <xf numFmtId="166" fontId="31" fillId="8" borderId="28" xfId="2" applyNumberFormat="1" applyFont="1" applyFill="1" applyBorder="1" applyAlignment="1">
      <alignment horizontal="center"/>
    </xf>
    <xf numFmtId="166" fontId="31" fillId="8" borderId="35" xfId="2" applyNumberFormat="1" applyFont="1" applyFill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7" borderId="46" xfId="0" applyFont="1" applyFill="1" applyBorder="1" applyAlignment="1">
      <alignment horizontal="left"/>
    </xf>
    <xf numFmtId="0" fontId="34" fillId="7" borderId="0" xfId="0" applyFont="1" applyFill="1" applyBorder="1" applyAlignment="1">
      <alignment horizontal="left"/>
    </xf>
    <xf numFmtId="0" fontId="34" fillId="7" borderId="49" xfId="0" applyFont="1" applyFill="1" applyBorder="1" applyAlignment="1">
      <alignment horizontal="left"/>
    </xf>
    <xf numFmtId="0" fontId="34" fillId="6" borderId="28" xfId="0" applyFont="1" applyFill="1" applyBorder="1" applyAlignment="1">
      <alignment horizontal="center"/>
    </xf>
    <xf numFmtId="0" fontId="34" fillId="6" borderId="35" xfId="0" applyFont="1" applyFill="1" applyBorder="1" applyAlignment="1">
      <alignment horizontal="center"/>
    </xf>
    <xf numFmtId="0" fontId="34" fillId="6" borderId="29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166" fontId="31" fillId="0" borderId="1" xfId="2" applyNumberFormat="1" applyFont="1" applyBorder="1" applyAlignment="1">
      <alignment horizontal="center"/>
    </xf>
    <xf numFmtId="166" fontId="31" fillId="0" borderId="8" xfId="2" applyNumberFormat="1" applyFont="1" applyBorder="1" applyAlignment="1">
      <alignment horizontal="center"/>
    </xf>
    <xf numFmtId="0" fontId="17" fillId="0" borderId="46" xfId="12" applyFont="1" applyBorder="1" applyAlignment="1">
      <alignment horizontal="left"/>
    </xf>
    <xf numFmtId="0" fontId="17" fillId="0" borderId="0" xfId="12" applyFont="1" applyBorder="1" applyAlignment="1">
      <alignment horizontal="left"/>
    </xf>
    <xf numFmtId="0" fontId="31" fillId="8" borderId="28" xfId="0" applyFont="1" applyFill="1" applyBorder="1" applyAlignment="1">
      <alignment horizontal="left"/>
    </xf>
    <xf numFmtId="0" fontId="31" fillId="8" borderId="29" xfId="0" applyFont="1" applyFill="1" applyBorder="1" applyAlignment="1">
      <alignment horizontal="left"/>
    </xf>
    <xf numFmtId="166" fontId="31" fillId="0" borderId="1" xfId="0" applyNumberFormat="1" applyFont="1" applyBorder="1" applyAlignment="1">
      <alignment horizontal="center"/>
    </xf>
    <xf numFmtId="166" fontId="31" fillId="0" borderId="8" xfId="0" applyNumberFormat="1" applyFont="1" applyBorder="1" applyAlignment="1">
      <alignment horizontal="center"/>
    </xf>
    <xf numFmtId="166" fontId="34" fillId="6" borderId="28" xfId="0" applyNumberFormat="1" applyFont="1" applyFill="1" applyBorder="1" applyAlignment="1">
      <alignment horizontal="center"/>
    </xf>
    <xf numFmtId="166" fontId="34" fillId="6" borderId="35" xfId="0" applyNumberFormat="1" applyFont="1" applyFill="1" applyBorder="1" applyAlignment="1">
      <alignment horizontal="center"/>
    </xf>
    <xf numFmtId="0" fontId="31" fillId="0" borderId="28" xfId="0" applyFont="1" applyBorder="1" applyAlignment="1">
      <alignment horizontal="left"/>
    </xf>
    <xf numFmtId="0" fontId="31" fillId="0" borderId="38" xfId="0" applyFont="1" applyBorder="1" applyAlignment="1">
      <alignment horizontal="left"/>
    </xf>
    <xf numFmtId="0" fontId="34" fillId="0" borderId="2" xfId="11" applyFont="1" applyBorder="1" applyAlignment="1">
      <alignment horizontal="center"/>
    </xf>
    <xf numFmtId="166" fontId="31" fillId="0" borderId="21" xfId="2" applyNumberFormat="1" applyFont="1" applyBorder="1" applyAlignment="1">
      <alignment horizontal="center"/>
    </xf>
    <xf numFmtId="166" fontId="31" fillId="0" borderId="43" xfId="2" applyNumberFormat="1" applyFont="1" applyBorder="1" applyAlignment="1">
      <alignment horizontal="center"/>
    </xf>
    <xf numFmtId="0" fontId="34" fillId="6" borderId="28" xfId="0" applyFont="1" applyFill="1" applyBorder="1" applyAlignment="1">
      <alignment horizontal="left"/>
    </xf>
    <xf numFmtId="0" fontId="34" fillId="6" borderId="29" xfId="0" applyFont="1" applyFill="1" applyBorder="1" applyAlignment="1">
      <alignment horizontal="left"/>
    </xf>
    <xf numFmtId="166" fontId="34" fillId="6" borderId="28" xfId="0" applyNumberFormat="1" applyFont="1" applyFill="1" applyBorder="1" applyAlignment="1">
      <alignment horizontal="right" vertical="center" wrapText="1"/>
    </xf>
    <xf numFmtId="166" fontId="34" fillId="6" borderId="29" xfId="0" applyNumberFormat="1" applyFont="1" applyFill="1" applyBorder="1" applyAlignment="1">
      <alignment horizontal="right" vertical="center" wrapText="1"/>
    </xf>
    <xf numFmtId="166" fontId="31" fillId="0" borderId="48" xfId="2" applyNumberFormat="1" applyFont="1" applyBorder="1" applyAlignment="1">
      <alignment horizontal="right" vertical="center" wrapText="1"/>
    </xf>
    <xf numFmtId="166" fontId="31" fillId="0" borderId="40" xfId="2" applyNumberFormat="1" applyFont="1" applyBorder="1" applyAlignment="1">
      <alignment horizontal="right" vertical="center" wrapText="1"/>
    </xf>
    <xf numFmtId="166" fontId="31" fillId="8" borderId="28" xfId="2" applyNumberFormat="1" applyFont="1" applyFill="1" applyBorder="1" applyAlignment="1">
      <alignment horizontal="right" vertical="center" wrapText="1"/>
    </xf>
    <xf numFmtId="166" fontId="31" fillId="8" borderId="29" xfId="2" applyNumberFormat="1" applyFont="1" applyFill="1" applyBorder="1" applyAlignment="1">
      <alignment horizontal="right" vertical="center" wrapText="1"/>
    </xf>
    <xf numFmtId="166" fontId="31" fillId="0" borderId="48" xfId="2" applyNumberFormat="1" applyFont="1" applyBorder="1" applyAlignment="1">
      <alignment horizontal="center"/>
    </xf>
    <xf numFmtId="166" fontId="31" fillId="0" borderId="39" xfId="2" applyNumberFormat="1" applyFont="1" applyBorder="1" applyAlignment="1">
      <alignment horizontal="center"/>
    </xf>
    <xf numFmtId="0" fontId="34" fillId="0" borderId="1" xfId="11" applyFont="1" applyBorder="1" applyAlignment="1">
      <alignment horizontal="center"/>
    </xf>
    <xf numFmtId="0" fontId="17" fillId="7" borderId="22" xfId="12" applyFont="1" applyFill="1" applyBorder="1" applyAlignment="1">
      <alignment horizontal="left"/>
    </xf>
    <xf numFmtId="0" fontId="17" fillId="7" borderId="63" xfId="12" applyFont="1" applyFill="1" applyBorder="1" applyAlignment="1">
      <alignment horizontal="left"/>
    </xf>
    <xf numFmtId="0" fontId="17" fillId="0" borderId="20" xfId="12" applyFont="1" applyBorder="1" applyAlignment="1">
      <alignment horizontal="center"/>
    </xf>
    <xf numFmtId="0" fontId="17" fillId="0" borderId="42" xfId="12" applyFont="1" applyBorder="1" applyAlignment="1">
      <alignment horizontal="center"/>
    </xf>
    <xf numFmtId="0" fontId="34" fillId="0" borderId="24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15" fillId="6" borderId="4" xfId="14" applyFont="1" applyFill="1" applyBorder="1" applyAlignment="1">
      <alignment horizontal="left"/>
    </xf>
    <xf numFmtId="0" fontId="15" fillId="6" borderId="6" xfId="14" applyFont="1" applyFill="1" applyBorder="1" applyAlignment="1">
      <alignment horizontal="left"/>
    </xf>
    <xf numFmtId="0" fontId="15" fillId="6" borderId="30" xfId="14" applyFont="1" applyFill="1" applyBorder="1" applyAlignment="1">
      <alignment horizontal="left"/>
    </xf>
    <xf numFmtId="0" fontId="31" fillId="0" borderId="21" xfId="14" applyFont="1" applyBorder="1" applyAlignment="1">
      <alignment horizontal="center"/>
    </xf>
    <xf numFmtId="0" fontId="31" fillId="0" borderId="43" xfId="14" applyFont="1" applyBorder="1" applyAlignment="1">
      <alignment horizontal="center"/>
    </xf>
    <xf numFmtId="0" fontId="31" fillId="0" borderId="54" xfId="14" applyFont="1" applyBorder="1" applyAlignment="1">
      <alignment horizontal="center"/>
    </xf>
    <xf numFmtId="0" fontId="15" fillId="6" borderId="31" xfId="14" applyFont="1" applyFill="1" applyBorder="1" applyAlignment="1">
      <alignment horizontal="center" vertical="center"/>
    </xf>
    <xf numFmtId="0" fontId="15" fillId="6" borderId="53" xfId="14" applyFont="1" applyFill="1" applyBorder="1" applyAlignment="1">
      <alignment horizontal="center" vertical="center"/>
    </xf>
    <xf numFmtId="0" fontId="15" fillId="6" borderId="36" xfId="14" applyFont="1" applyFill="1" applyBorder="1" applyAlignment="1">
      <alignment horizontal="center" vertical="center"/>
    </xf>
    <xf numFmtId="0" fontId="15" fillId="6" borderId="4" xfId="14" applyFont="1" applyFill="1" applyBorder="1" applyAlignment="1">
      <alignment horizontal="center" vertical="center"/>
    </xf>
    <xf numFmtId="0" fontId="15" fillId="6" borderId="6" xfId="14" applyFont="1" applyFill="1" applyBorder="1" applyAlignment="1">
      <alignment horizontal="center" vertical="center"/>
    </xf>
    <xf numFmtId="0" fontId="15" fillId="6" borderId="30" xfId="14" applyFont="1" applyFill="1" applyBorder="1" applyAlignment="1">
      <alignment horizontal="center" vertical="center"/>
    </xf>
    <xf numFmtId="0" fontId="15" fillId="3" borderId="46" xfId="14" applyFont="1" applyFill="1" applyBorder="1" applyAlignment="1">
      <alignment horizontal="left" vertical="center"/>
    </xf>
    <xf numFmtId="0" fontId="15" fillId="3" borderId="0" xfId="14" applyFont="1" applyFill="1" applyBorder="1" applyAlignment="1">
      <alignment horizontal="left" vertical="center"/>
    </xf>
    <xf numFmtId="0" fontId="15" fillId="3" borderId="49" xfId="14" applyFont="1" applyFill="1" applyBorder="1" applyAlignment="1">
      <alignment horizontal="left" vertical="center"/>
    </xf>
    <xf numFmtId="167" fontId="16" fillId="0" borderId="7" xfId="14" applyNumberFormat="1" applyFont="1" applyBorder="1" applyAlignment="1"/>
    <xf numFmtId="167" fontId="16" fillId="0" borderId="1" xfId="14" applyNumberFormat="1" applyFont="1" applyBorder="1" applyAlignment="1"/>
    <xf numFmtId="0" fontId="34" fillId="9" borderId="7" xfId="14" applyFont="1" applyFill="1" applyBorder="1" applyAlignment="1">
      <alignment horizontal="left"/>
    </xf>
    <xf numFmtId="0" fontId="34" fillId="9" borderId="1" xfId="14" applyFont="1" applyFill="1" applyBorder="1" applyAlignment="1">
      <alignment horizontal="left"/>
    </xf>
    <xf numFmtId="0" fontId="34" fillId="9" borderId="8" xfId="14" applyFont="1" applyFill="1" applyBorder="1" applyAlignment="1">
      <alignment horizontal="left"/>
    </xf>
    <xf numFmtId="0" fontId="34" fillId="10" borderId="7" xfId="14" applyFont="1" applyFill="1" applyBorder="1" applyAlignment="1">
      <alignment horizontal="left"/>
    </xf>
    <xf numFmtId="0" fontId="34" fillId="10" borderId="1" xfId="14" applyFont="1" applyFill="1" applyBorder="1" applyAlignment="1">
      <alignment horizontal="left"/>
    </xf>
    <xf numFmtId="0" fontId="34" fillId="10" borderId="8" xfId="14" applyFont="1" applyFill="1" applyBorder="1" applyAlignment="1">
      <alignment horizontal="left"/>
    </xf>
    <xf numFmtId="167" fontId="16" fillId="0" borderId="21" xfId="14" applyNumberFormat="1" applyFont="1" applyBorder="1" applyAlignment="1">
      <alignment horizontal="center"/>
    </xf>
    <xf numFmtId="167" fontId="16" fillId="0" borderId="43" xfId="14" applyNumberFormat="1" applyFont="1" applyBorder="1" applyAlignment="1">
      <alignment horizontal="center"/>
    </xf>
    <xf numFmtId="167" fontId="16" fillId="0" borderId="54" xfId="14" applyNumberFormat="1" applyFont="1" applyBorder="1" applyAlignment="1">
      <alignment horizontal="center"/>
    </xf>
    <xf numFmtId="0" fontId="31" fillId="0" borderId="1" xfId="14" applyFont="1" applyBorder="1" applyAlignment="1">
      <alignment horizontal="center"/>
    </xf>
    <xf numFmtId="171" fontId="31" fillId="0" borderId="1" xfId="2" applyNumberFormat="1" applyFont="1" applyBorder="1" applyAlignment="1">
      <alignment horizontal="center" wrapText="1"/>
    </xf>
    <xf numFmtId="0" fontId="31" fillId="0" borderId="7" xfId="14" applyFont="1" applyBorder="1" applyAlignment="1">
      <alignment horizontal="center"/>
    </xf>
    <xf numFmtId="167" fontId="16" fillId="0" borderId="7" xfId="14" applyNumberFormat="1" applyFont="1" applyBorder="1" applyAlignment="1">
      <alignment horizontal="center"/>
    </xf>
    <xf numFmtId="167" fontId="16" fillId="0" borderId="1" xfId="14" applyNumberFormat="1" applyFont="1" applyBorder="1" applyAlignment="1">
      <alignment horizontal="center"/>
    </xf>
    <xf numFmtId="0" fontId="31" fillId="0" borderId="7" xfId="14" applyFont="1" applyBorder="1" applyAlignment="1">
      <alignment horizontal="center" vertical="center"/>
    </xf>
    <xf numFmtId="0" fontId="31" fillId="0" borderId="1" xfId="14" applyFont="1" applyBorder="1" applyAlignment="1">
      <alignment horizontal="center" vertical="center"/>
    </xf>
    <xf numFmtId="0" fontId="15" fillId="6" borderId="32" xfId="11" applyFont="1" applyFill="1" applyBorder="1" applyAlignment="1">
      <alignment horizontal="center"/>
    </xf>
    <xf numFmtId="0" fontId="15" fillId="6" borderId="50" xfId="11" applyFont="1" applyFill="1" applyBorder="1" applyAlignment="1">
      <alignment horizontal="center"/>
    </xf>
    <xf numFmtId="0" fontId="15" fillId="6" borderId="51" xfId="11" applyFont="1" applyFill="1" applyBorder="1" applyAlignment="1">
      <alignment horizontal="center"/>
    </xf>
    <xf numFmtId="0" fontId="15" fillId="6" borderId="33" xfId="11" applyFont="1" applyFill="1" applyBorder="1" applyAlignment="1">
      <alignment horizontal="center" vertical="top" wrapText="1"/>
    </xf>
    <xf numFmtId="0" fontId="15" fillId="6" borderId="39" xfId="11" applyFont="1" applyFill="1" applyBorder="1" applyAlignment="1">
      <alignment horizontal="center" vertical="top" wrapText="1"/>
    </xf>
    <xf numFmtId="0" fontId="15" fillId="6" borderId="40" xfId="11" applyFont="1" applyFill="1" applyBorder="1" applyAlignment="1">
      <alignment horizontal="center" vertical="top" wrapText="1"/>
    </xf>
    <xf numFmtId="0" fontId="34" fillId="6" borderId="28" xfId="11" applyFont="1" applyFill="1" applyBorder="1" applyAlignment="1">
      <alignment horizontal="center"/>
    </xf>
    <xf numFmtId="0" fontId="34" fillId="6" borderId="35" xfId="11" applyFont="1" applyFill="1" applyBorder="1" applyAlignment="1">
      <alignment horizontal="center"/>
    </xf>
    <xf numFmtId="0" fontId="34" fillId="6" borderId="29" xfId="11" applyFont="1" applyFill="1" applyBorder="1" applyAlignment="1">
      <alignment horizontal="center"/>
    </xf>
    <xf numFmtId="43" fontId="15" fillId="6" borderId="28" xfId="5" applyFont="1" applyFill="1" applyBorder="1" applyAlignment="1">
      <alignment horizontal="center"/>
    </xf>
    <xf numFmtId="43" fontId="15" fillId="6" borderId="29" xfId="5" applyFont="1" applyFill="1" applyBorder="1" applyAlignment="1">
      <alignment horizontal="center"/>
    </xf>
    <xf numFmtId="0" fontId="34" fillId="6" borderId="13" xfId="11" applyFont="1" applyFill="1" applyBorder="1" applyAlignment="1">
      <alignment horizontal="center"/>
    </xf>
    <xf numFmtId="0" fontId="34" fillId="6" borderId="14" xfId="11" applyFont="1" applyFill="1" applyBorder="1" applyAlignment="1">
      <alignment horizontal="center"/>
    </xf>
    <xf numFmtId="0" fontId="31" fillId="0" borderId="16" xfId="11" applyFont="1" applyBorder="1" applyAlignment="1">
      <alignment horizontal="left"/>
    </xf>
    <xf numFmtId="0" fontId="31" fillId="0" borderId="17" xfId="11" applyFont="1" applyBorder="1" applyAlignment="1">
      <alignment horizontal="left"/>
    </xf>
    <xf numFmtId="43" fontId="16" fillId="0" borderId="7" xfId="5" applyFont="1" applyBorder="1" applyAlignment="1">
      <alignment horizontal="left"/>
    </xf>
    <xf numFmtId="43" fontId="16" fillId="0" borderId="1" xfId="5" applyFont="1" applyBorder="1" applyAlignment="1">
      <alignment horizontal="left"/>
    </xf>
    <xf numFmtId="43" fontId="31" fillId="0" borderId="7" xfId="5" applyFont="1" applyBorder="1" applyAlignment="1">
      <alignment horizontal="left"/>
    </xf>
    <xf numFmtId="43" fontId="31" fillId="0" borderId="1" xfId="5" applyFont="1" applyBorder="1" applyAlignment="1">
      <alignment horizontal="left"/>
    </xf>
    <xf numFmtId="43" fontId="16" fillId="0" borderId="11" xfId="5" applyFont="1" applyBorder="1" applyAlignment="1">
      <alignment horizontal="left"/>
    </xf>
    <xf numFmtId="43" fontId="16" fillId="0" borderId="3" xfId="5" applyFont="1" applyBorder="1" applyAlignment="1">
      <alignment horizontal="left"/>
    </xf>
    <xf numFmtId="0" fontId="34" fillId="11" borderId="32" xfId="0" applyFont="1" applyFill="1" applyBorder="1" applyAlignment="1">
      <alignment horizontal="center"/>
    </xf>
    <xf numFmtId="0" fontId="34" fillId="11" borderId="50" xfId="0" applyFont="1" applyFill="1" applyBorder="1" applyAlignment="1">
      <alignment horizontal="center"/>
    </xf>
    <xf numFmtId="0" fontId="34" fillId="11" borderId="51" xfId="0" applyFont="1" applyFill="1" applyBorder="1" applyAlignment="1">
      <alignment horizontal="center"/>
    </xf>
    <xf numFmtId="0" fontId="34" fillId="5" borderId="32" xfId="0" applyFont="1" applyFill="1" applyBorder="1" applyAlignment="1">
      <alignment horizontal="center"/>
    </xf>
    <xf numFmtId="0" fontId="34" fillId="5" borderId="50" xfId="0" applyFont="1" applyFill="1" applyBorder="1" applyAlignment="1">
      <alignment horizontal="center"/>
    </xf>
    <xf numFmtId="0" fontId="34" fillId="5" borderId="51" xfId="0" applyFont="1" applyFill="1" applyBorder="1" applyAlignment="1">
      <alignment horizontal="center"/>
    </xf>
    <xf numFmtId="0" fontId="34" fillId="10" borderId="32" xfId="0" applyFont="1" applyFill="1" applyBorder="1" applyAlignment="1">
      <alignment horizontal="center"/>
    </xf>
    <xf numFmtId="0" fontId="34" fillId="10" borderId="50" xfId="0" applyFont="1" applyFill="1" applyBorder="1" applyAlignment="1">
      <alignment horizontal="center"/>
    </xf>
    <xf numFmtId="0" fontId="34" fillId="10" borderId="51" xfId="0" applyFont="1" applyFill="1" applyBorder="1" applyAlignment="1">
      <alignment horizontal="center"/>
    </xf>
    <xf numFmtId="0" fontId="34" fillId="12" borderId="32" xfId="0" applyFont="1" applyFill="1" applyBorder="1" applyAlignment="1">
      <alignment horizontal="center"/>
    </xf>
    <xf numFmtId="0" fontId="34" fillId="12" borderId="50" xfId="0" applyFont="1" applyFill="1" applyBorder="1" applyAlignment="1">
      <alignment horizontal="center"/>
    </xf>
    <xf numFmtId="0" fontId="34" fillId="12" borderId="51" xfId="0" applyFont="1" applyFill="1" applyBorder="1" applyAlignment="1">
      <alignment horizontal="center"/>
    </xf>
    <xf numFmtId="0" fontId="34" fillId="14" borderId="32" xfId="0" applyFont="1" applyFill="1" applyBorder="1" applyAlignment="1">
      <alignment horizontal="center"/>
    </xf>
    <xf numFmtId="0" fontId="34" fillId="14" borderId="50" xfId="0" applyFont="1" applyFill="1" applyBorder="1" applyAlignment="1">
      <alignment horizontal="center"/>
    </xf>
    <xf numFmtId="0" fontId="34" fillId="14" borderId="51" xfId="0" applyFont="1" applyFill="1" applyBorder="1" applyAlignment="1">
      <alignment horizontal="center"/>
    </xf>
    <xf numFmtId="0" fontId="34" fillId="27" borderId="0" xfId="0" applyFont="1" applyFill="1" applyAlignment="1">
      <alignment horizontal="right"/>
    </xf>
    <xf numFmtId="0" fontId="34" fillId="13" borderId="31" xfId="0" applyFont="1" applyFill="1" applyBorder="1" applyAlignment="1">
      <alignment horizontal="center"/>
    </xf>
    <xf numFmtId="0" fontId="34" fillId="13" borderId="53" xfId="0" applyFont="1" applyFill="1" applyBorder="1" applyAlignment="1">
      <alignment horizontal="center"/>
    </xf>
    <xf numFmtId="0" fontId="34" fillId="13" borderId="36" xfId="0" applyFont="1" applyFill="1" applyBorder="1" applyAlignment="1">
      <alignment horizontal="center"/>
    </xf>
    <xf numFmtId="0" fontId="34" fillId="13" borderId="32" xfId="0" applyFont="1" applyFill="1" applyBorder="1" applyAlignment="1">
      <alignment horizontal="center"/>
    </xf>
    <xf numFmtId="0" fontId="34" fillId="13" borderId="50" xfId="0" applyFont="1" applyFill="1" applyBorder="1" applyAlignment="1">
      <alignment horizontal="center"/>
    </xf>
    <xf numFmtId="0" fontId="34" fillId="13" borderId="51" xfId="0" applyFont="1" applyFill="1" applyBorder="1" applyAlignment="1">
      <alignment horizontal="center"/>
    </xf>
    <xf numFmtId="0" fontId="34" fillId="12" borderId="28" xfId="0" applyFont="1" applyFill="1" applyBorder="1" applyAlignment="1">
      <alignment horizontal="center" vertical="center"/>
    </xf>
    <xf numFmtId="0" fontId="34" fillId="12" borderId="35" xfId="0" applyFont="1" applyFill="1" applyBorder="1" applyAlignment="1">
      <alignment horizontal="center" vertical="center"/>
    </xf>
    <xf numFmtId="0" fontId="34" fillId="12" borderId="29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17" borderId="28" xfId="0" applyFont="1" applyFill="1" applyBorder="1" applyAlignment="1">
      <alignment horizontal="center"/>
    </xf>
    <xf numFmtId="0" fontId="34" fillId="17" borderId="35" xfId="0" applyFont="1" applyFill="1" applyBorder="1" applyAlignment="1">
      <alignment horizontal="center"/>
    </xf>
    <xf numFmtId="0" fontId="34" fillId="17" borderId="29" xfId="0" applyFont="1" applyFill="1" applyBorder="1" applyAlignment="1">
      <alignment horizontal="center"/>
    </xf>
    <xf numFmtId="0" fontId="15" fillId="0" borderId="1" xfId="15" applyFont="1" applyBorder="1" applyAlignment="1">
      <alignment horizontal="center"/>
    </xf>
    <xf numFmtId="0" fontId="15" fillId="0" borderId="21" xfId="15" applyFont="1" applyBorder="1" applyAlignment="1">
      <alignment horizontal="left"/>
    </xf>
    <xf numFmtId="0" fontId="15" fillId="0" borderId="43" xfId="15" applyFont="1" applyBorder="1" applyAlignment="1">
      <alignment horizontal="left"/>
    </xf>
    <xf numFmtId="0" fontId="16" fillId="0" borderId="21" xfId="15" applyFont="1" applyBorder="1" applyAlignment="1">
      <alignment horizontal="left"/>
    </xf>
    <xf numFmtId="0" fontId="16" fillId="0" borderId="43" xfId="15" applyFont="1" applyBorder="1" applyAlignment="1">
      <alignment horizontal="left"/>
    </xf>
    <xf numFmtId="167" fontId="36" fillId="2" borderId="4" xfId="0" applyNumberFormat="1" applyFont="1" applyFill="1" applyBorder="1" applyAlignment="1">
      <alignment horizontal="left"/>
    </xf>
    <xf numFmtId="167" fontId="36" fillId="2" borderId="6" xfId="0" applyNumberFormat="1" applyFont="1" applyFill="1" applyBorder="1" applyAlignment="1">
      <alignment horizontal="left"/>
    </xf>
    <xf numFmtId="0" fontId="12" fillId="18" borderId="31" xfId="12" applyFont="1" applyFill="1" applyBorder="1" applyAlignment="1">
      <alignment horizontal="center" vertical="center"/>
    </xf>
    <xf numFmtId="0" fontId="12" fillId="18" borderId="53" xfId="12" applyFont="1" applyFill="1" applyBorder="1" applyAlignment="1">
      <alignment horizontal="center" vertical="center"/>
    </xf>
    <xf numFmtId="0" fontId="12" fillId="18" borderId="36" xfId="12" applyFont="1" applyFill="1" applyBorder="1" applyAlignment="1">
      <alignment horizontal="center" vertical="center"/>
    </xf>
    <xf numFmtId="0" fontId="12" fillId="18" borderId="4" xfId="12" applyFont="1" applyFill="1" applyBorder="1" applyAlignment="1">
      <alignment horizontal="center" vertical="center"/>
    </xf>
    <xf numFmtId="0" fontId="12" fillId="18" borderId="6" xfId="12" applyFont="1" applyFill="1" applyBorder="1" applyAlignment="1">
      <alignment horizontal="center" vertical="center"/>
    </xf>
    <xf numFmtId="0" fontId="12" fillId="18" borderId="30" xfId="12" applyFont="1" applyFill="1" applyBorder="1" applyAlignment="1">
      <alignment horizontal="center" vertical="center"/>
    </xf>
    <xf numFmtId="0" fontId="17" fillId="0" borderId="31" xfId="12" applyFont="1" applyBorder="1" applyAlignment="1">
      <alignment horizontal="left" vertical="center" wrapText="1"/>
    </xf>
    <xf numFmtId="0" fontId="17" fillId="0" borderId="53" xfId="12" applyFont="1" applyBorder="1" applyAlignment="1">
      <alignment horizontal="left" vertical="center" wrapText="1"/>
    </xf>
    <xf numFmtId="0" fontId="17" fillId="0" borderId="36" xfId="12" applyFont="1" applyBorder="1" applyAlignment="1">
      <alignment horizontal="left" vertical="center" wrapText="1"/>
    </xf>
    <xf numFmtId="0" fontId="17" fillId="0" borderId="46" xfId="12" applyFont="1" applyBorder="1" applyAlignment="1">
      <alignment horizontal="left" vertical="center" wrapText="1"/>
    </xf>
    <xf numFmtId="0" fontId="17" fillId="0" borderId="0" xfId="12" applyFont="1" applyBorder="1" applyAlignment="1">
      <alignment horizontal="left" vertical="center" wrapText="1"/>
    </xf>
    <xf numFmtId="0" fontId="17" fillId="0" borderId="49" xfId="12" applyFont="1" applyBorder="1" applyAlignment="1">
      <alignment horizontal="left" vertical="center" wrapText="1"/>
    </xf>
    <xf numFmtId="0" fontId="17" fillId="0" borderId="4" xfId="12" applyFont="1" applyBorder="1" applyAlignment="1">
      <alignment horizontal="left" vertical="center" wrapText="1"/>
    </xf>
    <xf numFmtId="0" fontId="17" fillId="0" borderId="6" xfId="12" applyFont="1" applyBorder="1" applyAlignment="1">
      <alignment horizontal="left" vertical="center" wrapText="1"/>
    </xf>
    <xf numFmtId="0" fontId="17" fillId="0" borderId="30" xfId="12" applyFont="1" applyBorder="1" applyAlignment="1">
      <alignment horizontal="left" vertical="center" wrapText="1"/>
    </xf>
    <xf numFmtId="167" fontId="35" fillId="20" borderId="31" xfId="0" applyNumberFormat="1" applyFont="1" applyFill="1" applyBorder="1" applyAlignment="1">
      <alignment horizontal="left"/>
    </xf>
    <xf numFmtId="167" fontId="35" fillId="20" borderId="53" xfId="0" applyNumberFormat="1" applyFont="1" applyFill="1" applyBorder="1" applyAlignment="1">
      <alignment horizontal="left"/>
    </xf>
    <xf numFmtId="167" fontId="35" fillId="20" borderId="46" xfId="0" applyNumberFormat="1" applyFont="1" applyFill="1" applyBorder="1" applyAlignment="1">
      <alignment horizontal="left"/>
    </xf>
    <xf numFmtId="167" fontId="35" fillId="20" borderId="0" xfId="0" applyNumberFormat="1" applyFont="1" applyFill="1" applyBorder="1" applyAlignment="1">
      <alignment horizontal="left"/>
    </xf>
    <xf numFmtId="0" fontId="12" fillId="28" borderId="13" xfId="0" applyFont="1" applyFill="1" applyBorder="1" applyAlignment="1">
      <alignment horizontal="center" wrapText="1"/>
    </xf>
    <xf numFmtId="0" fontId="12" fillId="28" borderId="14" xfId="0" applyFont="1" applyFill="1" applyBorder="1" applyAlignment="1">
      <alignment horizontal="center" wrapText="1"/>
    </xf>
    <xf numFmtId="0" fontId="12" fillId="28" borderId="15" xfId="0" applyFont="1" applyFill="1" applyBorder="1" applyAlignment="1">
      <alignment horizontal="center" wrapText="1"/>
    </xf>
    <xf numFmtId="167" fontId="17" fillId="26" borderId="0" xfId="0" applyNumberFormat="1" applyFont="1" applyFill="1" applyAlignment="1">
      <alignment horizontal="left"/>
    </xf>
    <xf numFmtId="0" fontId="40" fillId="21" borderId="31" xfId="12" applyFont="1" applyFill="1" applyBorder="1" applyAlignment="1">
      <alignment horizontal="center" vertical="center"/>
    </xf>
    <xf numFmtId="0" fontId="0" fillId="0" borderId="53" xfId="0" applyBorder="1"/>
    <xf numFmtId="0" fontId="0" fillId="0" borderId="36" xfId="0" applyBorder="1"/>
    <xf numFmtId="0" fontId="0" fillId="0" borderId="4" xfId="0" applyBorder="1"/>
    <xf numFmtId="0" fontId="0" fillId="0" borderId="6" xfId="0" applyBorder="1"/>
    <xf numFmtId="0" fontId="0" fillId="0" borderId="30" xfId="0" applyBorder="1"/>
    <xf numFmtId="0" fontId="30" fillId="8" borderId="13" xfId="0" applyFont="1" applyFill="1" applyBorder="1" applyAlignment="1">
      <alignment horizontal="center"/>
    </xf>
    <xf numFmtId="0" fontId="30" fillId="8" borderId="14" xfId="0" applyFont="1" applyFill="1" applyBorder="1" applyAlignment="1">
      <alignment horizontal="center"/>
    </xf>
    <xf numFmtId="0" fontId="30" fillId="8" borderId="15" xfId="0" applyFont="1" applyFill="1" applyBorder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</cellXfs>
  <cellStyles count="19">
    <cellStyle name="Euro" xfId="1"/>
    <cellStyle name="Millares" xfId="2" builtinId="3"/>
    <cellStyle name="Millares 2" xfId="3"/>
    <cellStyle name="Millares 3" xfId="4"/>
    <cellStyle name="Millares 3 2" xfId="5"/>
    <cellStyle name="Moneda" xfId="6" builtinId="4"/>
    <cellStyle name="Moneda 2" xfId="7"/>
    <cellStyle name="Moneda 3" xfId="8"/>
    <cellStyle name="Moneda 4" xfId="9"/>
    <cellStyle name="Moneda 4 2" xfId="10"/>
    <cellStyle name="Normal" xfId="0" builtinId="0"/>
    <cellStyle name="Normal 2" xfId="11"/>
    <cellStyle name="Normal 2 2" xfId="12"/>
    <cellStyle name="Normal 2 3" xfId="13"/>
    <cellStyle name="Normal 3" xfId="14"/>
    <cellStyle name="Normal 4" xfId="15"/>
    <cellStyle name="Porcentaje" xfId="16" builtinId="5"/>
    <cellStyle name="Porcentual 2" xfId="17"/>
    <cellStyle name="Porcentual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'Flujo de Caja'!$B$33</c:f>
              <c:strCache>
                <c:ptCount val="1"/>
                <c:pt idx="0">
                  <c:v>(=) Flujo Neto Efectivo</c:v>
                </c:pt>
              </c:strCache>
            </c:strRef>
          </c:tx>
          <c:invertIfNegative val="0"/>
          <c:val>
            <c:numRef>
              <c:f>'Flujo de Caja'!$C$33:$M$33</c:f>
              <c:numCache>
                <c:formatCode>_("$"* #,##0.00_);_("$"* \(#,##0.00\);_("$"* "-"??_);_(@_)</c:formatCode>
                <c:ptCount val="11"/>
                <c:pt idx="0">
                  <c:v>-2931129.7829791997</c:v>
                </c:pt>
                <c:pt idx="1">
                  <c:v>1319549.5824222919</c:v>
                </c:pt>
                <c:pt idx="2">
                  <c:v>1546804.1238268868</c:v>
                </c:pt>
                <c:pt idx="3">
                  <c:v>1659396.3398019106</c:v>
                </c:pt>
                <c:pt idx="4">
                  <c:v>1780663.1037411185</c:v>
                </c:pt>
                <c:pt idx="5">
                  <c:v>1743661.0766915123</c:v>
                </c:pt>
                <c:pt idx="6">
                  <c:v>2043855.6420224961</c:v>
                </c:pt>
                <c:pt idx="7">
                  <c:v>2189122.4890800435</c:v>
                </c:pt>
                <c:pt idx="8">
                  <c:v>2342603.2860849025</c:v>
                </c:pt>
                <c:pt idx="9">
                  <c:v>2504853.4468102194</c:v>
                </c:pt>
                <c:pt idx="10">
                  <c:v>1746851.7793035139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230592"/>
        <c:axId val="216619776"/>
        <c:axId val="0"/>
      </c:bar3DChart>
      <c:catAx>
        <c:axId val="9323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6619776"/>
        <c:crosses val="autoZero"/>
        <c:auto val="1"/>
        <c:lblAlgn val="ctr"/>
        <c:lblOffset val="100"/>
        <c:noMultiLvlLbl val="0"/>
      </c:catAx>
      <c:valAx>
        <c:axId val="21661977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9323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VARIACION DE INGRESOS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'Analisis Sensibilidad'!$F$5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'Analisis Sensibilidad'!$E$6:$E$10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-0.05</c:v>
                </c:pt>
                <c:pt idx="3">
                  <c:v>-0.1</c:v>
                </c:pt>
                <c:pt idx="4">
                  <c:v>-0.15</c:v>
                </c:pt>
              </c:numCache>
            </c:numRef>
          </c:cat>
          <c:val>
            <c:numRef>
              <c:f>'Analisis Sensibilidad'!$F$6:$F$10</c:f>
              <c:numCache>
                <c:formatCode>"$"#,##0.00_);[Red]\("$"#,##0.00\)</c:formatCode>
                <c:ptCount val="5"/>
                <c:pt idx="0" formatCode="_(* #,##0.00_);_(* \(#,##0.00\);_(* &quot;-&quot;??_);_(@_)">
                  <c:v>129190.99705651416</c:v>
                </c:pt>
                <c:pt idx="1">
                  <c:v>6047141.9190741815</c:v>
                </c:pt>
                <c:pt idx="2" formatCode="_(* #,##0.00_);_(* \(#,##0.00\);_(* &quot;-&quot;??_);_(@_)">
                  <c:v>31186.577641672862</c:v>
                </c:pt>
                <c:pt idx="3" formatCode="_(* #,##0.00_);_(* \(#,##0.00\);_(* &quot;-&quot;??_);_(@_)">
                  <c:v>-17815.632065747683</c:v>
                </c:pt>
                <c:pt idx="4" formatCode="_(* #,##0.00_);_(* \(#,##0.00\);_(* &quot;-&quot;??_);_(@_)">
                  <c:v>-66817.841773168329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55168"/>
        <c:axId val="173260096"/>
      </c:lineChart>
      <c:catAx>
        <c:axId val="1764551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3260096"/>
        <c:crosses val="autoZero"/>
        <c:auto val="1"/>
        <c:lblAlgn val="ctr"/>
        <c:lblOffset val="100"/>
        <c:noMultiLvlLbl val="0"/>
      </c:catAx>
      <c:valAx>
        <c:axId val="173260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VAN 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64551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VARIACION DE GASTOS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'Analisis Sensibilidad'!$F$30</c:f>
              <c:strCache>
                <c:ptCount val="1"/>
                <c:pt idx="0">
                  <c:v>VAN</c:v>
                </c:pt>
              </c:strCache>
            </c:strRef>
          </c:tx>
          <c:marker>
            <c:symbol val="none"/>
          </c:marker>
          <c:cat>
            <c:numRef>
              <c:f>'Analisis Sensibilidad'!$E$31:$E$37</c:f>
              <c:numCache>
                <c:formatCode>0%</c:formatCode>
                <c:ptCount val="7"/>
                <c:pt idx="0">
                  <c:v>0.25</c:v>
                </c:pt>
                <c:pt idx="1">
                  <c:v>0.2</c:v>
                </c:pt>
                <c:pt idx="2">
                  <c:v>0.15</c:v>
                </c:pt>
                <c:pt idx="3">
                  <c:v>0.1</c:v>
                </c:pt>
                <c:pt idx="4">
                  <c:v>0.05</c:v>
                </c:pt>
                <c:pt idx="5">
                  <c:v>0</c:v>
                </c:pt>
                <c:pt idx="6">
                  <c:v>-0.05</c:v>
                </c:pt>
              </c:numCache>
            </c:numRef>
          </c:cat>
          <c:val>
            <c:numRef>
              <c:f>'Analisis Sensibilidad'!$F$31:$F$37</c:f>
              <c:numCache>
                <c:formatCode>_(* #,##0.00_);_(* \(#,##0.00\);_(* "-"??_);_(@_)</c:formatCode>
                <c:ptCount val="7"/>
                <c:pt idx="0">
                  <c:v>-36157.047644773578</c:v>
                </c:pt>
                <c:pt idx="1">
                  <c:v>-12887.880646000158</c:v>
                </c:pt>
                <c:pt idx="2">
                  <c:v>10381.286352773248</c:v>
                </c:pt>
                <c:pt idx="3">
                  <c:v>33650.453351546661</c:v>
                </c:pt>
                <c:pt idx="4">
                  <c:v>56919.620350320081</c:v>
                </c:pt>
                <c:pt idx="5">
                  <c:v>6047141.9190741815</c:v>
                </c:pt>
                <c:pt idx="6">
                  <c:v>103457.95434786689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08480"/>
        <c:axId val="176366144"/>
      </c:lineChart>
      <c:catAx>
        <c:axId val="1771084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6366144"/>
        <c:crosses val="autoZero"/>
        <c:auto val="1"/>
        <c:lblAlgn val="ctr"/>
        <c:lblOffset val="100"/>
        <c:noMultiLvlLbl val="0"/>
      </c:catAx>
      <c:valAx>
        <c:axId val="17636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VAN 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710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VARIACION DE INGRESOS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TMAR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'Analisis Sensibilidad'!$E$6:$E$10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-0.05</c:v>
                </c:pt>
                <c:pt idx="3">
                  <c:v>-0.1</c:v>
                </c:pt>
                <c:pt idx="4">
                  <c:v>-0.15</c:v>
                </c:pt>
              </c:numCache>
            </c:numRef>
          </c:cat>
          <c:val>
            <c:numRef>
              <c:f>'Analisis Sensibilidad'!$H$6:$H$10</c:f>
              <c:numCache>
                <c:formatCode>0%</c:formatCode>
                <c:ptCount val="5"/>
                <c:pt idx="0">
                  <c:v>0.57938236557303902</c:v>
                </c:pt>
                <c:pt idx="1">
                  <c:v>0.53282984741548445</c:v>
                </c:pt>
                <c:pt idx="2">
                  <c:v>0.25282756956956426</c:v>
                </c:pt>
                <c:pt idx="3">
                  <c:v>8.0759534720917014E-2</c:v>
                </c:pt>
                <c:pt idx="4">
                  <c:v>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'Analisis Sensibilidad'!$H$5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'Analisis Sensibilidad'!$E$6:$E$10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-0.05</c:v>
                </c:pt>
                <c:pt idx="3">
                  <c:v>-0.1</c:v>
                </c:pt>
                <c:pt idx="4">
                  <c:v>-0.15</c:v>
                </c:pt>
              </c:numCache>
            </c:numRef>
          </c:cat>
          <c:val>
            <c:numRef>
              <c:f>'Analisis Sensibilidad'!$H$6:$H$10</c:f>
              <c:numCache>
                <c:formatCode>0%</c:formatCode>
                <c:ptCount val="5"/>
                <c:pt idx="0">
                  <c:v>0.57938236557303902</c:v>
                </c:pt>
                <c:pt idx="1">
                  <c:v>0.53282984741548445</c:v>
                </c:pt>
                <c:pt idx="2">
                  <c:v>0.25282756956956426</c:v>
                </c:pt>
                <c:pt idx="3">
                  <c:v>8.0759534720917014E-2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7109504"/>
        <c:axId val="176367872"/>
      </c:lineChart>
      <c:catAx>
        <c:axId val="177109504"/>
        <c:scaling>
          <c:orientation val="minMax"/>
        </c:scaling>
        <c:delete val="0"/>
        <c:axPos val="b"/>
        <c:title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6367872"/>
        <c:crosses val="autoZero"/>
        <c:auto val="1"/>
        <c:lblAlgn val="ctr"/>
        <c:lblOffset val="100"/>
        <c:noMultiLvlLbl val="0"/>
      </c:catAx>
      <c:valAx>
        <c:axId val="176367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710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VARIACION DE GASTOS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'Analisis Sensibilidad'!$H$30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'Analisis Sensibilidad'!$E$31:$E$37</c:f>
              <c:numCache>
                <c:formatCode>0%</c:formatCode>
                <c:ptCount val="7"/>
                <c:pt idx="0">
                  <c:v>0.25</c:v>
                </c:pt>
                <c:pt idx="1">
                  <c:v>0.2</c:v>
                </c:pt>
                <c:pt idx="2">
                  <c:v>0.15</c:v>
                </c:pt>
                <c:pt idx="3">
                  <c:v>0.1</c:v>
                </c:pt>
                <c:pt idx="4">
                  <c:v>0.05</c:v>
                </c:pt>
                <c:pt idx="5">
                  <c:v>0</c:v>
                </c:pt>
                <c:pt idx="6">
                  <c:v>-0.05</c:v>
                </c:pt>
              </c:numCache>
            </c:numRef>
          </c:cat>
          <c:val>
            <c:numRef>
              <c:f>'Analisis Sensibilidad'!$H$31:$H$37</c:f>
              <c:numCache>
                <c:formatCode>0%</c:formatCode>
                <c:ptCount val="7"/>
                <c:pt idx="0">
                  <c:v>3.5252925788805997E-2</c:v>
                </c:pt>
                <c:pt idx="1">
                  <c:v>0.1057128153775371</c:v>
                </c:pt>
                <c:pt idx="2">
                  <c:v>0.17803058435383851</c:v>
                </c:pt>
                <c:pt idx="3">
                  <c:v>0.25341362074466872</c:v>
                </c:pt>
                <c:pt idx="4">
                  <c:v>0.33265873588921896</c:v>
                </c:pt>
                <c:pt idx="5">
                  <c:v>0.53282984741548445</c:v>
                </c:pt>
                <c:pt idx="6">
                  <c:v>0.50401997092811601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42368"/>
        <c:axId val="176370176"/>
      </c:lineChart>
      <c:catAx>
        <c:axId val="1780423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6370176"/>
        <c:crosses val="autoZero"/>
        <c:auto val="1"/>
        <c:lblAlgn val="ctr"/>
        <c:lblOffset val="100"/>
        <c:noMultiLvlLbl val="0"/>
      </c:catAx>
      <c:valAx>
        <c:axId val="17637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80423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21</xdr:row>
      <xdr:rowOff>123824</xdr:rowOff>
    </xdr:from>
    <xdr:to>
      <xdr:col>25</xdr:col>
      <xdr:colOff>0</xdr:colOff>
      <xdr:row>43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</xdr:row>
      <xdr:rowOff>104775</xdr:rowOff>
    </xdr:from>
    <xdr:to>
      <xdr:col>15</xdr:col>
      <xdr:colOff>704850</xdr:colOff>
      <xdr:row>13</xdr:row>
      <xdr:rowOff>152400</xdr:rowOff>
    </xdr:to>
    <xdr:graphicFrame macro="">
      <xdr:nvGraphicFramePr>
        <xdr:cNvPr id="1500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26</xdr:row>
      <xdr:rowOff>66675</xdr:rowOff>
    </xdr:from>
    <xdr:to>
      <xdr:col>15</xdr:col>
      <xdr:colOff>238125</xdr:colOff>
      <xdr:row>38</xdr:row>
      <xdr:rowOff>114300</xdr:rowOff>
    </xdr:to>
    <xdr:graphicFrame macro="">
      <xdr:nvGraphicFramePr>
        <xdr:cNvPr id="1500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666750</xdr:colOff>
      <xdr:row>11</xdr:row>
      <xdr:rowOff>85725</xdr:rowOff>
    </xdr:from>
    <xdr:to>
      <xdr:col>9</xdr:col>
      <xdr:colOff>333375</xdr:colOff>
      <xdr:row>25</xdr:row>
      <xdr:rowOff>19050</xdr:rowOff>
    </xdr:to>
    <xdr:graphicFrame macro="">
      <xdr:nvGraphicFramePr>
        <xdr:cNvPr id="1500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704850</xdr:colOff>
      <xdr:row>38</xdr:row>
      <xdr:rowOff>47625</xdr:rowOff>
    </xdr:from>
    <xdr:to>
      <xdr:col>8</xdr:col>
      <xdr:colOff>809625</xdr:colOff>
      <xdr:row>51</xdr:row>
      <xdr:rowOff>171450</xdr:rowOff>
    </xdr:to>
    <xdr:graphicFrame macro="">
      <xdr:nvGraphicFramePr>
        <xdr:cNvPr id="1500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47</xdr:row>
      <xdr:rowOff>57150</xdr:rowOff>
    </xdr:from>
    <xdr:to>
      <xdr:col>8</xdr:col>
      <xdr:colOff>447675</xdr:colOff>
      <xdr:row>47</xdr:row>
      <xdr:rowOff>85725</xdr:rowOff>
    </xdr:to>
    <xdr:cxnSp macro="">
      <xdr:nvCxnSpPr>
        <xdr:cNvPr id="10" name="9 Conector recto"/>
        <xdr:cNvCxnSpPr/>
      </xdr:nvCxnSpPr>
      <xdr:spPr>
        <a:xfrm flipV="1">
          <a:off x="2324100" y="9010650"/>
          <a:ext cx="4257675" cy="2857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0.14087</cdr:x>
      <cdr:y>0.64835</cdr:y>
    </cdr:from>
    <cdr:to>
      <cdr:x>0.85391</cdr:x>
      <cdr:y>0.65201</cdr:y>
    </cdr:to>
    <cdr:sp macro="" textlink="">
      <cdr:nvSpPr>
        <cdr:cNvPr id="3" name="2 Conector recto"/>
        <cdr:cNvSpPr/>
      </cdr:nvSpPr>
      <cdr:spPr>
        <a:xfrm xmlns:a="http://schemas.openxmlformats.org/drawingml/2006/main" flipV="1">
          <a:off x="771525" y="1685925"/>
          <a:ext cx="390525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5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o/Downloads/estacion%20editado%20casi%20li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ón y Costos"/>
      <sheetName val="Inversión"/>
      <sheetName val="Demanda e Ingresos"/>
      <sheetName val="CapTrabajo"/>
      <sheetName val="Inv. Inic."/>
      <sheetName val="Gastos de Ventas"/>
      <sheetName val="Gastos Administrativos"/>
      <sheetName val="Tabla depr"/>
      <sheetName val="Depreciación"/>
      <sheetName val="Amortización"/>
      <sheetName val="P&amp;G"/>
      <sheetName val="Flujo de Caja"/>
      <sheetName val="Costos"/>
      <sheetName val="Flujo de Caja (2)"/>
      <sheetName val="Analisis Sensibilidad"/>
      <sheetName val="FKPRUEBA"/>
    </sheetNames>
    <sheetDataSet>
      <sheetData sheetId="0">
        <row r="47">
          <cell r="E47">
            <v>164.82</v>
          </cell>
        </row>
        <row r="64">
          <cell r="E64">
            <v>66.930000000000007</v>
          </cell>
        </row>
        <row r="69">
          <cell r="B69" t="str">
            <v>Personal</v>
          </cell>
        </row>
        <row r="75">
          <cell r="E75">
            <v>818.69999999999993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18" sqref="D18"/>
    </sheetView>
  </sheetViews>
  <sheetFormatPr baseColWidth="10" defaultRowHeight="15" x14ac:dyDescent="0.25"/>
  <cols>
    <col min="1" max="1" width="37.7109375" customWidth="1"/>
    <col min="2" max="2" width="20.28515625" customWidth="1"/>
    <col min="3" max="3" width="12.7109375" customWidth="1"/>
  </cols>
  <sheetData>
    <row r="1" spans="1:3" ht="18.75" customHeight="1" x14ac:dyDescent="0.25">
      <c r="A1" s="535" t="s">
        <v>269</v>
      </c>
      <c r="B1" s="536"/>
    </row>
    <row r="2" spans="1:3" ht="15.75" thickBot="1" x14ac:dyDescent="0.3">
      <c r="A2" s="537"/>
      <c r="B2" s="538"/>
    </row>
    <row r="3" spans="1:3" s="1" customFormat="1" ht="21" customHeight="1" x14ac:dyDescent="0.25">
      <c r="A3" s="233" t="s">
        <v>249</v>
      </c>
      <c r="B3" s="234" t="s">
        <v>0</v>
      </c>
      <c r="C3" s="82"/>
    </row>
    <row r="4" spans="1:3" s="1" customFormat="1" ht="21" customHeight="1" x14ac:dyDescent="0.25">
      <c r="A4" s="227" t="s">
        <v>241</v>
      </c>
      <c r="B4" s="228">
        <v>400000</v>
      </c>
      <c r="C4" s="82"/>
    </row>
    <row r="5" spans="1:3" s="1" customFormat="1" ht="30" customHeight="1" x14ac:dyDescent="0.25">
      <c r="A5" s="229" t="s">
        <v>268</v>
      </c>
      <c r="B5" s="230">
        <v>2100</v>
      </c>
      <c r="C5" s="83"/>
    </row>
    <row r="6" spans="1:3" s="1" customFormat="1" ht="30" customHeight="1" x14ac:dyDescent="0.25">
      <c r="A6" s="229" t="s">
        <v>1</v>
      </c>
      <c r="B6" s="230">
        <v>5000</v>
      </c>
      <c r="C6" s="83"/>
    </row>
    <row r="7" spans="1:3" s="1" customFormat="1" ht="30" customHeight="1" x14ac:dyDescent="0.25">
      <c r="A7" s="229" t="s">
        <v>234</v>
      </c>
      <c r="B7" s="230">
        <v>500000</v>
      </c>
      <c r="C7" s="83"/>
    </row>
    <row r="8" spans="1:3" s="1" customFormat="1" ht="30" customHeight="1" x14ac:dyDescent="0.25">
      <c r="A8" s="229" t="s">
        <v>270</v>
      </c>
      <c r="B8" s="230">
        <v>6000</v>
      </c>
      <c r="C8" s="83"/>
    </row>
    <row r="9" spans="1:3" s="1" customFormat="1" ht="30" customHeight="1" thickBot="1" x14ac:dyDescent="0.3">
      <c r="A9" s="231" t="s">
        <v>271</v>
      </c>
      <c r="B9" s="232">
        <v>4000</v>
      </c>
      <c r="C9" s="83"/>
    </row>
    <row r="10" spans="1:3" ht="16.5" thickBot="1" x14ac:dyDescent="0.3">
      <c r="A10" s="225" t="s">
        <v>2</v>
      </c>
      <c r="B10" s="226">
        <f>SUM(B4:B9)</f>
        <v>917100</v>
      </c>
      <c r="C10" s="84"/>
    </row>
    <row r="11" spans="1:3" ht="15.75" x14ac:dyDescent="0.25">
      <c r="A11" s="102"/>
      <c r="B11" s="102"/>
    </row>
    <row r="12" spans="1:3" ht="15.75" x14ac:dyDescent="0.25">
      <c r="A12" s="102"/>
      <c r="B12" s="102"/>
    </row>
    <row r="13" spans="1:3" ht="15.75" x14ac:dyDescent="0.25">
      <c r="A13" s="102"/>
      <c r="B13" s="102"/>
    </row>
    <row r="14" spans="1:3" ht="15.75" x14ac:dyDescent="0.25">
      <c r="A14" s="102"/>
      <c r="B14" s="102"/>
    </row>
    <row r="15" spans="1:3" ht="16.5" thickBot="1" x14ac:dyDescent="0.3">
      <c r="A15" s="102"/>
      <c r="B15" s="102"/>
    </row>
    <row r="16" spans="1:3" ht="18.75" customHeight="1" x14ac:dyDescent="0.25">
      <c r="A16" s="535" t="s">
        <v>252</v>
      </c>
      <c r="B16" s="536"/>
    </row>
    <row r="17" spans="1:3" ht="15.75" thickBot="1" x14ac:dyDescent="0.3">
      <c r="A17" s="537"/>
      <c r="B17" s="538"/>
    </row>
    <row r="18" spans="1:3" ht="15.75" x14ac:dyDescent="0.25">
      <c r="A18" s="222" t="s">
        <v>5</v>
      </c>
      <c r="B18" s="223" t="s">
        <v>6</v>
      </c>
      <c r="C18" s="6"/>
    </row>
    <row r="19" spans="1:3" ht="15.75" x14ac:dyDescent="0.25">
      <c r="A19" s="216" t="s">
        <v>204</v>
      </c>
      <c r="B19" s="217">
        <f>+B10</f>
        <v>917100</v>
      </c>
      <c r="C19" s="7"/>
    </row>
    <row r="20" spans="1:3" ht="15.75" x14ac:dyDescent="0.25">
      <c r="A20" s="216" t="s">
        <v>264</v>
      </c>
      <c r="B20" s="217">
        <f>'Demanda e Ingresos (2)'!F42</f>
        <v>932448.88311200007</v>
      </c>
      <c r="C20" s="7"/>
    </row>
    <row r="21" spans="1:3" ht="15.75" x14ac:dyDescent="0.25">
      <c r="A21" s="216" t="s">
        <v>7</v>
      </c>
      <c r="B21" s="217">
        <v>2000</v>
      </c>
      <c r="C21" s="7"/>
    </row>
    <row r="22" spans="1:3" ht="15.75" x14ac:dyDescent="0.25">
      <c r="A22" s="216" t="s">
        <v>4</v>
      </c>
      <c r="B22" s="217">
        <f>+'Inversión y Costos (2)'!E71</f>
        <v>279585.95</v>
      </c>
      <c r="C22" s="7"/>
    </row>
    <row r="23" spans="1:3" ht="16.5" thickBot="1" x14ac:dyDescent="0.3">
      <c r="A23" s="218" t="s">
        <v>240</v>
      </c>
      <c r="B23" s="219">
        <v>1200000</v>
      </c>
      <c r="C23" s="7"/>
    </row>
    <row r="24" spans="1:3" ht="16.5" thickBot="1" x14ac:dyDescent="0.3">
      <c r="A24" s="220" t="s">
        <v>253</v>
      </c>
      <c r="B24" s="221">
        <f>SUM(B19:B23)</f>
        <v>3331134.833112</v>
      </c>
      <c r="C24" s="81"/>
    </row>
    <row r="25" spans="1:3" ht="15.75" x14ac:dyDescent="0.25">
      <c r="A25" s="102"/>
      <c r="B25" s="102"/>
    </row>
  </sheetData>
  <mergeCells count="2">
    <mergeCell ref="A16:B17"/>
    <mergeCell ref="A1:B2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60" zoomScaleNormal="60" workbookViewId="0">
      <selection activeCell="A3" sqref="A3"/>
    </sheetView>
  </sheetViews>
  <sheetFormatPr baseColWidth="10" defaultRowHeight="12.75" x14ac:dyDescent="0.2"/>
  <cols>
    <col min="1" max="1" width="11.42578125" style="67"/>
    <col min="2" max="2" width="51.28515625" style="67" customWidth="1"/>
    <col min="3" max="3" width="8.85546875" style="67" customWidth="1"/>
    <col min="4" max="4" width="19.28515625" style="67" customWidth="1"/>
    <col min="5" max="5" width="18.85546875" style="67" customWidth="1"/>
    <col min="6" max="6" width="19.28515625" style="67" customWidth="1"/>
    <col min="7" max="7" width="18.7109375" style="67" customWidth="1"/>
    <col min="8" max="8" width="18.85546875" style="67" customWidth="1"/>
    <col min="9" max="9" width="19.42578125" style="67" customWidth="1"/>
    <col min="10" max="10" width="19.28515625" style="67" customWidth="1"/>
    <col min="11" max="11" width="19" style="67" customWidth="1"/>
    <col min="12" max="12" width="19.28515625" style="67" customWidth="1"/>
    <col min="13" max="13" width="18.42578125" style="67" customWidth="1"/>
    <col min="14" max="18" width="11.42578125" style="67"/>
    <col min="19" max="19" width="13.5703125" style="67" customWidth="1"/>
    <col min="20" max="16384" width="11.42578125" style="67"/>
  </cols>
  <sheetData>
    <row r="1" spans="1:20" ht="15" x14ac:dyDescent="0.2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</row>
    <row r="2" spans="1:20" ht="15.75" thickBot="1" x14ac:dyDescent="0.25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</row>
    <row r="3" spans="1:20" ht="15" x14ac:dyDescent="0.2">
      <c r="A3" s="328"/>
      <c r="B3" s="743" t="s">
        <v>152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  <c r="M3" s="745"/>
      <c r="N3" s="328"/>
      <c r="O3" s="328"/>
      <c r="P3" s="328"/>
      <c r="Q3" s="328"/>
      <c r="R3" s="328"/>
      <c r="S3" s="328"/>
      <c r="T3" s="328"/>
    </row>
    <row r="4" spans="1:20" ht="15.75" thickBot="1" x14ac:dyDescent="0.25">
      <c r="A4" s="328"/>
      <c r="B4" s="746"/>
      <c r="C4" s="747"/>
      <c r="D4" s="747"/>
      <c r="E4" s="747"/>
      <c r="F4" s="747"/>
      <c r="G4" s="747"/>
      <c r="H4" s="747"/>
      <c r="I4" s="747"/>
      <c r="J4" s="747"/>
      <c r="K4" s="747"/>
      <c r="L4" s="747"/>
      <c r="M4" s="748"/>
      <c r="N4" s="328"/>
      <c r="O4" s="328"/>
      <c r="P4" s="328"/>
      <c r="Q4" s="328"/>
      <c r="R4" s="328"/>
      <c r="S4" s="328"/>
      <c r="T4" s="328"/>
    </row>
    <row r="5" spans="1:20" ht="15" x14ac:dyDescent="0.2">
      <c r="A5" s="328"/>
      <c r="B5" s="329" t="s">
        <v>151</v>
      </c>
      <c r="C5" s="330">
        <v>0</v>
      </c>
      <c r="D5" s="330">
        <v>1</v>
      </c>
      <c r="E5" s="330">
        <v>2</v>
      </c>
      <c r="F5" s="330">
        <v>3</v>
      </c>
      <c r="G5" s="330">
        <v>4</v>
      </c>
      <c r="H5" s="330">
        <v>5</v>
      </c>
      <c r="I5" s="330">
        <v>6</v>
      </c>
      <c r="J5" s="330">
        <v>7</v>
      </c>
      <c r="K5" s="330">
        <v>8</v>
      </c>
      <c r="L5" s="330">
        <v>9</v>
      </c>
      <c r="M5" s="331">
        <v>10</v>
      </c>
      <c r="N5" s="328"/>
      <c r="O5" s="328"/>
      <c r="P5" s="328"/>
      <c r="Q5" s="328"/>
      <c r="R5" s="328"/>
      <c r="S5" s="328"/>
      <c r="T5" s="328"/>
    </row>
    <row r="6" spans="1:20" ht="15.75" x14ac:dyDescent="0.25">
      <c r="A6" s="328"/>
      <c r="B6" s="332" t="s">
        <v>14</v>
      </c>
      <c r="C6" s="333"/>
      <c r="D6" s="70">
        <f>'Demanda e Ingresos (2)'!E25</f>
        <v>10095955.199999999</v>
      </c>
      <c r="E6" s="70">
        <f>$D$6*(1+$D$35)^E5</f>
        <v>11418785.644594502</v>
      </c>
      <c r="F6" s="70">
        <f t="shared" ref="F6:M6" si="0">$D$6*(1+$D$35)^F5</f>
        <v>12143843.819917891</v>
      </c>
      <c r="G6" s="70">
        <f t="shared" si="0"/>
        <v>12914940.985197464</v>
      </c>
      <c r="H6" s="70">
        <f t="shared" si="0"/>
        <v>13735000.476336908</v>
      </c>
      <c r="I6" s="70">
        <f t="shared" si="0"/>
        <v>14607131.252182851</v>
      </c>
      <c r="J6" s="70">
        <f t="shared" si="0"/>
        <v>15534639.681017455</v>
      </c>
      <c r="K6" s="70">
        <f t="shared" si="0"/>
        <v>16521042.075457433</v>
      </c>
      <c r="L6" s="70">
        <f t="shared" si="0"/>
        <v>17570078.023281068</v>
      </c>
      <c r="M6" s="334">
        <f t="shared" si="0"/>
        <v>18685724.564722225</v>
      </c>
      <c r="N6" s="328"/>
      <c r="O6" s="328"/>
      <c r="P6" s="328"/>
      <c r="Q6" s="328"/>
      <c r="R6" s="328"/>
      <c r="S6" s="328"/>
      <c r="T6" s="328"/>
    </row>
    <row r="7" spans="1:20" ht="15.75" x14ac:dyDescent="0.25">
      <c r="A7" s="328"/>
      <c r="B7" s="332" t="s">
        <v>145</v>
      </c>
      <c r="C7" s="333"/>
      <c r="D7" s="70">
        <f>'costo de ventas (2)'!J19</f>
        <v>7671125.3063040003</v>
      </c>
      <c r="E7" s="70">
        <f>E6*0.3</f>
        <v>3425635.6933783502</v>
      </c>
      <c r="F7" s="70">
        <f t="shared" ref="F7:M7" si="1">F6*0.3</f>
        <v>3643153.1459753672</v>
      </c>
      <c r="G7" s="70">
        <f t="shared" si="1"/>
        <v>3874482.2955592391</v>
      </c>
      <c r="H7" s="70">
        <f t="shared" si="1"/>
        <v>4120500.1429010723</v>
      </c>
      <c r="I7" s="70">
        <f t="shared" si="1"/>
        <v>4382139.3756548548</v>
      </c>
      <c r="J7" s="70">
        <f t="shared" si="1"/>
        <v>4660391.9043052364</v>
      </c>
      <c r="K7" s="70">
        <f t="shared" si="1"/>
        <v>4956312.62263723</v>
      </c>
      <c r="L7" s="70">
        <f t="shared" si="1"/>
        <v>5271023.4069843199</v>
      </c>
      <c r="M7" s="334">
        <f t="shared" si="1"/>
        <v>5605717.3694166671</v>
      </c>
      <c r="N7" s="328"/>
      <c r="O7" s="328"/>
      <c r="P7" s="328"/>
      <c r="Q7" s="328"/>
      <c r="R7" s="328"/>
      <c r="S7" s="328"/>
      <c r="T7" s="328"/>
    </row>
    <row r="8" spans="1:20" ht="15.75" x14ac:dyDescent="0.25">
      <c r="A8" s="328"/>
      <c r="B8" s="335" t="s">
        <v>144</v>
      </c>
      <c r="C8" s="336"/>
      <c r="D8" s="337">
        <f>D6-D7</f>
        <v>2424829.8936959989</v>
      </c>
      <c r="E8" s="337">
        <f t="shared" ref="E8:M8" si="2">E6-E7</f>
        <v>7993149.9512161519</v>
      </c>
      <c r="F8" s="337">
        <f t="shared" si="2"/>
        <v>8500690.6739425249</v>
      </c>
      <c r="G8" s="337">
        <f t="shared" si="2"/>
        <v>9040458.6896382254</v>
      </c>
      <c r="H8" s="337">
        <f t="shared" si="2"/>
        <v>9614500.3334358353</v>
      </c>
      <c r="I8" s="337">
        <f t="shared" si="2"/>
        <v>10224991.876527995</v>
      </c>
      <c r="J8" s="337">
        <f t="shared" si="2"/>
        <v>10874247.776712218</v>
      </c>
      <c r="K8" s="337">
        <f t="shared" si="2"/>
        <v>11564729.452820204</v>
      </c>
      <c r="L8" s="337">
        <f t="shared" si="2"/>
        <v>12299054.616296748</v>
      </c>
      <c r="M8" s="338">
        <f t="shared" si="2"/>
        <v>13080007.195305558</v>
      </c>
      <c r="N8" s="328"/>
      <c r="O8" s="328"/>
      <c r="P8" s="328"/>
      <c r="Q8" s="328"/>
      <c r="R8" s="328"/>
      <c r="S8" s="328"/>
      <c r="T8" s="328"/>
    </row>
    <row r="9" spans="1:20" ht="16.5" thickBot="1" x14ac:dyDescent="0.3">
      <c r="A9" s="328"/>
      <c r="B9" s="332" t="s">
        <v>143</v>
      </c>
      <c r="C9" s="333"/>
      <c r="D9" s="70">
        <f>-SUM(D10:D15)</f>
        <v>-248426.26666666666</v>
      </c>
      <c r="E9" s="70">
        <f t="shared" ref="E9:M9" si="3">-SUM(E10:E15)</f>
        <v>-248426.26666666666</v>
      </c>
      <c r="F9" s="70">
        <f t="shared" si="3"/>
        <v>-248426.26666666666</v>
      </c>
      <c r="G9" s="70">
        <f t="shared" si="3"/>
        <v>-248426.26666666666</v>
      </c>
      <c r="H9" s="70">
        <f t="shared" si="3"/>
        <v>-248426.26666666666</v>
      </c>
      <c r="I9" s="70">
        <f t="shared" si="3"/>
        <v>-248426.26666666666</v>
      </c>
      <c r="J9" s="70">
        <f t="shared" si="3"/>
        <v>-248426.26666666666</v>
      </c>
      <c r="K9" s="70">
        <f t="shared" si="3"/>
        <v>-248426.26666666666</v>
      </c>
      <c r="L9" s="70">
        <f t="shared" si="3"/>
        <v>-248426.26666666666</v>
      </c>
      <c r="M9" s="334">
        <f t="shared" si="3"/>
        <v>-248426.26666666666</v>
      </c>
      <c r="N9" s="328"/>
      <c r="O9" s="328"/>
      <c r="P9" s="328"/>
      <c r="Q9" s="328"/>
      <c r="R9" s="328"/>
      <c r="S9" s="328"/>
      <c r="T9" s="328"/>
    </row>
    <row r="10" spans="1:20" ht="12.75" customHeight="1" x14ac:dyDescent="0.25">
      <c r="A10" s="328"/>
      <c r="B10" s="332" t="s">
        <v>142</v>
      </c>
      <c r="C10" s="333"/>
      <c r="D10" s="70">
        <f>+'Gastos Administrativos (2)'!$D$22</f>
        <v>9480</v>
      </c>
      <c r="E10" s="70">
        <f>+'Gastos Administrativos (2)'!$D$22</f>
        <v>9480</v>
      </c>
      <c r="F10" s="70">
        <f>+'Gastos Administrativos (2)'!$D$22</f>
        <v>9480</v>
      </c>
      <c r="G10" s="70">
        <f>+'Gastos Administrativos (2)'!$D$22</f>
        <v>9480</v>
      </c>
      <c r="H10" s="70">
        <f>+'Gastos Administrativos (2)'!$D$22</f>
        <v>9480</v>
      </c>
      <c r="I10" s="70">
        <f>+'Gastos Administrativos (2)'!$D$22</f>
        <v>9480</v>
      </c>
      <c r="J10" s="70">
        <f>+'Gastos Administrativos (2)'!$D$22</f>
        <v>9480</v>
      </c>
      <c r="K10" s="70">
        <f>+'Gastos Administrativos (2)'!$D$22</f>
        <v>9480</v>
      </c>
      <c r="L10" s="70">
        <f>+'Gastos Administrativos (2)'!$D$22</f>
        <v>9480</v>
      </c>
      <c r="M10" s="334">
        <f>+'Gastos Administrativos (2)'!$D$22</f>
        <v>9480</v>
      </c>
      <c r="N10" s="328"/>
      <c r="O10" s="749" t="s">
        <v>141</v>
      </c>
      <c r="P10" s="750"/>
      <c r="Q10" s="750"/>
      <c r="R10" s="750"/>
      <c r="S10" s="751"/>
      <c r="T10" s="328"/>
    </row>
    <row r="11" spans="1:20" ht="15.75" x14ac:dyDescent="0.25">
      <c r="A11" s="328"/>
      <c r="B11" s="332" t="s">
        <v>140</v>
      </c>
      <c r="C11" s="333"/>
      <c r="D11" s="70">
        <f>+'Gastos Administrativos (2)'!$L$46</f>
        <v>161050.20000000001</v>
      </c>
      <c r="E11" s="70">
        <f>+'Gastos Administrativos (2)'!$L$46</f>
        <v>161050.20000000001</v>
      </c>
      <c r="F11" s="70">
        <f>+'Gastos Administrativos (2)'!$L$46</f>
        <v>161050.20000000001</v>
      </c>
      <c r="G11" s="70">
        <f>+'Gastos Administrativos (2)'!$L$46</f>
        <v>161050.20000000001</v>
      </c>
      <c r="H11" s="70">
        <f>+'Gastos Administrativos (2)'!$L$46</f>
        <v>161050.20000000001</v>
      </c>
      <c r="I11" s="70">
        <f>+'Gastos Administrativos (2)'!$L$46</f>
        <v>161050.20000000001</v>
      </c>
      <c r="J11" s="70">
        <f>+'Gastos Administrativos (2)'!$L$46</f>
        <v>161050.20000000001</v>
      </c>
      <c r="K11" s="70">
        <f>+'Gastos Administrativos (2)'!$L$46</f>
        <v>161050.20000000001</v>
      </c>
      <c r="L11" s="70">
        <f>+'Gastos Administrativos (2)'!$L$46</f>
        <v>161050.20000000001</v>
      </c>
      <c r="M11" s="334">
        <f>+'Gastos Administrativos (2)'!$L$46</f>
        <v>161050.20000000001</v>
      </c>
      <c r="N11" s="328"/>
      <c r="O11" s="752"/>
      <c r="P11" s="753"/>
      <c r="Q11" s="753"/>
      <c r="R11" s="753"/>
      <c r="S11" s="754"/>
      <c r="T11" s="328"/>
    </row>
    <row r="12" spans="1:20" ht="15.75" x14ac:dyDescent="0.25">
      <c r="A12" s="328"/>
      <c r="B12" s="332" t="s">
        <v>139</v>
      </c>
      <c r="C12" s="333"/>
      <c r="D12" s="70">
        <f>'gastos legales'!C$9</f>
        <v>1600</v>
      </c>
      <c r="E12" s="70">
        <f>'gastos legales'!$C$9</f>
        <v>1600</v>
      </c>
      <c r="F12" s="70">
        <f>'gastos legales'!$C$9</f>
        <v>1600</v>
      </c>
      <c r="G12" s="70">
        <f>'gastos legales'!$C$9</f>
        <v>1600</v>
      </c>
      <c r="H12" s="70">
        <f>'gastos legales'!$C$9</f>
        <v>1600</v>
      </c>
      <c r="I12" s="70">
        <f>'gastos legales'!$C$9</f>
        <v>1600</v>
      </c>
      <c r="J12" s="70">
        <f>'gastos legales'!$C$9</f>
        <v>1600</v>
      </c>
      <c r="K12" s="70">
        <f>'gastos legales'!$C$9</f>
        <v>1600</v>
      </c>
      <c r="L12" s="70">
        <f>'gastos legales'!$C$9</f>
        <v>1600</v>
      </c>
      <c r="M12" s="334">
        <f>'gastos legales'!$C$9</f>
        <v>1600</v>
      </c>
      <c r="N12" s="328"/>
      <c r="O12" s="752"/>
      <c r="P12" s="753"/>
      <c r="Q12" s="753"/>
      <c r="R12" s="753"/>
      <c r="S12" s="754"/>
      <c r="T12" s="328"/>
    </row>
    <row r="13" spans="1:20" ht="15.75" x14ac:dyDescent="0.25">
      <c r="A13" s="328"/>
      <c r="B13" s="332" t="s">
        <v>138</v>
      </c>
      <c r="C13" s="333"/>
      <c r="D13" s="70">
        <f>'Tabla depr'!$N$72</f>
        <v>50170.666666666664</v>
      </c>
      <c r="E13" s="70">
        <f>'Tabla depr'!$N$72</f>
        <v>50170.666666666664</v>
      </c>
      <c r="F13" s="70">
        <f>'Tabla depr'!$N$72</f>
        <v>50170.666666666664</v>
      </c>
      <c r="G13" s="70">
        <f>'Tabla depr'!$N$72</f>
        <v>50170.666666666664</v>
      </c>
      <c r="H13" s="70">
        <f>'Tabla depr'!$N$72</f>
        <v>50170.666666666664</v>
      </c>
      <c r="I13" s="70">
        <f>'Tabla depr'!$N$72</f>
        <v>50170.666666666664</v>
      </c>
      <c r="J13" s="70">
        <f>'Tabla depr'!$N$72</f>
        <v>50170.666666666664</v>
      </c>
      <c r="K13" s="70">
        <f>'Tabla depr'!$N$72</f>
        <v>50170.666666666664</v>
      </c>
      <c r="L13" s="70">
        <f>'Tabla depr'!$N$72</f>
        <v>50170.666666666664</v>
      </c>
      <c r="M13" s="334">
        <f>'Tabla depr'!$N$72</f>
        <v>50170.666666666664</v>
      </c>
      <c r="N13" s="328"/>
      <c r="O13" s="752"/>
      <c r="P13" s="753"/>
      <c r="Q13" s="753"/>
      <c r="R13" s="753"/>
      <c r="S13" s="754"/>
      <c r="T13" s="328"/>
    </row>
    <row r="14" spans="1:20" ht="15.75" x14ac:dyDescent="0.25">
      <c r="A14" s="328"/>
      <c r="B14" s="332" t="s">
        <v>153</v>
      </c>
      <c r="C14" s="333"/>
      <c r="D14" s="70">
        <f>+'Gastos Administrativos (2)'!$H$23</f>
        <v>14405.399999999998</v>
      </c>
      <c r="E14" s="70">
        <f>+'Gastos Administrativos (2)'!$H$23</f>
        <v>14405.399999999998</v>
      </c>
      <c r="F14" s="70">
        <f>+'Gastos Administrativos (2)'!$H$23</f>
        <v>14405.399999999998</v>
      </c>
      <c r="G14" s="70">
        <f>+'Gastos Administrativos (2)'!$H$23</f>
        <v>14405.399999999998</v>
      </c>
      <c r="H14" s="70">
        <f>+'Gastos Administrativos (2)'!$H$23</f>
        <v>14405.399999999998</v>
      </c>
      <c r="I14" s="70">
        <f>+'Gastos Administrativos (2)'!$H$23</f>
        <v>14405.399999999998</v>
      </c>
      <c r="J14" s="70">
        <f>+'Gastos Administrativos (2)'!$H$23</f>
        <v>14405.399999999998</v>
      </c>
      <c r="K14" s="70">
        <f>+'Gastos Administrativos (2)'!$H$23</f>
        <v>14405.399999999998</v>
      </c>
      <c r="L14" s="70">
        <f>+'Gastos Administrativos (2)'!$H$23</f>
        <v>14405.399999999998</v>
      </c>
      <c r="M14" s="334">
        <f>+'Gastos Administrativos (2)'!$H$23</f>
        <v>14405.399999999998</v>
      </c>
      <c r="N14" s="328"/>
      <c r="O14" s="752"/>
      <c r="P14" s="753"/>
      <c r="Q14" s="753"/>
      <c r="R14" s="753"/>
      <c r="S14" s="754"/>
      <c r="T14" s="328"/>
    </row>
    <row r="15" spans="1:20" ht="16.5" thickBot="1" x14ac:dyDescent="0.3">
      <c r="A15" s="328"/>
      <c r="B15" s="332" t="s">
        <v>137</v>
      </c>
      <c r="C15" s="333"/>
      <c r="D15" s="70">
        <f>'Gastos de Ventas'!$G$15</f>
        <v>11720</v>
      </c>
      <c r="E15" s="70">
        <f>'Gastos de Ventas'!$G$15</f>
        <v>11720</v>
      </c>
      <c r="F15" s="70">
        <f>'Gastos de Ventas'!$G$15</f>
        <v>11720</v>
      </c>
      <c r="G15" s="70">
        <f>'Gastos de Ventas'!$G$15</f>
        <v>11720</v>
      </c>
      <c r="H15" s="70">
        <f>'Gastos de Ventas'!$G$15</f>
        <v>11720</v>
      </c>
      <c r="I15" s="70">
        <f>'Gastos de Ventas'!$G$15</f>
        <v>11720</v>
      </c>
      <c r="J15" s="70">
        <f>'Gastos de Ventas'!$G$15</f>
        <v>11720</v>
      </c>
      <c r="K15" s="70">
        <f>'Gastos de Ventas'!$G$15</f>
        <v>11720</v>
      </c>
      <c r="L15" s="70">
        <f>'Gastos de Ventas'!$G$15</f>
        <v>11720</v>
      </c>
      <c r="M15" s="334">
        <f>'Gastos de Ventas'!$G$15</f>
        <v>11720</v>
      </c>
      <c r="N15" s="328"/>
      <c r="O15" s="755"/>
      <c r="P15" s="756"/>
      <c r="Q15" s="756"/>
      <c r="R15" s="756"/>
      <c r="S15" s="757"/>
      <c r="T15" s="328"/>
    </row>
    <row r="16" spans="1:20" ht="15.75" x14ac:dyDescent="0.25">
      <c r="A16" s="328"/>
      <c r="B16" s="339" t="s">
        <v>136</v>
      </c>
      <c r="C16" s="340"/>
      <c r="D16" s="341">
        <f>D8+D9</f>
        <v>2176403.6270293323</v>
      </c>
      <c r="E16" s="341">
        <f t="shared" ref="E16:M16" si="4">E8+E9</f>
        <v>7744723.6845494853</v>
      </c>
      <c r="F16" s="341">
        <f t="shared" si="4"/>
        <v>8252264.4072758583</v>
      </c>
      <c r="G16" s="341">
        <f t="shared" si="4"/>
        <v>8792032.4229715578</v>
      </c>
      <c r="H16" s="341">
        <f t="shared" si="4"/>
        <v>9366074.0667691678</v>
      </c>
      <c r="I16" s="341">
        <f t="shared" si="4"/>
        <v>9976565.6098613273</v>
      </c>
      <c r="J16" s="341">
        <f t="shared" si="4"/>
        <v>10625821.510045551</v>
      </c>
      <c r="K16" s="341">
        <f t="shared" si="4"/>
        <v>11316303.186153537</v>
      </c>
      <c r="L16" s="341">
        <f t="shared" si="4"/>
        <v>12050628.34963008</v>
      </c>
      <c r="M16" s="342">
        <f t="shared" si="4"/>
        <v>12831580.92863889</v>
      </c>
      <c r="N16" s="328"/>
      <c r="O16" s="328"/>
      <c r="P16" s="328"/>
      <c r="Q16" s="328"/>
      <c r="R16" s="328"/>
      <c r="S16" s="328"/>
      <c r="T16" s="328"/>
    </row>
    <row r="17" spans="1:20" ht="15.75" x14ac:dyDescent="0.25">
      <c r="A17" s="328"/>
      <c r="B17" s="343" t="s">
        <v>135</v>
      </c>
      <c r="C17" s="344"/>
      <c r="D17" s="345">
        <f>D18</f>
        <v>-133245.39332448001</v>
      </c>
      <c r="E17" s="345">
        <f t="shared" ref="E17:M17" si="5">E18</f>
        <v>-124884.85850405994</v>
      </c>
      <c r="F17" s="345">
        <f t="shared" si="5"/>
        <v>-115688.27020159786</v>
      </c>
      <c r="G17" s="345">
        <f t="shared" si="5"/>
        <v>-105572.02306888957</v>
      </c>
      <c r="H17" s="345">
        <f t="shared" si="5"/>
        <v>-94444.151222910441</v>
      </c>
      <c r="I17" s="345">
        <f t="shared" si="5"/>
        <v>-82203.492192333404</v>
      </c>
      <c r="J17" s="345">
        <f t="shared" si="5"/>
        <v>-68738.767258698659</v>
      </c>
      <c r="K17" s="345">
        <f t="shared" si="5"/>
        <v>-53927.569831700443</v>
      </c>
      <c r="L17" s="345">
        <f t="shared" si="5"/>
        <v>-37635.2526620024</v>
      </c>
      <c r="M17" s="346">
        <f t="shared" si="5"/>
        <v>-19713.703775334565</v>
      </c>
      <c r="N17" s="328"/>
      <c r="O17" s="328"/>
      <c r="P17" s="328"/>
      <c r="Q17" s="328"/>
      <c r="R17" s="328"/>
      <c r="S17" s="328"/>
      <c r="T17" s="328"/>
    </row>
    <row r="18" spans="1:20" ht="12.75" customHeight="1" x14ac:dyDescent="0.25">
      <c r="A18" s="328"/>
      <c r="B18" s="332" t="s">
        <v>134</v>
      </c>
      <c r="C18" s="333"/>
      <c r="D18" s="70">
        <f>-Amortización!G13</f>
        <v>-133245.39332448001</v>
      </c>
      <c r="E18" s="70">
        <f>-Amortización!G14</f>
        <v>-124884.85850405994</v>
      </c>
      <c r="F18" s="70">
        <f>-Amortización!G15</f>
        <v>-115688.27020159786</v>
      </c>
      <c r="G18" s="70">
        <f>-Amortización!G16</f>
        <v>-105572.02306888957</v>
      </c>
      <c r="H18" s="70">
        <f>-Amortización!G17</f>
        <v>-94444.151222910441</v>
      </c>
      <c r="I18" s="70">
        <f>-Amortización!G18</f>
        <v>-82203.492192333404</v>
      </c>
      <c r="J18" s="70">
        <f>-Amortización!G19</f>
        <v>-68738.767258698659</v>
      </c>
      <c r="K18" s="70">
        <f>-Amortización!G20</f>
        <v>-53927.569831700443</v>
      </c>
      <c r="L18" s="70">
        <f>-Amortización!G21</f>
        <v>-37635.2526620024</v>
      </c>
      <c r="M18" s="334">
        <f>-Amortización!G22</f>
        <v>-19713.703775334565</v>
      </c>
      <c r="N18" s="328"/>
      <c r="T18" s="328"/>
    </row>
    <row r="19" spans="1:20" ht="16.5" thickBot="1" x14ac:dyDescent="0.3">
      <c r="A19" s="328"/>
      <c r="B19" s="347" t="s">
        <v>133</v>
      </c>
      <c r="C19" s="348"/>
      <c r="D19" s="349">
        <f>SUM(D16:D17)</f>
        <v>2043158.2337048524</v>
      </c>
      <c r="E19" s="349">
        <f>SUM(E16:E17)</f>
        <v>7619838.8260454256</v>
      </c>
      <c r="F19" s="349">
        <f t="shared" ref="F19:M19" si="6">SUM(F16:F17)</f>
        <v>8136576.13707426</v>
      </c>
      <c r="G19" s="349">
        <f t="shared" si="6"/>
        <v>8686460.3999026679</v>
      </c>
      <c r="H19" s="349">
        <f t="shared" si="6"/>
        <v>9271629.915546257</v>
      </c>
      <c r="I19" s="349">
        <f t="shared" si="6"/>
        <v>9894362.1176689938</v>
      </c>
      <c r="J19" s="349">
        <f t="shared" si="6"/>
        <v>10557082.742786853</v>
      </c>
      <c r="K19" s="349">
        <f t="shared" si="6"/>
        <v>11262375.616321836</v>
      </c>
      <c r="L19" s="349">
        <f t="shared" si="6"/>
        <v>12012993.096968077</v>
      </c>
      <c r="M19" s="350">
        <f t="shared" si="6"/>
        <v>12811867.224863555</v>
      </c>
      <c r="N19" s="328"/>
      <c r="O19" s="328"/>
      <c r="P19" s="328"/>
      <c r="Q19" s="328"/>
      <c r="R19" s="328"/>
      <c r="S19" s="328"/>
      <c r="T19" s="328"/>
    </row>
    <row r="20" spans="1:20" ht="15.75" x14ac:dyDescent="0.25">
      <c r="A20" s="328"/>
      <c r="B20" s="332" t="s">
        <v>132</v>
      </c>
      <c r="C20" s="351">
        <v>0.15</v>
      </c>
      <c r="D20" s="70">
        <f>D19*$C$20</f>
        <v>306473.73505572783</v>
      </c>
      <c r="E20" s="70">
        <f t="shared" ref="E20:M20" si="7">E19*$C$20</f>
        <v>1142975.8239068137</v>
      </c>
      <c r="F20" s="70">
        <f t="shared" si="7"/>
        <v>1220486.420561139</v>
      </c>
      <c r="G20" s="70">
        <f t="shared" si="7"/>
        <v>1302969.0599854002</v>
      </c>
      <c r="H20" s="70">
        <f t="shared" si="7"/>
        <v>1390744.4873319385</v>
      </c>
      <c r="I20" s="70">
        <f t="shared" si="7"/>
        <v>1484154.3176503491</v>
      </c>
      <c r="J20" s="70">
        <f t="shared" si="7"/>
        <v>1583562.4114180279</v>
      </c>
      <c r="K20" s="70">
        <f t="shared" si="7"/>
        <v>1689356.3424482753</v>
      </c>
      <c r="L20" s="70">
        <f t="shared" si="7"/>
        <v>1801948.9645452115</v>
      </c>
      <c r="M20" s="334">
        <f t="shared" si="7"/>
        <v>1921780.0837295332</v>
      </c>
      <c r="N20" s="328"/>
      <c r="O20" s="749" t="s">
        <v>291</v>
      </c>
      <c r="P20" s="750"/>
      <c r="Q20" s="750"/>
      <c r="R20" s="750"/>
      <c r="S20" s="751"/>
      <c r="T20" s="328"/>
    </row>
    <row r="21" spans="1:20" ht="15.75" x14ac:dyDescent="0.25">
      <c r="A21" s="328"/>
      <c r="B21" s="352" t="s">
        <v>131</v>
      </c>
      <c r="C21" s="353"/>
      <c r="D21" s="354">
        <f>D19-D20</f>
        <v>1736684.4986491245</v>
      </c>
      <c r="E21" s="354">
        <f t="shared" ref="E21:M21" si="8">E19-E20</f>
        <v>6476863.0021386119</v>
      </c>
      <c r="F21" s="354">
        <f t="shared" si="8"/>
        <v>6916089.7165131215</v>
      </c>
      <c r="G21" s="354">
        <f t="shared" si="8"/>
        <v>7383491.3399172677</v>
      </c>
      <c r="H21" s="354">
        <f t="shared" si="8"/>
        <v>7880885.4282143191</v>
      </c>
      <c r="I21" s="354">
        <f t="shared" si="8"/>
        <v>8410207.800018644</v>
      </c>
      <c r="J21" s="354">
        <f t="shared" si="8"/>
        <v>8973520.3313688245</v>
      </c>
      <c r="K21" s="354">
        <f t="shared" si="8"/>
        <v>9573019.2738735601</v>
      </c>
      <c r="L21" s="354">
        <f t="shared" si="8"/>
        <v>10211044.132422866</v>
      </c>
      <c r="M21" s="355">
        <f t="shared" si="8"/>
        <v>10890087.141134022</v>
      </c>
      <c r="N21" s="328"/>
      <c r="O21" s="376" t="s">
        <v>292</v>
      </c>
      <c r="P21" s="377"/>
      <c r="Q21" s="377"/>
      <c r="R21" s="377"/>
      <c r="S21" s="378"/>
    </row>
    <row r="22" spans="1:20" ht="16.5" thickBot="1" x14ac:dyDescent="0.3">
      <c r="A22" s="328"/>
      <c r="B22" s="356" t="s">
        <v>130</v>
      </c>
      <c r="C22" s="357">
        <v>0.23</v>
      </c>
      <c r="D22" s="358">
        <f>D21*$C$22</f>
        <v>399437.43468929868</v>
      </c>
      <c r="E22" s="358">
        <f>E21*22%</f>
        <v>1424909.8604704947</v>
      </c>
      <c r="F22" s="358">
        <f t="shared" ref="F22:M22" si="9">F21*22%</f>
        <v>1521539.7376328867</v>
      </c>
      <c r="G22" s="358">
        <f t="shared" si="9"/>
        <v>1624368.094781799</v>
      </c>
      <c r="H22" s="358">
        <f t="shared" si="9"/>
        <v>1733794.7942071501</v>
      </c>
      <c r="I22" s="358">
        <f t="shared" si="9"/>
        <v>1850245.7160041018</v>
      </c>
      <c r="J22" s="358">
        <f t="shared" si="9"/>
        <v>1974174.4729011415</v>
      </c>
      <c r="K22" s="358">
        <f t="shared" si="9"/>
        <v>2106064.2402521833</v>
      </c>
      <c r="L22" s="358">
        <f t="shared" si="9"/>
        <v>2246429.7091330304</v>
      </c>
      <c r="M22" s="359">
        <f t="shared" si="9"/>
        <v>2395819.171049485</v>
      </c>
      <c r="N22" s="328"/>
      <c r="O22" s="379" t="s">
        <v>293</v>
      </c>
      <c r="P22" s="380"/>
      <c r="Q22" s="381"/>
      <c r="R22" s="381"/>
      <c r="S22" s="382"/>
      <c r="T22" s="328"/>
    </row>
    <row r="23" spans="1:20" ht="16.5" thickBot="1" x14ac:dyDescent="0.3">
      <c r="A23" s="328"/>
      <c r="B23" s="360" t="s">
        <v>129</v>
      </c>
      <c r="C23" s="361"/>
      <c r="D23" s="362">
        <f>D21-D22</f>
        <v>1337247.0639598258</v>
      </c>
      <c r="E23" s="362">
        <f t="shared" ref="E23:M23" si="10">E21-E22</f>
        <v>5051953.1416681167</v>
      </c>
      <c r="F23" s="362">
        <f t="shared" si="10"/>
        <v>5394549.978880235</v>
      </c>
      <c r="G23" s="362">
        <f t="shared" si="10"/>
        <v>5759123.2451354684</v>
      </c>
      <c r="H23" s="362">
        <f t="shared" si="10"/>
        <v>6147090.6340071689</v>
      </c>
      <c r="I23" s="362">
        <f t="shared" si="10"/>
        <v>6559962.0840145424</v>
      </c>
      <c r="J23" s="362">
        <f t="shared" si="10"/>
        <v>6999345.8584676832</v>
      </c>
      <c r="K23" s="362">
        <f t="shared" si="10"/>
        <v>7466955.0336213764</v>
      </c>
      <c r="L23" s="362">
        <f t="shared" si="10"/>
        <v>7964614.4232898355</v>
      </c>
      <c r="M23" s="363">
        <f t="shared" si="10"/>
        <v>8494267.9700845368</v>
      </c>
      <c r="N23" s="328"/>
      <c r="O23" s="328"/>
      <c r="P23" s="328"/>
      <c r="Q23" s="328"/>
      <c r="R23" s="328"/>
      <c r="S23" s="328"/>
      <c r="T23" s="328"/>
    </row>
    <row r="24" spans="1:20" ht="15" x14ac:dyDescent="0.2">
      <c r="A24" s="328"/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</row>
    <row r="25" spans="1:20" ht="15" x14ac:dyDescent="0.2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</row>
    <row r="26" spans="1:20" ht="15" x14ac:dyDescent="0.2">
      <c r="A26" s="328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</row>
    <row r="27" spans="1:20" ht="15" x14ac:dyDescent="0.2">
      <c r="A27" s="328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</row>
    <row r="28" spans="1:20" ht="15.75" x14ac:dyDescent="0.25">
      <c r="A28" s="328"/>
      <c r="B28" s="328" t="s">
        <v>151</v>
      </c>
      <c r="C28" s="328"/>
      <c r="D28" s="71" t="s">
        <v>150</v>
      </c>
      <c r="E28" s="71" t="s">
        <v>149</v>
      </c>
      <c r="F28" s="71" t="s">
        <v>148</v>
      </c>
      <c r="G28" s="71" t="s">
        <v>147</v>
      </c>
      <c r="H28" s="71" t="s">
        <v>146</v>
      </c>
      <c r="I28" s="71" t="s">
        <v>154</v>
      </c>
      <c r="J28" s="71" t="s">
        <v>155</v>
      </c>
      <c r="K28" s="71" t="s">
        <v>156</v>
      </c>
      <c r="L28" s="71" t="s">
        <v>157</v>
      </c>
      <c r="M28" s="71" t="s">
        <v>158</v>
      </c>
      <c r="N28" s="328"/>
      <c r="O28" s="328"/>
      <c r="P28" s="328"/>
      <c r="Q28" s="328"/>
      <c r="R28" s="328"/>
      <c r="S28" s="328"/>
      <c r="T28" s="328"/>
    </row>
    <row r="29" spans="1:20" ht="15.75" x14ac:dyDescent="0.25">
      <c r="A29" s="328"/>
      <c r="B29" s="328" t="s">
        <v>14</v>
      </c>
      <c r="C29" s="328"/>
      <c r="D29" s="70">
        <f>D6</f>
        <v>10095955.199999999</v>
      </c>
      <c r="E29" s="70">
        <f>E6</f>
        <v>11418785.644594502</v>
      </c>
      <c r="F29" s="70">
        <f t="shared" ref="F29:M29" si="11">F6</f>
        <v>12143843.819917891</v>
      </c>
      <c r="G29" s="70">
        <f t="shared" si="11"/>
        <v>12914940.985197464</v>
      </c>
      <c r="H29" s="70">
        <f t="shared" si="11"/>
        <v>13735000.476336908</v>
      </c>
      <c r="I29" s="70">
        <f t="shared" si="11"/>
        <v>14607131.252182851</v>
      </c>
      <c r="J29" s="70">
        <f t="shared" si="11"/>
        <v>15534639.681017455</v>
      </c>
      <c r="K29" s="70">
        <f t="shared" si="11"/>
        <v>16521042.075457433</v>
      </c>
      <c r="L29" s="70">
        <f t="shared" si="11"/>
        <v>17570078.023281068</v>
      </c>
      <c r="M29" s="70">
        <f t="shared" si="11"/>
        <v>18685724.564722225</v>
      </c>
      <c r="N29" s="328"/>
      <c r="O29" s="328"/>
      <c r="P29" s="328"/>
      <c r="Q29" s="328"/>
      <c r="R29" s="328"/>
      <c r="S29" s="328"/>
      <c r="T29" s="328"/>
    </row>
    <row r="30" spans="1:20" ht="15" x14ac:dyDescent="0.2">
      <c r="A30" s="328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</row>
    <row r="31" spans="1:20" ht="15" x14ac:dyDescent="0.2">
      <c r="A31" s="328"/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</row>
    <row r="32" spans="1:20" ht="15.75" thickBot="1" x14ac:dyDescent="0.25">
      <c r="A32" s="328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</row>
    <row r="33" spans="1:20" ht="15" x14ac:dyDescent="0.2">
      <c r="A33" s="328"/>
      <c r="B33" s="758" t="s">
        <v>174</v>
      </c>
      <c r="C33" s="759"/>
      <c r="D33" s="364">
        <v>1.44E-2</v>
      </c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</row>
    <row r="34" spans="1:20" ht="15" x14ac:dyDescent="0.2">
      <c r="A34" s="328"/>
      <c r="B34" s="760" t="s">
        <v>175</v>
      </c>
      <c r="C34" s="761"/>
      <c r="D34" s="365">
        <v>4.8399999999999999E-2</v>
      </c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</row>
    <row r="35" spans="1:20" ht="15.75" thickBot="1" x14ac:dyDescent="0.25">
      <c r="A35" s="328"/>
      <c r="B35" s="741" t="s">
        <v>176</v>
      </c>
      <c r="C35" s="742"/>
      <c r="D35" s="366">
        <f>+D33+D34+(D33*D34)</f>
        <v>6.3496959999999991E-2</v>
      </c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</row>
    <row r="36" spans="1:20" ht="15" x14ac:dyDescent="0.2">
      <c r="A36" s="328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</row>
    <row r="37" spans="1:20" ht="15.75" thickBot="1" x14ac:dyDescent="0.25">
      <c r="A37" s="328"/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</row>
    <row r="38" spans="1:20" ht="17.25" thickTop="1" thickBot="1" x14ac:dyDescent="0.3">
      <c r="A38" s="328"/>
      <c r="B38" s="367" t="s">
        <v>177</v>
      </c>
      <c r="C38" s="36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</row>
    <row r="39" spans="1:20" ht="16.5" thickTop="1" x14ac:dyDescent="0.25">
      <c r="A39" s="328"/>
      <c r="B39" s="369" t="s">
        <v>178</v>
      </c>
      <c r="C39" s="370">
        <v>0.24</v>
      </c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</row>
    <row r="40" spans="1:20" ht="15.75" x14ac:dyDescent="0.25">
      <c r="A40" s="328"/>
      <c r="B40" s="371" t="s">
        <v>179</v>
      </c>
      <c r="C40" s="372">
        <v>0.23</v>
      </c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</row>
    <row r="41" spans="1:20" ht="16.5" thickBot="1" x14ac:dyDescent="0.3">
      <c r="A41" s="328"/>
      <c r="B41" s="373" t="s">
        <v>180</v>
      </c>
      <c r="C41" s="374">
        <v>0.22</v>
      </c>
      <c r="D41" s="375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</row>
    <row r="42" spans="1:20" ht="15.75" thickTop="1" x14ac:dyDescent="0.2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</row>
    <row r="43" spans="1:20" ht="15" x14ac:dyDescent="0.2">
      <c r="A43" s="328"/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</row>
    <row r="44" spans="1:20" ht="15" x14ac:dyDescent="0.2">
      <c r="A44" s="328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</row>
    <row r="45" spans="1:20" ht="15" x14ac:dyDescent="0.2">
      <c r="A45" s="328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</row>
    <row r="46" spans="1:20" ht="15" x14ac:dyDescent="0.2">
      <c r="A46" s="32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</row>
    <row r="47" spans="1:20" ht="15" x14ac:dyDescent="0.2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</row>
    <row r="48" spans="1:20" ht="15" x14ac:dyDescent="0.2">
      <c r="A48" s="328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8"/>
    </row>
    <row r="49" spans="1:20" ht="15" x14ac:dyDescent="0.2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</row>
    <row r="50" spans="1:20" ht="15" x14ac:dyDescent="0.2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</row>
    <row r="51" spans="1:20" ht="15" x14ac:dyDescent="0.2">
      <c r="A51" s="328"/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</row>
    <row r="52" spans="1:20" ht="15" x14ac:dyDescent="0.2">
      <c r="A52" s="328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</row>
    <row r="53" spans="1:20" ht="15" x14ac:dyDescent="0.2">
      <c r="A53" s="32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</row>
    <row r="54" spans="1:20" ht="15" x14ac:dyDescent="0.2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</row>
    <row r="55" spans="1:20" ht="15" x14ac:dyDescent="0.2">
      <c r="A55" s="328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</row>
  </sheetData>
  <mergeCells count="6">
    <mergeCell ref="B35:C35"/>
    <mergeCell ref="B3:M4"/>
    <mergeCell ref="O10:S15"/>
    <mergeCell ref="O20:S20"/>
    <mergeCell ref="B33:C33"/>
    <mergeCell ref="B34:C34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7"/>
  <sheetViews>
    <sheetView zoomScale="50" zoomScaleNormal="50" workbookViewId="0">
      <selection activeCell="B33" sqref="B33:M33"/>
    </sheetView>
  </sheetViews>
  <sheetFormatPr baseColWidth="10" defaultRowHeight="12.75" x14ac:dyDescent="0.2"/>
  <cols>
    <col min="1" max="1" width="11.42578125" style="67"/>
    <col min="2" max="2" width="50" style="67" customWidth="1"/>
    <col min="3" max="3" width="19.5703125" style="67" customWidth="1"/>
    <col min="4" max="4" width="20.28515625" style="67" customWidth="1"/>
    <col min="5" max="5" width="19.28515625" style="67" customWidth="1"/>
    <col min="6" max="6" width="21.7109375" style="67" customWidth="1"/>
    <col min="7" max="7" width="21.42578125" style="67" customWidth="1"/>
    <col min="8" max="8" width="22.5703125" style="67" customWidth="1"/>
    <col min="9" max="9" width="20.42578125" style="67" customWidth="1"/>
    <col min="10" max="10" width="20.85546875" style="67" customWidth="1"/>
    <col min="11" max="11" width="20.42578125" style="67" customWidth="1"/>
    <col min="12" max="12" width="21" style="67" customWidth="1"/>
    <col min="13" max="13" width="22" style="67" customWidth="1"/>
    <col min="14" max="14" width="11.42578125" style="67"/>
    <col min="15" max="15" width="42.7109375" style="67" customWidth="1"/>
    <col min="16" max="16384" width="11.42578125" style="67"/>
  </cols>
  <sheetData>
    <row r="1" spans="1:23" ht="15" x14ac:dyDescent="0.2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</row>
    <row r="2" spans="1:23" ht="15.75" thickBot="1" x14ac:dyDescent="0.25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</row>
    <row r="3" spans="1:23" ht="15" customHeight="1" x14ac:dyDescent="0.2">
      <c r="A3" s="328"/>
      <c r="B3" s="766" t="s">
        <v>116</v>
      </c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8"/>
      <c r="N3" s="328"/>
      <c r="O3" s="328"/>
      <c r="P3" s="328"/>
      <c r="Q3" s="328"/>
      <c r="R3" s="328"/>
      <c r="S3" s="328"/>
      <c r="T3" s="328"/>
      <c r="U3" s="328"/>
      <c r="V3" s="328"/>
    </row>
    <row r="4" spans="1:23" ht="10.5" customHeight="1" thickBot="1" x14ac:dyDescent="0.25">
      <c r="A4" s="328"/>
      <c r="B4" s="769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1"/>
      <c r="N4" s="328"/>
      <c r="O4" s="328"/>
      <c r="P4" s="328"/>
      <c r="Q4" s="328"/>
      <c r="R4" s="328"/>
      <c r="S4" s="328"/>
      <c r="T4" s="328"/>
      <c r="U4" s="328"/>
      <c r="V4" s="328"/>
    </row>
    <row r="5" spans="1:23" s="69" customFormat="1" ht="15.75" hidden="1" thickBot="1" x14ac:dyDescent="0.25">
      <c r="A5" s="328"/>
      <c r="B5" s="328"/>
      <c r="C5" s="328"/>
      <c r="D5" s="328">
        <v>1</v>
      </c>
      <c r="E5" s="328">
        <v>2</v>
      </c>
      <c r="F5" s="328">
        <v>3</v>
      </c>
      <c r="G5" s="328">
        <v>4</v>
      </c>
      <c r="H5" s="328">
        <v>5</v>
      </c>
      <c r="I5" s="328">
        <v>6</v>
      </c>
      <c r="J5" s="328">
        <v>7</v>
      </c>
      <c r="K5" s="328">
        <v>8</v>
      </c>
      <c r="L5" s="328">
        <v>9</v>
      </c>
      <c r="M5" s="328">
        <v>10</v>
      </c>
      <c r="N5" s="328"/>
      <c r="O5" s="328"/>
      <c r="P5" s="328"/>
      <c r="Q5" s="328"/>
      <c r="R5" s="328"/>
      <c r="S5" s="328"/>
      <c r="T5" s="328"/>
      <c r="U5" s="328"/>
      <c r="V5" s="328"/>
      <c r="W5" s="67"/>
    </row>
    <row r="6" spans="1:23" ht="15.75" x14ac:dyDescent="0.25">
      <c r="A6" s="328"/>
      <c r="B6" s="404" t="s">
        <v>294</v>
      </c>
      <c r="C6" s="405">
        <v>0</v>
      </c>
      <c r="D6" s="405">
        <v>1</v>
      </c>
      <c r="E6" s="405">
        <v>2</v>
      </c>
      <c r="F6" s="405">
        <v>3</v>
      </c>
      <c r="G6" s="405">
        <v>4</v>
      </c>
      <c r="H6" s="405">
        <v>5</v>
      </c>
      <c r="I6" s="405">
        <v>6</v>
      </c>
      <c r="J6" s="405">
        <v>7</v>
      </c>
      <c r="K6" s="405">
        <v>8</v>
      </c>
      <c r="L6" s="405">
        <v>9</v>
      </c>
      <c r="M6" s="406">
        <v>10</v>
      </c>
      <c r="N6" s="328"/>
      <c r="O6" s="328"/>
      <c r="P6" s="328"/>
      <c r="Q6" s="328"/>
      <c r="R6" s="328"/>
      <c r="S6" s="328"/>
      <c r="T6" s="328"/>
      <c r="U6" s="328"/>
      <c r="V6" s="328"/>
      <c r="W6" s="69"/>
    </row>
    <row r="7" spans="1:23" ht="12.75" customHeight="1" x14ac:dyDescent="0.2">
      <c r="A7" s="328"/>
      <c r="B7" s="332" t="s">
        <v>14</v>
      </c>
      <c r="C7" s="333"/>
      <c r="D7" s="407">
        <f>'Demanda e Ingresos (2)'!D32</f>
        <v>10117555.199999999</v>
      </c>
      <c r="E7" s="407">
        <f>$D$7*(1+$Q$11)^E6</f>
        <v>11443215.801527373</v>
      </c>
      <c r="F7" s="407">
        <f t="shared" ref="F7:M7" si="0">$D$7*(1+$Q$11)^F6</f>
        <v>12169825.217548322</v>
      </c>
      <c r="G7" s="407">
        <f t="shared" si="0"/>
        <v>12942572.12259398</v>
      </c>
      <c r="H7" s="407">
        <f t="shared" si="0"/>
        <v>13764386.106959444</v>
      </c>
      <c r="I7" s="407">
        <f t="shared" si="0"/>
        <v>14638382.781017601</v>
      </c>
      <c r="J7" s="407">
        <f t="shared" si="0"/>
        <v>15567875.586928563</v>
      </c>
      <c r="K7" s="407">
        <f t="shared" si="0"/>
        <v>16556388.360356744</v>
      </c>
      <c r="L7" s="407">
        <f t="shared" si="0"/>
        <v>17607668.689818781</v>
      </c>
      <c r="M7" s="408">
        <f t="shared" si="0"/>
        <v>18725702.124309454</v>
      </c>
      <c r="N7" s="328"/>
      <c r="O7" s="328"/>
      <c r="P7" s="328"/>
      <c r="Q7" s="328"/>
      <c r="R7" s="328"/>
      <c r="S7" s="328"/>
      <c r="T7" s="328"/>
      <c r="U7" s="328"/>
      <c r="V7" s="328"/>
    </row>
    <row r="8" spans="1:23" ht="15.75" x14ac:dyDescent="0.25">
      <c r="A8" s="375"/>
      <c r="B8" s="332" t="s">
        <v>145</v>
      </c>
      <c r="C8" s="333"/>
      <c r="D8" s="407">
        <f>'costo de ventas (2)'!$J$19</f>
        <v>7671125.3063040003</v>
      </c>
      <c r="E8" s="407">
        <f>($D$8*((1+$Q$11)^E6))</f>
        <v>8676240.5131819248</v>
      </c>
      <c r="F8" s="407">
        <f t="shared" ref="F8:M8" si="1">($D$8*((1+$Q$11)^F6))</f>
        <v>9227155.4099978153</v>
      </c>
      <c r="G8" s="407">
        <f t="shared" si="1"/>
        <v>9813051.72798023</v>
      </c>
      <c r="H8" s="407">
        <f t="shared" si="1"/>
        <v>10436150.681029722</v>
      </c>
      <c r="I8" s="407">
        <f t="shared" si="1"/>
        <v>11098814.523377037</v>
      </c>
      <c r="J8" s="407">
        <f t="shared" si="1"/>
        <v>11803555.505215326</v>
      </c>
      <c r="K8" s="407">
        <f t="shared" si="1"/>
        <v>12553045.396987764</v>
      </c>
      <c r="L8" s="407">
        <f t="shared" si="1"/>
        <v>13350125.61843848</v>
      </c>
      <c r="M8" s="408">
        <f t="shared" si="1"/>
        <v>14197818.010827443</v>
      </c>
      <c r="N8" s="328"/>
      <c r="O8" s="328"/>
      <c r="P8" s="328"/>
      <c r="Q8" s="328"/>
      <c r="R8" s="328"/>
      <c r="S8" s="328"/>
      <c r="T8" s="328"/>
      <c r="U8" s="328"/>
      <c r="V8" s="328"/>
    </row>
    <row r="9" spans="1:23" ht="15.75" x14ac:dyDescent="0.25">
      <c r="A9" s="328"/>
      <c r="B9" s="409" t="s">
        <v>144</v>
      </c>
      <c r="C9" s="410"/>
      <c r="D9" s="411">
        <f>D7-D8</f>
        <v>2446429.8936959989</v>
      </c>
      <c r="E9" s="411">
        <f t="shared" ref="E9:M9" si="2">E7-E8</f>
        <v>2766975.2883454487</v>
      </c>
      <c r="F9" s="411">
        <f t="shared" si="2"/>
        <v>2942669.8075505067</v>
      </c>
      <c r="G9" s="411">
        <f t="shared" si="2"/>
        <v>3129520.3946137503</v>
      </c>
      <c r="H9" s="411">
        <f t="shared" si="2"/>
        <v>3328235.4259297214</v>
      </c>
      <c r="I9" s="411">
        <f t="shared" si="2"/>
        <v>3539568.2576405648</v>
      </c>
      <c r="J9" s="411">
        <f t="shared" si="2"/>
        <v>3764320.0817132369</v>
      </c>
      <c r="K9" s="411">
        <f t="shared" si="2"/>
        <v>4003342.9633689802</v>
      </c>
      <c r="L9" s="411">
        <f t="shared" si="2"/>
        <v>4257543.0713803004</v>
      </c>
      <c r="M9" s="412">
        <f t="shared" si="2"/>
        <v>4527884.1134820115</v>
      </c>
      <c r="N9" s="375"/>
      <c r="O9" s="765" t="s">
        <v>174</v>
      </c>
      <c r="P9" s="765"/>
      <c r="Q9" s="457">
        <v>1.44E-2</v>
      </c>
      <c r="R9" s="375"/>
      <c r="S9" s="375"/>
      <c r="T9" s="375"/>
      <c r="U9" s="375"/>
      <c r="V9" s="375"/>
    </row>
    <row r="10" spans="1:23" ht="15" x14ac:dyDescent="0.2">
      <c r="A10" s="328"/>
      <c r="B10" s="332" t="s">
        <v>143</v>
      </c>
      <c r="C10" s="333"/>
      <c r="D10" s="407">
        <f>SUM(D11:D16)</f>
        <v>248426.26666666666</v>
      </c>
      <c r="E10" s="407">
        <f t="shared" ref="E10:M10" si="3">SUM(E11:E16)</f>
        <v>248426.26666666666</v>
      </c>
      <c r="F10" s="407">
        <f t="shared" si="3"/>
        <v>248426.26666666666</v>
      </c>
      <c r="G10" s="407">
        <f t="shared" si="3"/>
        <v>248426.26666666666</v>
      </c>
      <c r="H10" s="407">
        <f t="shared" si="3"/>
        <v>248426.26666666666</v>
      </c>
      <c r="I10" s="407">
        <f t="shared" si="3"/>
        <v>248426.26666666666</v>
      </c>
      <c r="J10" s="407">
        <f t="shared" si="3"/>
        <v>248426.26666666666</v>
      </c>
      <c r="K10" s="407">
        <f t="shared" si="3"/>
        <v>248426.26666666666</v>
      </c>
      <c r="L10" s="407">
        <f t="shared" si="3"/>
        <v>248426.26666666666</v>
      </c>
      <c r="M10" s="408">
        <f t="shared" si="3"/>
        <v>248426.26666666666</v>
      </c>
      <c r="N10" s="328"/>
      <c r="O10" s="765" t="s">
        <v>175</v>
      </c>
      <c r="P10" s="765"/>
      <c r="Q10" s="457">
        <v>4.8399999999999999E-2</v>
      </c>
      <c r="R10" s="328"/>
      <c r="S10" s="328"/>
      <c r="T10" s="328"/>
      <c r="U10" s="328"/>
      <c r="V10" s="328"/>
    </row>
    <row r="11" spans="1:23" ht="15" x14ac:dyDescent="0.2">
      <c r="A11" s="328"/>
      <c r="B11" s="332" t="s">
        <v>142</v>
      </c>
      <c r="C11" s="333"/>
      <c r="D11" s="407">
        <f>'Gastos Administrativos (2)'!$D$22</f>
        <v>9480</v>
      </c>
      <c r="E11" s="407">
        <f>'Gastos Administrativos (2)'!$D$22</f>
        <v>9480</v>
      </c>
      <c r="F11" s="407">
        <f>'Gastos Administrativos (2)'!$D$22</f>
        <v>9480</v>
      </c>
      <c r="G11" s="407">
        <f>'Gastos Administrativos (2)'!$D$22</f>
        <v>9480</v>
      </c>
      <c r="H11" s="407">
        <f>'Gastos Administrativos (2)'!$D$22</f>
        <v>9480</v>
      </c>
      <c r="I11" s="407">
        <f>'Gastos Administrativos (2)'!$D$22</f>
        <v>9480</v>
      </c>
      <c r="J11" s="407">
        <f>'Gastos Administrativos (2)'!$D$22</f>
        <v>9480</v>
      </c>
      <c r="K11" s="407">
        <f>'Gastos Administrativos (2)'!$D$22</f>
        <v>9480</v>
      </c>
      <c r="L11" s="407">
        <f>'Gastos Administrativos (2)'!$D$22</f>
        <v>9480</v>
      </c>
      <c r="M11" s="408">
        <f>'Gastos Administrativos (2)'!$D$22</f>
        <v>9480</v>
      </c>
      <c r="N11" s="328"/>
      <c r="O11" s="765" t="s">
        <v>176</v>
      </c>
      <c r="P11" s="765"/>
      <c r="Q11" s="457">
        <f>+Q9+Q10+(Q9*Q10)</f>
        <v>6.3496959999999991E-2</v>
      </c>
      <c r="R11" s="328"/>
      <c r="S11" s="328"/>
      <c r="T11" s="328"/>
      <c r="U11" s="328"/>
      <c r="V11" s="328"/>
    </row>
    <row r="12" spans="1:23" ht="15" x14ac:dyDescent="0.2">
      <c r="A12" s="328"/>
      <c r="B12" s="332" t="s">
        <v>140</v>
      </c>
      <c r="C12" s="333"/>
      <c r="D12" s="407">
        <f>'Gastos Administrativos (2)'!$L$46</f>
        <v>161050.20000000001</v>
      </c>
      <c r="E12" s="407">
        <f>'Gastos Administrativos (2)'!$L$46</f>
        <v>161050.20000000001</v>
      </c>
      <c r="F12" s="407">
        <f>'Gastos Administrativos (2)'!$L$46</f>
        <v>161050.20000000001</v>
      </c>
      <c r="G12" s="407">
        <f>'Gastos Administrativos (2)'!$L$46</f>
        <v>161050.20000000001</v>
      </c>
      <c r="H12" s="407">
        <f>'Gastos Administrativos (2)'!$L$46</f>
        <v>161050.20000000001</v>
      </c>
      <c r="I12" s="407">
        <f>'Gastos Administrativos (2)'!$L$46</f>
        <v>161050.20000000001</v>
      </c>
      <c r="J12" s="407">
        <f>'Gastos Administrativos (2)'!$L$46</f>
        <v>161050.20000000001</v>
      </c>
      <c r="K12" s="407">
        <f>'Gastos Administrativos (2)'!$L$46</f>
        <v>161050.20000000001</v>
      </c>
      <c r="L12" s="407">
        <f>'Gastos Administrativos (2)'!$L$46</f>
        <v>161050.20000000001</v>
      </c>
      <c r="M12" s="408">
        <f>'Gastos Administrativos (2)'!$L$46</f>
        <v>161050.20000000001</v>
      </c>
      <c r="N12" s="328"/>
      <c r="O12" s="328"/>
      <c r="P12" s="328"/>
      <c r="Q12" s="328"/>
      <c r="R12" s="328"/>
      <c r="S12" s="328"/>
      <c r="T12" s="328"/>
      <c r="U12" s="328"/>
      <c r="V12" s="328"/>
    </row>
    <row r="13" spans="1:23" s="69" customFormat="1" ht="15" x14ac:dyDescent="0.2">
      <c r="A13" s="328"/>
      <c r="B13" s="332" t="s">
        <v>139</v>
      </c>
      <c r="C13" s="333"/>
      <c r="D13" s="407">
        <f>'gastos legales'!$C$9</f>
        <v>1600</v>
      </c>
      <c r="E13" s="407">
        <f>'gastos legales'!$C$9</f>
        <v>1600</v>
      </c>
      <c r="F13" s="407">
        <f>'gastos legales'!$C$9</f>
        <v>1600</v>
      </c>
      <c r="G13" s="407">
        <f>'gastos legales'!$C$9</f>
        <v>1600</v>
      </c>
      <c r="H13" s="407">
        <f>'gastos legales'!$C$9</f>
        <v>1600</v>
      </c>
      <c r="I13" s="407">
        <f>'gastos legales'!$C$9</f>
        <v>1600</v>
      </c>
      <c r="J13" s="407">
        <f>'gastos legales'!$C$9</f>
        <v>1600</v>
      </c>
      <c r="K13" s="407">
        <f>'gastos legales'!$C$9</f>
        <v>1600</v>
      </c>
      <c r="L13" s="407">
        <f>'gastos legales'!$C$9</f>
        <v>1600</v>
      </c>
      <c r="M13" s="408">
        <f>'gastos legales'!$C$9</f>
        <v>1600</v>
      </c>
      <c r="N13" s="328"/>
      <c r="O13" s="328"/>
      <c r="P13" s="328"/>
      <c r="Q13" s="328"/>
      <c r="R13" s="328"/>
      <c r="S13" s="328"/>
      <c r="T13" s="328"/>
      <c r="U13" s="328"/>
      <c r="V13" s="328"/>
      <c r="W13" s="67"/>
    </row>
    <row r="14" spans="1:23" ht="15.75" x14ac:dyDescent="0.25">
      <c r="A14" s="328"/>
      <c r="B14" s="332" t="s">
        <v>138</v>
      </c>
      <c r="C14" s="333"/>
      <c r="D14" s="407">
        <f>'Tabla depr'!$N$72</f>
        <v>50170.666666666664</v>
      </c>
      <c r="E14" s="407">
        <f>'Tabla depr'!$N$72</f>
        <v>50170.666666666664</v>
      </c>
      <c r="F14" s="407">
        <f>'Tabla depr'!$N$72</f>
        <v>50170.666666666664</v>
      </c>
      <c r="G14" s="407">
        <f>'Tabla depr'!$N$72</f>
        <v>50170.666666666664</v>
      </c>
      <c r="H14" s="407">
        <f>'Tabla depr'!$N$72</f>
        <v>50170.666666666664</v>
      </c>
      <c r="I14" s="407">
        <f>'Tabla depr'!$N$72</f>
        <v>50170.666666666664</v>
      </c>
      <c r="J14" s="407">
        <f>'Tabla depr'!$N$72</f>
        <v>50170.666666666664</v>
      </c>
      <c r="K14" s="407">
        <f>'Tabla depr'!$N$72</f>
        <v>50170.666666666664</v>
      </c>
      <c r="L14" s="407">
        <f>'Tabla depr'!$N$72</f>
        <v>50170.666666666664</v>
      </c>
      <c r="M14" s="408">
        <f>'Tabla depr'!$N$72</f>
        <v>50170.666666666664</v>
      </c>
      <c r="N14" s="328"/>
      <c r="O14" s="458" t="s">
        <v>177</v>
      </c>
      <c r="P14" s="459"/>
      <c r="Q14" s="328"/>
      <c r="R14" s="328"/>
      <c r="S14" s="328"/>
      <c r="T14" s="328"/>
      <c r="U14" s="328"/>
      <c r="V14" s="328"/>
      <c r="W14" s="69"/>
    </row>
    <row r="15" spans="1:23" ht="15" x14ac:dyDescent="0.2">
      <c r="A15" s="328"/>
      <c r="B15" s="332" t="s">
        <v>153</v>
      </c>
      <c r="C15" s="333"/>
      <c r="D15" s="407">
        <f>'Gastos Administrativos (2)'!$H$23</f>
        <v>14405.399999999998</v>
      </c>
      <c r="E15" s="407">
        <f>'Gastos Administrativos (2)'!$H$23</f>
        <v>14405.399999999998</v>
      </c>
      <c r="F15" s="407">
        <f>'Gastos Administrativos (2)'!$H$23</f>
        <v>14405.399999999998</v>
      </c>
      <c r="G15" s="407">
        <f>'Gastos Administrativos (2)'!$H$23</f>
        <v>14405.399999999998</v>
      </c>
      <c r="H15" s="407">
        <f>'Gastos Administrativos (2)'!$H$23</f>
        <v>14405.399999999998</v>
      </c>
      <c r="I15" s="407">
        <f>'Gastos Administrativos (2)'!$H$23</f>
        <v>14405.399999999998</v>
      </c>
      <c r="J15" s="407">
        <f>'Gastos Administrativos (2)'!$H$23</f>
        <v>14405.399999999998</v>
      </c>
      <c r="K15" s="407">
        <f>'Gastos Administrativos (2)'!$H$23</f>
        <v>14405.399999999998</v>
      </c>
      <c r="L15" s="407">
        <f>'Gastos Administrativos (2)'!$H$23</f>
        <v>14405.399999999998</v>
      </c>
      <c r="M15" s="408">
        <f>'Gastos Administrativos (2)'!$H$23</f>
        <v>14405.399999999998</v>
      </c>
      <c r="N15" s="328"/>
      <c r="O15" s="459" t="s">
        <v>178</v>
      </c>
      <c r="P15" s="460">
        <v>0.24</v>
      </c>
      <c r="Q15" s="328"/>
      <c r="R15" s="328"/>
      <c r="S15" s="328"/>
      <c r="T15" s="328"/>
      <c r="U15" s="328"/>
      <c r="V15" s="328"/>
    </row>
    <row r="16" spans="1:23" s="69" customFormat="1" ht="15.75" x14ac:dyDescent="0.25">
      <c r="A16" s="375"/>
      <c r="B16" s="332" t="s">
        <v>137</v>
      </c>
      <c r="C16" s="333"/>
      <c r="D16" s="407">
        <f>'Gastos de Ventas'!$G$15</f>
        <v>11720</v>
      </c>
      <c r="E16" s="407">
        <f>'Gastos de Ventas'!$G$15</f>
        <v>11720</v>
      </c>
      <c r="F16" s="407">
        <f>'Gastos de Ventas'!$G$15</f>
        <v>11720</v>
      </c>
      <c r="G16" s="407">
        <f>'Gastos de Ventas'!$G$15</f>
        <v>11720</v>
      </c>
      <c r="H16" s="407">
        <f>'Gastos de Ventas'!$G$15</f>
        <v>11720</v>
      </c>
      <c r="I16" s="407">
        <f>'Gastos de Ventas'!$G$15</f>
        <v>11720</v>
      </c>
      <c r="J16" s="407">
        <f>'Gastos de Ventas'!$G$15</f>
        <v>11720</v>
      </c>
      <c r="K16" s="407">
        <f>'Gastos de Ventas'!$G$15</f>
        <v>11720</v>
      </c>
      <c r="L16" s="407">
        <f>'Gastos de Ventas'!$G$15</f>
        <v>11720</v>
      </c>
      <c r="M16" s="408">
        <f>'Gastos de Ventas'!$G$15</f>
        <v>11720</v>
      </c>
      <c r="N16" s="328"/>
      <c r="O16" s="459" t="s">
        <v>179</v>
      </c>
      <c r="P16" s="460">
        <v>0.23</v>
      </c>
      <c r="Q16" s="328"/>
      <c r="R16" s="328"/>
      <c r="S16" s="328"/>
      <c r="T16" s="328"/>
      <c r="U16" s="328"/>
      <c r="V16" s="328"/>
      <c r="W16" s="67"/>
    </row>
    <row r="17" spans="1:26" ht="15.75" x14ac:dyDescent="0.25">
      <c r="A17" s="328"/>
      <c r="B17" s="413" t="s">
        <v>136</v>
      </c>
      <c r="C17" s="414"/>
      <c r="D17" s="415">
        <f t="shared" ref="D17:M17" si="4">D9-D10</f>
        <v>2198003.6270293323</v>
      </c>
      <c r="E17" s="415">
        <f t="shared" si="4"/>
        <v>2518549.0216787821</v>
      </c>
      <c r="F17" s="415">
        <f t="shared" si="4"/>
        <v>2694243.5408838401</v>
      </c>
      <c r="G17" s="415">
        <f t="shared" si="4"/>
        <v>2881094.1279470837</v>
      </c>
      <c r="H17" s="415">
        <f t="shared" si="4"/>
        <v>3079809.1592630548</v>
      </c>
      <c r="I17" s="415">
        <f t="shared" si="4"/>
        <v>3291141.9909738982</v>
      </c>
      <c r="J17" s="415">
        <f t="shared" si="4"/>
        <v>3515893.8150465703</v>
      </c>
      <c r="K17" s="415">
        <f t="shared" si="4"/>
        <v>3754916.6967023136</v>
      </c>
      <c r="L17" s="415">
        <f t="shared" si="4"/>
        <v>4009116.8047136338</v>
      </c>
      <c r="M17" s="416">
        <f t="shared" si="4"/>
        <v>4279457.8468153449</v>
      </c>
      <c r="N17" s="375"/>
      <c r="O17" s="459" t="s">
        <v>180</v>
      </c>
      <c r="P17" s="460">
        <v>0.22</v>
      </c>
      <c r="Q17" s="375"/>
      <c r="R17" s="375"/>
      <c r="S17" s="375"/>
      <c r="T17" s="375"/>
      <c r="U17" s="375"/>
      <c r="V17" s="375"/>
      <c r="W17" s="69"/>
    </row>
    <row r="18" spans="1:26" s="69" customFormat="1" ht="15.75" x14ac:dyDescent="0.25">
      <c r="A18" s="328"/>
      <c r="B18" s="343" t="s">
        <v>135</v>
      </c>
      <c r="C18" s="333"/>
      <c r="D18" s="407">
        <f>SUM(D19)</f>
        <v>-133245.39332448001</v>
      </c>
      <c r="E18" s="407">
        <f t="shared" ref="E18:M18" si="5">SUM(E19)</f>
        <v>-124884.85850405994</v>
      </c>
      <c r="F18" s="407">
        <f t="shared" si="5"/>
        <v>-115688.27020159786</v>
      </c>
      <c r="G18" s="407">
        <f t="shared" si="5"/>
        <v>-105572.02306888957</v>
      </c>
      <c r="H18" s="407">
        <f t="shared" si="5"/>
        <v>-94444.151222910441</v>
      </c>
      <c r="I18" s="407">
        <f t="shared" si="5"/>
        <v>-82203.492192333404</v>
      </c>
      <c r="J18" s="407">
        <f t="shared" si="5"/>
        <v>-68738.767258698659</v>
      </c>
      <c r="K18" s="407">
        <f t="shared" si="5"/>
        <v>-53927.569831700443</v>
      </c>
      <c r="L18" s="407">
        <f t="shared" si="5"/>
        <v>-37635.2526620024</v>
      </c>
      <c r="M18" s="408">
        <f t="shared" si="5"/>
        <v>-19713.703775334565</v>
      </c>
      <c r="N18" s="328"/>
      <c r="O18" s="328"/>
      <c r="P18" s="328"/>
      <c r="Q18" s="328"/>
      <c r="R18" s="328"/>
      <c r="S18" s="328"/>
      <c r="T18" s="328"/>
      <c r="U18" s="328"/>
      <c r="V18" s="328"/>
      <c r="W18" s="67"/>
    </row>
    <row r="19" spans="1:26" ht="15.75" x14ac:dyDescent="0.25">
      <c r="A19" s="375"/>
      <c r="B19" s="332" t="s">
        <v>134</v>
      </c>
      <c r="C19" s="333"/>
      <c r="D19" s="407">
        <f>-Amortización!G13</f>
        <v>-133245.39332448001</v>
      </c>
      <c r="E19" s="407">
        <f>-Amortización!G14</f>
        <v>-124884.85850405994</v>
      </c>
      <c r="F19" s="407">
        <f>-Amortización!G15</f>
        <v>-115688.27020159786</v>
      </c>
      <c r="G19" s="407">
        <f>-Amortización!G16</f>
        <v>-105572.02306888957</v>
      </c>
      <c r="H19" s="407">
        <f>-Amortización!G17</f>
        <v>-94444.151222910441</v>
      </c>
      <c r="I19" s="407">
        <f>-Amortización!G18</f>
        <v>-82203.492192333404</v>
      </c>
      <c r="J19" s="407">
        <f>-Amortización!G19</f>
        <v>-68738.767258698659</v>
      </c>
      <c r="K19" s="407">
        <f>-Amortización!G20</f>
        <v>-53927.569831700443</v>
      </c>
      <c r="L19" s="407">
        <f>-Amortización!G21</f>
        <v>-37635.2526620024</v>
      </c>
      <c r="M19" s="408">
        <f>-Amortización!G22</f>
        <v>-19713.703775334565</v>
      </c>
      <c r="N19" s="328"/>
      <c r="O19" s="328"/>
      <c r="P19" s="328"/>
      <c r="Q19" s="328"/>
      <c r="R19" s="328"/>
      <c r="S19" s="328"/>
      <c r="T19" s="328"/>
      <c r="U19" s="328"/>
      <c r="V19" s="328"/>
      <c r="W19" s="69"/>
    </row>
    <row r="20" spans="1:26" s="69" customFormat="1" ht="15.75" x14ac:dyDescent="0.25">
      <c r="A20" s="328"/>
      <c r="B20" s="417" t="s">
        <v>133</v>
      </c>
      <c r="C20" s="418"/>
      <c r="D20" s="419">
        <f>SUM(D17:D18)</f>
        <v>2064758.2337048524</v>
      </c>
      <c r="E20" s="419">
        <f>SUM(E17:E18)</f>
        <v>2393664.1631747223</v>
      </c>
      <c r="F20" s="419">
        <f t="shared" ref="F20:M20" si="6">SUM(F17:F18)</f>
        <v>2578555.2706822422</v>
      </c>
      <c r="G20" s="419">
        <f t="shared" si="6"/>
        <v>2775522.1048781942</v>
      </c>
      <c r="H20" s="419">
        <f t="shared" si="6"/>
        <v>2985365.0080401446</v>
      </c>
      <c r="I20" s="419">
        <f t="shared" si="6"/>
        <v>3208938.4987815646</v>
      </c>
      <c r="J20" s="419">
        <f t="shared" si="6"/>
        <v>3447155.0477878717</v>
      </c>
      <c r="K20" s="419">
        <f t="shared" si="6"/>
        <v>3700989.1268706131</v>
      </c>
      <c r="L20" s="419">
        <f t="shared" si="6"/>
        <v>3971481.5520516313</v>
      </c>
      <c r="M20" s="420">
        <f t="shared" si="6"/>
        <v>4259744.1430400107</v>
      </c>
      <c r="N20" s="375"/>
      <c r="O20" s="375"/>
      <c r="P20" s="375"/>
      <c r="Q20" s="375"/>
      <c r="R20" s="375"/>
      <c r="S20" s="375"/>
      <c r="T20" s="375"/>
      <c r="U20" s="375"/>
      <c r="V20" s="375"/>
      <c r="W20" s="67"/>
    </row>
    <row r="21" spans="1:26" s="68" customFormat="1" ht="15.75" x14ac:dyDescent="0.25">
      <c r="A21" s="375"/>
      <c r="B21" s="332" t="s">
        <v>132</v>
      </c>
      <c r="C21" s="421">
        <v>0.15</v>
      </c>
      <c r="D21" s="407">
        <f>D20*$C$21</f>
        <v>309713.73505572783</v>
      </c>
      <c r="E21" s="407">
        <f t="shared" ref="E21:M21" si="7">E20*$C$21</f>
        <v>359049.62447620835</v>
      </c>
      <c r="F21" s="407">
        <f t="shared" si="7"/>
        <v>386783.29060233635</v>
      </c>
      <c r="G21" s="407">
        <f t="shared" si="7"/>
        <v>416328.31573172909</v>
      </c>
      <c r="H21" s="407">
        <f t="shared" si="7"/>
        <v>447804.7512060217</v>
      </c>
      <c r="I21" s="407">
        <f t="shared" si="7"/>
        <v>481340.77481723466</v>
      </c>
      <c r="J21" s="407">
        <f t="shared" si="7"/>
        <v>517073.25716818072</v>
      </c>
      <c r="K21" s="407">
        <f t="shared" si="7"/>
        <v>555148.36903059192</v>
      </c>
      <c r="L21" s="407">
        <f t="shared" si="7"/>
        <v>595722.23280774464</v>
      </c>
      <c r="M21" s="408">
        <f t="shared" si="7"/>
        <v>638961.62145600154</v>
      </c>
      <c r="N21" s="328"/>
      <c r="O21" s="375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</row>
    <row r="22" spans="1:26" s="68" customFormat="1" ht="15.75" x14ac:dyDescent="0.25">
      <c r="A22" s="328"/>
      <c r="B22" s="422" t="s">
        <v>131</v>
      </c>
      <c r="C22" s="410"/>
      <c r="D22" s="411">
        <f>D20-D21</f>
        <v>1755044.4986491245</v>
      </c>
      <c r="E22" s="411">
        <f t="shared" ref="E22:M22" si="8">E20-E21</f>
        <v>2034614.538698514</v>
      </c>
      <c r="F22" s="411">
        <f t="shared" si="8"/>
        <v>2191771.9800799061</v>
      </c>
      <c r="G22" s="411">
        <f t="shared" si="8"/>
        <v>2359193.7891464652</v>
      </c>
      <c r="H22" s="411">
        <f t="shared" si="8"/>
        <v>2537560.2568341228</v>
      </c>
      <c r="I22" s="411">
        <f t="shared" si="8"/>
        <v>2727597.7239643298</v>
      </c>
      <c r="J22" s="411">
        <f t="shared" si="8"/>
        <v>2930081.7906196909</v>
      </c>
      <c r="K22" s="411">
        <f t="shared" si="8"/>
        <v>3145840.757840021</v>
      </c>
      <c r="L22" s="411">
        <f t="shared" si="8"/>
        <v>3375759.3192438865</v>
      </c>
      <c r="M22" s="412">
        <f t="shared" si="8"/>
        <v>3620782.5215840093</v>
      </c>
      <c r="N22" s="375"/>
      <c r="O22" s="375"/>
      <c r="P22" s="375"/>
      <c r="Q22" s="375"/>
      <c r="R22" s="375"/>
      <c r="S22" s="375"/>
      <c r="T22" s="375"/>
      <c r="U22" s="375"/>
      <c r="V22" s="375"/>
    </row>
    <row r="23" spans="1:26" ht="15.75" x14ac:dyDescent="0.25">
      <c r="A23" s="375"/>
      <c r="B23" s="332" t="s">
        <v>130</v>
      </c>
      <c r="C23" s="421">
        <v>0.23</v>
      </c>
      <c r="D23" s="407">
        <f>D22*$C$23</f>
        <v>403660.23468929867</v>
      </c>
      <c r="E23" s="407">
        <f>E22*22%</f>
        <v>447615.19851367309</v>
      </c>
      <c r="F23" s="407">
        <f t="shared" ref="F23:M23" si="9">F22*22%</f>
        <v>482189.83561757935</v>
      </c>
      <c r="G23" s="407">
        <f t="shared" si="9"/>
        <v>519022.63361222233</v>
      </c>
      <c r="H23" s="407">
        <f t="shared" si="9"/>
        <v>558263.25650350703</v>
      </c>
      <c r="I23" s="407">
        <f t="shared" si="9"/>
        <v>600071.49927215255</v>
      </c>
      <c r="J23" s="407">
        <f t="shared" si="9"/>
        <v>644617.99393633206</v>
      </c>
      <c r="K23" s="407">
        <f t="shared" si="9"/>
        <v>692084.9667248046</v>
      </c>
      <c r="L23" s="407">
        <f t="shared" si="9"/>
        <v>742667.05023365503</v>
      </c>
      <c r="M23" s="408">
        <f t="shared" si="9"/>
        <v>796572.15474848205</v>
      </c>
      <c r="N23" s="328"/>
      <c r="O23" s="328"/>
      <c r="P23" s="328"/>
      <c r="Q23" s="328"/>
      <c r="R23" s="328"/>
      <c r="S23" s="328"/>
      <c r="T23" s="328"/>
      <c r="U23" s="328"/>
      <c r="V23" s="328"/>
      <c r="W23" s="68"/>
    </row>
    <row r="24" spans="1:26" ht="15.75" x14ac:dyDescent="0.25">
      <c r="A24" s="328"/>
      <c r="B24" s="423" t="s">
        <v>129</v>
      </c>
      <c r="C24" s="424"/>
      <c r="D24" s="425">
        <f>D22-D23</f>
        <v>1351384.263959826</v>
      </c>
      <c r="E24" s="425">
        <f t="shared" ref="E24:M24" si="10">E22-E23</f>
        <v>1586999.3401848408</v>
      </c>
      <c r="F24" s="425">
        <f t="shared" si="10"/>
        <v>1709582.1444623268</v>
      </c>
      <c r="G24" s="425">
        <f t="shared" si="10"/>
        <v>1840171.155534243</v>
      </c>
      <c r="H24" s="425">
        <f t="shared" si="10"/>
        <v>1979297.0003306158</v>
      </c>
      <c r="I24" s="425">
        <f t="shared" si="10"/>
        <v>2127526.224692177</v>
      </c>
      <c r="J24" s="425">
        <f t="shared" si="10"/>
        <v>2285463.796683359</v>
      </c>
      <c r="K24" s="425">
        <f t="shared" si="10"/>
        <v>2453755.7911152164</v>
      </c>
      <c r="L24" s="425">
        <f t="shared" si="10"/>
        <v>2633092.2690102314</v>
      </c>
      <c r="M24" s="426">
        <f t="shared" si="10"/>
        <v>2824210.3668355271</v>
      </c>
      <c r="N24" s="375"/>
      <c r="O24" s="328"/>
      <c r="P24" s="375"/>
      <c r="Q24" s="375"/>
      <c r="R24" s="375"/>
      <c r="S24" s="375"/>
      <c r="T24" s="375"/>
      <c r="U24" s="375"/>
      <c r="V24" s="375"/>
    </row>
    <row r="25" spans="1:26" ht="15" x14ac:dyDescent="0.2">
      <c r="A25" s="328"/>
      <c r="B25" s="427" t="s">
        <v>128</v>
      </c>
      <c r="C25" s="428"/>
      <c r="D25" s="407">
        <f>D13</f>
        <v>1600</v>
      </c>
      <c r="E25" s="407">
        <f t="shared" ref="E25:M25" si="11">E13</f>
        <v>1600</v>
      </c>
      <c r="F25" s="407">
        <f t="shared" si="11"/>
        <v>1600</v>
      </c>
      <c r="G25" s="407">
        <f t="shared" si="11"/>
        <v>1600</v>
      </c>
      <c r="H25" s="407">
        <f t="shared" si="11"/>
        <v>1600</v>
      </c>
      <c r="I25" s="407">
        <f t="shared" si="11"/>
        <v>1600</v>
      </c>
      <c r="J25" s="407">
        <f t="shared" si="11"/>
        <v>1600</v>
      </c>
      <c r="K25" s="407">
        <f t="shared" si="11"/>
        <v>1600</v>
      </c>
      <c r="L25" s="407">
        <f t="shared" si="11"/>
        <v>1600</v>
      </c>
      <c r="M25" s="408">
        <f t="shared" si="11"/>
        <v>1600</v>
      </c>
      <c r="N25" s="328"/>
      <c r="O25" s="328"/>
      <c r="P25" s="328"/>
      <c r="Q25" s="328"/>
      <c r="R25" s="328"/>
      <c r="S25" s="328"/>
      <c r="T25" s="328"/>
      <c r="U25" s="328"/>
      <c r="V25" s="328"/>
    </row>
    <row r="26" spans="1:26" ht="15.75" x14ac:dyDescent="0.25">
      <c r="A26" s="328"/>
      <c r="B26" s="427" t="s">
        <v>127</v>
      </c>
      <c r="C26" s="428"/>
      <c r="D26" s="407">
        <f>D14</f>
        <v>50170.666666666664</v>
      </c>
      <c r="E26" s="407">
        <f t="shared" ref="E26:M26" si="12">E14</f>
        <v>50170.666666666664</v>
      </c>
      <c r="F26" s="407">
        <f t="shared" si="12"/>
        <v>50170.666666666664</v>
      </c>
      <c r="G26" s="407">
        <f t="shared" si="12"/>
        <v>50170.666666666664</v>
      </c>
      <c r="H26" s="407">
        <f t="shared" si="12"/>
        <v>50170.666666666664</v>
      </c>
      <c r="I26" s="407">
        <f t="shared" si="12"/>
        <v>50170.666666666664</v>
      </c>
      <c r="J26" s="407">
        <f t="shared" si="12"/>
        <v>50170.666666666664</v>
      </c>
      <c r="K26" s="407">
        <f t="shared" si="12"/>
        <v>50170.666666666664</v>
      </c>
      <c r="L26" s="407">
        <f t="shared" si="12"/>
        <v>50170.666666666664</v>
      </c>
      <c r="M26" s="408">
        <f t="shared" si="12"/>
        <v>50170.666666666664</v>
      </c>
      <c r="N26" s="328"/>
      <c r="O26" s="375"/>
      <c r="P26" s="328"/>
      <c r="Q26" s="328"/>
      <c r="R26" s="328"/>
      <c r="S26" s="328"/>
      <c r="T26" s="328"/>
      <c r="U26" s="328"/>
      <c r="V26" s="328"/>
    </row>
    <row r="27" spans="1:26" ht="15" x14ac:dyDescent="0.2">
      <c r="A27" s="328"/>
      <c r="B27" s="429" t="s">
        <v>97</v>
      </c>
      <c r="C27" s="430">
        <f>-Amortización!L6</f>
        <v>-3331134.833112</v>
      </c>
      <c r="D27" s="407"/>
      <c r="E27" s="407"/>
      <c r="F27" s="407">
        <f>-('Tabla depr'!D22+'Tabla depr'!I22+'Tabla depr'!N35+'Tabla depr'!D36)</f>
        <v>-794</v>
      </c>
      <c r="G27" s="407"/>
      <c r="H27" s="407">
        <f>-'Tabla depr'!N23</f>
        <v>-170000</v>
      </c>
      <c r="I27" s="407">
        <f>-('Tabla depr'!D25+'Tabla depr'!I25+'Tabla depr'!N38+'Tabla depr'!D39)</f>
        <v>-794</v>
      </c>
      <c r="J27" s="407"/>
      <c r="K27" s="407"/>
      <c r="L27" s="407">
        <f>-('Tabla depr'!D28+'Tabla depr'!I28+'Tabla depr'!N41+'Tabla depr'!D42)</f>
        <v>-794</v>
      </c>
      <c r="M27" s="408"/>
      <c r="N27" s="328"/>
      <c r="O27" s="328"/>
      <c r="P27" s="328"/>
      <c r="Q27" s="328"/>
      <c r="R27" s="328"/>
      <c r="S27" s="328"/>
      <c r="T27" s="328"/>
      <c r="U27" s="328"/>
      <c r="V27" s="328"/>
    </row>
    <row r="28" spans="1:26" ht="15" x14ac:dyDescent="0.2">
      <c r="A28" s="328"/>
      <c r="B28" s="431" t="s">
        <v>17</v>
      </c>
      <c r="C28" s="432">
        <f>Amortización!L8</f>
        <v>1332453.9332448002</v>
      </c>
      <c r="D28" s="407"/>
      <c r="E28" s="407"/>
      <c r="F28" s="407"/>
      <c r="G28" s="407"/>
      <c r="H28" s="407"/>
      <c r="I28" s="407"/>
      <c r="J28" s="407"/>
      <c r="K28" s="407"/>
      <c r="L28" s="407"/>
      <c r="M28" s="408"/>
      <c r="N28" s="328"/>
      <c r="O28" s="328"/>
      <c r="P28" s="328"/>
      <c r="Q28" s="328"/>
      <c r="R28" s="328"/>
      <c r="S28" s="328"/>
      <c r="T28" s="328"/>
      <c r="U28" s="328"/>
      <c r="V28" s="328"/>
    </row>
    <row r="29" spans="1:26" ht="15.75" x14ac:dyDescent="0.25">
      <c r="A29" s="328"/>
      <c r="B29" s="427" t="s">
        <v>98</v>
      </c>
      <c r="C29" s="407"/>
      <c r="D29" s="407">
        <f>-Amortización!F13</f>
        <v>-83605.348204200767</v>
      </c>
      <c r="E29" s="407">
        <f>-Amortización!F14</f>
        <v>-91965.883024620838</v>
      </c>
      <c r="F29" s="407">
        <f>-Amortización!F15</f>
        <v>-101162.47132708292</v>
      </c>
      <c r="G29" s="407">
        <f>-Amortización!F16</f>
        <v>-111278.71845979121</v>
      </c>
      <c r="H29" s="407">
        <f>-Amortización!F17</f>
        <v>-122406.59030577034</v>
      </c>
      <c r="I29" s="407">
        <f>-Amortización!F18</f>
        <v>-134647.24933634739</v>
      </c>
      <c r="J29" s="407">
        <f>-Amortización!F19</f>
        <v>-148111.97426998214</v>
      </c>
      <c r="K29" s="407">
        <f>-Amortización!F20</f>
        <v>-162923.17169698034</v>
      </c>
      <c r="L29" s="407">
        <f>-Amortización!F21</f>
        <v>-179215.48886667838</v>
      </c>
      <c r="M29" s="408">
        <f>-Amortización!F22</f>
        <v>-197137.0377533462</v>
      </c>
      <c r="N29" s="328"/>
      <c r="O29" s="375"/>
      <c r="P29" s="328"/>
      <c r="Q29" s="328"/>
      <c r="R29" s="328"/>
      <c r="S29" s="328"/>
      <c r="T29" s="328"/>
      <c r="U29" s="328"/>
      <c r="V29" s="328"/>
    </row>
    <row r="30" spans="1:26" ht="15" x14ac:dyDescent="0.2">
      <c r="A30" s="328"/>
      <c r="B30" s="433" t="s">
        <v>99</v>
      </c>
      <c r="C30" s="434">
        <f>-'Demanda e Ingresos (2)'!F42</f>
        <v>-932448.88311200007</v>
      </c>
      <c r="D30" s="407"/>
      <c r="E30" s="407"/>
      <c r="F30" s="407"/>
      <c r="G30" s="407"/>
      <c r="H30" s="407"/>
      <c r="I30" s="407"/>
      <c r="J30" s="407"/>
      <c r="K30" s="407"/>
      <c r="L30" s="407"/>
      <c r="M30" s="408"/>
      <c r="N30" s="328"/>
      <c r="O30" s="328"/>
      <c r="P30" s="328"/>
      <c r="Q30" s="328"/>
      <c r="R30" s="328"/>
      <c r="S30" s="328"/>
      <c r="T30" s="328"/>
      <c r="U30" s="328"/>
      <c r="V30" s="328"/>
    </row>
    <row r="31" spans="1:26" ht="15" x14ac:dyDescent="0.2">
      <c r="A31" s="328"/>
      <c r="B31" s="427" t="s">
        <v>100</v>
      </c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35">
        <f>C30</f>
        <v>-932448.88311200007</v>
      </c>
      <c r="N31" s="328"/>
      <c r="O31" s="328"/>
      <c r="P31" s="328"/>
      <c r="Q31" s="328"/>
      <c r="R31" s="328"/>
      <c r="S31" s="328"/>
      <c r="T31" s="328"/>
      <c r="U31" s="328"/>
      <c r="V31" s="328"/>
    </row>
    <row r="32" spans="1:26" ht="15.75" thickBot="1" x14ac:dyDescent="0.25">
      <c r="A32" s="328"/>
      <c r="B32" s="436" t="s">
        <v>101</v>
      </c>
      <c r="C32" s="437"/>
      <c r="D32" s="437"/>
      <c r="E32" s="437"/>
      <c r="F32" s="437"/>
      <c r="G32" s="437"/>
      <c r="H32" s="437">
        <v>5000</v>
      </c>
      <c r="I32" s="437"/>
      <c r="J32" s="437"/>
      <c r="K32" s="437"/>
      <c r="L32" s="437"/>
      <c r="M32" s="438">
        <f>'Tabla depr'!E14+'Tabla depr'!J14+'Tabla depr'!E29+'Tabla depr'!J29+'Tabla depr'!E43+'Tabla depr'!J43+'Tabla depr'!J57</f>
        <v>456.66666666666669</v>
      </c>
      <c r="N32" s="328"/>
      <c r="O32" s="328"/>
      <c r="P32" s="328"/>
      <c r="Q32" s="328"/>
      <c r="R32" s="328"/>
      <c r="S32" s="328"/>
      <c r="T32" s="328"/>
      <c r="U32" s="328"/>
      <c r="V32" s="328"/>
    </row>
    <row r="33" spans="1:22" ht="16.5" thickBot="1" x14ac:dyDescent="0.3">
      <c r="A33" s="328"/>
      <c r="B33" s="439" t="s">
        <v>126</v>
      </c>
      <c r="C33" s="440">
        <f>SUM(C27:C32)</f>
        <v>-2931129.7829791997</v>
      </c>
      <c r="D33" s="440">
        <f>SUM(D24:D32)</f>
        <v>1319549.5824222919</v>
      </c>
      <c r="E33" s="440">
        <f t="shared" ref="E33:M33" si="13">SUM(E24:E32)</f>
        <v>1546804.1238268868</v>
      </c>
      <c r="F33" s="440">
        <f t="shared" si="13"/>
        <v>1659396.3398019106</v>
      </c>
      <c r="G33" s="440">
        <f t="shared" si="13"/>
        <v>1780663.1037411185</v>
      </c>
      <c r="H33" s="440">
        <f t="shared" si="13"/>
        <v>1743661.0766915123</v>
      </c>
      <c r="I33" s="440">
        <f t="shared" si="13"/>
        <v>2043855.6420224961</v>
      </c>
      <c r="J33" s="440">
        <f t="shared" si="13"/>
        <v>2189122.4890800435</v>
      </c>
      <c r="K33" s="440">
        <f t="shared" si="13"/>
        <v>2342603.2860849025</v>
      </c>
      <c r="L33" s="440">
        <f t="shared" si="13"/>
        <v>2504853.4468102194</v>
      </c>
      <c r="M33" s="441">
        <f t="shared" si="13"/>
        <v>1746851.7793035139</v>
      </c>
      <c r="N33" s="328"/>
      <c r="O33" s="328"/>
      <c r="P33" s="328"/>
      <c r="Q33" s="328"/>
      <c r="R33" s="328"/>
      <c r="S33" s="328"/>
      <c r="T33" s="328"/>
      <c r="U33" s="328"/>
      <c r="V33" s="328"/>
    </row>
    <row r="34" spans="1:22" ht="15.75" thickBot="1" x14ac:dyDescent="0.25">
      <c r="A34" s="328"/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P34" s="328"/>
      <c r="Q34" s="328"/>
      <c r="R34" s="328"/>
      <c r="S34" s="328"/>
      <c r="T34" s="328"/>
      <c r="U34" s="328"/>
      <c r="V34" s="328"/>
    </row>
    <row r="35" spans="1:22" ht="15.75" x14ac:dyDescent="0.25">
      <c r="A35" s="328"/>
      <c r="B35" s="328" t="s">
        <v>125</v>
      </c>
      <c r="C35" s="328"/>
      <c r="D35" s="328"/>
      <c r="E35" s="328"/>
      <c r="F35" s="461" t="s">
        <v>19</v>
      </c>
      <c r="G35" s="462">
        <f>NPV(G37,D33:M33)+C33</f>
        <v>6047141.9190741815</v>
      </c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</row>
    <row r="36" spans="1:22" ht="15.75" x14ac:dyDescent="0.25">
      <c r="A36" s="328"/>
      <c r="B36" s="328"/>
      <c r="C36" s="328"/>
      <c r="D36" s="328"/>
      <c r="E36" s="328"/>
      <c r="F36" s="463" t="s">
        <v>18</v>
      </c>
      <c r="G36" s="464">
        <f>IRR(C33:M33)</f>
        <v>0.53282984741548445</v>
      </c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</row>
    <row r="37" spans="1:22" ht="16.5" thickBot="1" x14ac:dyDescent="0.3">
      <c r="A37" s="328"/>
      <c r="B37" s="328"/>
      <c r="C37" s="328"/>
      <c r="D37" s="328"/>
      <c r="E37" s="328"/>
      <c r="F37" s="465" t="s">
        <v>163</v>
      </c>
      <c r="G37" s="466">
        <f>E51</f>
        <v>0.148171</v>
      </c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</row>
    <row r="38" spans="1:22" ht="15" x14ac:dyDescent="0.2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</row>
    <row r="39" spans="1:22" ht="15.75" x14ac:dyDescent="0.25">
      <c r="A39" s="328"/>
      <c r="B39" s="442" t="s">
        <v>102</v>
      </c>
      <c r="C39" s="407">
        <f>C33</f>
        <v>-2931129.7829791997</v>
      </c>
      <c r="D39" s="407">
        <f t="shared" ref="D39:M39" si="14">D33</f>
        <v>1319549.5824222919</v>
      </c>
      <c r="E39" s="407">
        <f t="shared" si="14"/>
        <v>1546804.1238268868</v>
      </c>
      <c r="F39" s="407">
        <f t="shared" si="14"/>
        <v>1659396.3398019106</v>
      </c>
      <c r="G39" s="407">
        <f t="shared" si="14"/>
        <v>1780663.1037411185</v>
      </c>
      <c r="H39" s="407">
        <f t="shared" si="14"/>
        <v>1743661.0766915123</v>
      </c>
      <c r="I39" s="407">
        <f t="shared" si="14"/>
        <v>2043855.6420224961</v>
      </c>
      <c r="J39" s="407">
        <f t="shared" si="14"/>
        <v>2189122.4890800435</v>
      </c>
      <c r="K39" s="407">
        <f t="shared" si="14"/>
        <v>2342603.2860849025</v>
      </c>
      <c r="L39" s="407">
        <f t="shared" si="14"/>
        <v>2504853.4468102194</v>
      </c>
      <c r="M39" s="407">
        <f t="shared" si="14"/>
        <v>1746851.7793035139</v>
      </c>
      <c r="N39" s="328"/>
      <c r="O39" s="328"/>
      <c r="P39" s="328"/>
      <c r="Q39" s="328"/>
      <c r="R39" s="328"/>
      <c r="S39" s="328"/>
      <c r="T39" s="328"/>
      <c r="U39" s="328"/>
      <c r="V39" s="328"/>
    </row>
    <row r="40" spans="1:22" ht="15.75" x14ac:dyDescent="0.25">
      <c r="A40" s="328"/>
      <c r="B40" s="442" t="s">
        <v>103</v>
      </c>
      <c r="C40" s="407">
        <f>C39</f>
        <v>-2931129.7829791997</v>
      </c>
      <c r="D40" s="407">
        <f t="shared" ref="D40:M40" si="15">D39/(1+$G$37)^D5</f>
        <v>1149262.2461482582</v>
      </c>
      <c r="E40" s="407">
        <f t="shared" si="15"/>
        <v>1173335.4017176558</v>
      </c>
      <c r="F40" s="407">
        <f t="shared" si="15"/>
        <v>1096302.5075542077</v>
      </c>
      <c r="G40" s="407">
        <f t="shared" si="15"/>
        <v>1024602.6297072022</v>
      </c>
      <c r="H40" s="407">
        <f t="shared" si="15"/>
        <v>873834.53742089681</v>
      </c>
      <c r="I40" s="407">
        <f t="shared" si="15"/>
        <v>892094.32681944361</v>
      </c>
      <c r="J40" s="407">
        <f t="shared" si="15"/>
        <v>832192.98082735226</v>
      </c>
      <c r="K40" s="407">
        <f t="shared" si="15"/>
        <v>775614.93040415796</v>
      </c>
      <c r="L40" s="407">
        <f t="shared" si="15"/>
        <v>722309.22303992719</v>
      </c>
      <c r="M40" s="407">
        <f t="shared" si="15"/>
        <v>438722.91841427993</v>
      </c>
      <c r="N40" s="328"/>
      <c r="O40" s="328"/>
      <c r="P40" s="328"/>
      <c r="Q40" s="328"/>
      <c r="R40" s="328"/>
      <c r="S40" s="328"/>
      <c r="T40" s="328"/>
      <c r="U40" s="328"/>
      <c r="V40" s="328"/>
    </row>
    <row r="41" spans="1:22" ht="15.75" x14ac:dyDescent="0.25">
      <c r="A41" s="328"/>
      <c r="B41" s="442" t="s">
        <v>104</v>
      </c>
      <c r="C41" s="407">
        <f>C40</f>
        <v>-2931129.7829791997</v>
      </c>
      <c r="D41" s="407">
        <f>C41+D40</f>
        <v>-1781867.5368309414</v>
      </c>
      <c r="E41" s="407">
        <f t="shared" ref="E41:M41" si="16">D41+E40</f>
        <v>-608532.13511328562</v>
      </c>
      <c r="F41" s="443">
        <f t="shared" si="16"/>
        <v>487770.37244092207</v>
      </c>
      <c r="G41" s="444">
        <f t="shared" si="16"/>
        <v>1512373.0021481244</v>
      </c>
      <c r="H41" s="444">
        <f t="shared" si="16"/>
        <v>2386207.5395690212</v>
      </c>
      <c r="I41" s="443">
        <f t="shared" si="16"/>
        <v>3278301.8663884648</v>
      </c>
      <c r="J41" s="443">
        <f t="shared" si="16"/>
        <v>4110494.8472158173</v>
      </c>
      <c r="K41" s="407">
        <f t="shared" si="16"/>
        <v>4886109.7776199756</v>
      </c>
      <c r="L41" s="407">
        <f t="shared" si="16"/>
        <v>5608419.0006599026</v>
      </c>
      <c r="M41" s="407">
        <f t="shared" si="16"/>
        <v>6047141.9190741824</v>
      </c>
      <c r="N41" s="328"/>
      <c r="O41" s="328"/>
      <c r="P41" s="328"/>
      <c r="Q41" s="328"/>
      <c r="R41" s="328"/>
      <c r="S41" s="328"/>
      <c r="T41" s="328"/>
      <c r="U41" s="328"/>
      <c r="V41" s="328"/>
    </row>
    <row r="42" spans="1:22" ht="15" x14ac:dyDescent="0.2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</row>
    <row r="43" spans="1:22" ht="15.75" x14ac:dyDescent="0.25">
      <c r="A43" s="328"/>
      <c r="B43" s="328"/>
      <c r="C43" s="328"/>
      <c r="D43" s="328"/>
      <c r="E43" s="328"/>
      <c r="F43" s="375" t="s">
        <v>105</v>
      </c>
      <c r="G43" s="445">
        <f>6+(J41/-I41)</f>
        <v>4.7461512042684051</v>
      </c>
      <c r="H43" s="375" t="s">
        <v>242</v>
      </c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</row>
    <row r="44" spans="1:22" ht="15.75" thickBot="1" x14ac:dyDescent="0.25">
      <c r="A44" s="328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</row>
    <row r="45" spans="1:22" ht="16.5" thickBot="1" x14ac:dyDescent="0.3">
      <c r="A45" s="328"/>
      <c r="C45" s="446"/>
      <c r="D45" s="328"/>
      <c r="E45" s="328"/>
      <c r="F45" s="328"/>
      <c r="G45" s="328"/>
      <c r="H45" s="762" t="s">
        <v>105</v>
      </c>
      <c r="I45" s="763"/>
      <c r="J45" s="763"/>
      <c r="K45" s="763"/>
      <c r="L45" s="764"/>
      <c r="M45" s="328"/>
      <c r="N45" s="328"/>
      <c r="O45" s="328"/>
      <c r="P45" s="328"/>
      <c r="Q45" s="328"/>
      <c r="R45" s="328"/>
      <c r="S45" s="328"/>
      <c r="T45" s="328"/>
      <c r="U45" s="328"/>
      <c r="V45" s="328"/>
    </row>
    <row r="46" spans="1:22" ht="32.25" thickBot="1" x14ac:dyDescent="0.3">
      <c r="A46" s="328"/>
      <c r="B46" s="529" t="s">
        <v>295</v>
      </c>
      <c r="C46" s="328"/>
      <c r="D46" s="328"/>
      <c r="E46" s="442" t="s">
        <v>106</v>
      </c>
      <c r="F46" s="447">
        <v>0.6</v>
      </c>
      <c r="G46" s="328"/>
      <c r="H46" s="503" t="s">
        <v>114</v>
      </c>
      <c r="I46" s="504" t="s">
        <v>115</v>
      </c>
      <c r="J46" s="503" t="s">
        <v>116</v>
      </c>
      <c r="K46" s="504" t="s">
        <v>117</v>
      </c>
      <c r="L46" s="504" t="s">
        <v>118</v>
      </c>
      <c r="M46" s="328"/>
      <c r="N46" s="328"/>
      <c r="O46" s="328"/>
      <c r="P46" s="328"/>
      <c r="Q46" s="328"/>
      <c r="R46" s="328"/>
      <c r="S46" s="328"/>
      <c r="T46" s="328"/>
      <c r="U46" s="328"/>
      <c r="V46" s="328"/>
    </row>
    <row r="47" spans="1:22" ht="15.75" x14ac:dyDescent="0.25">
      <c r="A47" s="328"/>
      <c r="B47" s="530" t="s">
        <v>314</v>
      </c>
      <c r="C47" s="328"/>
      <c r="D47" s="328"/>
      <c r="E47" s="442" t="s">
        <v>108</v>
      </c>
      <c r="F47" s="448">
        <v>0.4</v>
      </c>
      <c r="G47" s="328"/>
      <c r="H47" s="467">
        <v>1</v>
      </c>
      <c r="I47" s="468">
        <f>-C33</f>
        <v>2931129.7829791997</v>
      </c>
      <c r="J47" s="469">
        <f>D33</f>
        <v>1319549.5824222919</v>
      </c>
      <c r="K47" s="470">
        <f>I47*$G$37</f>
        <v>434308.43107381096</v>
      </c>
      <c r="L47" s="471">
        <f>J47-K47</f>
        <v>885241.15134848095</v>
      </c>
      <c r="M47" s="328"/>
      <c r="N47" s="328"/>
      <c r="O47" s="328"/>
      <c r="P47" s="328"/>
      <c r="Q47" s="328"/>
      <c r="R47" s="328"/>
      <c r="S47" s="328"/>
      <c r="T47" s="328"/>
      <c r="U47" s="328"/>
      <c r="V47" s="328"/>
    </row>
    <row r="48" spans="1:22" ht="15" x14ac:dyDescent="0.2">
      <c r="A48" s="328"/>
      <c r="B48" s="531" t="s">
        <v>315</v>
      </c>
      <c r="C48" s="328"/>
      <c r="D48" s="328"/>
      <c r="E48" s="328"/>
      <c r="F48" s="328"/>
      <c r="G48" s="328"/>
      <c r="H48" s="311">
        <v>2</v>
      </c>
      <c r="I48" s="470">
        <f>I47-L47</f>
        <v>2045888.6316307187</v>
      </c>
      <c r="J48" s="470">
        <f>E33</f>
        <v>1546804.1238268868</v>
      </c>
      <c r="K48" s="470">
        <f t="shared" ref="K48:K55" si="17">I48*$G$37</f>
        <v>303141.36443735519</v>
      </c>
      <c r="L48" s="472">
        <f>J48-K48</f>
        <v>1243662.7593895316</v>
      </c>
      <c r="M48" s="328"/>
      <c r="N48" s="328"/>
      <c r="O48" s="328"/>
      <c r="P48" s="328"/>
      <c r="Q48" s="328"/>
      <c r="R48" s="328"/>
      <c r="S48" s="328"/>
      <c r="T48" s="328"/>
      <c r="U48" s="328"/>
      <c r="V48" s="328"/>
    </row>
    <row r="49" spans="1:22" ht="15.75" thickBot="1" x14ac:dyDescent="0.25">
      <c r="A49" s="328"/>
      <c r="B49" s="532" t="s">
        <v>316</v>
      </c>
      <c r="C49" s="328"/>
      <c r="D49" s="328"/>
      <c r="E49" s="328"/>
      <c r="F49" s="328"/>
      <c r="G49" s="328"/>
      <c r="H49" s="311">
        <v>3</v>
      </c>
      <c r="I49" s="470">
        <f>I48-L48</f>
        <v>802225.87224118714</v>
      </c>
      <c r="J49" s="470">
        <f>F33</f>
        <v>1659396.3398019106</v>
      </c>
      <c r="K49" s="470">
        <f t="shared" si="17"/>
        <v>118866.60971584894</v>
      </c>
      <c r="L49" s="472">
        <f>J49-K49</f>
        <v>1540529.7300860616</v>
      </c>
      <c r="M49" s="328"/>
      <c r="N49" s="328"/>
      <c r="O49" s="328"/>
      <c r="P49" s="328"/>
      <c r="Q49" s="328"/>
      <c r="R49" s="328"/>
      <c r="S49" s="328"/>
      <c r="T49" s="328"/>
      <c r="U49" s="328"/>
      <c r="V49" s="328"/>
    </row>
    <row r="50" spans="1:22" ht="15.75" thickBot="1" x14ac:dyDescent="0.25">
      <c r="A50" s="328"/>
      <c r="B50" s="328"/>
      <c r="C50" s="328"/>
      <c r="D50" s="328"/>
      <c r="E50" s="328"/>
      <c r="F50" s="328"/>
      <c r="G50" s="328"/>
      <c r="H50" s="311">
        <v>4</v>
      </c>
      <c r="I50" s="470">
        <f t="shared" ref="I50:I55" si="18">I49-L49</f>
        <v>-738303.8578448745</v>
      </c>
      <c r="J50" s="470">
        <f>G33</f>
        <v>1780663.1037411185</v>
      </c>
      <c r="K50" s="470">
        <f t="shared" si="17"/>
        <v>-109395.2209207329</v>
      </c>
      <c r="L50" s="472">
        <f t="shared" ref="L50:L56" si="19">J50-K50</f>
        <v>1890058.3246618514</v>
      </c>
      <c r="M50" s="328"/>
      <c r="N50" s="328"/>
      <c r="O50" s="328"/>
      <c r="P50" s="328"/>
      <c r="Q50" s="328"/>
      <c r="R50" s="328"/>
      <c r="S50" s="328"/>
      <c r="T50" s="328"/>
      <c r="U50" s="328"/>
      <c r="V50" s="328"/>
    </row>
    <row r="51" spans="1:22" ht="16.5" thickBot="1" x14ac:dyDescent="0.3">
      <c r="A51" s="328"/>
      <c r="B51" s="328"/>
      <c r="C51" s="328"/>
      <c r="D51" s="449" t="s">
        <v>113</v>
      </c>
      <c r="E51" s="450">
        <f>E53+E55*(E54-E53)+E56</f>
        <v>0.148171</v>
      </c>
      <c r="F51" s="328"/>
      <c r="G51" s="328"/>
      <c r="H51" s="311">
        <v>5</v>
      </c>
      <c r="I51" s="470">
        <f t="shared" si="18"/>
        <v>-2628362.1825067261</v>
      </c>
      <c r="J51" s="470">
        <f>H33</f>
        <v>1743661.0766915123</v>
      </c>
      <c r="K51" s="470">
        <f t="shared" si="17"/>
        <v>-389447.05294420413</v>
      </c>
      <c r="L51" s="505">
        <f t="shared" si="19"/>
        <v>2133108.1296357163</v>
      </c>
      <c r="M51" s="328"/>
      <c r="N51" s="328"/>
      <c r="O51" s="328"/>
      <c r="P51" s="328"/>
      <c r="Q51" s="328"/>
      <c r="R51" s="328"/>
      <c r="S51" s="328"/>
      <c r="T51" s="328"/>
      <c r="U51" s="328"/>
      <c r="V51" s="328"/>
    </row>
    <row r="52" spans="1:22" ht="15" x14ac:dyDescent="0.2">
      <c r="A52" s="328"/>
      <c r="B52" s="527"/>
      <c r="C52" s="328"/>
      <c r="D52" s="451" t="s">
        <v>107</v>
      </c>
      <c r="E52" s="452">
        <v>0.1</v>
      </c>
      <c r="F52" s="328"/>
      <c r="G52" s="328"/>
      <c r="H52" s="311">
        <v>6</v>
      </c>
      <c r="I52" s="470">
        <f t="shared" si="18"/>
        <v>-4761470.3121424429</v>
      </c>
      <c r="J52" s="470">
        <f>I33</f>
        <v>2043855.6420224961</v>
      </c>
      <c r="K52" s="470">
        <f t="shared" si="17"/>
        <v>-705511.81762045785</v>
      </c>
      <c r="L52" s="472">
        <f t="shared" si="19"/>
        <v>2749367.4596429542</v>
      </c>
      <c r="M52" s="328"/>
      <c r="N52" s="328"/>
      <c r="O52" s="328"/>
      <c r="P52" s="328"/>
      <c r="Q52" s="328"/>
      <c r="R52" s="328"/>
      <c r="S52" s="328"/>
      <c r="T52" s="328"/>
      <c r="U52" s="328"/>
      <c r="V52" s="328"/>
    </row>
    <row r="53" spans="1:22" ht="15" x14ac:dyDescent="0.2">
      <c r="A53" s="328"/>
      <c r="B53" s="528"/>
      <c r="C53" s="328"/>
      <c r="D53" s="453" t="s">
        <v>109</v>
      </c>
      <c r="E53" s="454">
        <v>1.9300000000000001E-2</v>
      </c>
      <c r="F53" s="328"/>
      <c r="G53" s="328"/>
      <c r="H53" s="311">
        <v>7</v>
      </c>
      <c r="I53" s="470">
        <f t="shared" si="18"/>
        <v>-7510837.7717853971</v>
      </c>
      <c r="J53" s="470">
        <f>J33</f>
        <v>2189122.4890800435</v>
      </c>
      <c r="K53" s="470">
        <f t="shared" si="17"/>
        <v>-1112888.343483214</v>
      </c>
      <c r="L53" s="472">
        <f t="shared" si="19"/>
        <v>3302010.8325632578</v>
      </c>
      <c r="M53" s="328"/>
      <c r="N53" s="328"/>
      <c r="O53" s="328"/>
      <c r="P53" s="328"/>
      <c r="Q53" s="328"/>
      <c r="R53" s="328"/>
      <c r="S53" s="328"/>
      <c r="T53" s="328"/>
      <c r="U53" s="328"/>
      <c r="V53" s="328"/>
    </row>
    <row r="54" spans="1:22" ht="15" x14ac:dyDescent="0.2">
      <c r="A54" s="328"/>
      <c r="B54" s="526"/>
      <c r="C54" s="328"/>
      <c r="D54" s="453" t="s">
        <v>110</v>
      </c>
      <c r="E54" s="454">
        <v>0.11</v>
      </c>
      <c r="F54" s="328"/>
      <c r="G54" s="328"/>
      <c r="H54" s="473">
        <v>8</v>
      </c>
      <c r="I54" s="470">
        <f t="shared" si="18"/>
        <v>-10812848.604348656</v>
      </c>
      <c r="J54" s="470">
        <f>K33</f>
        <v>2342603.2860849025</v>
      </c>
      <c r="K54" s="470">
        <f t="shared" si="17"/>
        <v>-1602150.5905549447</v>
      </c>
      <c r="L54" s="472">
        <f t="shared" si="19"/>
        <v>3944753.8766398472</v>
      </c>
      <c r="M54" s="328"/>
      <c r="N54" s="328"/>
      <c r="O54" s="328"/>
      <c r="P54" s="328"/>
      <c r="Q54" s="328"/>
      <c r="R54" s="328"/>
      <c r="S54" s="328"/>
      <c r="T54" s="328"/>
      <c r="U54" s="328"/>
      <c r="V54" s="328"/>
    </row>
    <row r="55" spans="1:22" ht="15" x14ac:dyDescent="0.2">
      <c r="A55" s="328"/>
      <c r="B55" s="527"/>
      <c r="C55" s="328"/>
      <c r="D55" s="453" t="s">
        <v>111</v>
      </c>
      <c r="E55" s="455">
        <v>0.53</v>
      </c>
      <c r="F55" s="328"/>
      <c r="G55" s="328"/>
      <c r="H55" s="311">
        <v>9</v>
      </c>
      <c r="I55" s="470">
        <f t="shared" si="18"/>
        <v>-14757602.480988503</v>
      </c>
      <c r="J55" s="470">
        <f>L33</f>
        <v>2504853.4468102194</v>
      </c>
      <c r="K55" s="470">
        <f t="shared" si="17"/>
        <v>-2186648.7172105475</v>
      </c>
      <c r="L55" s="472">
        <f t="shared" si="19"/>
        <v>4691502.1640207674</v>
      </c>
      <c r="M55" s="328"/>
      <c r="N55" s="328"/>
      <c r="O55" s="328"/>
      <c r="P55" s="328"/>
      <c r="Q55" s="328"/>
      <c r="R55" s="328"/>
      <c r="S55" s="328"/>
      <c r="T55" s="328"/>
      <c r="U55" s="328"/>
      <c r="V55" s="328"/>
    </row>
    <row r="56" spans="1:22" ht="15.75" thickBot="1" x14ac:dyDescent="0.25">
      <c r="A56" s="328"/>
      <c r="B56" s="527"/>
      <c r="C56" s="328"/>
      <c r="D56" s="453" t="s">
        <v>112</v>
      </c>
      <c r="E56" s="456">
        <v>8.0799999999999997E-2</v>
      </c>
      <c r="F56" s="328"/>
      <c r="G56" s="328"/>
      <c r="H56" s="474">
        <v>10</v>
      </c>
      <c r="I56" s="475">
        <f>I55-L55</f>
        <v>-19449104.645009272</v>
      </c>
      <c r="J56" s="470">
        <f>M33</f>
        <v>1746851.7793035139</v>
      </c>
      <c r="K56" s="470">
        <f>I56*$G$37</f>
        <v>-2881793.2843556688</v>
      </c>
      <c r="L56" s="476">
        <f t="shared" si="19"/>
        <v>4628645.0636591827</v>
      </c>
      <c r="M56" s="328"/>
      <c r="N56" s="328"/>
      <c r="O56" s="328"/>
      <c r="P56" s="328"/>
      <c r="Q56" s="328"/>
      <c r="R56" s="328"/>
      <c r="S56" s="328"/>
      <c r="T56" s="328"/>
      <c r="U56" s="328"/>
      <c r="V56" s="328"/>
    </row>
    <row r="57" spans="1:22" ht="15" x14ac:dyDescent="0.2">
      <c r="A57" s="328"/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</row>
    <row r="58" spans="1:22" ht="15" x14ac:dyDescent="0.2">
      <c r="A58" s="328"/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</row>
    <row r="59" spans="1:22" ht="15" x14ac:dyDescent="0.2">
      <c r="A59" s="328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</row>
    <row r="60" spans="1:22" ht="15" x14ac:dyDescent="0.2">
      <c r="A60" s="328"/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</row>
    <row r="61" spans="1:22" ht="15" x14ac:dyDescent="0.2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8"/>
    </row>
    <row r="62" spans="1:22" ht="15" x14ac:dyDescent="0.2">
      <c r="A62" s="328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8"/>
    </row>
    <row r="63" spans="1:22" ht="15" x14ac:dyDescent="0.2">
      <c r="A63" s="328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</row>
    <row r="64" spans="1:22" ht="15" x14ac:dyDescent="0.2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</row>
    <row r="65" spans="1:22" ht="15" x14ac:dyDescent="0.2">
      <c r="A65" s="328"/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</row>
    <row r="66" spans="1:22" ht="15" x14ac:dyDescent="0.2">
      <c r="A66" s="328"/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</row>
    <row r="67" spans="1:22" ht="15" x14ac:dyDescent="0.2">
      <c r="A67" s="328"/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</row>
    <row r="68" spans="1:22" ht="15" x14ac:dyDescent="0.2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</row>
    <row r="69" spans="1:22" ht="15" x14ac:dyDescent="0.2">
      <c r="A69" s="328"/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</row>
    <row r="70" spans="1:22" ht="15" x14ac:dyDescent="0.2">
      <c r="A70" s="328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</row>
    <row r="71" spans="1:22" ht="15" x14ac:dyDescent="0.2">
      <c r="A71" s="328"/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</row>
    <row r="72" spans="1:22" ht="15" x14ac:dyDescent="0.2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</row>
    <row r="73" spans="1:22" ht="15" x14ac:dyDescent="0.2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</row>
    <row r="74" spans="1:22" ht="15" x14ac:dyDescent="0.2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</row>
    <row r="75" spans="1:22" ht="15" x14ac:dyDescent="0.2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</row>
    <row r="76" spans="1:22" ht="15" x14ac:dyDescent="0.2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</row>
    <row r="77" spans="1:22" ht="15" x14ac:dyDescent="0.2">
      <c r="A77" s="328"/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</row>
    <row r="78" spans="1:22" ht="15" x14ac:dyDescent="0.2">
      <c r="A78" s="328"/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</row>
    <row r="79" spans="1:22" ht="15" x14ac:dyDescent="0.2">
      <c r="A79" s="328"/>
      <c r="B79" s="328"/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</row>
    <row r="80" spans="1:22" ht="15" x14ac:dyDescent="0.2">
      <c r="A80" s="328"/>
      <c r="B80" s="328"/>
      <c r="C80" s="328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</row>
    <row r="81" spans="1:22" ht="15" x14ac:dyDescent="0.2">
      <c r="A81" s="328"/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</row>
    <row r="82" spans="1:22" ht="15" x14ac:dyDescent="0.2">
      <c r="A82" s="328"/>
      <c r="B82" s="328"/>
      <c r="C82" s="328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</row>
    <row r="83" spans="1:22" ht="15" x14ac:dyDescent="0.2">
      <c r="A83" s="328"/>
      <c r="B83" s="328"/>
      <c r="C83" s="328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</row>
    <row r="84" spans="1:22" ht="15" x14ac:dyDescent="0.2">
      <c r="A84" s="328"/>
      <c r="B84" s="328"/>
      <c r="C84" s="328"/>
      <c r="D84" s="328"/>
      <c r="E84" s="328"/>
      <c r="F84" s="328"/>
      <c r="G84" s="328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</row>
    <row r="85" spans="1:22" ht="15" x14ac:dyDescent="0.2">
      <c r="A85" s="328"/>
      <c r="B85" s="328"/>
      <c r="C85" s="328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</row>
    <row r="86" spans="1:22" ht="15" x14ac:dyDescent="0.2">
      <c r="A86" s="328"/>
      <c r="B86" s="328"/>
      <c r="C86" s="328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</row>
    <row r="87" spans="1:22" ht="15" x14ac:dyDescent="0.2">
      <c r="A87" s="328"/>
      <c r="B87" s="328"/>
      <c r="C87" s="328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</row>
    <row r="88" spans="1:22" ht="15" x14ac:dyDescent="0.2">
      <c r="A88" s="328"/>
      <c r="B88" s="328"/>
      <c r="C88" s="328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</row>
    <row r="89" spans="1:22" ht="15" x14ac:dyDescent="0.2">
      <c r="A89" s="328"/>
      <c r="B89" s="328"/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</row>
    <row r="90" spans="1:22" ht="15" x14ac:dyDescent="0.2">
      <c r="A90" s="328"/>
      <c r="B90" s="328"/>
      <c r="C90" s="328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</row>
    <row r="91" spans="1:22" ht="15" x14ac:dyDescent="0.2">
      <c r="A91" s="328"/>
      <c r="B91" s="328"/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</row>
    <row r="92" spans="1:22" ht="15" x14ac:dyDescent="0.2">
      <c r="A92" s="328"/>
      <c r="B92" s="328"/>
      <c r="C92" s="328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</row>
    <row r="93" spans="1:22" ht="15" x14ac:dyDescent="0.2">
      <c r="A93" s="328"/>
      <c r="B93" s="328"/>
      <c r="C93" s="328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328"/>
    </row>
    <row r="94" spans="1:22" ht="15" x14ac:dyDescent="0.2">
      <c r="A94" s="328"/>
      <c r="B94" s="328"/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</row>
    <row r="95" spans="1:22" ht="15" x14ac:dyDescent="0.2">
      <c r="A95" s="328"/>
      <c r="B95" s="328"/>
      <c r="C95" s="328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</row>
    <row r="96" spans="1:22" ht="15" x14ac:dyDescent="0.2">
      <c r="A96" s="328"/>
      <c r="B96" s="328"/>
      <c r="C96" s="328"/>
      <c r="D96" s="328"/>
      <c r="E96" s="328"/>
      <c r="F96" s="32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</row>
    <row r="97" spans="1:22" ht="15" x14ac:dyDescent="0.2">
      <c r="A97" s="328"/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  <c r="T97" s="328"/>
      <c r="U97" s="328"/>
      <c r="V97" s="328"/>
    </row>
    <row r="98" spans="1:22" ht="15" x14ac:dyDescent="0.2">
      <c r="A98" s="328"/>
      <c r="B98" s="328"/>
      <c r="C98" s="328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</row>
    <row r="99" spans="1:22" ht="15" x14ac:dyDescent="0.2">
      <c r="A99" s="328"/>
      <c r="B99" s="328"/>
      <c r="C99" s="328"/>
      <c r="D99" s="328"/>
      <c r="E99" s="328"/>
      <c r="F99" s="328"/>
      <c r="G99" s="328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</row>
    <row r="100" spans="1:22" ht="15" x14ac:dyDescent="0.2">
      <c r="A100" s="328"/>
      <c r="B100" s="328"/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</row>
    <row r="101" spans="1:22" ht="15" x14ac:dyDescent="0.2">
      <c r="A101" s="328"/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</row>
    <row r="102" spans="1:22" ht="15" x14ac:dyDescent="0.2">
      <c r="A102" s="328"/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</row>
    <row r="103" spans="1:22" ht="15" x14ac:dyDescent="0.2">
      <c r="A103" s="328"/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</row>
    <row r="104" spans="1:22" ht="15" x14ac:dyDescent="0.2">
      <c r="A104" s="328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</row>
    <row r="105" spans="1:22" ht="15" x14ac:dyDescent="0.2">
      <c r="A105" s="328"/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</row>
    <row r="106" spans="1:22" ht="15" x14ac:dyDescent="0.2">
      <c r="A106" s="328"/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</row>
    <row r="107" spans="1:22" ht="15" x14ac:dyDescent="0.2">
      <c r="A107" s="328"/>
      <c r="B107" s="328"/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</row>
  </sheetData>
  <mergeCells count="5">
    <mergeCell ref="H45:L45"/>
    <mergeCell ref="O9:P9"/>
    <mergeCell ref="O10:P10"/>
    <mergeCell ref="O11:P11"/>
    <mergeCell ref="B3:M4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37"/>
  <sheetViews>
    <sheetView topLeftCell="A19" workbookViewId="0">
      <selection activeCell="D29" sqref="D29:I37"/>
    </sheetView>
  </sheetViews>
  <sheetFormatPr baseColWidth="10" defaultRowHeight="15" x14ac:dyDescent="0.25"/>
  <cols>
    <col min="6" max="6" width="13.7109375" customWidth="1"/>
    <col min="7" max="7" width="9.7109375" customWidth="1"/>
    <col min="9" max="9" width="18" customWidth="1"/>
    <col min="11" max="11" width="14.85546875" customWidth="1"/>
  </cols>
  <sheetData>
    <row r="3" spans="4:11" ht="15.75" thickBot="1" x14ac:dyDescent="0.3"/>
    <row r="4" spans="4:11" ht="15.75" thickBot="1" x14ac:dyDescent="0.3">
      <c r="D4" s="772" t="s">
        <v>119</v>
      </c>
      <c r="E4" s="773"/>
      <c r="F4" s="773"/>
      <c r="G4" s="773"/>
      <c r="H4" s="773"/>
      <c r="I4" s="774"/>
    </row>
    <row r="5" spans="4:11" x14ac:dyDescent="0.25">
      <c r="D5" s="775" t="s">
        <v>120</v>
      </c>
      <c r="E5" s="388"/>
      <c r="F5" s="389" t="s">
        <v>19</v>
      </c>
      <c r="G5" s="389" t="s">
        <v>196</v>
      </c>
      <c r="H5" s="389" t="s">
        <v>121</v>
      </c>
      <c r="I5" s="390" t="s">
        <v>122</v>
      </c>
    </row>
    <row r="6" spans="4:11" x14ac:dyDescent="0.25">
      <c r="D6" s="776"/>
      <c r="E6" s="59">
        <v>0.05</v>
      </c>
      <c r="F6" s="60">
        <v>129190.99705651416</v>
      </c>
      <c r="G6" s="75">
        <v>0.14549999999999999</v>
      </c>
      <c r="H6" s="61">
        <v>0.57938236557303902</v>
      </c>
      <c r="I6" s="383" t="s">
        <v>123</v>
      </c>
      <c r="K6" s="21"/>
    </row>
    <row r="7" spans="4:11" x14ac:dyDescent="0.25">
      <c r="D7" s="776"/>
      <c r="E7" s="62">
        <v>0</v>
      </c>
      <c r="F7" s="64">
        <f>'Flujo de Caja'!G35</f>
        <v>6047141.9190741815</v>
      </c>
      <c r="G7" s="75">
        <v>0.14549999999999999</v>
      </c>
      <c r="H7" s="63">
        <f>'Flujo de Caja'!G36</f>
        <v>0.53282984741548445</v>
      </c>
      <c r="I7" s="383" t="s">
        <v>123</v>
      </c>
    </row>
    <row r="8" spans="4:11" x14ac:dyDescent="0.25">
      <c r="D8" s="776"/>
      <c r="E8" s="59">
        <v>-0.05</v>
      </c>
      <c r="F8" s="60">
        <v>31186.577641672862</v>
      </c>
      <c r="G8" s="75">
        <v>0.14549999999999999</v>
      </c>
      <c r="H8" s="61">
        <v>0.25282756956956426</v>
      </c>
      <c r="I8" s="383" t="s">
        <v>123</v>
      </c>
      <c r="K8" s="65"/>
    </row>
    <row r="9" spans="4:11" x14ac:dyDescent="0.25">
      <c r="D9" s="776"/>
      <c r="E9" s="61">
        <v>-0.1</v>
      </c>
      <c r="F9" s="60">
        <v>-17815.632065747683</v>
      </c>
      <c r="G9" s="75">
        <v>0.14549999999999999</v>
      </c>
      <c r="H9" s="61">
        <v>8.0759534720917014E-2</v>
      </c>
      <c r="I9" s="383" t="s">
        <v>124</v>
      </c>
    </row>
    <row r="10" spans="4:11" ht="15.75" thickBot="1" x14ac:dyDescent="0.3">
      <c r="D10" s="777"/>
      <c r="E10" s="384">
        <v>-0.15</v>
      </c>
      <c r="F10" s="385">
        <v>-66817.841773168329</v>
      </c>
      <c r="G10" s="386">
        <v>0.14549999999999999</v>
      </c>
      <c r="H10" s="384">
        <v>0.02</v>
      </c>
      <c r="I10" s="387" t="s">
        <v>124</v>
      </c>
    </row>
    <row r="28" spans="4:9" ht="15.75" thickBot="1" x14ac:dyDescent="0.3"/>
    <row r="29" spans="4:9" ht="15.75" thickBot="1" x14ac:dyDescent="0.3">
      <c r="D29" s="772" t="s">
        <v>195</v>
      </c>
      <c r="E29" s="773"/>
      <c r="F29" s="773"/>
      <c r="G29" s="773"/>
      <c r="H29" s="773"/>
      <c r="I29" s="774"/>
    </row>
    <row r="30" spans="4:9" x14ac:dyDescent="0.25">
      <c r="D30" s="775" t="s">
        <v>120</v>
      </c>
      <c r="E30" s="388"/>
      <c r="F30" s="389" t="s">
        <v>19</v>
      </c>
      <c r="G30" s="389" t="s">
        <v>196</v>
      </c>
      <c r="H30" s="389" t="s">
        <v>121</v>
      </c>
      <c r="I30" s="390" t="s">
        <v>122</v>
      </c>
    </row>
    <row r="31" spans="4:9" x14ac:dyDescent="0.25">
      <c r="D31" s="776"/>
      <c r="E31" s="61">
        <v>0.25</v>
      </c>
      <c r="F31" s="60">
        <v>-36157.047644773578</v>
      </c>
      <c r="G31" s="60">
        <v>0.15</v>
      </c>
      <c r="H31" s="61">
        <v>3.5252925788805997E-2</v>
      </c>
      <c r="I31" s="383" t="s">
        <v>124</v>
      </c>
    </row>
    <row r="32" spans="4:9" x14ac:dyDescent="0.25">
      <c r="D32" s="776"/>
      <c r="E32" s="59">
        <v>0.2</v>
      </c>
      <c r="F32" s="60">
        <v>-12887.880646000158</v>
      </c>
      <c r="G32" s="60"/>
      <c r="H32" s="61">
        <v>0.1057128153775371</v>
      </c>
      <c r="I32" s="383" t="s">
        <v>124</v>
      </c>
    </row>
    <row r="33" spans="4:9" x14ac:dyDescent="0.25">
      <c r="D33" s="776"/>
      <c r="E33" s="59">
        <v>0.15</v>
      </c>
      <c r="F33" s="60">
        <v>10381.286352773248</v>
      </c>
      <c r="G33" s="60"/>
      <c r="H33" s="61">
        <v>0.17803058435383851</v>
      </c>
      <c r="I33" s="383" t="s">
        <v>123</v>
      </c>
    </row>
    <row r="34" spans="4:9" x14ac:dyDescent="0.25">
      <c r="D34" s="776"/>
      <c r="E34" s="59">
        <v>0.1</v>
      </c>
      <c r="F34" s="60">
        <v>33650.453351546661</v>
      </c>
      <c r="G34" s="60"/>
      <c r="H34" s="61">
        <v>0.25341362074466872</v>
      </c>
      <c r="I34" s="383" t="s">
        <v>123</v>
      </c>
    </row>
    <row r="35" spans="4:9" x14ac:dyDescent="0.25">
      <c r="D35" s="776"/>
      <c r="E35" s="61">
        <v>0.05</v>
      </c>
      <c r="F35" s="60">
        <v>56919.620350320081</v>
      </c>
      <c r="G35" s="60"/>
      <c r="H35" s="61">
        <v>0.33265873588921896</v>
      </c>
      <c r="I35" s="383" t="s">
        <v>123</v>
      </c>
    </row>
    <row r="36" spans="4:9" x14ac:dyDescent="0.25">
      <c r="D36" s="776"/>
      <c r="E36" s="63">
        <v>0</v>
      </c>
      <c r="F36" s="66">
        <f>'Flujo de Caja'!G35</f>
        <v>6047141.9190741815</v>
      </c>
      <c r="G36" s="66"/>
      <c r="H36" s="63">
        <f>'Flujo de Caja'!G36</f>
        <v>0.53282984741548445</v>
      </c>
      <c r="I36" s="383" t="s">
        <v>123</v>
      </c>
    </row>
    <row r="37" spans="4:9" ht="15.75" thickBot="1" x14ac:dyDescent="0.3">
      <c r="D37" s="777"/>
      <c r="E37" s="384">
        <v>-0.05</v>
      </c>
      <c r="F37" s="385">
        <v>103457.95434786689</v>
      </c>
      <c r="G37" s="385"/>
      <c r="H37" s="384">
        <v>0.50401997092811601</v>
      </c>
      <c r="I37" s="387" t="s">
        <v>123</v>
      </c>
    </row>
  </sheetData>
  <mergeCells count="4">
    <mergeCell ref="D4:I4"/>
    <mergeCell ref="D5:D10"/>
    <mergeCell ref="D29:I29"/>
    <mergeCell ref="D30:D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9"/>
  <sheetViews>
    <sheetView topLeftCell="B40" zoomScale="70" zoomScaleNormal="70" workbookViewId="0">
      <selection activeCell="G51" sqref="G51"/>
    </sheetView>
  </sheetViews>
  <sheetFormatPr baseColWidth="10" defaultColWidth="9.140625" defaultRowHeight="15" x14ac:dyDescent="0.25"/>
  <cols>
    <col min="1" max="1" width="9.140625" style="53" customWidth="1"/>
    <col min="2" max="2" width="13.28515625" style="53" customWidth="1"/>
    <col min="3" max="3" width="39.5703125" style="53" customWidth="1"/>
    <col min="4" max="4" width="19.5703125" style="53" customWidth="1"/>
    <col min="5" max="5" width="18.42578125" style="53" customWidth="1"/>
    <col min="6" max="6" width="12.7109375" style="53" bestFit="1" customWidth="1"/>
    <col min="7" max="7" width="9.140625" style="53" customWidth="1"/>
    <col min="8" max="8" width="10.140625" style="53" bestFit="1" customWidth="1"/>
    <col min="9" max="11" width="9.140625" style="53" customWidth="1"/>
    <col min="12" max="12" width="13.140625" style="53" bestFit="1" customWidth="1"/>
    <col min="13" max="16384" width="9.140625" style="53"/>
  </cols>
  <sheetData>
    <row r="2" spans="2:12" ht="16.5" thickBot="1" x14ac:dyDescent="0.3">
      <c r="B2" s="85"/>
      <c r="C2" s="85"/>
      <c r="D2" s="85"/>
      <c r="E2" s="85"/>
    </row>
    <row r="3" spans="2:12" ht="15.75" x14ac:dyDescent="0.25">
      <c r="B3" s="575" t="s">
        <v>52</v>
      </c>
      <c r="C3" s="576"/>
      <c r="D3" s="576"/>
      <c r="E3" s="577"/>
    </row>
    <row r="4" spans="2:12" ht="15.75" x14ac:dyDescent="0.25">
      <c r="B4" s="477" t="s">
        <v>25</v>
      </c>
      <c r="C4" s="478" t="s">
        <v>53</v>
      </c>
      <c r="D4" s="479" t="s">
        <v>54</v>
      </c>
      <c r="E4" s="480" t="s">
        <v>2</v>
      </c>
    </row>
    <row r="5" spans="2:12" ht="15.75" x14ac:dyDescent="0.25">
      <c r="B5" s="114">
        <v>3</v>
      </c>
      <c r="C5" s="86" t="s">
        <v>55</v>
      </c>
      <c r="D5" s="87">
        <v>1260</v>
      </c>
      <c r="E5" s="115">
        <f t="shared" ref="E5:E10" si="0">B5*D5</f>
        <v>3780</v>
      </c>
      <c r="I5" s="54"/>
      <c r="J5" s="54"/>
      <c r="K5" s="54"/>
      <c r="L5" s="54"/>
    </row>
    <row r="6" spans="2:12" ht="15.75" x14ac:dyDescent="0.25">
      <c r="B6" s="113">
        <v>5</v>
      </c>
      <c r="C6" s="89" t="s">
        <v>56</v>
      </c>
      <c r="D6" s="90">
        <v>383</v>
      </c>
      <c r="E6" s="107">
        <f t="shared" si="0"/>
        <v>1915</v>
      </c>
      <c r="I6" s="574"/>
      <c r="J6" s="574"/>
      <c r="K6" s="574"/>
      <c r="L6" s="574"/>
    </row>
    <row r="7" spans="2:12" ht="15.75" x14ac:dyDescent="0.25">
      <c r="B7" s="113">
        <v>1</v>
      </c>
      <c r="C7" s="89" t="s">
        <v>57</v>
      </c>
      <c r="D7" s="90">
        <v>185</v>
      </c>
      <c r="E7" s="107">
        <f t="shared" si="0"/>
        <v>185</v>
      </c>
      <c r="I7" s="539"/>
      <c r="J7" s="539"/>
      <c r="K7" s="539"/>
      <c r="L7" s="57"/>
    </row>
    <row r="8" spans="2:12" ht="15.75" x14ac:dyDescent="0.25">
      <c r="B8" s="113">
        <v>1</v>
      </c>
      <c r="C8" s="91" t="s">
        <v>21</v>
      </c>
      <c r="D8" s="90">
        <v>109</v>
      </c>
      <c r="E8" s="107">
        <f t="shared" si="0"/>
        <v>109</v>
      </c>
      <c r="I8" s="539"/>
      <c r="J8" s="539"/>
      <c r="K8" s="539"/>
      <c r="L8" s="57"/>
    </row>
    <row r="9" spans="2:12" ht="15.75" x14ac:dyDescent="0.25">
      <c r="B9" s="113">
        <v>1</v>
      </c>
      <c r="C9" s="89" t="s">
        <v>58</v>
      </c>
      <c r="D9" s="92">
        <v>250</v>
      </c>
      <c r="E9" s="107">
        <f t="shared" si="0"/>
        <v>250</v>
      </c>
      <c r="I9" s="539"/>
      <c r="J9" s="539"/>
      <c r="K9" s="539"/>
      <c r="L9" s="57"/>
    </row>
    <row r="10" spans="2:12" ht="15.75" x14ac:dyDescent="0.25">
      <c r="B10" s="113">
        <v>2</v>
      </c>
      <c r="C10" s="89" t="s">
        <v>59</v>
      </c>
      <c r="D10" s="92">
        <v>40</v>
      </c>
      <c r="E10" s="107">
        <f t="shared" si="0"/>
        <v>80</v>
      </c>
      <c r="I10" s="76"/>
      <c r="J10" s="76"/>
      <c r="K10" s="76"/>
      <c r="L10" s="57"/>
    </row>
    <row r="11" spans="2:12" ht="15.75" x14ac:dyDescent="0.25">
      <c r="B11" s="113">
        <v>6</v>
      </c>
      <c r="C11" s="89" t="s">
        <v>23</v>
      </c>
      <c r="D11" s="90">
        <v>150</v>
      </c>
      <c r="E11" s="107">
        <f t="shared" ref="E11:E19" si="1">B11*D11</f>
        <v>900</v>
      </c>
      <c r="I11" s="76"/>
      <c r="J11" s="76"/>
      <c r="K11" s="76"/>
      <c r="L11" s="57"/>
    </row>
    <row r="12" spans="2:12" ht="15.75" x14ac:dyDescent="0.25">
      <c r="B12" s="113">
        <v>6</v>
      </c>
      <c r="C12" s="89" t="s">
        <v>61</v>
      </c>
      <c r="D12" s="90">
        <v>45</v>
      </c>
      <c r="E12" s="107">
        <f t="shared" si="1"/>
        <v>270</v>
      </c>
      <c r="I12" s="539"/>
      <c r="J12" s="539"/>
      <c r="K12" s="539"/>
      <c r="L12" s="57"/>
    </row>
    <row r="13" spans="2:12" ht="15.75" x14ac:dyDescent="0.25">
      <c r="B13" s="113">
        <v>6</v>
      </c>
      <c r="C13" s="89" t="s">
        <v>62</v>
      </c>
      <c r="D13" s="90">
        <v>20</v>
      </c>
      <c r="E13" s="107">
        <f t="shared" si="1"/>
        <v>120</v>
      </c>
      <c r="I13" s="77"/>
      <c r="J13" s="77"/>
      <c r="K13" s="77"/>
      <c r="L13" s="57"/>
    </row>
    <row r="14" spans="2:12" ht="15.75" x14ac:dyDescent="0.25">
      <c r="B14" s="113">
        <v>1</v>
      </c>
      <c r="C14" s="89" t="s">
        <v>63</v>
      </c>
      <c r="D14" s="90">
        <v>250</v>
      </c>
      <c r="E14" s="107">
        <f t="shared" si="1"/>
        <v>250</v>
      </c>
    </row>
    <row r="15" spans="2:12" ht="15.75" x14ac:dyDescent="0.25">
      <c r="B15" s="113">
        <v>1</v>
      </c>
      <c r="C15" s="89" t="s">
        <v>22</v>
      </c>
      <c r="D15" s="90">
        <v>150</v>
      </c>
      <c r="E15" s="107">
        <f t="shared" si="1"/>
        <v>150</v>
      </c>
    </row>
    <row r="16" spans="2:12" ht="15.75" x14ac:dyDescent="0.25">
      <c r="B16" s="113">
        <v>4</v>
      </c>
      <c r="C16" s="89" t="s">
        <v>24</v>
      </c>
      <c r="D16" s="90">
        <v>150</v>
      </c>
      <c r="E16" s="107">
        <f t="shared" si="1"/>
        <v>600</v>
      </c>
    </row>
    <row r="17" spans="1:28" ht="15.75" x14ac:dyDescent="0.25">
      <c r="B17" s="113">
        <v>1</v>
      </c>
      <c r="C17" s="89" t="s">
        <v>64</v>
      </c>
      <c r="D17" s="90">
        <v>50</v>
      </c>
      <c r="E17" s="107">
        <f t="shared" si="1"/>
        <v>50</v>
      </c>
    </row>
    <row r="18" spans="1:28" ht="15.75" x14ac:dyDescent="0.25">
      <c r="B18" s="113">
        <v>6</v>
      </c>
      <c r="C18" s="89" t="s">
        <v>65</v>
      </c>
      <c r="D18" s="90">
        <v>10</v>
      </c>
      <c r="E18" s="107">
        <f t="shared" si="1"/>
        <v>60</v>
      </c>
    </row>
    <row r="19" spans="1:28" ht="16.5" thickBot="1" x14ac:dyDescent="0.3">
      <c r="B19" s="116">
        <v>5</v>
      </c>
      <c r="C19" s="93" t="s">
        <v>66</v>
      </c>
      <c r="D19" s="94">
        <v>20</v>
      </c>
      <c r="E19" s="112">
        <f t="shared" si="1"/>
        <v>100</v>
      </c>
    </row>
    <row r="20" spans="1:28" ht="16.5" thickBot="1" x14ac:dyDescent="0.3">
      <c r="B20" s="561" t="s">
        <v>2</v>
      </c>
      <c r="C20" s="562"/>
      <c r="D20" s="563"/>
      <c r="E20" s="502">
        <f>SUM(E5:E19)</f>
        <v>8819</v>
      </c>
    </row>
    <row r="21" spans="1:28" ht="15.75" x14ac:dyDescent="0.25">
      <c r="B21" s="565" t="s">
        <v>67</v>
      </c>
      <c r="C21" s="566"/>
      <c r="D21" s="566"/>
      <c r="E21" s="567"/>
    </row>
    <row r="22" spans="1:28" ht="15.75" x14ac:dyDescent="0.25">
      <c r="A22" s="73"/>
      <c r="B22" s="485" t="s">
        <v>25</v>
      </c>
      <c r="C22" s="486" t="s">
        <v>53</v>
      </c>
      <c r="D22" s="487" t="s">
        <v>54</v>
      </c>
      <c r="E22" s="488" t="s">
        <v>68</v>
      </c>
      <c r="F22" s="73"/>
      <c r="G22" s="73"/>
      <c r="H22" s="73"/>
    </row>
    <row r="23" spans="1:28" ht="15.75" x14ac:dyDescent="0.25">
      <c r="B23" s="113">
        <v>24</v>
      </c>
      <c r="C23" s="95" t="s">
        <v>69</v>
      </c>
      <c r="D23" s="90">
        <v>0.22</v>
      </c>
      <c r="E23" s="107">
        <f>B23*D23</f>
        <v>5.28</v>
      </c>
    </row>
    <row r="24" spans="1:28" ht="15.75" x14ac:dyDescent="0.25">
      <c r="B24" s="113">
        <v>3</v>
      </c>
      <c r="C24" s="95" t="s">
        <v>205</v>
      </c>
      <c r="D24" s="90">
        <v>5</v>
      </c>
      <c r="E24" s="107">
        <f t="shared" ref="E24:E36" si="2">B24*D24</f>
        <v>15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</row>
    <row r="25" spans="1:28" ht="15.75" x14ac:dyDescent="0.25">
      <c r="B25" s="113">
        <v>1</v>
      </c>
      <c r="C25" s="95" t="s">
        <v>70</v>
      </c>
      <c r="D25" s="90">
        <v>28</v>
      </c>
      <c r="E25" s="107">
        <f t="shared" si="2"/>
        <v>28</v>
      </c>
    </row>
    <row r="26" spans="1:28" ht="15.75" x14ac:dyDescent="0.25">
      <c r="B26" s="113">
        <v>2</v>
      </c>
      <c r="C26" s="95" t="s">
        <v>71</v>
      </c>
      <c r="D26" s="90">
        <v>25</v>
      </c>
      <c r="E26" s="107">
        <f>D26*B26</f>
        <v>50</v>
      </c>
    </row>
    <row r="27" spans="1:28" ht="15.75" x14ac:dyDescent="0.25">
      <c r="B27" s="113">
        <v>2</v>
      </c>
      <c r="C27" s="95" t="s">
        <v>72</v>
      </c>
      <c r="D27" s="90">
        <v>1.85</v>
      </c>
      <c r="E27" s="107">
        <f t="shared" si="2"/>
        <v>3.7</v>
      </c>
    </row>
    <row r="28" spans="1:28" ht="15.75" x14ac:dyDescent="0.25">
      <c r="B28" s="113">
        <v>1</v>
      </c>
      <c r="C28" s="95" t="s">
        <v>73</v>
      </c>
      <c r="D28" s="90">
        <v>1.6</v>
      </c>
      <c r="E28" s="107">
        <f t="shared" si="2"/>
        <v>1.6</v>
      </c>
    </row>
    <row r="29" spans="1:28" ht="15.75" x14ac:dyDescent="0.25">
      <c r="B29" s="113">
        <v>1</v>
      </c>
      <c r="C29" s="95" t="s">
        <v>74</v>
      </c>
      <c r="D29" s="90">
        <v>1.74</v>
      </c>
      <c r="E29" s="107">
        <f t="shared" si="2"/>
        <v>1.74</v>
      </c>
    </row>
    <row r="30" spans="1:28" ht="15.75" x14ac:dyDescent="0.25">
      <c r="B30" s="113">
        <v>1</v>
      </c>
      <c r="C30" s="95" t="s">
        <v>75</v>
      </c>
      <c r="D30" s="90">
        <v>0.9</v>
      </c>
      <c r="E30" s="107">
        <f t="shared" si="2"/>
        <v>0.9</v>
      </c>
    </row>
    <row r="31" spans="1:28" ht="15.75" x14ac:dyDescent="0.25">
      <c r="B31" s="113">
        <v>10</v>
      </c>
      <c r="C31" s="95" t="s">
        <v>76</v>
      </c>
      <c r="D31" s="90">
        <v>2.4</v>
      </c>
      <c r="E31" s="107">
        <f t="shared" si="2"/>
        <v>24</v>
      </c>
    </row>
    <row r="32" spans="1:28" s="73" customFormat="1" ht="15.75" x14ac:dyDescent="0.25">
      <c r="A32" s="53"/>
      <c r="B32" s="113">
        <v>10</v>
      </c>
      <c r="C32" s="95" t="s">
        <v>77</v>
      </c>
      <c r="D32" s="90">
        <v>0.54</v>
      </c>
      <c r="E32" s="107">
        <f t="shared" si="2"/>
        <v>5.4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28" ht="15.75" x14ac:dyDescent="0.25">
      <c r="B33" s="113">
        <v>5</v>
      </c>
      <c r="C33" s="95" t="s">
        <v>78</v>
      </c>
      <c r="D33" s="90">
        <v>1.6</v>
      </c>
      <c r="E33" s="107">
        <f t="shared" si="2"/>
        <v>8</v>
      </c>
    </row>
    <row r="34" spans="1:28" ht="15.75" x14ac:dyDescent="0.25">
      <c r="B34" s="113">
        <v>5</v>
      </c>
      <c r="C34" s="95" t="s">
        <v>79</v>
      </c>
      <c r="D34" s="90">
        <v>2</v>
      </c>
      <c r="E34" s="107">
        <f t="shared" si="2"/>
        <v>10</v>
      </c>
    </row>
    <row r="35" spans="1:28" ht="15.75" x14ac:dyDescent="0.25">
      <c r="B35" s="113">
        <v>1</v>
      </c>
      <c r="C35" s="95" t="s">
        <v>80</v>
      </c>
      <c r="D35" s="90">
        <v>1.2</v>
      </c>
      <c r="E35" s="107">
        <f t="shared" si="2"/>
        <v>1.2</v>
      </c>
    </row>
    <row r="36" spans="1:28" ht="16.5" thickBot="1" x14ac:dyDescent="0.3">
      <c r="B36" s="116">
        <v>10</v>
      </c>
      <c r="C36" s="204" t="s">
        <v>81</v>
      </c>
      <c r="D36" s="94">
        <v>2</v>
      </c>
      <c r="E36" s="112">
        <f t="shared" si="2"/>
        <v>20</v>
      </c>
    </row>
    <row r="37" spans="1:28" ht="16.5" thickBot="1" x14ac:dyDescent="0.3">
      <c r="B37" s="552" t="s">
        <v>2</v>
      </c>
      <c r="C37" s="553"/>
      <c r="D37" s="564"/>
      <c r="E37" s="481">
        <f>SUM(E23:E36)</f>
        <v>174.82</v>
      </c>
    </row>
    <row r="38" spans="1:28" ht="15.75" x14ac:dyDescent="0.25">
      <c r="B38" s="568" t="s">
        <v>30</v>
      </c>
      <c r="C38" s="569"/>
      <c r="D38" s="569"/>
      <c r="E38" s="570"/>
    </row>
    <row r="39" spans="1:28" ht="15.75" x14ac:dyDescent="0.25">
      <c r="A39" s="73"/>
      <c r="B39" s="489" t="s">
        <v>25</v>
      </c>
      <c r="C39" s="490" t="s">
        <v>53</v>
      </c>
      <c r="D39" s="491" t="s">
        <v>54</v>
      </c>
      <c r="E39" s="492" t="s">
        <v>68</v>
      </c>
      <c r="F39" s="73"/>
      <c r="G39" s="73"/>
      <c r="H39" s="73"/>
    </row>
    <row r="40" spans="1:28" ht="15.75" x14ac:dyDescent="0.25">
      <c r="B40" s="110">
        <v>2</v>
      </c>
      <c r="C40" s="96" t="s">
        <v>82</v>
      </c>
      <c r="D40" s="90">
        <v>3.25</v>
      </c>
      <c r="E40" s="107">
        <f>SUM(D40*B40)</f>
        <v>6.5</v>
      </c>
    </row>
    <row r="41" spans="1:28" ht="15.75" x14ac:dyDescent="0.25">
      <c r="B41" s="110">
        <v>2</v>
      </c>
      <c r="C41" s="96" t="s">
        <v>83</v>
      </c>
      <c r="D41" s="90">
        <v>3.5</v>
      </c>
      <c r="E41" s="107">
        <f t="shared" ref="E41:E51" si="3">SUM(D41*B41)</f>
        <v>7</v>
      </c>
      <c r="G41" s="55"/>
      <c r="I41" s="73"/>
    </row>
    <row r="42" spans="1:28" ht="15.75" x14ac:dyDescent="0.25">
      <c r="B42" s="110">
        <v>1</v>
      </c>
      <c r="C42" s="96" t="s">
        <v>206</v>
      </c>
      <c r="D42" s="90">
        <v>5</v>
      </c>
      <c r="E42" s="107">
        <f t="shared" si="3"/>
        <v>5</v>
      </c>
      <c r="G42" s="55"/>
    </row>
    <row r="43" spans="1:28" ht="15.75" x14ac:dyDescent="0.25">
      <c r="B43" s="110">
        <v>4</v>
      </c>
      <c r="C43" s="96" t="s">
        <v>84</v>
      </c>
      <c r="D43" s="90">
        <v>4</v>
      </c>
      <c r="E43" s="107">
        <f t="shared" si="3"/>
        <v>16</v>
      </c>
      <c r="G43" s="55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</row>
    <row r="44" spans="1:28" ht="15.75" x14ac:dyDescent="0.25">
      <c r="B44" s="110">
        <v>2</v>
      </c>
      <c r="C44" s="96" t="s">
        <v>85</v>
      </c>
      <c r="D44" s="90">
        <v>1.53</v>
      </c>
      <c r="E44" s="107">
        <f t="shared" si="3"/>
        <v>3.06</v>
      </c>
      <c r="G44" s="55"/>
    </row>
    <row r="45" spans="1:28" ht="15.75" x14ac:dyDescent="0.25">
      <c r="B45" s="110">
        <v>1</v>
      </c>
      <c r="C45" s="96" t="s">
        <v>207</v>
      </c>
      <c r="D45" s="90">
        <v>0.98</v>
      </c>
      <c r="E45" s="107">
        <f t="shared" si="3"/>
        <v>0.98</v>
      </c>
      <c r="G45" s="55"/>
    </row>
    <row r="46" spans="1:28" ht="15.75" x14ac:dyDescent="0.25">
      <c r="B46" s="110">
        <v>1</v>
      </c>
      <c r="C46" s="96" t="s">
        <v>86</v>
      </c>
      <c r="D46" s="90">
        <v>1.1200000000000001</v>
      </c>
      <c r="E46" s="107">
        <f t="shared" si="3"/>
        <v>1.1200000000000001</v>
      </c>
      <c r="G46" s="55"/>
    </row>
    <row r="47" spans="1:28" ht="15.75" x14ac:dyDescent="0.25">
      <c r="B47" s="110">
        <v>1</v>
      </c>
      <c r="C47" s="96" t="s">
        <v>87</v>
      </c>
      <c r="D47" s="90">
        <v>5.69</v>
      </c>
      <c r="E47" s="107">
        <f t="shared" si="3"/>
        <v>5.69</v>
      </c>
      <c r="G47" s="55"/>
    </row>
    <row r="48" spans="1:28" ht="15.75" x14ac:dyDescent="0.25">
      <c r="B48" s="110">
        <v>1</v>
      </c>
      <c r="C48" s="96" t="s">
        <v>208</v>
      </c>
      <c r="D48" s="90">
        <v>0.59</v>
      </c>
      <c r="E48" s="107">
        <f t="shared" si="3"/>
        <v>0.59</v>
      </c>
      <c r="G48" s="55"/>
    </row>
    <row r="49" spans="1:28" ht="15.75" x14ac:dyDescent="0.25">
      <c r="B49" s="110">
        <v>1</v>
      </c>
      <c r="C49" s="96" t="s">
        <v>251</v>
      </c>
      <c r="D49" s="90">
        <v>3.24</v>
      </c>
      <c r="E49" s="107">
        <f t="shared" si="3"/>
        <v>3.24</v>
      </c>
      <c r="G49" s="55"/>
    </row>
    <row r="50" spans="1:28" ht="15.75" x14ac:dyDescent="0.25">
      <c r="B50" s="110">
        <v>3</v>
      </c>
      <c r="C50" s="96" t="s">
        <v>209</v>
      </c>
      <c r="D50" s="90">
        <v>1.75</v>
      </c>
      <c r="E50" s="107">
        <f t="shared" si="3"/>
        <v>5.25</v>
      </c>
      <c r="G50" s="55"/>
    </row>
    <row r="51" spans="1:28" s="73" customFormat="1" ht="16.5" thickBot="1" x14ac:dyDescent="0.3">
      <c r="A51" s="53"/>
      <c r="B51" s="111">
        <v>4</v>
      </c>
      <c r="C51" s="100" t="s">
        <v>250</v>
      </c>
      <c r="D51" s="94">
        <v>4.75</v>
      </c>
      <c r="E51" s="112">
        <f t="shared" si="3"/>
        <v>19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ht="16.5" thickBot="1" x14ac:dyDescent="0.3">
      <c r="B52" s="543" t="s">
        <v>2</v>
      </c>
      <c r="C52" s="544"/>
      <c r="D52" s="545"/>
      <c r="E52" s="501">
        <f>SUM(E40:E51)</f>
        <v>73.430000000000007</v>
      </c>
    </row>
    <row r="53" spans="1:28" ht="15.75" x14ac:dyDescent="0.25">
      <c r="B53" s="571" t="s">
        <v>40</v>
      </c>
      <c r="C53" s="572"/>
      <c r="D53" s="572"/>
      <c r="E53" s="573"/>
    </row>
    <row r="54" spans="1:28" ht="15.75" x14ac:dyDescent="0.25">
      <c r="B54" s="493" t="s">
        <v>25</v>
      </c>
      <c r="C54" s="482" t="s">
        <v>53</v>
      </c>
      <c r="D54" s="483" t="s">
        <v>54</v>
      </c>
      <c r="E54" s="484" t="s">
        <v>68</v>
      </c>
    </row>
    <row r="55" spans="1:28" x14ac:dyDescent="0.25">
      <c r="B55" s="110">
        <v>18</v>
      </c>
      <c r="C55" s="97" t="s">
        <v>88</v>
      </c>
      <c r="D55" s="90">
        <v>28</v>
      </c>
      <c r="E55" s="107">
        <f>SUM(D55*B55)</f>
        <v>504</v>
      </c>
    </row>
    <row r="56" spans="1:28" x14ac:dyDescent="0.25">
      <c r="B56" s="110">
        <v>18</v>
      </c>
      <c r="C56" s="97" t="s">
        <v>210</v>
      </c>
      <c r="D56" s="90">
        <v>2.2999999999999998</v>
      </c>
      <c r="E56" s="107">
        <f>SUM(D56*B56)</f>
        <v>41.4</v>
      </c>
    </row>
    <row r="57" spans="1:28" x14ac:dyDescent="0.25">
      <c r="B57" s="110">
        <v>1</v>
      </c>
      <c r="C57" s="97" t="s">
        <v>89</v>
      </c>
      <c r="D57" s="90">
        <v>3.3</v>
      </c>
      <c r="E57" s="107">
        <f>SUM(D57*B57)</f>
        <v>3.3</v>
      </c>
    </row>
    <row r="58" spans="1:28" x14ac:dyDescent="0.25">
      <c r="B58" s="111">
        <v>18</v>
      </c>
      <c r="C58" s="105" t="s">
        <v>211</v>
      </c>
      <c r="D58" s="94">
        <v>15</v>
      </c>
      <c r="E58" s="107">
        <f>SUM(D58*B58)</f>
        <v>270</v>
      </c>
    </row>
    <row r="59" spans="1:28" ht="16.5" thickBot="1" x14ac:dyDescent="0.3">
      <c r="B59" s="555" t="s">
        <v>2</v>
      </c>
      <c r="C59" s="556"/>
      <c r="D59" s="557"/>
      <c r="E59" s="500">
        <f>SUM(E55:E58)</f>
        <v>818.69999999999993</v>
      </c>
    </row>
    <row r="60" spans="1:28" ht="15.75" x14ac:dyDescent="0.25">
      <c r="B60" s="546" t="s">
        <v>90</v>
      </c>
      <c r="C60" s="547"/>
      <c r="D60" s="547"/>
      <c r="E60" s="548"/>
    </row>
    <row r="61" spans="1:28" ht="15.75" x14ac:dyDescent="0.25">
      <c r="B61" s="477" t="s">
        <v>25</v>
      </c>
      <c r="C61" s="478" t="s">
        <v>53</v>
      </c>
      <c r="D61" s="479" t="s">
        <v>54</v>
      </c>
      <c r="E61" s="480" t="s">
        <v>68</v>
      </c>
    </row>
    <row r="62" spans="1:28" ht="15.75" x14ac:dyDescent="0.25">
      <c r="B62" s="106">
        <v>1</v>
      </c>
      <c r="C62" s="96" t="s">
        <v>212</v>
      </c>
      <c r="D62" s="90">
        <v>100000</v>
      </c>
      <c r="E62" s="107">
        <f>SUM(D62*B62)</f>
        <v>100000</v>
      </c>
    </row>
    <row r="63" spans="1:28" ht="15.75" x14ac:dyDescent="0.25">
      <c r="B63" s="106">
        <v>1</v>
      </c>
      <c r="C63" s="96" t="s">
        <v>213</v>
      </c>
      <c r="D63" s="90">
        <v>17000</v>
      </c>
      <c r="E63" s="107">
        <f>SUM(D63*B63)</f>
        <v>17000</v>
      </c>
    </row>
    <row r="64" spans="1:28" ht="16.5" thickBot="1" x14ac:dyDescent="0.3">
      <c r="B64" s="558" t="s">
        <v>2</v>
      </c>
      <c r="C64" s="559"/>
      <c r="D64" s="560"/>
      <c r="E64" s="494">
        <f>SUM(E62:E63)</f>
        <v>117000</v>
      </c>
    </row>
    <row r="65" spans="1:5" ht="15.75" x14ac:dyDescent="0.25">
      <c r="B65" s="549" t="s">
        <v>91</v>
      </c>
      <c r="C65" s="550"/>
      <c r="D65" s="550"/>
      <c r="E65" s="551"/>
    </row>
    <row r="66" spans="1:5" ht="16.5" thickBot="1" x14ac:dyDescent="0.3">
      <c r="B66" s="495" t="s">
        <v>25</v>
      </c>
      <c r="C66" s="496" t="s">
        <v>53</v>
      </c>
      <c r="D66" s="497" t="s">
        <v>54</v>
      </c>
      <c r="E66" s="498" t="s">
        <v>68</v>
      </c>
    </row>
    <row r="67" spans="1:5" ht="15.75" x14ac:dyDescent="0.25">
      <c r="B67" s="108">
        <v>6</v>
      </c>
      <c r="C67" s="98" t="s">
        <v>202</v>
      </c>
      <c r="D67" s="99">
        <v>15000</v>
      </c>
      <c r="E67" s="109">
        <f>SUM(D67*B67)</f>
        <v>90000</v>
      </c>
    </row>
    <row r="68" spans="1:5" ht="15.75" x14ac:dyDescent="0.25">
      <c r="B68" s="110">
        <v>6</v>
      </c>
      <c r="C68" s="96" t="s">
        <v>203</v>
      </c>
      <c r="D68" s="90">
        <v>10000</v>
      </c>
      <c r="E68" s="107">
        <f>SUM(D68*B68)</f>
        <v>60000</v>
      </c>
    </row>
    <row r="69" spans="1:5" ht="16.5" thickBot="1" x14ac:dyDescent="0.3">
      <c r="B69" s="111">
        <v>1</v>
      </c>
      <c r="C69" s="101" t="s">
        <v>214</v>
      </c>
      <c r="D69" s="94">
        <v>2700</v>
      </c>
      <c r="E69" s="112">
        <f>SUM(D69*B69)</f>
        <v>2700</v>
      </c>
    </row>
    <row r="70" spans="1:5" ht="16.5" thickBot="1" x14ac:dyDescent="0.3">
      <c r="B70" s="552" t="s">
        <v>2</v>
      </c>
      <c r="C70" s="553"/>
      <c r="D70" s="554"/>
      <c r="E70" s="499">
        <f>SUM(E67:E69)</f>
        <v>152700</v>
      </c>
    </row>
    <row r="71" spans="1:5" ht="16.5" thickBot="1" x14ac:dyDescent="0.3">
      <c r="B71" s="540" t="s">
        <v>50</v>
      </c>
      <c r="C71" s="541"/>
      <c r="D71" s="542"/>
      <c r="E71" s="235">
        <f>E70+E59+E64+E52+E37+E20</f>
        <v>279585.95</v>
      </c>
    </row>
    <row r="72" spans="1:5" x14ac:dyDescent="0.25">
      <c r="B72" s="54"/>
      <c r="C72" s="51"/>
      <c r="D72" s="78"/>
      <c r="E72" s="78"/>
    </row>
    <row r="73" spans="1:5" x14ac:dyDescent="0.25">
      <c r="B73" s="54"/>
      <c r="C73" s="58"/>
      <c r="D73" s="78"/>
      <c r="E73" s="78"/>
    </row>
    <row r="74" spans="1:5" x14ac:dyDescent="0.25">
      <c r="B74" s="54"/>
      <c r="C74" s="58"/>
      <c r="D74" s="78"/>
      <c r="E74" s="78"/>
    </row>
    <row r="75" spans="1:5" x14ac:dyDescent="0.25">
      <c r="B75" s="54"/>
      <c r="C75" s="58"/>
      <c r="D75" s="78"/>
      <c r="E75" s="78"/>
    </row>
    <row r="76" spans="1:5" x14ac:dyDescent="0.25">
      <c r="B76" s="54"/>
      <c r="C76" s="58"/>
      <c r="D76" s="78"/>
      <c r="E76" s="78"/>
    </row>
    <row r="77" spans="1:5" x14ac:dyDescent="0.25">
      <c r="B77" s="54"/>
      <c r="C77" s="58"/>
      <c r="D77" s="78"/>
      <c r="E77" s="78"/>
    </row>
    <row r="78" spans="1:5" x14ac:dyDescent="0.25">
      <c r="B78" s="54"/>
      <c r="C78" s="54"/>
      <c r="D78" s="54"/>
      <c r="E78" s="54"/>
    </row>
    <row r="79" spans="1:5" x14ac:dyDescent="0.25">
      <c r="A79" s="54"/>
    </row>
    <row r="80" spans="1:5" x14ac:dyDescent="0.25">
      <c r="A80" s="54"/>
    </row>
    <row r="81" spans="1:1" x14ac:dyDescent="0.25">
      <c r="A81" s="54"/>
    </row>
    <row r="82" spans="1:1" x14ac:dyDescent="0.25">
      <c r="A82" s="54"/>
    </row>
    <row r="83" spans="1:1" x14ac:dyDescent="0.25">
      <c r="A83" s="54"/>
    </row>
    <row r="84" spans="1:1" x14ac:dyDescent="0.25">
      <c r="A84" s="54"/>
    </row>
    <row r="85" spans="1:1" x14ac:dyDescent="0.25">
      <c r="A85" s="54"/>
    </row>
    <row r="86" spans="1:1" x14ac:dyDescent="0.25">
      <c r="A86" s="54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</sheetData>
  <mergeCells count="18">
    <mergeCell ref="I6:L6"/>
    <mergeCell ref="I7:K7"/>
    <mergeCell ref="I8:K8"/>
    <mergeCell ref="B3:E3"/>
    <mergeCell ref="I9:K9"/>
    <mergeCell ref="I12:K12"/>
    <mergeCell ref="B71:D71"/>
    <mergeCell ref="B52:D52"/>
    <mergeCell ref="B60:E60"/>
    <mergeCell ref="B65:E65"/>
    <mergeCell ref="B70:D70"/>
    <mergeCell ref="B59:D59"/>
    <mergeCell ref="B64:D64"/>
    <mergeCell ref="B20:D20"/>
    <mergeCell ref="B37:D37"/>
    <mergeCell ref="B21:E21"/>
    <mergeCell ref="B38:E38"/>
    <mergeCell ref="B53:E5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zoomScale="87" zoomScaleNormal="87" workbookViewId="0">
      <selection activeCell="B17" sqref="B17:E25"/>
    </sheetView>
  </sheetViews>
  <sheetFormatPr baseColWidth="10" defaultRowHeight="15" x14ac:dyDescent="0.25"/>
  <cols>
    <col min="1" max="1" width="7" style="8" customWidth="1"/>
    <col min="2" max="2" width="29.5703125" style="8" customWidth="1"/>
    <col min="3" max="3" width="32.28515625" style="8" customWidth="1"/>
    <col min="4" max="4" width="20.7109375" style="8" customWidth="1"/>
    <col min="5" max="5" width="27.5703125" style="8" customWidth="1"/>
    <col min="6" max="6" width="27.140625" style="8" customWidth="1"/>
    <col min="7" max="7" width="23.42578125" style="8" customWidth="1"/>
    <col min="8" max="8" width="16.28515625" style="8" customWidth="1"/>
    <col min="9" max="9" width="13.140625" style="8" bestFit="1" customWidth="1"/>
    <col min="10" max="10" width="14.28515625" style="8" bestFit="1" customWidth="1"/>
    <col min="11" max="11" width="17" style="8" bestFit="1" customWidth="1"/>
    <col min="12" max="16384" width="11.42578125" style="8"/>
  </cols>
  <sheetData>
    <row r="2" spans="2:12" ht="15.75" x14ac:dyDescent="0.25">
      <c r="B2" s="117"/>
      <c r="C2" s="117"/>
      <c r="D2" s="117"/>
      <c r="E2" s="117"/>
      <c r="F2" s="117"/>
    </row>
    <row r="3" spans="2:12" ht="16.5" thickBot="1" x14ac:dyDescent="0.3">
      <c r="B3" s="117"/>
      <c r="C3" s="117"/>
      <c r="D3" s="117"/>
      <c r="E3" s="117"/>
      <c r="F3" s="117"/>
    </row>
    <row r="4" spans="2:12" ht="16.5" thickBot="1" x14ac:dyDescent="0.3">
      <c r="B4" s="578" t="s">
        <v>260</v>
      </c>
      <c r="C4" s="579"/>
      <c r="D4" s="579"/>
      <c r="E4" s="579"/>
      <c r="F4" s="580"/>
    </row>
    <row r="5" spans="2:12" ht="16.5" thickBot="1" x14ac:dyDescent="0.3">
      <c r="B5" s="586" t="s">
        <v>218</v>
      </c>
      <c r="C5" s="175" t="s">
        <v>217</v>
      </c>
      <c r="D5" s="588" t="s">
        <v>263</v>
      </c>
      <c r="E5" s="589"/>
      <c r="F5" s="184" t="s">
        <v>262</v>
      </c>
      <c r="I5" s="10"/>
      <c r="J5" s="10"/>
      <c r="K5" s="10"/>
      <c r="L5" s="11"/>
    </row>
    <row r="6" spans="2:12" ht="16.5" thickBot="1" x14ac:dyDescent="0.3">
      <c r="B6" s="587"/>
      <c r="C6" s="178" t="s">
        <v>220</v>
      </c>
      <c r="D6" s="176" t="s">
        <v>261</v>
      </c>
      <c r="E6" s="177" t="s">
        <v>219</v>
      </c>
      <c r="F6" s="184" t="s">
        <v>219</v>
      </c>
      <c r="I6" s="12"/>
      <c r="J6" s="12"/>
      <c r="K6" s="12"/>
      <c r="L6" s="13"/>
    </row>
    <row r="7" spans="2:12" ht="15.75" x14ac:dyDescent="0.25">
      <c r="B7" s="164" t="s">
        <v>221</v>
      </c>
      <c r="C7" s="179">
        <v>1.48</v>
      </c>
      <c r="D7" s="165">
        <v>0.2</v>
      </c>
      <c r="E7" s="166">
        <v>2957</v>
      </c>
      <c r="F7" s="169">
        <v>1800</v>
      </c>
      <c r="I7" s="14"/>
      <c r="J7" s="14"/>
      <c r="K7" s="14"/>
      <c r="L7" s="15"/>
    </row>
    <row r="8" spans="2:12" ht="15.75" x14ac:dyDescent="0.25">
      <c r="B8" s="167" t="s">
        <v>222</v>
      </c>
      <c r="C8" s="180">
        <v>1.48</v>
      </c>
      <c r="D8" s="168">
        <v>0.36</v>
      </c>
      <c r="E8" s="169">
        <v>7914</v>
      </c>
      <c r="F8" s="169">
        <v>4000</v>
      </c>
      <c r="I8" s="14"/>
      <c r="J8" s="14"/>
      <c r="K8" s="14"/>
      <c r="L8" s="11"/>
    </row>
    <row r="9" spans="2:12" ht="15.75" x14ac:dyDescent="0.25">
      <c r="B9" s="167" t="s">
        <v>223</v>
      </c>
      <c r="C9" s="180">
        <v>1.99</v>
      </c>
      <c r="D9" s="168">
        <v>0.23</v>
      </c>
      <c r="E9" s="169">
        <v>3943</v>
      </c>
      <c r="F9" s="169">
        <v>1987</v>
      </c>
      <c r="I9" s="16"/>
      <c r="J9" s="16"/>
      <c r="K9" s="11"/>
      <c r="L9" s="11"/>
    </row>
    <row r="10" spans="2:12" ht="15.75" x14ac:dyDescent="0.25">
      <c r="B10" s="167" t="s">
        <v>224</v>
      </c>
      <c r="C10" s="180">
        <v>1.03</v>
      </c>
      <c r="D10" s="168">
        <v>0.11</v>
      </c>
      <c r="E10" s="169">
        <v>3989</v>
      </c>
      <c r="F10" s="169">
        <v>1590</v>
      </c>
      <c r="I10" s="11"/>
      <c r="J10" s="11"/>
      <c r="K10" s="11"/>
      <c r="L10" s="16"/>
    </row>
    <row r="11" spans="2:12" ht="16.5" thickBot="1" x14ac:dyDescent="0.3">
      <c r="B11" s="170" t="s">
        <v>225</v>
      </c>
      <c r="C11" s="183">
        <v>0.33</v>
      </c>
      <c r="D11" s="171">
        <v>0.1</v>
      </c>
      <c r="E11" s="172">
        <v>0</v>
      </c>
      <c r="F11" s="172" t="s">
        <v>226</v>
      </c>
      <c r="I11" s="17"/>
      <c r="J11" s="11"/>
      <c r="K11" s="11"/>
      <c r="L11" s="17"/>
    </row>
    <row r="12" spans="2:12" ht="16.5" thickBot="1" x14ac:dyDescent="0.3">
      <c r="B12" s="213" t="s">
        <v>12</v>
      </c>
      <c r="C12" s="213"/>
      <c r="D12" s="214">
        <f>SUM(D7:D11)</f>
        <v>1</v>
      </c>
      <c r="E12" s="215">
        <f>SUM(E7:E11)</f>
        <v>18803</v>
      </c>
      <c r="F12" s="215">
        <f>SUM(F7:F11)</f>
        <v>9377</v>
      </c>
      <c r="H12" s="182"/>
      <c r="I12" s="13"/>
      <c r="J12" s="11"/>
      <c r="K12" s="11"/>
      <c r="L12" s="13"/>
    </row>
    <row r="13" spans="2:12" ht="15.75" x14ac:dyDescent="0.25">
      <c r="F13" s="117"/>
      <c r="G13" s="16"/>
    </row>
    <row r="14" spans="2:12" ht="15.75" x14ac:dyDescent="0.25">
      <c r="B14" s="117"/>
      <c r="C14" s="117"/>
      <c r="D14" s="117"/>
      <c r="E14" s="117"/>
      <c r="F14" s="117"/>
    </row>
    <row r="15" spans="2:12" ht="15.75" x14ac:dyDescent="0.25">
      <c r="B15" s="117"/>
      <c r="C15" s="117"/>
      <c r="D15" s="117"/>
      <c r="E15" s="117"/>
      <c r="F15" s="117"/>
    </row>
    <row r="16" spans="2:12" ht="16.5" thickBot="1" x14ac:dyDescent="0.3">
      <c r="B16" s="160"/>
      <c r="C16" s="160"/>
      <c r="D16" s="160"/>
      <c r="E16" s="160"/>
      <c r="F16" s="117"/>
      <c r="G16" s="13"/>
    </row>
    <row r="17" spans="2:12" ht="16.5" thickBot="1" x14ac:dyDescent="0.3">
      <c r="B17" s="578" t="s">
        <v>300</v>
      </c>
      <c r="C17" s="579"/>
      <c r="D17" s="579"/>
      <c r="E17" s="580"/>
      <c r="F17" s="117"/>
      <c r="G17" s="13"/>
      <c r="L17" s="22"/>
    </row>
    <row r="18" spans="2:12" ht="16.5" thickBot="1" x14ac:dyDescent="0.3">
      <c r="B18" s="590" t="s">
        <v>218</v>
      </c>
      <c r="C18" s="176" t="s">
        <v>26</v>
      </c>
      <c r="D18" s="176" t="s">
        <v>29</v>
      </c>
      <c r="E18" s="185" t="s">
        <v>42</v>
      </c>
      <c r="F18" s="117"/>
      <c r="G18" s="17"/>
      <c r="K18" s="9"/>
      <c r="L18" s="22"/>
    </row>
    <row r="19" spans="2:12" ht="16.5" thickBot="1" x14ac:dyDescent="0.3">
      <c r="B19" s="591"/>
      <c r="C19" s="177" t="s">
        <v>227</v>
      </c>
      <c r="D19" s="186" t="s">
        <v>227</v>
      </c>
      <c r="E19" s="187" t="s">
        <v>227</v>
      </c>
      <c r="F19" s="117"/>
      <c r="G19" s="13"/>
      <c r="K19" s="9"/>
      <c r="L19" s="22"/>
    </row>
    <row r="20" spans="2:12" ht="15.75" x14ac:dyDescent="0.25">
      <c r="B20" s="164" t="s">
        <v>221</v>
      </c>
      <c r="C20" s="188">
        <f>(C7*E7)</f>
        <v>4376.3599999999997</v>
      </c>
      <c r="D20" s="188">
        <f>(C20*30)</f>
        <v>131290.79999999999</v>
      </c>
      <c r="E20" s="188">
        <f t="shared" ref="E20:E25" si="0">(D20*12)</f>
        <v>1575489.5999999999</v>
      </c>
      <c r="F20" s="117"/>
      <c r="G20" s="16"/>
      <c r="K20" s="9"/>
      <c r="L20" s="22"/>
    </row>
    <row r="21" spans="2:12" ht="15.75" x14ac:dyDescent="0.25">
      <c r="B21" s="167" t="s">
        <v>222</v>
      </c>
      <c r="C21" s="189">
        <f>(C8*E8)</f>
        <v>11712.72</v>
      </c>
      <c r="D21" s="189">
        <f>(C21*30)</f>
        <v>351381.6</v>
      </c>
      <c r="E21" s="189">
        <f t="shared" si="0"/>
        <v>4216579.1999999993</v>
      </c>
      <c r="F21" s="117"/>
      <c r="J21" s="13"/>
      <c r="K21" s="9"/>
      <c r="L21" s="22"/>
    </row>
    <row r="22" spans="2:12" ht="15.75" x14ac:dyDescent="0.25">
      <c r="B22" s="167" t="s">
        <v>223</v>
      </c>
      <c r="C22" s="189">
        <f>(C9*E9)</f>
        <v>7846.57</v>
      </c>
      <c r="D22" s="189">
        <f>(C22*30)</f>
        <v>235397.09999999998</v>
      </c>
      <c r="E22" s="189">
        <f t="shared" si="0"/>
        <v>2824765.1999999997</v>
      </c>
      <c r="F22" s="117"/>
      <c r="J22" s="15"/>
      <c r="K22" s="9"/>
      <c r="L22" s="22"/>
    </row>
    <row r="23" spans="2:12" ht="15.75" x14ac:dyDescent="0.25">
      <c r="B23" s="167" t="s">
        <v>224</v>
      </c>
      <c r="C23" s="189">
        <f>(C10*E10)</f>
        <v>4108.67</v>
      </c>
      <c r="D23" s="189">
        <f>(C23*30)</f>
        <v>123260.1</v>
      </c>
      <c r="E23" s="189">
        <f t="shared" si="0"/>
        <v>1479121.2000000002</v>
      </c>
      <c r="F23" s="117"/>
      <c r="J23" s="11"/>
      <c r="K23" s="79"/>
      <c r="L23" s="22"/>
    </row>
    <row r="24" spans="2:12" ht="16.5" thickBot="1" x14ac:dyDescent="0.3">
      <c r="B24" s="170" t="s">
        <v>225</v>
      </c>
      <c r="C24" s="173">
        <f>(C11*E11)</f>
        <v>0</v>
      </c>
      <c r="D24" s="174">
        <f>C24*20</f>
        <v>0</v>
      </c>
      <c r="E24" s="173">
        <f t="shared" si="0"/>
        <v>0</v>
      </c>
      <c r="F24" s="117"/>
      <c r="J24" s="11"/>
    </row>
    <row r="25" spans="2:12" ht="16.5" thickBot="1" x14ac:dyDescent="0.3">
      <c r="B25" s="207" t="s">
        <v>12</v>
      </c>
      <c r="C25" s="208">
        <f>SUM(C20:C24)</f>
        <v>28044.32</v>
      </c>
      <c r="D25" s="209">
        <f>SUM(D20:D24)</f>
        <v>841329.6</v>
      </c>
      <c r="E25" s="210">
        <f t="shared" si="0"/>
        <v>10095955.199999999</v>
      </c>
      <c r="F25" s="117"/>
      <c r="G25" s="190"/>
      <c r="J25" s="11"/>
    </row>
    <row r="26" spans="2:12" ht="15.75" x14ac:dyDescent="0.25">
      <c r="B26" s="117"/>
      <c r="C26" s="117"/>
      <c r="D26" s="117"/>
      <c r="E26" s="117"/>
      <c r="F26" s="117"/>
      <c r="J26" s="15"/>
    </row>
    <row r="27" spans="2:12" ht="16.5" thickBot="1" x14ac:dyDescent="0.3">
      <c r="B27" s="117"/>
      <c r="C27" s="117"/>
      <c r="D27" s="117"/>
      <c r="E27" s="117"/>
      <c r="F27" s="117"/>
      <c r="J27" s="11"/>
    </row>
    <row r="28" spans="2:12" ht="16.5" thickBot="1" x14ac:dyDescent="0.3">
      <c r="B28" s="578" t="s">
        <v>272</v>
      </c>
      <c r="C28" s="579"/>
      <c r="D28" s="580"/>
      <c r="E28" s="117"/>
      <c r="F28" s="117"/>
    </row>
    <row r="29" spans="2:12" ht="15.75" x14ac:dyDescent="0.25">
      <c r="B29" s="205" t="s">
        <v>274</v>
      </c>
      <c r="D29" s="206">
        <f>SUM(E20:E23)</f>
        <v>10095955.199999999</v>
      </c>
      <c r="E29" s="117"/>
      <c r="F29" s="117"/>
    </row>
    <row r="30" spans="2:12" ht="15.75" x14ac:dyDescent="0.25">
      <c r="B30" s="581" t="s">
        <v>273</v>
      </c>
      <c r="C30" s="581"/>
      <c r="D30" s="211"/>
      <c r="E30" s="117"/>
      <c r="F30" s="117"/>
    </row>
    <row r="31" spans="2:12" ht="15.75" x14ac:dyDescent="0.25">
      <c r="B31" s="181" t="s">
        <v>275</v>
      </c>
      <c r="C31" s="237">
        <v>600</v>
      </c>
      <c r="D31" s="237">
        <f>(600*3)*12</f>
        <v>21600</v>
      </c>
      <c r="E31" s="117"/>
      <c r="F31" s="117"/>
      <c r="G31" s="201"/>
    </row>
    <row r="32" spans="2:12" ht="16.5" thickBot="1" x14ac:dyDescent="0.3">
      <c r="B32" s="582" t="s">
        <v>276</v>
      </c>
      <c r="C32" s="583"/>
      <c r="D32" s="236">
        <f>D29+D31</f>
        <v>10117555.199999999</v>
      </c>
      <c r="E32" s="117"/>
      <c r="F32" s="117"/>
    </row>
    <row r="33" spans="2:6" ht="16.5" thickBot="1" x14ac:dyDescent="0.3">
      <c r="B33" s="117"/>
      <c r="C33" s="117"/>
      <c r="D33" s="117"/>
      <c r="E33" s="117"/>
      <c r="F33" s="117"/>
    </row>
    <row r="34" spans="2:6" ht="16.5" thickBot="1" x14ac:dyDescent="0.3">
      <c r="B34" s="578" t="s">
        <v>264</v>
      </c>
      <c r="C34" s="579"/>
      <c r="D34" s="579"/>
      <c r="E34" s="579"/>
      <c r="F34" s="580"/>
    </row>
    <row r="35" spans="2:6" ht="16.5" thickBot="1" x14ac:dyDescent="0.3">
      <c r="B35" s="586" t="s">
        <v>218</v>
      </c>
      <c r="C35" s="584" t="s">
        <v>265</v>
      </c>
      <c r="D35" s="200" t="s">
        <v>263</v>
      </c>
      <c r="E35" s="184" t="s">
        <v>262</v>
      </c>
      <c r="F35" s="184" t="s">
        <v>264</v>
      </c>
    </row>
    <row r="36" spans="2:6" ht="16.5" thickBot="1" x14ac:dyDescent="0.3">
      <c r="B36" s="587"/>
      <c r="C36" s="585"/>
      <c r="D36" s="177" t="s">
        <v>219</v>
      </c>
      <c r="E36" s="184" t="s">
        <v>219</v>
      </c>
      <c r="F36" s="186" t="s">
        <v>266</v>
      </c>
    </row>
    <row r="37" spans="2:6" ht="15.75" x14ac:dyDescent="0.25">
      <c r="B37" s="192" t="s">
        <v>221</v>
      </c>
      <c r="C37" s="193">
        <v>1.1817580000000001</v>
      </c>
      <c r="D37" s="166">
        <v>2957</v>
      </c>
      <c r="E37" s="202">
        <v>1800</v>
      </c>
      <c r="F37" s="199">
        <f>((C37*D37)*22)+((C37*E37)*8)</f>
        <v>93895.400131999995</v>
      </c>
    </row>
    <row r="38" spans="2:6" ht="15.75" x14ac:dyDescent="0.25">
      <c r="B38" s="194" t="s">
        <v>222</v>
      </c>
      <c r="C38" s="195">
        <v>1.1817580000000001</v>
      </c>
      <c r="D38" s="169">
        <v>7914</v>
      </c>
      <c r="E38" s="202">
        <v>4000</v>
      </c>
      <c r="F38" s="199">
        <f>((C38*D38)+(C38*E38))*30</f>
        <v>422383.94436000008</v>
      </c>
    </row>
    <row r="39" spans="2:6" ht="15.75" x14ac:dyDescent="0.25">
      <c r="B39" s="194" t="s">
        <v>223</v>
      </c>
      <c r="C39" s="195">
        <v>1.574424</v>
      </c>
      <c r="D39" s="169">
        <v>3943</v>
      </c>
      <c r="E39" s="202">
        <v>1987</v>
      </c>
      <c r="F39" s="199">
        <f>((C39*D39)+(C39*E39))*30</f>
        <v>280090.02960000001</v>
      </c>
    </row>
    <row r="40" spans="2:6" ht="15.75" x14ac:dyDescent="0.25">
      <c r="B40" s="194" t="s">
        <v>224</v>
      </c>
      <c r="C40" s="195">
        <v>0.81304600000000005</v>
      </c>
      <c r="D40" s="169">
        <v>3989</v>
      </c>
      <c r="E40" s="202">
        <v>1590</v>
      </c>
      <c r="F40" s="199">
        <f>((C40*D40)+(C40*E40))*30</f>
        <v>136079.50902</v>
      </c>
    </row>
    <row r="41" spans="2:6" ht="16.5" thickBot="1" x14ac:dyDescent="0.3">
      <c r="B41" s="196" t="s">
        <v>225</v>
      </c>
      <c r="C41" s="197" t="s">
        <v>226</v>
      </c>
      <c r="D41" s="172" t="s">
        <v>226</v>
      </c>
      <c r="E41" s="191" t="s">
        <v>226</v>
      </c>
      <c r="F41" s="198" t="s">
        <v>226</v>
      </c>
    </row>
    <row r="42" spans="2:6" ht="16.5" thickBot="1" x14ac:dyDescent="0.3">
      <c r="B42" s="578" t="s">
        <v>267</v>
      </c>
      <c r="C42" s="579"/>
      <c r="D42" s="579"/>
      <c r="E42" s="580"/>
      <c r="F42" s="212">
        <f>SUM(F37:F41)</f>
        <v>932448.88311200007</v>
      </c>
    </row>
  </sheetData>
  <mergeCells count="12">
    <mergeCell ref="B4:F4"/>
    <mergeCell ref="B5:B6"/>
    <mergeCell ref="D5:E5"/>
    <mergeCell ref="B17:E17"/>
    <mergeCell ref="B18:B19"/>
    <mergeCell ref="B42:E42"/>
    <mergeCell ref="B28:D28"/>
    <mergeCell ref="B30:C30"/>
    <mergeCell ref="B32:C32"/>
    <mergeCell ref="C35:C36"/>
    <mergeCell ref="B35:B36"/>
    <mergeCell ref="B34:F34"/>
  </mergeCell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90" zoomScaleNormal="90" workbookViewId="0">
      <selection activeCell="B5" sqref="B5:J5"/>
    </sheetView>
  </sheetViews>
  <sheetFormatPr baseColWidth="10" defaultRowHeight="15" x14ac:dyDescent="0.25"/>
  <cols>
    <col min="1" max="1" width="10.28515625" style="2" customWidth="1"/>
    <col min="2" max="2" width="10.7109375" style="2" customWidth="1"/>
    <col min="3" max="3" width="31.85546875" style="2" customWidth="1"/>
    <col min="4" max="4" width="16.140625" style="2" customWidth="1"/>
    <col min="5" max="5" width="19.42578125" style="2" customWidth="1"/>
    <col min="6" max="6" width="29" style="2" customWidth="1"/>
    <col min="7" max="7" width="23.5703125" style="2" customWidth="1"/>
    <col min="8" max="8" width="21.140625" style="2" customWidth="1"/>
    <col min="9" max="9" width="14.5703125" style="2" customWidth="1"/>
    <col min="10" max="10" width="16.7109375" style="2" customWidth="1"/>
    <col min="11" max="11" width="15.28515625" style="2" customWidth="1"/>
    <col min="12" max="14" width="11.42578125" style="2"/>
    <col min="15" max="15" width="14.85546875" style="2" customWidth="1"/>
    <col min="16" max="16384" width="11.42578125" style="2"/>
  </cols>
  <sheetData>
    <row r="1" spans="1:16" x14ac:dyDescent="0.25">
      <c r="A1" s="18"/>
    </row>
    <row r="2" spans="1:16" x14ac:dyDescent="0.25">
      <c r="H2" s="599"/>
      <c r="I2" s="600"/>
      <c r="J2" s="600"/>
      <c r="K2" s="600"/>
      <c r="L2" s="600"/>
      <c r="M2" s="600"/>
      <c r="N2" s="600"/>
    </row>
    <row r="3" spans="1:16" ht="16.5" thickBot="1" x14ac:dyDescent="0.3">
      <c r="B3" s="102"/>
      <c r="C3" s="102"/>
      <c r="D3" s="238"/>
      <c r="E3" s="102"/>
      <c r="F3" s="102"/>
      <c r="G3" s="102"/>
      <c r="H3" s="239"/>
      <c r="I3" s="239"/>
      <c r="J3" s="239"/>
      <c r="K3" s="239"/>
      <c r="L3" s="48"/>
      <c r="M3" s="48"/>
      <c r="N3" s="48"/>
    </row>
    <row r="4" spans="1:16" s="5" customFormat="1" ht="16.5" thickBot="1" x14ac:dyDescent="0.3">
      <c r="A4" s="2"/>
      <c r="B4" s="614" t="s">
        <v>279</v>
      </c>
      <c r="C4" s="615"/>
      <c r="D4" s="615"/>
      <c r="E4" s="615"/>
      <c r="F4" s="615"/>
      <c r="G4" s="615"/>
      <c r="H4" s="615"/>
      <c r="I4" s="615"/>
      <c r="J4" s="616"/>
      <c r="K4" s="239"/>
      <c r="L4" s="48"/>
      <c r="M4" s="48"/>
      <c r="N4" s="48"/>
      <c r="O4" s="2"/>
      <c r="P4" s="2"/>
    </row>
    <row r="5" spans="1:16" s="5" customFormat="1" ht="15.75" x14ac:dyDescent="0.25">
      <c r="A5" s="2"/>
      <c r="B5" s="611" t="s">
        <v>299</v>
      </c>
      <c r="C5" s="612"/>
      <c r="D5" s="612"/>
      <c r="E5" s="612"/>
      <c r="F5" s="612"/>
      <c r="G5" s="612"/>
      <c r="H5" s="612"/>
      <c r="I5" s="612"/>
      <c r="J5" s="613"/>
      <c r="K5" s="239"/>
      <c r="L5" s="48"/>
      <c r="M5" s="48"/>
      <c r="N5" s="48"/>
      <c r="O5" s="2"/>
      <c r="P5" s="2"/>
    </row>
    <row r="6" spans="1:16" s="5" customFormat="1" ht="15.75" x14ac:dyDescent="0.25">
      <c r="A6" s="2"/>
      <c r="B6" s="649" t="s">
        <v>218</v>
      </c>
      <c r="C6" s="650"/>
      <c r="D6" s="644" t="s">
        <v>215</v>
      </c>
      <c r="E6" s="644"/>
      <c r="F6" s="242" t="s">
        <v>216</v>
      </c>
      <c r="G6" s="260" t="s">
        <v>232</v>
      </c>
      <c r="H6" s="617" t="s">
        <v>277</v>
      </c>
      <c r="I6" s="617"/>
      <c r="J6" s="618"/>
      <c r="K6" s="239"/>
      <c r="L6" s="48"/>
      <c r="M6" s="48"/>
      <c r="N6" s="48"/>
      <c r="O6" s="2"/>
      <c r="P6" s="2"/>
    </row>
    <row r="7" spans="1:16" s="5" customFormat="1" ht="15.75" x14ac:dyDescent="0.25">
      <c r="A7" s="2"/>
      <c r="B7" s="651"/>
      <c r="C7" s="652"/>
      <c r="D7" s="242" t="s">
        <v>278</v>
      </c>
      <c r="E7" s="242" t="s">
        <v>219</v>
      </c>
      <c r="F7" s="242" t="s">
        <v>219</v>
      </c>
      <c r="G7" s="244" t="s">
        <v>231</v>
      </c>
      <c r="H7" s="617"/>
      <c r="I7" s="617"/>
      <c r="J7" s="618"/>
      <c r="K7" s="239"/>
      <c r="L7" s="48"/>
      <c r="M7" s="48"/>
      <c r="N7" s="48"/>
      <c r="O7" s="2"/>
      <c r="P7" s="2"/>
    </row>
    <row r="8" spans="1:16" s="5" customFormat="1" ht="15.75" x14ac:dyDescent="0.25">
      <c r="A8" s="2"/>
      <c r="B8" s="647" t="s">
        <v>221</v>
      </c>
      <c r="C8" s="648"/>
      <c r="D8" s="245">
        <v>0.2</v>
      </c>
      <c r="E8" s="169">
        <v>2957</v>
      </c>
      <c r="F8" s="169">
        <v>1800</v>
      </c>
      <c r="G8" s="246">
        <v>1.1817580000000001</v>
      </c>
      <c r="H8" s="619">
        <f>(G8*E8)*22+(G8*F8)*8</f>
        <v>93895.400131999995</v>
      </c>
      <c r="I8" s="619"/>
      <c r="J8" s="620"/>
      <c r="K8" s="239"/>
      <c r="L8" s="48"/>
      <c r="M8" s="48"/>
      <c r="N8" s="48"/>
      <c r="O8" s="2"/>
      <c r="P8" s="2"/>
    </row>
    <row r="9" spans="1:16" s="5" customFormat="1" ht="15.75" x14ac:dyDescent="0.25">
      <c r="A9" s="2"/>
      <c r="B9" s="601" t="s">
        <v>222</v>
      </c>
      <c r="C9" s="602"/>
      <c r="D9" s="245">
        <v>0.36</v>
      </c>
      <c r="E9" s="169">
        <v>7914</v>
      </c>
      <c r="F9" s="169">
        <v>4000</v>
      </c>
      <c r="G9" s="246">
        <v>1.1817580000000001</v>
      </c>
      <c r="H9" s="619">
        <f>(G9*E9)*22+(G9*F9)*8</f>
        <v>243569.777864</v>
      </c>
      <c r="I9" s="619"/>
      <c r="J9" s="620"/>
      <c r="K9" s="239"/>
      <c r="L9" s="48"/>
      <c r="M9" s="48"/>
      <c r="N9" s="48"/>
      <c r="O9" s="2"/>
      <c r="P9" s="2"/>
    </row>
    <row r="10" spans="1:16" s="5" customFormat="1" ht="15.75" x14ac:dyDescent="0.25">
      <c r="A10" s="2"/>
      <c r="B10" s="601" t="s">
        <v>223</v>
      </c>
      <c r="C10" s="602"/>
      <c r="D10" s="245">
        <v>0.23</v>
      </c>
      <c r="E10" s="169">
        <v>3943</v>
      </c>
      <c r="F10" s="169">
        <v>1987</v>
      </c>
      <c r="G10" s="246">
        <v>1.574424</v>
      </c>
      <c r="H10" s="619">
        <f>(G10*E10)*22+(G10*F10)*8</f>
        <v>161602.028208</v>
      </c>
      <c r="I10" s="619"/>
      <c r="J10" s="620"/>
      <c r="K10" s="239"/>
      <c r="L10" s="48"/>
      <c r="M10" s="48"/>
      <c r="N10" s="48"/>
      <c r="O10" s="2"/>
      <c r="P10" s="2"/>
    </row>
    <row r="11" spans="1:16" s="5" customFormat="1" ht="15.75" x14ac:dyDescent="0.25">
      <c r="A11" s="2"/>
      <c r="B11" s="601" t="s">
        <v>224</v>
      </c>
      <c r="C11" s="602"/>
      <c r="D11" s="245">
        <v>0.11</v>
      </c>
      <c r="E11" s="169">
        <v>3989</v>
      </c>
      <c r="F11" s="169">
        <v>1590</v>
      </c>
      <c r="G11" s="246">
        <v>0.81304600000000005</v>
      </c>
      <c r="H11" s="619">
        <f>(G11*E11)*22+(G11*F11)*8</f>
        <v>81693.235988</v>
      </c>
      <c r="I11" s="619"/>
      <c r="J11" s="620"/>
      <c r="K11" s="240"/>
      <c r="L11" s="80"/>
      <c r="M11" s="72"/>
      <c r="N11" s="72"/>
      <c r="O11" s="2"/>
      <c r="P11" s="2"/>
    </row>
    <row r="12" spans="1:16" s="4" customFormat="1" ht="15.75" x14ac:dyDescent="0.25">
      <c r="A12" s="48"/>
      <c r="B12" s="603" t="s">
        <v>225</v>
      </c>
      <c r="C12" s="604"/>
      <c r="D12" s="252">
        <v>0.1</v>
      </c>
      <c r="E12" s="172">
        <v>0</v>
      </c>
      <c r="F12" s="172" t="s">
        <v>226</v>
      </c>
      <c r="G12" s="253"/>
      <c r="H12" s="625" t="s">
        <v>226</v>
      </c>
      <c r="I12" s="625"/>
      <c r="J12" s="626"/>
      <c r="K12" s="240"/>
      <c r="L12" s="80"/>
      <c r="M12" s="72"/>
      <c r="N12" s="72"/>
      <c r="O12" s="48"/>
      <c r="P12" s="48"/>
    </row>
    <row r="13" spans="1:16" s="4" customFormat="1" ht="15.75" x14ac:dyDescent="0.25">
      <c r="A13" s="48"/>
      <c r="B13" s="645" t="s">
        <v>296</v>
      </c>
      <c r="C13" s="646"/>
      <c r="D13" s="247">
        <f>SUM(D8:D12)</f>
        <v>1</v>
      </c>
      <c r="E13" s="248">
        <f>SUM(E8:E12)</f>
        <v>18803</v>
      </c>
      <c r="F13" s="248">
        <f>SUM(F8:F12)</f>
        <v>9377</v>
      </c>
      <c r="G13" s="249"/>
      <c r="H13" s="592">
        <f>SUM(H8:I12)</f>
        <v>580760.44219199999</v>
      </c>
      <c r="I13" s="592"/>
      <c r="J13" s="593"/>
      <c r="K13" s="240"/>
      <c r="L13" s="80"/>
      <c r="M13" s="72"/>
      <c r="N13" s="72"/>
      <c r="O13" s="48"/>
      <c r="P13" s="48"/>
    </row>
    <row r="14" spans="1:16" s="4" customFormat="1" ht="15.75" x14ac:dyDescent="0.25">
      <c r="A14" s="48"/>
      <c r="B14" s="594" t="s">
        <v>298</v>
      </c>
      <c r="C14" s="595"/>
      <c r="D14" s="595"/>
      <c r="E14" s="595"/>
      <c r="F14" s="595"/>
      <c r="G14" s="595"/>
      <c r="H14" s="595"/>
      <c r="I14" s="595"/>
      <c r="J14" s="596"/>
      <c r="K14" s="240"/>
      <c r="L14" s="80"/>
      <c r="M14" s="72"/>
      <c r="N14" s="72"/>
      <c r="O14" s="48"/>
      <c r="P14" s="48"/>
    </row>
    <row r="15" spans="1:16" s="4" customFormat="1" ht="15.75" x14ac:dyDescent="0.25">
      <c r="A15" s="48"/>
      <c r="B15" s="605" t="s">
        <v>280</v>
      </c>
      <c r="C15" s="606"/>
      <c r="D15" s="631" t="s">
        <v>215</v>
      </c>
      <c r="E15" s="631"/>
      <c r="F15" s="251" t="s">
        <v>216</v>
      </c>
      <c r="G15" s="259" t="s">
        <v>230</v>
      </c>
      <c r="H15" s="609" t="s">
        <v>181</v>
      </c>
      <c r="I15" s="610"/>
      <c r="J15" s="263" t="s">
        <v>282</v>
      </c>
      <c r="K15" s="240"/>
      <c r="L15" s="80"/>
      <c r="M15" s="72"/>
      <c r="N15" s="72"/>
      <c r="O15" s="48"/>
      <c r="P15" s="48"/>
    </row>
    <row r="16" spans="1:16" s="5" customFormat="1" ht="16.5" thickBot="1" x14ac:dyDescent="0.3">
      <c r="A16" s="2"/>
      <c r="B16" s="621" t="s">
        <v>281</v>
      </c>
      <c r="C16" s="622"/>
      <c r="D16" s="597">
        <v>250</v>
      </c>
      <c r="E16" s="598"/>
      <c r="F16" s="262" t="s">
        <v>226</v>
      </c>
      <c r="G16" s="254">
        <f>D16*6</f>
        <v>1500</v>
      </c>
      <c r="H16" s="632">
        <f>(G16*30)</f>
        <v>45000</v>
      </c>
      <c r="I16" s="633"/>
      <c r="J16" s="264"/>
      <c r="K16" s="240"/>
      <c r="L16" s="80"/>
      <c r="M16" s="72"/>
      <c r="N16" s="72"/>
      <c r="O16" s="2"/>
      <c r="P16" s="2"/>
    </row>
    <row r="17" spans="2:11" ht="16.5" thickBot="1" x14ac:dyDescent="0.3">
      <c r="B17" s="629" t="s">
        <v>229</v>
      </c>
      <c r="C17" s="630"/>
      <c r="D17" s="638">
        <v>50</v>
      </c>
      <c r="E17" s="639"/>
      <c r="F17" s="255">
        <v>75</v>
      </c>
      <c r="G17" s="256">
        <f>D17*6+F17*2</f>
        <v>450</v>
      </c>
      <c r="H17" s="642">
        <f>(G17*30)</f>
        <v>13500</v>
      </c>
      <c r="I17" s="643"/>
      <c r="J17" s="265"/>
      <c r="K17" s="102"/>
    </row>
    <row r="18" spans="2:11" ht="16.5" thickBot="1" x14ac:dyDescent="0.3">
      <c r="B18" s="623" t="s">
        <v>297</v>
      </c>
      <c r="C18" s="624"/>
      <c r="D18" s="640">
        <f>D16+D17</f>
        <v>300</v>
      </c>
      <c r="E18" s="641"/>
      <c r="F18" s="257">
        <v>75</v>
      </c>
      <c r="G18" s="258">
        <f>SUM(G16:G17)</f>
        <v>1950</v>
      </c>
      <c r="H18" s="607">
        <f>(H16+H17)</f>
        <v>58500</v>
      </c>
      <c r="I18" s="608"/>
      <c r="J18" s="250">
        <f>H18*12</f>
        <v>702000</v>
      </c>
      <c r="K18" s="102"/>
    </row>
    <row r="19" spans="2:11" ht="16.5" thickBot="1" x14ac:dyDescent="0.3">
      <c r="B19" s="634" t="s">
        <v>228</v>
      </c>
      <c r="C19" s="635"/>
      <c r="D19" s="636">
        <f>(D18+E13)</f>
        <v>19103</v>
      </c>
      <c r="E19" s="637"/>
      <c r="F19" s="261">
        <f>F18+F13</f>
        <v>9452</v>
      </c>
      <c r="G19" s="261"/>
      <c r="H19" s="627">
        <f>(H13+H18)</f>
        <v>639260.44219199999</v>
      </c>
      <c r="I19" s="628"/>
      <c r="J19" s="266">
        <f>H19*12</f>
        <v>7671125.3063040003</v>
      </c>
      <c r="K19" s="102"/>
    </row>
    <row r="20" spans="2:11" ht="15.75" x14ac:dyDescent="0.25">
      <c r="B20" s="102"/>
      <c r="C20" s="102"/>
      <c r="D20" s="102"/>
      <c r="E20" s="102"/>
      <c r="F20" s="102"/>
      <c r="G20" s="102"/>
      <c r="H20" s="102"/>
      <c r="I20" s="102"/>
      <c r="K20" s="102"/>
    </row>
    <row r="21" spans="2:11" ht="15.75" x14ac:dyDescent="0.25">
      <c r="B21" s="102"/>
      <c r="C21" s="102"/>
      <c r="D21" s="102"/>
      <c r="E21" s="102"/>
      <c r="F21" s="102"/>
      <c r="G21" s="102"/>
      <c r="H21" s="102"/>
      <c r="I21" s="102"/>
      <c r="K21" s="102"/>
    </row>
    <row r="37" ht="15" customHeight="1" x14ac:dyDescent="0.25"/>
    <row r="38" ht="15" customHeight="1" x14ac:dyDescent="0.25"/>
    <row r="39" ht="27.75" customHeight="1" x14ac:dyDescent="0.25"/>
    <row r="43" ht="15" customHeight="1" x14ac:dyDescent="0.25"/>
    <row r="45" ht="15" customHeight="1" x14ac:dyDescent="0.25"/>
    <row r="56" ht="15" customHeight="1" x14ac:dyDescent="0.25"/>
    <row r="65" ht="15" customHeight="1" x14ac:dyDescent="0.25"/>
  </sheetData>
  <mergeCells count="34">
    <mergeCell ref="H19:I19"/>
    <mergeCell ref="B17:C17"/>
    <mergeCell ref="D15:E15"/>
    <mergeCell ref="H16:I16"/>
    <mergeCell ref="B19:C19"/>
    <mergeCell ref="D19:E19"/>
    <mergeCell ref="D17:E17"/>
    <mergeCell ref="D18:E18"/>
    <mergeCell ref="H17:I17"/>
    <mergeCell ref="H18:I18"/>
    <mergeCell ref="H15:I15"/>
    <mergeCell ref="B5:J5"/>
    <mergeCell ref="B4:J4"/>
    <mergeCell ref="H6:J7"/>
    <mergeCell ref="H8:J8"/>
    <mergeCell ref="H9:J9"/>
    <mergeCell ref="H10:J10"/>
    <mergeCell ref="B16:C16"/>
    <mergeCell ref="B18:C18"/>
    <mergeCell ref="H11:J11"/>
    <mergeCell ref="H12:J12"/>
    <mergeCell ref="D6:E6"/>
    <mergeCell ref="B13:C13"/>
    <mergeCell ref="B8:C8"/>
    <mergeCell ref="B9:C9"/>
    <mergeCell ref="H13:J13"/>
    <mergeCell ref="B14:J14"/>
    <mergeCell ref="D16:E16"/>
    <mergeCell ref="H2:N2"/>
    <mergeCell ref="B11:C11"/>
    <mergeCell ref="B12:C12"/>
    <mergeCell ref="B15:C15"/>
    <mergeCell ref="B10:C10"/>
    <mergeCell ref="B6:C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15" sqref="G15"/>
    </sheetView>
  </sheetViews>
  <sheetFormatPr baseColWidth="10" defaultColWidth="9.140625" defaultRowHeight="15" x14ac:dyDescent="0.25"/>
  <cols>
    <col min="1" max="2" width="9.140625" style="50" customWidth="1"/>
    <col min="3" max="3" width="14.7109375" style="50" customWidth="1"/>
    <col min="4" max="4" width="11.85546875" style="50" customWidth="1"/>
    <col min="5" max="5" width="15.5703125" style="50" customWidth="1"/>
    <col min="6" max="6" width="23.140625" style="50" customWidth="1"/>
    <col min="7" max="7" width="16.85546875" style="50" customWidth="1"/>
    <col min="8" max="8" width="18.5703125" style="50" customWidth="1"/>
    <col min="9" max="16384" width="9.140625" style="50"/>
  </cols>
  <sheetData>
    <row r="1" spans="2:10" ht="15.75" thickBot="1" x14ac:dyDescent="0.3"/>
    <row r="2" spans="2:10" ht="15.75" customHeight="1" x14ac:dyDescent="0.25">
      <c r="B2" s="659" t="s">
        <v>283</v>
      </c>
      <c r="C2" s="660"/>
      <c r="D2" s="660"/>
      <c r="E2" s="660"/>
      <c r="F2" s="660"/>
      <c r="G2" s="661"/>
    </row>
    <row r="3" spans="2:10" ht="15.75" customHeight="1" thickBot="1" x14ac:dyDescent="0.3">
      <c r="B3" s="662"/>
      <c r="C3" s="663"/>
      <c r="D3" s="663"/>
      <c r="E3" s="663"/>
      <c r="F3" s="663"/>
      <c r="G3" s="664"/>
    </row>
    <row r="4" spans="2:10" ht="11.25" customHeight="1" x14ac:dyDescent="0.25">
      <c r="B4" s="665" t="s">
        <v>284</v>
      </c>
      <c r="C4" s="666"/>
      <c r="D4" s="666"/>
      <c r="E4" s="666"/>
      <c r="F4" s="666"/>
      <c r="G4" s="667"/>
      <c r="I4" s="49"/>
    </row>
    <row r="5" spans="2:10" ht="7.5" customHeight="1" x14ac:dyDescent="0.25">
      <c r="B5" s="665"/>
      <c r="C5" s="666"/>
      <c r="D5" s="666"/>
      <c r="E5" s="666"/>
      <c r="F5" s="666"/>
      <c r="G5" s="667"/>
      <c r="I5" s="49"/>
      <c r="J5" s="20"/>
    </row>
    <row r="6" spans="2:10" ht="15.75" x14ac:dyDescent="0.25">
      <c r="B6" s="670" t="s">
        <v>236</v>
      </c>
      <c r="C6" s="671"/>
      <c r="D6" s="671"/>
      <c r="E6" s="671"/>
      <c r="F6" s="671"/>
      <c r="G6" s="672"/>
      <c r="I6" s="51"/>
    </row>
    <row r="7" spans="2:10" ht="15.75" x14ac:dyDescent="0.25">
      <c r="B7" s="681" t="s">
        <v>286</v>
      </c>
      <c r="C7" s="679"/>
      <c r="D7" s="679" t="s">
        <v>287</v>
      </c>
      <c r="E7" s="679"/>
      <c r="F7" s="88" t="s">
        <v>181</v>
      </c>
      <c r="G7" s="283" t="s">
        <v>282</v>
      </c>
    </row>
    <row r="8" spans="2:10" ht="15.75" x14ac:dyDescent="0.25">
      <c r="B8" s="682">
        <v>20</v>
      </c>
      <c r="C8" s="683"/>
      <c r="D8" s="680">
        <v>10</v>
      </c>
      <c r="E8" s="680"/>
      <c r="F8" s="287">
        <f>B8*D8</f>
        <v>200</v>
      </c>
      <c r="G8" s="288">
        <f>F8*12</f>
        <v>2400</v>
      </c>
    </row>
    <row r="9" spans="2:10" ht="15.75" x14ac:dyDescent="0.25">
      <c r="B9" s="673" t="s">
        <v>235</v>
      </c>
      <c r="C9" s="674"/>
      <c r="D9" s="674"/>
      <c r="E9" s="674"/>
      <c r="F9" s="674"/>
      <c r="G9" s="675"/>
    </row>
    <row r="10" spans="2:10" ht="15.75" x14ac:dyDescent="0.25">
      <c r="B10" s="684" t="s">
        <v>51</v>
      </c>
      <c r="C10" s="685"/>
      <c r="D10" s="685"/>
      <c r="E10" s="88" t="s">
        <v>288</v>
      </c>
      <c r="F10" s="88" t="s">
        <v>181</v>
      </c>
      <c r="G10" s="283" t="s">
        <v>282</v>
      </c>
    </row>
    <row r="11" spans="2:10" ht="15.75" x14ac:dyDescent="0.25">
      <c r="B11" s="682">
        <v>18</v>
      </c>
      <c r="C11" s="683"/>
      <c r="D11" s="683"/>
      <c r="E11" s="88">
        <v>20</v>
      </c>
      <c r="F11" s="282">
        <f>B11*E11</f>
        <v>360</v>
      </c>
      <c r="G11" s="286">
        <f>F11*12</f>
        <v>4320</v>
      </c>
    </row>
    <row r="12" spans="2:10" ht="15.75" x14ac:dyDescent="0.25">
      <c r="B12" s="673" t="s">
        <v>162</v>
      </c>
      <c r="C12" s="674"/>
      <c r="D12" s="674"/>
      <c r="E12" s="674"/>
      <c r="F12" s="674"/>
      <c r="G12" s="675"/>
    </row>
    <row r="13" spans="2:10" ht="15.75" x14ac:dyDescent="0.25">
      <c r="B13" s="285" t="s">
        <v>289</v>
      </c>
      <c r="C13" s="281"/>
      <c r="D13" s="88" t="s">
        <v>285</v>
      </c>
      <c r="E13" s="656" t="s">
        <v>282</v>
      </c>
      <c r="F13" s="657"/>
      <c r="G13" s="658"/>
    </row>
    <row r="14" spans="2:10" ht="15.75" x14ac:dyDescent="0.25">
      <c r="B14" s="668">
        <v>2500</v>
      </c>
      <c r="C14" s="669"/>
      <c r="D14" s="88">
        <v>2</v>
      </c>
      <c r="E14" s="676">
        <f>B14*D14</f>
        <v>5000</v>
      </c>
      <c r="F14" s="677"/>
      <c r="G14" s="678"/>
    </row>
    <row r="15" spans="2:10" ht="16.5" thickBot="1" x14ac:dyDescent="0.3">
      <c r="B15" s="653" t="s">
        <v>193</v>
      </c>
      <c r="C15" s="654"/>
      <c r="D15" s="654"/>
      <c r="E15" s="654"/>
      <c r="F15" s="655"/>
      <c r="G15" s="284">
        <f>G8+G11+E14</f>
        <v>11720</v>
      </c>
    </row>
    <row r="17" spans="1:6" ht="15.75" x14ac:dyDescent="0.25">
      <c r="A17" s="279"/>
      <c r="B17" s="85"/>
      <c r="C17" s="85"/>
      <c r="D17" s="85"/>
      <c r="E17" s="85"/>
      <c r="F17" s="85"/>
    </row>
    <row r="18" spans="1:6" x14ac:dyDescent="0.25">
      <c r="A18" s="280"/>
    </row>
    <row r="19" spans="1:6" x14ac:dyDescent="0.25">
      <c r="A19" s="279"/>
    </row>
    <row r="21" spans="1:6" x14ac:dyDescent="0.25">
      <c r="A21" s="52"/>
    </row>
    <row r="25" spans="1:6" x14ac:dyDescent="0.25">
      <c r="E25" s="278"/>
    </row>
  </sheetData>
  <mergeCells count="15">
    <mergeCell ref="B15:F15"/>
    <mergeCell ref="E13:G13"/>
    <mergeCell ref="B2:G3"/>
    <mergeCell ref="B4:G5"/>
    <mergeCell ref="B14:C14"/>
    <mergeCell ref="B6:G6"/>
    <mergeCell ref="B9:G9"/>
    <mergeCell ref="B12:G12"/>
    <mergeCell ref="E14:G14"/>
    <mergeCell ref="D7:E7"/>
    <mergeCell ref="D8:E8"/>
    <mergeCell ref="B7:C7"/>
    <mergeCell ref="B8:C8"/>
    <mergeCell ref="B10:D10"/>
    <mergeCell ref="B11:D1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tabSelected="1" zoomScale="80" zoomScaleNormal="80" workbookViewId="0">
      <selection activeCell="H11" sqref="H11"/>
    </sheetView>
  </sheetViews>
  <sheetFormatPr baseColWidth="10" defaultColWidth="9.140625" defaultRowHeight="15" x14ac:dyDescent="0.25"/>
  <cols>
    <col min="1" max="1" width="9.140625" style="19" customWidth="1"/>
    <col min="2" max="2" width="41.7109375" style="19" customWidth="1"/>
    <col min="3" max="3" width="14.5703125" style="19" customWidth="1"/>
    <col min="4" max="4" width="24" style="19" customWidth="1"/>
    <col min="5" max="5" width="17.42578125" style="19" customWidth="1"/>
    <col min="6" max="6" width="16.42578125" style="19" customWidth="1"/>
    <col min="7" max="7" width="25.140625" style="19" customWidth="1"/>
    <col min="8" max="8" width="15" style="19" customWidth="1"/>
    <col min="9" max="9" width="14.85546875" style="19" customWidth="1"/>
    <col min="10" max="10" width="18.5703125" style="19" customWidth="1"/>
    <col min="11" max="11" width="15.5703125" style="19" customWidth="1"/>
    <col min="12" max="12" width="17" style="19" customWidth="1"/>
    <col min="13" max="16384" width="9.140625" style="19"/>
  </cols>
  <sheetData>
    <row r="1" spans="1:13" ht="15.75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6.5" thickBot="1" x14ac:dyDescent="0.3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5.75" x14ac:dyDescent="0.25">
      <c r="A3" s="117"/>
      <c r="B3" s="686" t="s">
        <v>41</v>
      </c>
      <c r="C3" s="687"/>
      <c r="D3" s="687"/>
      <c r="E3" s="687"/>
      <c r="F3" s="688"/>
      <c r="G3" s="117"/>
      <c r="H3" s="117"/>
      <c r="I3" s="117"/>
      <c r="J3" s="117"/>
      <c r="K3" s="117"/>
      <c r="L3" s="117"/>
      <c r="M3" s="117"/>
    </row>
    <row r="4" spans="1:13" ht="33" customHeight="1" x14ac:dyDescent="0.25">
      <c r="A4" s="117"/>
      <c r="B4" s="157" t="s">
        <v>40</v>
      </c>
      <c r="C4" s="158" t="s">
        <v>25</v>
      </c>
      <c r="D4" s="158" t="s">
        <v>39</v>
      </c>
      <c r="E4" s="158" t="s">
        <v>27</v>
      </c>
      <c r="F4" s="159" t="s">
        <v>28</v>
      </c>
      <c r="G4" s="117"/>
      <c r="H4" s="117"/>
      <c r="I4" s="117"/>
      <c r="J4" s="117"/>
      <c r="K4" s="117"/>
      <c r="L4" s="117"/>
      <c r="M4" s="117"/>
    </row>
    <row r="5" spans="1:13" ht="17.25" customHeight="1" x14ac:dyDescent="0.25">
      <c r="A5" s="117"/>
      <c r="B5" s="118" t="s">
        <v>38</v>
      </c>
      <c r="C5" s="119">
        <v>1</v>
      </c>
      <c r="D5" s="120">
        <v>1200</v>
      </c>
      <c r="E5" s="120">
        <f t="shared" ref="E5:E12" si="0">C5*D5</f>
        <v>1200</v>
      </c>
      <c r="F5" s="121">
        <f t="shared" ref="F5:F12" si="1">E5*12</f>
        <v>14400</v>
      </c>
      <c r="G5" s="117"/>
      <c r="H5" s="117"/>
      <c r="I5" s="117"/>
      <c r="J5" s="117"/>
      <c r="K5" s="117"/>
      <c r="L5" s="117"/>
      <c r="M5" s="117"/>
    </row>
    <row r="6" spans="1:13" ht="17.25" customHeight="1" x14ac:dyDescent="0.25">
      <c r="A6" s="117"/>
      <c r="B6" s="118" t="s">
        <v>201</v>
      </c>
      <c r="C6" s="119">
        <v>1</v>
      </c>
      <c r="D6" s="120">
        <v>900</v>
      </c>
      <c r="E6" s="120">
        <f t="shared" si="0"/>
        <v>900</v>
      </c>
      <c r="F6" s="121">
        <f t="shared" si="1"/>
        <v>10800</v>
      </c>
      <c r="G6" s="117"/>
      <c r="H6" s="117"/>
      <c r="I6" s="117"/>
      <c r="J6" s="117"/>
      <c r="K6" s="117"/>
      <c r="L6" s="117"/>
      <c r="M6" s="117"/>
    </row>
    <row r="7" spans="1:13" ht="17.25" customHeight="1" x14ac:dyDescent="0.25">
      <c r="A7" s="117"/>
      <c r="B7" s="118" t="s">
        <v>200</v>
      </c>
      <c r="C7" s="119">
        <v>1</v>
      </c>
      <c r="D7" s="120">
        <v>550</v>
      </c>
      <c r="E7" s="120">
        <f t="shared" si="0"/>
        <v>550</v>
      </c>
      <c r="F7" s="121">
        <f t="shared" si="1"/>
        <v>6600</v>
      </c>
      <c r="G7" s="117"/>
      <c r="H7" s="117"/>
      <c r="I7" s="117"/>
      <c r="J7" s="117"/>
      <c r="K7" s="117"/>
      <c r="L7" s="117"/>
      <c r="M7" s="117"/>
    </row>
    <row r="8" spans="1:13" ht="17.25" customHeight="1" x14ac:dyDescent="0.25">
      <c r="A8" s="117"/>
      <c r="B8" s="118" t="s">
        <v>197</v>
      </c>
      <c r="C8" s="119">
        <v>1</v>
      </c>
      <c r="D8" s="120">
        <v>435</v>
      </c>
      <c r="E8" s="120">
        <f t="shared" si="0"/>
        <v>435</v>
      </c>
      <c r="F8" s="121">
        <f t="shared" si="1"/>
        <v>5220</v>
      </c>
      <c r="G8" s="117"/>
      <c r="H8" s="117"/>
      <c r="I8" s="117"/>
      <c r="J8" s="117"/>
      <c r="K8" s="117"/>
      <c r="L8" s="117"/>
      <c r="M8" s="117"/>
    </row>
    <row r="9" spans="1:13" ht="17.25" customHeight="1" x14ac:dyDescent="0.25">
      <c r="A9" s="117"/>
      <c r="B9" s="118" t="s">
        <v>37</v>
      </c>
      <c r="C9" s="119">
        <v>1</v>
      </c>
      <c r="D9" s="120">
        <v>300</v>
      </c>
      <c r="E9" s="120">
        <f t="shared" si="0"/>
        <v>300</v>
      </c>
      <c r="F9" s="121">
        <f t="shared" si="1"/>
        <v>3600</v>
      </c>
      <c r="G9" s="117"/>
      <c r="H9" s="117"/>
      <c r="I9" s="117"/>
      <c r="J9" s="117"/>
      <c r="K9" s="117"/>
      <c r="L9" s="117"/>
      <c r="M9" s="117"/>
    </row>
    <row r="10" spans="1:13" ht="17.25" customHeight="1" x14ac:dyDescent="0.25">
      <c r="A10" s="117"/>
      <c r="B10" s="118" t="s">
        <v>199</v>
      </c>
      <c r="C10" s="119">
        <v>18</v>
      </c>
      <c r="D10" s="120">
        <v>300</v>
      </c>
      <c r="E10" s="120">
        <f t="shared" si="0"/>
        <v>5400</v>
      </c>
      <c r="F10" s="121">
        <f t="shared" si="1"/>
        <v>64800</v>
      </c>
      <c r="G10" s="117"/>
      <c r="H10" s="117"/>
      <c r="I10" s="117"/>
      <c r="J10" s="117"/>
      <c r="K10" s="117"/>
      <c r="L10" s="117"/>
      <c r="M10" s="117"/>
    </row>
    <row r="11" spans="1:13" ht="17.25" customHeight="1" x14ac:dyDescent="0.25">
      <c r="A11" s="117"/>
      <c r="B11" s="118" t="s">
        <v>198</v>
      </c>
      <c r="C11" s="119">
        <v>1</v>
      </c>
      <c r="D11" s="120">
        <v>3000</v>
      </c>
      <c r="E11" s="120">
        <f t="shared" si="0"/>
        <v>3000</v>
      </c>
      <c r="F11" s="121">
        <f t="shared" si="1"/>
        <v>36000</v>
      </c>
      <c r="G11" s="117"/>
      <c r="H11" s="117"/>
      <c r="I11" s="117"/>
      <c r="J11" s="117"/>
      <c r="K11" s="117"/>
      <c r="L11" s="117"/>
      <c r="M11" s="117"/>
    </row>
    <row r="12" spans="1:13" ht="17.25" customHeight="1" x14ac:dyDescent="0.25">
      <c r="A12" s="117"/>
      <c r="B12" s="118" t="s">
        <v>36</v>
      </c>
      <c r="C12" s="119">
        <v>1</v>
      </c>
      <c r="D12" s="120">
        <v>300</v>
      </c>
      <c r="E12" s="120">
        <f t="shared" si="0"/>
        <v>300</v>
      </c>
      <c r="F12" s="121">
        <f t="shared" si="1"/>
        <v>3600</v>
      </c>
      <c r="G12" s="117"/>
      <c r="H12" s="117"/>
      <c r="I12" s="117"/>
      <c r="J12" s="117"/>
      <c r="K12" s="117"/>
      <c r="L12" s="117"/>
      <c r="M12" s="117"/>
    </row>
    <row r="13" spans="1:13" ht="16.5" thickBot="1" x14ac:dyDescent="0.3">
      <c r="A13" s="117"/>
      <c r="B13" s="689" t="s">
        <v>12</v>
      </c>
      <c r="C13" s="690"/>
      <c r="D13" s="691"/>
      <c r="E13" s="272">
        <f>SUM(E5:E12)</f>
        <v>12085</v>
      </c>
      <c r="F13" s="273">
        <f>SUM(F5:F12)</f>
        <v>145020</v>
      </c>
      <c r="G13" s="117"/>
      <c r="H13" s="117"/>
      <c r="I13" s="117"/>
      <c r="J13" s="117"/>
      <c r="K13" s="117"/>
      <c r="L13" s="117"/>
      <c r="M13" s="117"/>
    </row>
    <row r="14" spans="1:13" ht="15.75" x14ac:dyDescent="0.25">
      <c r="A14" s="117"/>
      <c r="B14" s="117"/>
      <c r="C14" s="117"/>
      <c r="D14" s="117"/>
      <c r="E14" s="117"/>
      <c r="F14" s="122"/>
      <c r="G14" s="117"/>
      <c r="H14" s="117"/>
      <c r="I14" s="117"/>
      <c r="J14" s="117"/>
      <c r="K14" s="117"/>
      <c r="L14" s="117"/>
      <c r="M14" s="117"/>
    </row>
    <row r="15" spans="1:13" ht="16.5" thickBot="1" x14ac:dyDescent="0.3">
      <c r="A15" s="117"/>
      <c r="B15" s="117"/>
      <c r="C15" s="117"/>
      <c r="D15" s="117"/>
      <c r="E15" s="117"/>
      <c r="F15" s="117"/>
      <c r="G15" s="122"/>
      <c r="H15" s="117"/>
      <c r="I15" s="117"/>
      <c r="J15" s="117"/>
      <c r="K15" s="117"/>
      <c r="L15" s="117"/>
      <c r="M15" s="117"/>
    </row>
    <row r="16" spans="1:13" ht="16.5" thickBot="1" x14ac:dyDescent="0.3">
      <c r="A16" s="117"/>
      <c r="B16" s="275" t="s">
        <v>13</v>
      </c>
      <c r="C16" s="276" t="s">
        <v>27</v>
      </c>
      <c r="D16" s="277" t="s">
        <v>28</v>
      </c>
      <c r="E16" s="123"/>
      <c r="F16" s="123"/>
      <c r="G16" s="695" t="s">
        <v>153</v>
      </c>
      <c r="H16" s="696"/>
      <c r="I16" s="123"/>
      <c r="J16" s="123"/>
      <c r="K16" s="117"/>
      <c r="L16" s="117"/>
      <c r="M16" s="117"/>
    </row>
    <row r="17" spans="1:13" ht="15.75" x14ac:dyDescent="0.25">
      <c r="A17" s="117"/>
      <c r="B17" s="124"/>
      <c r="C17" s="125">
        <v>0</v>
      </c>
      <c r="D17" s="126">
        <f>C17*12</f>
        <v>0</v>
      </c>
      <c r="E17" s="123"/>
      <c r="F17" s="123"/>
      <c r="G17" s="124" t="str">
        <f>'[1]Inversión y Costos'!B69</f>
        <v>Personal</v>
      </c>
      <c r="H17" s="127">
        <f>'[1]Inversión y Costos'!E75</f>
        <v>818.69999999999993</v>
      </c>
      <c r="I17" s="123"/>
      <c r="J17" s="123"/>
      <c r="K17" s="117"/>
      <c r="L17" s="117"/>
      <c r="M17" s="117"/>
    </row>
    <row r="18" spans="1:13" ht="15.75" x14ac:dyDescent="0.25">
      <c r="A18" s="117"/>
      <c r="B18" s="128" t="s">
        <v>35</v>
      </c>
      <c r="C18" s="129">
        <v>400</v>
      </c>
      <c r="D18" s="130">
        <f>C18*12</f>
        <v>4800</v>
      </c>
      <c r="E18" s="123"/>
      <c r="F18" s="123"/>
      <c r="G18" s="128" t="s">
        <v>233</v>
      </c>
      <c r="H18" s="130">
        <v>50</v>
      </c>
      <c r="I18" s="123"/>
      <c r="J18" s="123"/>
      <c r="K18" s="117"/>
      <c r="L18" s="117"/>
      <c r="M18" s="117"/>
    </row>
    <row r="19" spans="1:13" ht="15.75" x14ac:dyDescent="0.25">
      <c r="A19" s="117"/>
      <c r="B19" s="128" t="s">
        <v>34</v>
      </c>
      <c r="C19" s="129">
        <v>200</v>
      </c>
      <c r="D19" s="130">
        <f>C19*12</f>
        <v>2400</v>
      </c>
      <c r="E19" s="123"/>
      <c r="F19" s="123"/>
      <c r="G19" s="128" t="s">
        <v>159</v>
      </c>
      <c r="H19" s="130">
        <f>'[1]Inversión y Costos'!E64</f>
        <v>66.930000000000007</v>
      </c>
      <c r="I19" s="123"/>
      <c r="J19" s="123"/>
      <c r="K19" s="117"/>
      <c r="L19" s="117"/>
      <c r="M19" s="117"/>
    </row>
    <row r="20" spans="1:13" ht="15.75" x14ac:dyDescent="0.25">
      <c r="A20" s="117"/>
      <c r="B20" s="128" t="s">
        <v>33</v>
      </c>
      <c r="C20" s="129">
        <v>90</v>
      </c>
      <c r="D20" s="130">
        <f>C20*12</f>
        <v>1080</v>
      </c>
      <c r="E20" s="123"/>
      <c r="F20" s="123"/>
      <c r="G20" s="128" t="s">
        <v>160</v>
      </c>
      <c r="H20" s="130">
        <f>'[1]Inversión y Costos'!E47</f>
        <v>164.82</v>
      </c>
      <c r="I20" s="123"/>
      <c r="J20" s="123"/>
      <c r="K20" s="117"/>
      <c r="L20" s="117"/>
      <c r="M20" s="117"/>
    </row>
    <row r="21" spans="1:13" ht="16.5" thickBot="1" x14ac:dyDescent="0.3">
      <c r="A21" s="117"/>
      <c r="B21" s="131" t="s">
        <v>32</v>
      </c>
      <c r="C21" s="132">
        <v>100</v>
      </c>
      <c r="D21" s="133">
        <f>C21*12</f>
        <v>1200</v>
      </c>
      <c r="E21" s="123"/>
      <c r="F21" s="123"/>
      <c r="G21" s="134" t="s">
        <v>161</v>
      </c>
      <c r="H21" s="133">
        <v>100</v>
      </c>
      <c r="I21" s="123"/>
      <c r="J21" s="123"/>
      <c r="K21" s="117"/>
      <c r="L21" s="117"/>
      <c r="M21" s="117"/>
    </row>
    <row r="22" spans="1:13" ht="16.5" thickBot="1" x14ac:dyDescent="0.3">
      <c r="A22" s="117"/>
      <c r="B22" s="270" t="s">
        <v>2</v>
      </c>
      <c r="C22" s="269">
        <f>SUM(C17:C21)</f>
        <v>790</v>
      </c>
      <c r="D22" s="271">
        <f>SUM(D17:D21)</f>
        <v>9480</v>
      </c>
      <c r="E22" s="123"/>
      <c r="F22" s="123"/>
      <c r="G22" s="155" t="s">
        <v>12</v>
      </c>
      <c r="H22" s="156">
        <f>SUM(H17:H21)</f>
        <v>1200.4499999999998</v>
      </c>
      <c r="I22" s="117"/>
      <c r="J22" s="123"/>
      <c r="K22" s="117"/>
      <c r="L22" s="117"/>
      <c r="M22" s="117"/>
    </row>
    <row r="23" spans="1:13" ht="16.5" thickBot="1" x14ac:dyDescent="0.3">
      <c r="A23" s="117"/>
      <c r="B23" s="123"/>
      <c r="C23" s="123"/>
      <c r="D23" s="123"/>
      <c r="E23" s="123"/>
      <c r="F23" s="123"/>
      <c r="G23" s="268" t="s">
        <v>257</v>
      </c>
      <c r="H23" s="269">
        <f>H22*12</f>
        <v>14405.399999999998</v>
      </c>
      <c r="I23" s="123"/>
      <c r="J23" s="123"/>
      <c r="K23" s="117"/>
      <c r="L23" s="117"/>
      <c r="M23" s="117"/>
    </row>
    <row r="24" spans="1:13" ht="15.75" x14ac:dyDescent="0.25">
      <c r="A24" s="117"/>
      <c r="F24" s="123"/>
      <c r="G24" s="123"/>
      <c r="H24" s="123"/>
      <c r="I24" s="123"/>
      <c r="J24" s="123"/>
      <c r="K24" s="117"/>
      <c r="L24" s="117"/>
      <c r="M24" s="117"/>
    </row>
    <row r="25" spans="1:13" ht="16.5" thickBot="1" x14ac:dyDescent="0.3">
      <c r="A25" s="117"/>
      <c r="F25" s="123"/>
      <c r="G25" s="123"/>
      <c r="H25" s="123"/>
      <c r="I25" s="123"/>
      <c r="J25" s="123"/>
      <c r="K25" s="117"/>
      <c r="L25" s="117"/>
      <c r="M25" s="117"/>
    </row>
    <row r="26" spans="1:13" ht="15.75" x14ac:dyDescent="0.25">
      <c r="A26" s="117"/>
      <c r="B26" s="699" t="s">
        <v>41</v>
      </c>
      <c r="C26" s="700"/>
      <c r="D26" s="161">
        <f>SUM(F5:F12)</f>
        <v>145020</v>
      </c>
      <c r="F26" s="123"/>
      <c r="G26" s="123"/>
      <c r="H26" s="123"/>
      <c r="I26" s="123"/>
      <c r="J26" s="123"/>
      <c r="K26" s="117"/>
      <c r="L26" s="117"/>
      <c r="M26" s="117"/>
    </row>
    <row r="27" spans="1:13" ht="15.75" x14ac:dyDescent="0.25">
      <c r="A27" s="117"/>
      <c r="B27" s="701" t="s">
        <v>31</v>
      </c>
      <c r="C27" s="702"/>
      <c r="D27" s="162">
        <f>'[1]Inversión y Costos'!E47</f>
        <v>164.82</v>
      </c>
      <c r="E27" s="123"/>
      <c r="F27" s="117"/>
      <c r="G27" s="117"/>
      <c r="H27" s="117"/>
      <c r="I27" s="117"/>
      <c r="J27" s="117"/>
      <c r="K27" s="117"/>
      <c r="L27" s="117"/>
      <c r="M27" s="117"/>
    </row>
    <row r="28" spans="1:13" ht="15.75" x14ac:dyDescent="0.25">
      <c r="A28" s="117"/>
      <c r="B28" s="703" t="s">
        <v>13</v>
      </c>
      <c r="C28" s="704"/>
      <c r="D28" s="162">
        <f>SUM(D18:D21)</f>
        <v>9480</v>
      </c>
      <c r="E28" s="123"/>
      <c r="F28" s="117"/>
      <c r="G28" s="117"/>
      <c r="H28" s="117"/>
      <c r="I28" s="117"/>
      <c r="J28" s="117"/>
      <c r="K28" s="117"/>
      <c r="L28" s="117"/>
      <c r="M28" s="117"/>
    </row>
    <row r="29" spans="1:13" ht="16.5" thickBot="1" x14ac:dyDescent="0.3">
      <c r="A29" s="117"/>
      <c r="B29" s="705" t="s">
        <v>30</v>
      </c>
      <c r="C29" s="706"/>
      <c r="D29" s="163">
        <f>'[1]Inversión y Costos'!E64</f>
        <v>66.930000000000007</v>
      </c>
      <c r="E29" s="123"/>
      <c r="F29" s="117"/>
      <c r="G29" s="117"/>
      <c r="H29" s="117"/>
      <c r="I29" s="117"/>
      <c r="J29" s="117"/>
      <c r="K29" s="117"/>
      <c r="L29" s="117"/>
      <c r="M29" s="117"/>
    </row>
    <row r="30" spans="1:13" ht="16.5" thickBot="1" x14ac:dyDescent="0.3">
      <c r="A30" s="117"/>
      <c r="B30" s="697" t="s">
        <v>259</v>
      </c>
      <c r="C30" s="698"/>
      <c r="D30" s="267">
        <f>SUM(D26:D29)</f>
        <v>154731.75</v>
      </c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3" ht="15.75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</row>
    <row r="32" spans="1:13" ht="15.75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</row>
    <row r="33" spans="1:14" ht="16.5" thickBot="1" x14ac:dyDescent="0.3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</row>
    <row r="34" spans="1:14" ht="16.5" thickBot="1" x14ac:dyDescent="0.3">
      <c r="A34" s="117"/>
      <c r="B34" s="692" t="s">
        <v>254</v>
      </c>
      <c r="C34" s="693"/>
      <c r="D34" s="693"/>
      <c r="E34" s="693"/>
      <c r="F34" s="693"/>
      <c r="G34" s="693"/>
      <c r="H34" s="693"/>
      <c r="I34" s="693"/>
      <c r="J34" s="693"/>
      <c r="K34" s="693"/>
      <c r="L34" s="694"/>
      <c r="M34" s="117"/>
    </row>
    <row r="35" spans="1:14" ht="47.25" x14ac:dyDescent="0.25">
      <c r="A35" s="135"/>
      <c r="B35" s="151" t="s">
        <v>182</v>
      </c>
      <c r="C35" s="152" t="s">
        <v>192</v>
      </c>
      <c r="D35" s="152" t="s">
        <v>187</v>
      </c>
      <c r="E35" s="152" t="s">
        <v>188</v>
      </c>
      <c r="F35" s="152" t="s">
        <v>189</v>
      </c>
      <c r="G35" s="152" t="s">
        <v>190</v>
      </c>
      <c r="H35" s="152" t="s">
        <v>191</v>
      </c>
      <c r="I35" s="153" t="s">
        <v>183</v>
      </c>
      <c r="J35" s="153" t="s">
        <v>184</v>
      </c>
      <c r="K35" s="153" t="s">
        <v>258</v>
      </c>
      <c r="L35" s="154" t="s">
        <v>2</v>
      </c>
      <c r="M35" s="135"/>
      <c r="N35" s="74"/>
    </row>
    <row r="36" spans="1:14" s="74" customFormat="1" ht="15.75" x14ac:dyDescent="0.25">
      <c r="A36" s="117"/>
      <c r="B36" s="136" t="s">
        <v>38</v>
      </c>
      <c r="C36" s="137">
        <v>1</v>
      </c>
      <c r="D36" s="138">
        <v>1200</v>
      </c>
      <c r="E36" s="138">
        <f>C36*D36</f>
        <v>1200</v>
      </c>
      <c r="F36" s="139">
        <f>E36*11.15%</f>
        <v>133.80000000000001</v>
      </c>
      <c r="G36" s="139">
        <f>E36/12</f>
        <v>100</v>
      </c>
      <c r="H36" s="139">
        <f>292/12</f>
        <v>24.333333333333332</v>
      </c>
      <c r="I36" s="139">
        <f>E36/24</f>
        <v>50</v>
      </c>
      <c r="J36" s="139">
        <f>E36*1%</f>
        <v>12</v>
      </c>
      <c r="K36" s="139">
        <f>E36*9.35%</f>
        <v>112.2</v>
      </c>
      <c r="L36" s="140">
        <f t="shared" ref="L36:L44" si="2">SUM(E36:J36)-K36</f>
        <v>1407.9333333333332</v>
      </c>
      <c r="M36" s="117"/>
      <c r="N36" s="19"/>
    </row>
    <row r="37" spans="1:14" ht="15.75" x14ac:dyDescent="0.25">
      <c r="A37" s="117"/>
      <c r="B37" s="136" t="s">
        <v>201</v>
      </c>
      <c r="C37" s="137">
        <v>1</v>
      </c>
      <c r="D37" s="138">
        <v>900</v>
      </c>
      <c r="E37" s="138">
        <f>C37*D37</f>
        <v>900</v>
      </c>
      <c r="F37" s="139">
        <f t="shared" ref="F37:F44" si="3">E37*11.15%</f>
        <v>100.35000000000001</v>
      </c>
      <c r="G37" s="139">
        <f t="shared" ref="G37:G44" si="4">E37/12</f>
        <v>75</v>
      </c>
      <c r="H37" s="139">
        <f t="shared" ref="H37:H44" si="5">292/12</f>
        <v>24.333333333333332</v>
      </c>
      <c r="I37" s="139">
        <f t="shared" ref="I37:I44" si="6">E37/24</f>
        <v>37.5</v>
      </c>
      <c r="J37" s="139">
        <f t="shared" ref="J37:J44" si="7">E37*1%</f>
        <v>9</v>
      </c>
      <c r="K37" s="139">
        <f t="shared" ref="K37:K44" si="8">E37*9.35%</f>
        <v>84.15</v>
      </c>
      <c r="L37" s="140">
        <f t="shared" si="2"/>
        <v>1062.0333333333331</v>
      </c>
      <c r="M37" s="117"/>
    </row>
    <row r="38" spans="1:14" ht="15.75" x14ac:dyDescent="0.25">
      <c r="A38" s="117"/>
      <c r="B38" s="136" t="s">
        <v>200</v>
      </c>
      <c r="C38" s="137">
        <v>1</v>
      </c>
      <c r="D38" s="138">
        <v>550</v>
      </c>
      <c r="E38" s="138">
        <f t="shared" ref="E38:E44" si="9">C38*D38</f>
        <v>550</v>
      </c>
      <c r="F38" s="139">
        <f t="shared" si="3"/>
        <v>61.325000000000003</v>
      </c>
      <c r="G38" s="139">
        <f t="shared" si="4"/>
        <v>45.833333333333336</v>
      </c>
      <c r="H38" s="139">
        <f t="shared" si="5"/>
        <v>24.333333333333332</v>
      </c>
      <c r="I38" s="139">
        <f t="shared" si="6"/>
        <v>22.916666666666668</v>
      </c>
      <c r="J38" s="139">
        <f t="shared" si="7"/>
        <v>5.5</v>
      </c>
      <c r="K38" s="139">
        <f t="shared" si="8"/>
        <v>51.424999999999997</v>
      </c>
      <c r="L38" s="140">
        <f t="shared" si="2"/>
        <v>658.48333333333346</v>
      </c>
      <c r="M38" s="117"/>
    </row>
    <row r="39" spans="1:14" ht="15.75" x14ac:dyDescent="0.25">
      <c r="A39" s="117"/>
      <c r="B39" s="141" t="s">
        <v>194</v>
      </c>
      <c r="C39" s="137">
        <v>1</v>
      </c>
      <c r="D39" s="138">
        <v>300</v>
      </c>
      <c r="E39" s="138">
        <f t="shared" si="9"/>
        <v>300</v>
      </c>
      <c r="F39" s="139">
        <f t="shared" si="3"/>
        <v>33.450000000000003</v>
      </c>
      <c r="G39" s="139">
        <f t="shared" si="4"/>
        <v>25</v>
      </c>
      <c r="H39" s="139">
        <f t="shared" si="5"/>
        <v>24.333333333333332</v>
      </c>
      <c r="I39" s="139">
        <f t="shared" si="6"/>
        <v>12.5</v>
      </c>
      <c r="J39" s="139">
        <f t="shared" si="7"/>
        <v>3</v>
      </c>
      <c r="K39" s="139">
        <f t="shared" si="8"/>
        <v>28.05</v>
      </c>
      <c r="L39" s="140">
        <f t="shared" si="2"/>
        <v>370.23333333333329</v>
      </c>
      <c r="M39" s="117"/>
    </row>
    <row r="40" spans="1:14" ht="15.75" x14ac:dyDescent="0.25">
      <c r="A40" s="117"/>
      <c r="B40" s="141" t="s">
        <v>197</v>
      </c>
      <c r="C40" s="137">
        <v>1</v>
      </c>
      <c r="D40" s="138">
        <v>450</v>
      </c>
      <c r="E40" s="138">
        <f t="shared" si="9"/>
        <v>450</v>
      </c>
      <c r="F40" s="139">
        <f t="shared" si="3"/>
        <v>50.175000000000004</v>
      </c>
      <c r="G40" s="139">
        <f t="shared" si="4"/>
        <v>37.5</v>
      </c>
      <c r="H40" s="139">
        <f>292/12</f>
        <v>24.333333333333332</v>
      </c>
      <c r="I40" s="139">
        <f t="shared" si="6"/>
        <v>18.75</v>
      </c>
      <c r="J40" s="139">
        <f t="shared" si="7"/>
        <v>4.5</v>
      </c>
      <c r="K40" s="139">
        <f t="shared" si="8"/>
        <v>42.075000000000003</v>
      </c>
      <c r="L40" s="140">
        <f t="shared" si="2"/>
        <v>543.18333333333328</v>
      </c>
      <c r="M40" s="117"/>
    </row>
    <row r="41" spans="1:14" ht="15.75" x14ac:dyDescent="0.25">
      <c r="A41" s="117"/>
      <c r="B41" s="141" t="s">
        <v>199</v>
      </c>
      <c r="C41" s="137">
        <v>18</v>
      </c>
      <c r="D41" s="138">
        <v>300</v>
      </c>
      <c r="E41" s="138">
        <f t="shared" si="9"/>
        <v>5400</v>
      </c>
      <c r="F41" s="139">
        <f t="shared" si="3"/>
        <v>602.1</v>
      </c>
      <c r="G41" s="139">
        <f t="shared" si="4"/>
        <v>450</v>
      </c>
      <c r="H41" s="139">
        <f>292/12</f>
        <v>24.333333333333332</v>
      </c>
      <c r="I41" s="139">
        <f t="shared" si="6"/>
        <v>225</v>
      </c>
      <c r="J41" s="139">
        <f t="shared" si="7"/>
        <v>54</v>
      </c>
      <c r="K41" s="139">
        <f t="shared" si="8"/>
        <v>504.9</v>
      </c>
      <c r="L41" s="140">
        <f t="shared" si="2"/>
        <v>6250.5333333333338</v>
      </c>
      <c r="M41" s="117"/>
    </row>
    <row r="42" spans="1:14" ht="15.75" x14ac:dyDescent="0.25">
      <c r="A42" s="117"/>
      <c r="B42" s="141" t="s">
        <v>37</v>
      </c>
      <c r="C42" s="137">
        <v>1</v>
      </c>
      <c r="D42" s="138">
        <v>350</v>
      </c>
      <c r="E42" s="138">
        <f t="shared" si="9"/>
        <v>350</v>
      </c>
      <c r="F42" s="139">
        <f t="shared" si="3"/>
        <v>39.024999999999999</v>
      </c>
      <c r="G42" s="139">
        <f t="shared" si="4"/>
        <v>29.166666666666668</v>
      </c>
      <c r="H42" s="139">
        <f>292/12</f>
        <v>24.333333333333332</v>
      </c>
      <c r="I42" s="139">
        <f t="shared" si="6"/>
        <v>14.583333333333334</v>
      </c>
      <c r="J42" s="139">
        <f t="shared" si="7"/>
        <v>3.5</v>
      </c>
      <c r="K42" s="139">
        <f t="shared" si="8"/>
        <v>32.725000000000001</v>
      </c>
      <c r="L42" s="140">
        <f t="shared" si="2"/>
        <v>427.88333333333327</v>
      </c>
      <c r="M42" s="117"/>
    </row>
    <row r="43" spans="1:14" ht="15.75" x14ac:dyDescent="0.25">
      <c r="A43" s="117"/>
      <c r="B43" s="141" t="s">
        <v>198</v>
      </c>
      <c r="C43" s="137">
        <v>1</v>
      </c>
      <c r="D43" s="138">
        <v>2000</v>
      </c>
      <c r="E43" s="138">
        <f>C43*D43</f>
        <v>2000</v>
      </c>
      <c r="F43" s="139">
        <f>E43*11.15%</f>
        <v>223</v>
      </c>
      <c r="G43" s="139">
        <f t="shared" si="4"/>
        <v>166.66666666666666</v>
      </c>
      <c r="H43" s="139">
        <f>292/12</f>
        <v>24.333333333333332</v>
      </c>
      <c r="I43" s="139">
        <f t="shared" si="6"/>
        <v>83.333333333333329</v>
      </c>
      <c r="J43" s="139">
        <f t="shared" si="7"/>
        <v>20</v>
      </c>
      <c r="K43" s="139">
        <f t="shared" si="8"/>
        <v>187</v>
      </c>
      <c r="L43" s="140">
        <f t="shared" si="2"/>
        <v>2330.3333333333335</v>
      </c>
      <c r="M43" s="117"/>
    </row>
    <row r="44" spans="1:14" ht="16.5" thickBot="1" x14ac:dyDescent="0.3">
      <c r="A44" s="117"/>
      <c r="B44" s="142" t="s">
        <v>36</v>
      </c>
      <c r="C44" s="143">
        <v>1</v>
      </c>
      <c r="D44" s="144">
        <v>300</v>
      </c>
      <c r="E44" s="144">
        <f t="shared" si="9"/>
        <v>300</v>
      </c>
      <c r="F44" s="145">
        <f t="shared" si="3"/>
        <v>33.450000000000003</v>
      </c>
      <c r="G44" s="145">
        <f t="shared" si="4"/>
        <v>25</v>
      </c>
      <c r="H44" s="145">
        <f t="shared" si="5"/>
        <v>24.333333333333332</v>
      </c>
      <c r="I44" s="145">
        <f t="shared" si="6"/>
        <v>12.5</v>
      </c>
      <c r="J44" s="145">
        <f t="shared" si="7"/>
        <v>3</v>
      </c>
      <c r="K44" s="145">
        <f t="shared" si="8"/>
        <v>28.05</v>
      </c>
      <c r="L44" s="146">
        <f t="shared" si="2"/>
        <v>370.23333333333329</v>
      </c>
      <c r="M44" s="117"/>
    </row>
    <row r="45" spans="1:14" ht="16.5" thickBot="1" x14ac:dyDescent="0.3">
      <c r="A45" s="117"/>
      <c r="B45" s="147" t="s">
        <v>255</v>
      </c>
      <c r="C45" s="148">
        <f t="shared" ref="C45:L45" si="10">SUM(C36:C44)</f>
        <v>26</v>
      </c>
      <c r="D45" s="149">
        <f t="shared" si="10"/>
        <v>6350</v>
      </c>
      <c r="E45" s="149">
        <f t="shared" si="10"/>
        <v>11450</v>
      </c>
      <c r="F45" s="149">
        <f t="shared" si="10"/>
        <v>1276.675</v>
      </c>
      <c r="G45" s="149">
        <f t="shared" si="10"/>
        <v>954.16666666666663</v>
      </c>
      <c r="H45" s="149">
        <f t="shared" si="10"/>
        <v>219.00000000000003</v>
      </c>
      <c r="I45" s="149">
        <f t="shared" si="10"/>
        <v>477.08333333333331</v>
      </c>
      <c r="J45" s="149">
        <f t="shared" si="10"/>
        <v>114.5</v>
      </c>
      <c r="K45" s="149">
        <f t="shared" si="10"/>
        <v>1070.575</v>
      </c>
      <c r="L45" s="150">
        <f t="shared" si="10"/>
        <v>13420.85</v>
      </c>
      <c r="M45" s="117"/>
    </row>
    <row r="46" spans="1:14" ht="16.5" thickBot="1" x14ac:dyDescent="0.3">
      <c r="A46" s="117"/>
      <c r="B46" s="692" t="s">
        <v>256</v>
      </c>
      <c r="C46" s="693"/>
      <c r="D46" s="693"/>
      <c r="E46" s="693"/>
      <c r="F46" s="693"/>
      <c r="G46" s="693"/>
      <c r="H46" s="693"/>
      <c r="I46" s="693"/>
      <c r="J46" s="693"/>
      <c r="K46" s="694"/>
      <c r="L46" s="274">
        <f>L45*12</f>
        <v>161050.20000000001</v>
      </c>
      <c r="M46" s="117"/>
    </row>
    <row r="47" spans="1:14" ht="15.75" x14ac:dyDescent="0.2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4" ht="15.75" x14ac:dyDescent="0.2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ht="15.75" x14ac:dyDescent="0.2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ht="15.75" x14ac:dyDescent="0.2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</sheetData>
  <mergeCells count="10">
    <mergeCell ref="B3:F3"/>
    <mergeCell ref="B13:D13"/>
    <mergeCell ref="B34:L34"/>
    <mergeCell ref="B46:K46"/>
    <mergeCell ref="G16:H16"/>
    <mergeCell ref="B30:C30"/>
    <mergeCell ref="B26:C26"/>
    <mergeCell ref="B27:C27"/>
    <mergeCell ref="B28:C28"/>
    <mergeCell ref="B29:C2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opLeftCell="F55" zoomScale="70" zoomScaleNormal="70" workbookViewId="0">
      <selection activeCell="F60" sqref="F60:I71"/>
    </sheetView>
  </sheetViews>
  <sheetFormatPr baseColWidth="10" defaultRowHeight="15" x14ac:dyDescent="0.25"/>
  <cols>
    <col min="3" max="3" width="16" customWidth="1"/>
    <col min="4" max="4" width="13.7109375" customWidth="1"/>
    <col min="5" max="5" width="23.85546875" customWidth="1"/>
    <col min="6" max="6" width="21.28515625" customWidth="1"/>
    <col min="7" max="7" width="18" customWidth="1"/>
    <col min="8" max="8" width="16.28515625" customWidth="1"/>
    <col min="9" max="9" width="15.7109375" customWidth="1"/>
    <col min="10" max="10" width="22.42578125" customWidth="1"/>
    <col min="12" max="12" width="36.85546875" customWidth="1"/>
    <col min="13" max="13" width="17.85546875" customWidth="1"/>
    <col min="14" max="14" width="16.28515625" customWidth="1"/>
    <col min="15" max="15" width="22.7109375" customWidth="1"/>
    <col min="17" max="17" width="23.7109375" customWidth="1"/>
    <col min="18" max="18" width="13.28515625" customWidth="1"/>
    <col min="19" max="19" width="31" customWidth="1"/>
    <col min="20" max="20" width="21.42578125" customWidth="1"/>
  </cols>
  <sheetData>
    <row r="1" spans="1:20" ht="16.5" thickBot="1" x14ac:dyDescent="0.3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0" ht="15.75" x14ac:dyDescent="0.25">
      <c r="A2" s="102"/>
      <c r="B2" s="707" t="s">
        <v>237</v>
      </c>
      <c r="C2" s="708"/>
      <c r="D2" s="708"/>
      <c r="E2" s="709"/>
      <c r="F2" s="102"/>
      <c r="G2" s="710" t="s">
        <v>238</v>
      </c>
      <c r="H2" s="711"/>
      <c r="I2" s="711"/>
      <c r="J2" s="712"/>
      <c r="K2" s="102"/>
      <c r="L2" s="713" t="s">
        <v>239</v>
      </c>
      <c r="M2" s="714"/>
      <c r="N2" s="714"/>
      <c r="O2" s="715"/>
      <c r="P2" s="102"/>
      <c r="Q2" s="102"/>
    </row>
    <row r="3" spans="1:20" ht="15.75" x14ac:dyDescent="0.25">
      <c r="A3" s="102"/>
      <c r="B3" s="216"/>
      <c r="C3" s="243" t="s">
        <v>43</v>
      </c>
      <c r="D3" s="243" t="s">
        <v>44</v>
      </c>
      <c r="E3" s="289" t="s">
        <v>45</v>
      </c>
      <c r="F3" s="102"/>
      <c r="G3" s="216"/>
      <c r="H3" s="243" t="s">
        <v>43</v>
      </c>
      <c r="I3" s="243" t="s">
        <v>44</v>
      </c>
      <c r="J3" s="289" t="s">
        <v>45</v>
      </c>
      <c r="K3" s="102"/>
      <c r="L3" s="216"/>
      <c r="M3" s="243" t="s">
        <v>43</v>
      </c>
      <c r="N3" s="243" t="s">
        <v>44</v>
      </c>
      <c r="O3" s="289" t="s">
        <v>45</v>
      </c>
      <c r="P3" s="102"/>
      <c r="Q3" s="102"/>
    </row>
    <row r="4" spans="1:20" ht="15.75" x14ac:dyDescent="0.25">
      <c r="A4" s="102"/>
      <c r="B4" s="311">
        <v>0</v>
      </c>
      <c r="C4" s="103"/>
      <c r="D4" s="103"/>
      <c r="E4" s="290">
        <v>90000</v>
      </c>
      <c r="F4" s="102"/>
      <c r="G4" s="311">
        <v>0</v>
      </c>
      <c r="H4" s="103"/>
      <c r="I4" s="103"/>
      <c r="J4" s="290">
        <v>2700</v>
      </c>
      <c r="K4" s="102"/>
      <c r="L4" s="311">
        <v>0</v>
      </c>
      <c r="M4" s="103"/>
      <c r="N4" s="103"/>
      <c r="O4" s="290">
        <v>60000</v>
      </c>
      <c r="P4" s="102"/>
      <c r="Q4" s="102"/>
    </row>
    <row r="5" spans="1:20" ht="15.75" x14ac:dyDescent="0.25">
      <c r="A5" s="102"/>
      <c r="B5" s="311">
        <v>1</v>
      </c>
      <c r="C5" s="104">
        <f>$E$4*10%</f>
        <v>9000</v>
      </c>
      <c r="D5" s="104">
        <f>C5</f>
        <v>9000</v>
      </c>
      <c r="E5" s="290">
        <f>E4-C5</f>
        <v>81000</v>
      </c>
      <c r="F5" s="102"/>
      <c r="G5" s="311">
        <v>1</v>
      </c>
      <c r="H5" s="104">
        <f>$J$4*10%</f>
        <v>270</v>
      </c>
      <c r="I5" s="104">
        <f>H5</f>
        <v>270</v>
      </c>
      <c r="J5" s="290">
        <f>J4-H5</f>
        <v>2430</v>
      </c>
      <c r="K5" s="102"/>
      <c r="L5" s="311">
        <v>1</v>
      </c>
      <c r="M5" s="104">
        <f>$O$4*10%</f>
        <v>6000</v>
      </c>
      <c r="N5" s="104">
        <f>M5</f>
        <v>6000</v>
      </c>
      <c r="O5" s="290">
        <f>O4-M5</f>
        <v>54000</v>
      </c>
      <c r="P5" s="102"/>
      <c r="Q5" s="102"/>
    </row>
    <row r="6" spans="1:20" ht="15.75" x14ac:dyDescent="0.25">
      <c r="A6" s="102"/>
      <c r="B6" s="311">
        <v>2</v>
      </c>
      <c r="C6" s="104">
        <f t="shared" ref="C6:C14" si="0">$E$4*10%</f>
        <v>9000</v>
      </c>
      <c r="D6" s="104">
        <f>D5+C6</f>
        <v>18000</v>
      </c>
      <c r="E6" s="290">
        <f t="shared" ref="E6:E14" si="1">E5-C6</f>
        <v>72000</v>
      </c>
      <c r="F6" s="102"/>
      <c r="G6" s="311">
        <v>2</v>
      </c>
      <c r="H6" s="104">
        <f t="shared" ref="H6:H14" si="2">$J$4*10%</f>
        <v>270</v>
      </c>
      <c r="I6" s="104">
        <f>I5+H6</f>
        <v>540</v>
      </c>
      <c r="J6" s="290">
        <f t="shared" ref="J6:J13" si="3">J5-H6</f>
        <v>2160</v>
      </c>
      <c r="K6" s="102"/>
      <c r="L6" s="311">
        <v>2</v>
      </c>
      <c r="M6" s="104">
        <f t="shared" ref="M6:M14" si="4">$O$4*10%</f>
        <v>6000</v>
      </c>
      <c r="N6" s="104">
        <f>N5+M6</f>
        <v>12000</v>
      </c>
      <c r="O6" s="290">
        <f t="shared" ref="O6:O14" si="5">O5-M6</f>
        <v>48000</v>
      </c>
      <c r="P6" s="102"/>
      <c r="Q6" s="102"/>
    </row>
    <row r="7" spans="1:20" ht="15.75" x14ac:dyDescent="0.25">
      <c r="A7" s="102"/>
      <c r="B7" s="311">
        <v>3</v>
      </c>
      <c r="C7" s="104">
        <f t="shared" si="0"/>
        <v>9000</v>
      </c>
      <c r="D7" s="104">
        <f t="shared" ref="D7:D13" si="6">D6+C7</f>
        <v>27000</v>
      </c>
      <c r="E7" s="290">
        <f t="shared" si="1"/>
        <v>63000</v>
      </c>
      <c r="F7" s="102"/>
      <c r="G7" s="311">
        <v>3</v>
      </c>
      <c r="H7" s="104">
        <f t="shared" si="2"/>
        <v>270</v>
      </c>
      <c r="I7" s="104">
        <f t="shared" ref="I7:I13" si="7">I6+H7</f>
        <v>810</v>
      </c>
      <c r="J7" s="290">
        <f t="shared" si="3"/>
        <v>1890</v>
      </c>
      <c r="K7" s="102"/>
      <c r="L7" s="311">
        <v>3</v>
      </c>
      <c r="M7" s="104">
        <f t="shared" si="4"/>
        <v>6000</v>
      </c>
      <c r="N7" s="104">
        <f t="shared" ref="N7:N14" si="8">N6+M7</f>
        <v>18000</v>
      </c>
      <c r="O7" s="290">
        <f t="shared" si="5"/>
        <v>42000</v>
      </c>
      <c r="P7" s="102"/>
      <c r="Q7" s="102"/>
    </row>
    <row r="8" spans="1:20" ht="15.75" x14ac:dyDescent="0.25">
      <c r="A8" s="102"/>
      <c r="B8" s="311">
        <v>4</v>
      </c>
      <c r="C8" s="104">
        <f t="shared" si="0"/>
        <v>9000</v>
      </c>
      <c r="D8" s="104">
        <f t="shared" si="6"/>
        <v>36000</v>
      </c>
      <c r="E8" s="290">
        <f t="shared" si="1"/>
        <v>54000</v>
      </c>
      <c r="F8" s="102"/>
      <c r="G8" s="311">
        <v>4</v>
      </c>
      <c r="H8" s="104">
        <f t="shared" si="2"/>
        <v>270</v>
      </c>
      <c r="I8" s="104">
        <f t="shared" si="7"/>
        <v>1080</v>
      </c>
      <c r="J8" s="290">
        <f t="shared" si="3"/>
        <v>1620</v>
      </c>
      <c r="K8" s="102"/>
      <c r="L8" s="311">
        <v>4</v>
      </c>
      <c r="M8" s="104">
        <f t="shared" si="4"/>
        <v>6000</v>
      </c>
      <c r="N8" s="104">
        <f t="shared" si="8"/>
        <v>24000</v>
      </c>
      <c r="O8" s="290">
        <f t="shared" si="5"/>
        <v>36000</v>
      </c>
      <c r="P8" s="102"/>
      <c r="Q8" s="102"/>
    </row>
    <row r="9" spans="1:20" ht="15.75" x14ac:dyDescent="0.25">
      <c r="A9" s="102"/>
      <c r="B9" s="311">
        <v>5</v>
      </c>
      <c r="C9" s="104">
        <f t="shared" si="0"/>
        <v>9000</v>
      </c>
      <c r="D9" s="104">
        <f t="shared" si="6"/>
        <v>45000</v>
      </c>
      <c r="E9" s="290">
        <f t="shared" si="1"/>
        <v>45000</v>
      </c>
      <c r="F9" s="102"/>
      <c r="G9" s="311">
        <v>5</v>
      </c>
      <c r="H9" s="104">
        <f t="shared" si="2"/>
        <v>270</v>
      </c>
      <c r="I9" s="104">
        <f t="shared" si="7"/>
        <v>1350</v>
      </c>
      <c r="J9" s="290">
        <f t="shared" si="3"/>
        <v>1350</v>
      </c>
      <c r="K9" s="102"/>
      <c r="L9" s="311">
        <v>5</v>
      </c>
      <c r="M9" s="104">
        <f t="shared" si="4"/>
        <v>6000</v>
      </c>
      <c r="N9" s="104">
        <f t="shared" si="8"/>
        <v>30000</v>
      </c>
      <c r="O9" s="290">
        <f t="shared" si="5"/>
        <v>30000</v>
      </c>
      <c r="P9" s="102"/>
      <c r="Q9" s="102"/>
    </row>
    <row r="10" spans="1:20" ht="15.75" x14ac:dyDescent="0.25">
      <c r="A10" s="102"/>
      <c r="B10" s="311">
        <v>6</v>
      </c>
      <c r="C10" s="104">
        <f t="shared" si="0"/>
        <v>9000</v>
      </c>
      <c r="D10" s="104">
        <f t="shared" si="6"/>
        <v>54000</v>
      </c>
      <c r="E10" s="290">
        <f t="shared" si="1"/>
        <v>36000</v>
      </c>
      <c r="F10" s="102"/>
      <c r="G10" s="311">
        <v>6</v>
      </c>
      <c r="H10" s="104">
        <f t="shared" si="2"/>
        <v>270</v>
      </c>
      <c r="I10" s="104">
        <f t="shared" si="7"/>
        <v>1620</v>
      </c>
      <c r="J10" s="290">
        <f t="shared" si="3"/>
        <v>1080</v>
      </c>
      <c r="K10" s="102"/>
      <c r="L10" s="311">
        <v>6</v>
      </c>
      <c r="M10" s="104">
        <f t="shared" si="4"/>
        <v>6000</v>
      </c>
      <c r="N10" s="104">
        <f t="shared" si="8"/>
        <v>36000</v>
      </c>
      <c r="O10" s="290">
        <f t="shared" si="5"/>
        <v>24000</v>
      </c>
      <c r="P10" s="102"/>
      <c r="Q10" s="102"/>
    </row>
    <row r="11" spans="1:20" ht="15.75" x14ac:dyDescent="0.25">
      <c r="A11" s="102"/>
      <c r="B11" s="311">
        <v>7</v>
      </c>
      <c r="C11" s="104">
        <f t="shared" si="0"/>
        <v>9000</v>
      </c>
      <c r="D11" s="104">
        <f t="shared" si="6"/>
        <v>63000</v>
      </c>
      <c r="E11" s="290">
        <f t="shared" si="1"/>
        <v>27000</v>
      </c>
      <c r="F11" s="102"/>
      <c r="G11" s="311">
        <v>7</v>
      </c>
      <c r="H11" s="104">
        <f t="shared" si="2"/>
        <v>270</v>
      </c>
      <c r="I11" s="104">
        <f t="shared" si="7"/>
        <v>1890</v>
      </c>
      <c r="J11" s="290">
        <f t="shared" si="3"/>
        <v>810</v>
      </c>
      <c r="K11" s="102"/>
      <c r="L11" s="311">
        <v>7</v>
      </c>
      <c r="M11" s="104">
        <f t="shared" si="4"/>
        <v>6000</v>
      </c>
      <c r="N11" s="104">
        <f t="shared" si="8"/>
        <v>42000</v>
      </c>
      <c r="O11" s="290">
        <f t="shared" si="5"/>
        <v>18000</v>
      </c>
      <c r="P11" s="102"/>
      <c r="Q11" s="102"/>
    </row>
    <row r="12" spans="1:20" ht="15.75" x14ac:dyDescent="0.25">
      <c r="A12" s="102"/>
      <c r="B12" s="311">
        <v>8</v>
      </c>
      <c r="C12" s="104">
        <f t="shared" si="0"/>
        <v>9000</v>
      </c>
      <c r="D12" s="104">
        <f t="shared" si="6"/>
        <v>72000</v>
      </c>
      <c r="E12" s="290">
        <f t="shared" si="1"/>
        <v>18000</v>
      </c>
      <c r="F12" s="102"/>
      <c r="G12" s="311">
        <v>8</v>
      </c>
      <c r="H12" s="104">
        <f t="shared" si="2"/>
        <v>270</v>
      </c>
      <c r="I12" s="104">
        <f t="shared" si="7"/>
        <v>2160</v>
      </c>
      <c r="J12" s="290">
        <f t="shared" si="3"/>
        <v>540</v>
      </c>
      <c r="K12" s="102"/>
      <c r="L12" s="311">
        <v>8</v>
      </c>
      <c r="M12" s="104">
        <f t="shared" si="4"/>
        <v>6000</v>
      </c>
      <c r="N12" s="104">
        <f t="shared" si="8"/>
        <v>48000</v>
      </c>
      <c r="O12" s="290">
        <f t="shared" si="5"/>
        <v>12000</v>
      </c>
      <c r="P12" s="102"/>
      <c r="Q12" s="102"/>
    </row>
    <row r="13" spans="1:20" ht="15.75" x14ac:dyDescent="0.25">
      <c r="A13" s="102"/>
      <c r="B13" s="311">
        <v>9</v>
      </c>
      <c r="C13" s="104">
        <f t="shared" si="0"/>
        <v>9000</v>
      </c>
      <c r="D13" s="104">
        <f t="shared" si="6"/>
        <v>81000</v>
      </c>
      <c r="E13" s="290">
        <f t="shared" si="1"/>
        <v>9000</v>
      </c>
      <c r="F13" s="102"/>
      <c r="G13" s="311">
        <v>9</v>
      </c>
      <c r="H13" s="104">
        <f t="shared" si="2"/>
        <v>270</v>
      </c>
      <c r="I13" s="104">
        <f t="shared" si="7"/>
        <v>2430</v>
      </c>
      <c r="J13" s="290">
        <f t="shared" si="3"/>
        <v>270</v>
      </c>
      <c r="K13" s="102"/>
      <c r="L13" s="311">
        <v>9</v>
      </c>
      <c r="M13" s="104">
        <f t="shared" si="4"/>
        <v>6000</v>
      </c>
      <c r="N13" s="104">
        <f t="shared" si="8"/>
        <v>54000</v>
      </c>
      <c r="O13" s="290">
        <f t="shared" si="5"/>
        <v>6000</v>
      </c>
      <c r="P13" s="102"/>
      <c r="Q13" s="102"/>
    </row>
    <row r="14" spans="1:20" ht="16.5" thickBot="1" x14ac:dyDescent="0.3">
      <c r="A14" s="102"/>
      <c r="B14" s="312">
        <v>10</v>
      </c>
      <c r="C14" s="291">
        <f t="shared" si="0"/>
        <v>9000</v>
      </c>
      <c r="D14" s="291">
        <f>D13+C14</f>
        <v>90000</v>
      </c>
      <c r="E14" s="292">
        <f t="shared" si="1"/>
        <v>0</v>
      </c>
      <c r="F14" s="102"/>
      <c r="G14" s="312">
        <v>10</v>
      </c>
      <c r="H14" s="291">
        <f t="shared" si="2"/>
        <v>270</v>
      </c>
      <c r="I14" s="291">
        <f>I13+H14</f>
        <v>2700</v>
      </c>
      <c r="J14" s="292">
        <f>J13-H14</f>
        <v>0</v>
      </c>
      <c r="K14" s="102"/>
      <c r="L14" s="312">
        <v>10</v>
      </c>
      <c r="M14" s="291">
        <f t="shared" si="4"/>
        <v>6000</v>
      </c>
      <c r="N14" s="291">
        <f t="shared" si="8"/>
        <v>60000</v>
      </c>
      <c r="O14" s="292">
        <f t="shared" si="5"/>
        <v>0</v>
      </c>
      <c r="P14" s="102"/>
      <c r="Q14" s="102"/>
    </row>
    <row r="15" spans="1:20" ht="16.5" thickBot="1" x14ac:dyDescent="0.3">
      <c r="A15" s="102"/>
      <c r="B15" s="239"/>
      <c r="C15" s="293"/>
      <c r="D15" s="293"/>
      <c r="E15" s="293"/>
      <c r="F15" s="102"/>
      <c r="G15" s="239"/>
      <c r="H15" s="293"/>
      <c r="I15" s="293"/>
      <c r="J15" s="293"/>
      <c r="K15" s="102"/>
      <c r="L15" s="102"/>
      <c r="M15" s="102"/>
      <c r="N15" s="102"/>
      <c r="O15" s="102"/>
      <c r="P15" s="102"/>
      <c r="Q15" s="102"/>
    </row>
    <row r="16" spans="1:20" ht="16.5" thickBot="1" x14ac:dyDescent="0.3">
      <c r="A16" s="102"/>
      <c r="B16" s="239"/>
      <c r="C16" s="293"/>
      <c r="D16" s="293"/>
      <c r="E16" s="293"/>
      <c r="F16" s="102"/>
      <c r="G16" s="239"/>
      <c r="H16" s="293"/>
      <c r="I16" s="293"/>
      <c r="J16" s="293"/>
      <c r="K16" s="102"/>
      <c r="L16" s="716" t="s">
        <v>243</v>
      </c>
      <c r="M16" s="717"/>
      <c r="N16" s="717"/>
      <c r="O16" s="718"/>
      <c r="P16" s="102"/>
      <c r="Q16" s="534"/>
      <c r="R16" s="534"/>
      <c r="S16" s="534"/>
      <c r="T16" s="534"/>
    </row>
    <row r="17" spans="1:20" ht="15.75" x14ac:dyDescent="0.25">
      <c r="A17" s="102"/>
      <c r="B17" s="726" t="s">
        <v>3</v>
      </c>
      <c r="C17" s="727"/>
      <c r="D17" s="727"/>
      <c r="E17" s="728"/>
      <c r="F17" s="102"/>
      <c r="G17" s="719" t="s">
        <v>20</v>
      </c>
      <c r="H17" s="720"/>
      <c r="I17" s="720"/>
      <c r="J17" s="721"/>
      <c r="K17" s="102"/>
      <c r="L17" s="216"/>
      <c r="M17" s="243" t="s">
        <v>43</v>
      </c>
      <c r="N17" s="243" t="s">
        <v>44</v>
      </c>
      <c r="O17" s="289" t="s">
        <v>45</v>
      </c>
      <c r="P17" s="102"/>
      <c r="Q17" s="239"/>
      <c r="R17" s="294"/>
      <c r="S17" s="294"/>
      <c r="T17" s="294"/>
    </row>
    <row r="18" spans="1:20" ht="15.75" x14ac:dyDescent="0.25">
      <c r="A18" s="102"/>
      <c r="B18" s="216"/>
      <c r="C18" s="243" t="s">
        <v>43</v>
      </c>
      <c r="D18" s="243" t="s">
        <v>44</v>
      </c>
      <c r="E18" s="289" t="s">
        <v>45</v>
      </c>
      <c r="F18" s="102"/>
      <c r="G18" s="216"/>
      <c r="H18" s="243" t="s">
        <v>43</v>
      </c>
      <c r="I18" s="243" t="s">
        <v>44</v>
      </c>
      <c r="J18" s="289" t="s">
        <v>45</v>
      </c>
      <c r="K18" s="102"/>
      <c r="L18" s="311">
        <v>0</v>
      </c>
      <c r="M18" s="103"/>
      <c r="N18" s="103"/>
      <c r="O18" s="290">
        <v>170000</v>
      </c>
      <c r="P18" s="102"/>
      <c r="Q18" s="533"/>
      <c r="R18" s="239"/>
      <c r="S18" s="239"/>
      <c r="T18" s="293"/>
    </row>
    <row r="19" spans="1:20" ht="15.75" x14ac:dyDescent="0.25">
      <c r="A19" s="102"/>
      <c r="B19" s="311">
        <v>0</v>
      </c>
      <c r="C19" s="103"/>
      <c r="D19" s="103"/>
      <c r="E19" s="290">
        <f>+'Inversión y Costos (2)'!E14</f>
        <v>250</v>
      </c>
      <c r="F19" s="102"/>
      <c r="G19" s="311">
        <v>0</v>
      </c>
      <c r="H19" s="103"/>
      <c r="I19" s="103"/>
      <c r="J19" s="290">
        <f>+'Inversión y Costos (2)'!E7</f>
        <v>185</v>
      </c>
      <c r="K19" s="102"/>
      <c r="L19" s="311">
        <v>1</v>
      </c>
      <c r="M19" s="104">
        <f>$O$18*20%</f>
        <v>34000</v>
      </c>
      <c r="N19" s="104">
        <f>M19</f>
        <v>34000</v>
      </c>
      <c r="O19" s="290">
        <f>O18-M19</f>
        <v>136000</v>
      </c>
      <c r="P19" s="102"/>
      <c r="Q19" s="533"/>
      <c r="R19" s="293"/>
      <c r="S19" s="293"/>
      <c r="T19" s="293"/>
    </row>
    <row r="20" spans="1:20" ht="15.75" x14ac:dyDescent="0.25">
      <c r="A20" s="102"/>
      <c r="B20" s="311">
        <v>1</v>
      </c>
      <c r="C20" s="104">
        <f t="shared" ref="C20:C29" si="9">$E$19/3</f>
        <v>83.333333333333329</v>
      </c>
      <c r="D20" s="104">
        <f>C20</f>
        <v>83.333333333333329</v>
      </c>
      <c r="E20" s="290">
        <f>E19-C20</f>
        <v>166.66666666666669</v>
      </c>
      <c r="F20" s="102"/>
      <c r="G20" s="311">
        <v>1</v>
      </c>
      <c r="H20" s="104">
        <f t="shared" ref="H20:H29" si="10">$J$19/3</f>
        <v>61.666666666666664</v>
      </c>
      <c r="I20" s="104">
        <f>H20</f>
        <v>61.666666666666664</v>
      </c>
      <c r="J20" s="290">
        <f>J19-H20</f>
        <v>123.33333333333334</v>
      </c>
      <c r="K20" s="102"/>
      <c r="L20" s="311">
        <v>2</v>
      </c>
      <c r="M20" s="104">
        <f t="shared" ref="M20:M28" si="11">$O$18*20%</f>
        <v>34000</v>
      </c>
      <c r="N20" s="104">
        <f>N19+M20</f>
        <v>68000</v>
      </c>
      <c r="O20" s="290">
        <f t="shared" ref="O20:O28" si="12">O19-M20</f>
        <v>102000</v>
      </c>
      <c r="P20" s="102"/>
      <c r="Q20" s="533"/>
      <c r="R20" s="293"/>
      <c r="S20" s="293"/>
      <c r="T20" s="293"/>
    </row>
    <row r="21" spans="1:20" ht="15.75" x14ac:dyDescent="0.25">
      <c r="A21" s="102"/>
      <c r="B21" s="311">
        <v>2</v>
      </c>
      <c r="C21" s="104">
        <f t="shared" si="9"/>
        <v>83.333333333333329</v>
      </c>
      <c r="D21" s="104">
        <f>D20+C21</f>
        <v>166.66666666666666</v>
      </c>
      <c r="E21" s="290">
        <f t="shared" ref="E21:E29" si="13">E20-C21</f>
        <v>83.333333333333357</v>
      </c>
      <c r="F21" s="102"/>
      <c r="G21" s="311">
        <v>2</v>
      </c>
      <c r="H21" s="104">
        <f t="shared" si="10"/>
        <v>61.666666666666664</v>
      </c>
      <c r="I21" s="104">
        <f>I20+H21</f>
        <v>123.33333333333333</v>
      </c>
      <c r="J21" s="290">
        <f t="shared" ref="J21:J29" si="14">J20-H21</f>
        <v>61.666666666666679</v>
      </c>
      <c r="K21" s="102"/>
      <c r="L21" s="311">
        <v>3</v>
      </c>
      <c r="M21" s="104">
        <f t="shared" si="11"/>
        <v>34000</v>
      </c>
      <c r="N21" s="104">
        <f t="shared" ref="N21:N28" si="15">N20+M21</f>
        <v>102000</v>
      </c>
      <c r="O21" s="290">
        <f t="shared" si="12"/>
        <v>68000</v>
      </c>
      <c r="P21" s="102"/>
      <c r="Q21" s="533"/>
      <c r="R21" s="293"/>
      <c r="S21" s="293"/>
      <c r="T21" s="293"/>
    </row>
    <row r="22" spans="1:20" ht="15.75" x14ac:dyDescent="0.25">
      <c r="A22" s="102"/>
      <c r="B22" s="311">
        <v>3</v>
      </c>
      <c r="C22" s="104">
        <f t="shared" si="9"/>
        <v>83.333333333333329</v>
      </c>
      <c r="D22" s="104">
        <f>D21+C22</f>
        <v>250</v>
      </c>
      <c r="E22" s="290">
        <f>E19</f>
        <v>250</v>
      </c>
      <c r="F22" s="102"/>
      <c r="G22" s="311">
        <v>3</v>
      </c>
      <c r="H22" s="104">
        <f t="shared" si="10"/>
        <v>61.666666666666664</v>
      </c>
      <c r="I22" s="104">
        <f t="shared" ref="I22:I28" si="16">I21+H22</f>
        <v>185</v>
      </c>
      <c r="J22" s="290">
        <f>J19</f>
        <v>185</v>
      </c>
      <c r="K22" s="102"/>
      <c r="L22" s="311">
        <v>4</v>
      </c>
      <c r="M22" s="104">
        <f t="shared" si="11"/>
        <v>34000</v>
      </c>
      <c r="N22" s="104">
        <f t="shared" si="15"/>
        <v>136000</v>
      </c>
      <c r="O22" s="290">
        <f t="shared" si="12"/>
        <v>34000</v>
      </c>
      <c r="P22" s="102"/>
      <c r="Q22" s="533"/>
      <c r="R22" s="293"/>
      <c r="S22" s="293"/>
      <c r="T22" s="293"/>
    </row>
    <row r="23" spans="1:20" ht="15.75" x14ac:dyDescent="0.25">
      <c r="A23" s="102"/>
      <c r="B23" s="311">
        <v>4</v>
      </c>
      <c r="C23" s="104">
        <f t="shared" si="9"/>
        <v>83.333333333333329</v>
      </c>
      <c r="D23" s="104">
        <f>C23</f>
        <v>83.333333333333329</v>
      </c>
      <c r="E23" s="290">
        <f t="shared" si="13"/>
        <v>166.66666666666669</v>
      </c>
      <c r="F23" s="102"/>
      <c r="G23" s="311">
        <v>4</v>
      </c>
      <c r="H23" s="104">
        <f t="shared" si="10"/>
        <v>61.666666666666664</v>
      </c>
      <c r="I23" s="104">
        <f>H23</f>
        <v>61.666666666666664</v>
      </c>
      <c r="J23" s="290">
        <f t="shared" si="14"/>
        <v>123.33333333333334</v>
      </c>
      <c r="K23" s="102"/>
      <c r="L23" s="311">
        <v>5</v>
      </c>
      <c r="M23" s="104">
        <f t="shared" si="11"/>
        <v>34000</v>
      </c>
      <c r="N23" s="104">
        <f t="shared" si="15"/>
        <v>170000</v>
      </c>
      <c r="O23" s="290">
        <f>O18</f>
        <v>170000</v>
      </c>
      <c r="P23" s="102"/>
      <c r="Q23" s="533"/>
      <c r="R23" s="293"/>
      <c r="S23" s="293"/>
      <c r="T23" s="293"/>
    </row>
    <row r="24" spans="1:20" ht="15.75" x14ac:dyDescent="0.25">
      <c r="A24" s="102"/>
      <c r="B24" s="311">
        <v>5</v>
      </c>
      <c r="C24" s="104">
        <f t="shared" si="9"/>
        <v>83.333333333333329</v>
      </c>
      <c r="D24" s="104">
        <f>D23+C24</f>
        <v>166.66666666666666</v>
      </c>
      <c r="E24" s="290">
        <f t="shared" si="13"/>
        <v>83.333333333333357</v>
      </c>
      <c r="F24" s="102"/>
      <c r="G24" s="311">
        <v>5</v>
      </c>
      <c r="H24" s="104">
        <f t="shared" si="10"/>
        <v>61.666666666666664</v>
      </c>
      <c r="I24" s="104">
        <f t="shared" si="16"/>
        <v>123.33333333333333</v>
      </c>
      <c r="J24" s="290">
        <f t="shared" si="14"/>
        <v>61.666666666666679</v>
      </c>
      <c r="K24" s="102"/>
      <c r="L24" s="311">
        <v>6</v>
      </c>
      <c r="M24" s="104">
        <f t="shared" si="11"/>
        <v>34000</v>
      </c>
      <c r="N24" s="104">
        <f t="shared" si="15"/>
        <v>204000</v>
      </c>
      <c r="O24" s="290">
        <f t="shared" si="12"/>
        <v>136000</v>
      </c>
      <c r="P24" s="102"/>
      <c r="Q24" s="533"/>
      <c r="R24" s="293"/>
      <c r="S24" s="293"/>
      <c r="T24" s="293"/>
    </row>
    <row r="25" spans="1:20" ht="15.75" x14ac:dyDescent="0.25">
      <c r="A25" s="102"/>
      <c r="B25" s="311">
        <v>6</v>
      </c>
      <c r="C25" s="104">
        <f t="shared" si="9"/>
        <v>83.333333333333329</v>
      </c>
      <c r="D25" s="104">
        <f>C25+D24</f>
        <v>250</v>
      </c>
      <c r="E25" s="290">
        <f>E22</f>
        <v>250</v>
      </c>
      <c r="F25" s="102"/>
      <c r="G25" s="311">
        <v>6</v>
      </c>
      <c r="H25" s="104">
        <f t="shared" si="10"/>
        <v>61.666666666666664</v>
      </c>
      <c r="I25" s="104">
        <f t="shared" si="16"/>
        <v>185</v>
      </c>
      <c r="J25" s="290">
        <f>J22</f>
        <v>185</v>
      </c>
      <c r="K25" s="102"/>
      <c r="L25" s="311">
        <v>7</v>
      </c>
      <c r="M25" s="104">
        <f t="shared" si="11"/>
        <v>34000</v>
      </c>
      <c r="N25" s="104">
        <f t="shared" si="15"/>
        <v>238000</v>
      </c>
      <c r="O25" s="290">
        <f t="shared" si="12"/>
        <v>102000</v>
      </c>
      <c r="P25" s="102"/>
      <c r="Q25" s="533"/>
      <c r="R25" s="293"/>
      <c r="S25" s="293"/>
      <c r="T25" s="293"/>
    </row>
    <row r="26" spans="1:20" ht="15.75" x14ac:dyDescent="0.25">
      <c r="A26" s="102"/>
      <c r="B26" s="311">
        <v>7</v>
      </c>
      <c r="C26" s="104">
        <f t="shared" si="9"/>
        <v>83.333333333333329</v>
      </c>
      <c r="D26" s="104">
        <f>C26</f>
        <v>83.333333333333329</v>
      </c>
      <c r="E26" s="290">
        <f t="shared" si="13"/>
        <v>166.66666666666669</v>
      </c>
      <c r="F26" s="102"/>
      <c r="G26" s="311">
        <v>7</v>
      </c>
      <c r="H26" s="104">
        <f t="shared" si="10"/>
        <v>61.666666666666664</v>
      </c>
      <c r="I26" s="104">
        <f>H26</f>
        <v>61.666666666666664</v>
      </c>
      <c r="J26" s="290">
        <f t="shared" si="14"/>
        <v>123.33333333333334</v>
      </c>
      <c r="K26" s="102"/>
      <c r="L26" s="311">
        <v>8</v>
      </c>
      <c r="M26" s="104">
        <f t="shared" si="11"/>
        <v>34000</v>
      </c>
      <c r="N26" s="104">
        <f t="shared" si="15"/>
        <v>272000</v>
      </c>
      <c r="O26" s="290">
        <f t="shared" si="12"/>
        <v>68000</v>
      </c>
      <c r="P26" s="102"/>
      <c r="Q26" s="533"/>
      <c r="R26" s="293"/>
      <c r="S26" s="293"/>
      <c r="T26" s="293"/>
    </row>
    <row r="27" spans="1:20" ht="15.75" x14ac:dyDescent="0.25">
      <c r="A27" s="102"/>
      <c r="B27" s="311">
        <v>8</v>
      </c>
      <c r="C27" s="104">
        <f t="shared" si="9"/>
        <v>83.333333333333329</v>
      </c>
      <c r="D27" s="104">
        <f>D26+C27</f>
        <v>166.66666666666666</v>
      </c>
      <c r="E27" s="290">
        <f t="shared" si="13"/>
        <v>83.333333333333357</v>
      </c>
      <c r="F27" s="102"/>
      <c r="G27" s="311">
        <v>8</v>
      </c>
      <c r="H27" s="104">
        <f t="shared" si="10"/>
        <v>61.666666666666664</v>
      </c>
      <c r="I27" s="104">
        <f t="shared" si="16"/>
        <v>123.33333333333333</v>
      </c>
      <c r="J27" s="290">
        <f t="shared" si="14"/>
        <v>61.666666666666679</v>
      </c>
      <c r="K27" s="102"/>
      <c r="L27" s="311">
        <v>9</v>
      </c>
      <c r="M27" s="104">
        <f t="shared" si="11"/>
        <v>34000</v>
      </c>
      <c r="N27" s="104">
        <f t="shared" si="15"/>
        <v>306000</v>
      </c>
      <c r="O27" s="290">
        <f t="shared" si="12"/>
        <v>34000</v>
      </c>
      <c r="P27" s="102"/>
      <c r="Q27" s="533"/>
      <c r="R27" s="293"/>
      <c r="S27" s="293"/>
      <c r="T27" s="293"/>
    </row>
    <row r="28" spans="1:20" ht="16.5" thickBot="1" x14ac:dyDescent="0.3">
      <c r="A28" s="102"/>
      <c r="B28" s="311">
        <v>9</v>
      </c>
      <c r="C28" s="104">
        <f t="shared" si="9"/>
        <v>83.333333333333329</v>
      </c>
      <c r="D28" s="104">
        <f>D27+C28</f>
        <v>250</v>
      </c>
      <c r="E28" s="290">
        <f>E25</f>
        <v>250</v>
      </c>
      <c r="F28" s="102"/>
      <c r="G28" s="311">
        <v>9</v>
      </c>
      <c r="H28" s="104">
        <f t="shared" si="10"/>
        <v>61.666666666666664</v>
      </c>
      <c r="I28" s="104">
        <f t="shared" si="16"/>
        <v>185</v>
      </c>
      <c r="J28" s="290">
        <f>J25</f>
        <v>185</v>
      </c>
      <c r="K28" s="102"/>
      <c r="L28" s="312">
        <v>10</v>
      </c>
      <c r="M28" s="291">
        <f t="shared" si="11"/>
        <v>34000</v>
      </c>
      <c r="N28" s="291">
        <f t="shared" si="15"/>
        <v>340000</v>
      </c>
      <c r="O28" s="292">
        <f t="shared" si="12"/>
        <v>0</v>
      </c>
      <c r="P28" s="102"/>
      <c r="Q28" s="533"/>
      <c r="R28" s="293"/>
      <c r="S28" s="293"/>
      <c r="T28" s="293"/>
    </row>
    <row r="29" spans="1:20" ht="16.5" thickBot="1" x14ac:dyDescent="0.3">
      <c r="A29" s="102"/>
      <c r="B29" s="312">
        <v>10</v>
      </c>
      <c r="C29" s="291">
        <f t="shared" si="9"/>
        <v>83.333333333333329</v>
      </c>
      <c r="D29" s="291">
        <f>C29</f>
        <v>83.333333333333329</v>
      </c>
      <c r="E29" s="292">
        <f t="shared" si="13"/>
        <v>166.66666666666669</v>
      </c>
      <c r="F29" s="102"/>
      <c r="G29" s="312">
        <v>10</v>
      </c>
      <c r="H29" s="291">
        <f t="shared" si="10"/>
        <v>61.666666666666664</v>
      </c>
      <c r="I29" s="291">
        <f>H29</f>
        <v>61.666666666666664</v>
      </c>
      <c r="J29" s="292">
        <f t="shared" si="14"/>
        <v>123.33333333333334</v>
      </c>
      <c r="K29" s="102"/>
      <c r="L29" s="239"/>
      <c r="M29" s="293"/>
      <c r="N29" s="293"/>
      <c r="O29" s="293"/>
      <c r="P29" s="102"/>
      <c r="Q29" s="102"/>
    </row>
    <row r="30" spans="1:20" ht="16.5" thickBot="1" x14ac:dyDescent="0.3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713" t="s">
        <v>244</v>
      </c>
      <c r="M30" s="714"/>
      <c r="N30" s="714"/>
      <c r="O30" s="715"/>
      <c r="P30" s="102"/>
      <c r="Q30" s="102"/>
    </row>
    <row r="31" spans="1:20" ht="15.75" x14ac:dyDescent="0.25">
      <c r="A31" s="102"/>
      <c r="B31" s="707" t="s">
        <v>248</v>
      </c>
      <c r="C31" s="708"/>
      <c r="D31" s="708"/>
      <c r="E31" s="709"/>
      <c r="F31" s="102"/>
      <c r="G31" s="710" t="s">
        <v>245</v>
      </c>
      <c r="H31" s="711"/>
      <c r="I31" s="711"/>
      <c r="J31" s="712"/>
      <c r="K31" s="102"/>
      <c r="L31" s="216"/>
      <c r="M31" s="243" t="s">
        <v>43</v>
      </c>
      <c r="N31" s="243" t="s">
        <v>44</v>
      </c>
      <c r="O31" s="289" t="s">
        <v>45</v>
      </c>
      <c r="P31" s="102"/>
      <c r="Q31" s="102"/>
    </row>
    <row r="32" spans="1:20" ht="15.75" x14ac:dyDescent="0.25">
      <c r="A32" s="102"/>
      <c r="B32" s="216"/>
      <c r="C32" s="243" t="s">
        <v>43</v>
      </c>
      <c r="D32" s="243" t="s">
        <v>44</v>
      </c>
      <c r="E32" s="289" t="s">
        <v>45</v>
      </c>
      <c r="F32" s="102"/>
      <c r="G32" s="216"/>
      <c r="H32" s="243" t="s">
        <v>43</v>
      </c>
      <c r="I32" s="243" t="s">
        <v>44</v>
      </c>
      <c r="J32" s="289" t="s">
        <v>45</v>
      </c>
      <c r="K32" s="102"/>
      <c r="L32" s="311">
        <v>0</v>
      </c>
      <c r="M32" s="103"/>
      <c r="N32" s="103"/>
      <c r="O32" s="290">
        <f>+'Inversión y Costos (2)'!E8</f>
        <v>109</v>
      </c>
      <c r="P32" s="102"/>
      <c r="Q32" s="102"/>
    </row>
    <row r="33" spans="1:17" ht="15.75" x14ac:dyDescent="0.25">
      <c r="A33" s="102"/>
      <c r="B33" s="311">
        <v>0</v>
      </c>
      <c r="C33" s="103"/>
      <c r="D33" s="103"/>
      <c r="E33" s="290">
        <f>+'Inversión y Costos (2)'!E14</f>
        <v>250</v>
      </c>
      <c r="F33" s="102"/>
      <c r="G33" s="311">
        <v>0</v>
      </c>
      <c r="H33" s="103"/>
      <c r="I33" s="103"/>
      <c r="J33" s="290">
        <v>2430</v>
      </c>
      <c r="K33" s="102"/>
      <c r="L33" s="311">
        <v>1</v>
      </c>
      <c r="M33" s="104">
        <f>$O$32/3</f>
        <v>36.333333333333336</v>
      </c>
      <c r="N33" s="104">
        <f>M33</f>
        <v>36.333333333333336</v>
      </c>
      <c r="O33" s="290">
        <f>O32-M33</f>
        <v>72.666666666666657</v>
      </c>
      <c r="P33" s="102"/>
      <c r="Q33" s="102"/>
    </row>
    <row r="34" spans="1:17" ht="15.75" x14ac:dyDescent="0.25">
      <c r="A34" s="102"/>
      <c r="B34" s="311">
        <v>1</v>
      </c>
      <c r="C34" s="104">
        <f t="shared" ref="C34:C43" si="17">$E$33/3</f>
        <v>83.333333333333329</v>
      </c>
      <c r="D34" s="104">
        <f>C34</f>
        <v>83.333333333333329</v>
      </c>
      <c r="E34" s="290">
        <f>E33-C34</f>
        <v>166.66666666666669</v>
      </c>
      <c r="F34" s="102"/>
      <c r="G34" s="311">
        <v>1</v>
      </c>
      <c r="H34" s="104">
        <f t="shared" ref="H34:H43" si="18">$J$33*10%</f>
        <v>243</v>
      </c>
      <c r="I34" s="104">
        <f>H34</f>
        <v>243</v>
      </c>
      <c r="J34" s="290">
        <f t="shared" ref="J34:J43" si="19">J33-H34</f>
        <v>2187</v>
      </c>
      <c r="K34" s="102"/>
      <c r="L34" s="311">
        <v>2</v>
      </c>
      <c r="M34" s="104">
        <f t="shared" ref="M34:M42" si="20">$O$32/3</f>
        <v>36.333333333333336</v>
      </c>
      <c r="N34" s="104">
        <f>N33+M34</f>
        <v>72.666666666666671</v>
      </c>
      <c r="O34" s="290">
        <f t="shared" ref="O34:O42" si="21">O33-M34</f>
        <v>36.333333333333321</v>
      </c>
      <c r="P34" s="102"/>
      <c r="Q34" s="102"/>
    </row>
    <row r="35" spans="1:17" ht="15.75" x14ac:dyDescent="0.25">
      <c r="A35" s="102"/>
      <c r="B35" s="311">
        <v>2</v>
      </c>
      <c r="C35" s="104">
        <f t="shared" si="17"/>
        <v>83.333333333333329</v>
      </c>
      <c r="D35" s="104">
        <f>D34+C35</f>
        <v>166.66666666666666</v>
      </c>
      <c r="E35" s="290">
        <f>E34-C35</f>
        <v>83.333333333333357</v>
      </c>
      <c r="F35" s="102"/>
      <c r="G35" s="311">
        <v>2</v>
      </c>
      <c r="H35" s="104">
        <f t="shared" si="18"/>
        <v>243</v>
      </c>
      <c r="I35" s="104">
        <f>I34+H35</f>
        <v>486</v>
      </c>
      <c r="J35" s="290">
        <f t="shared" si="19"/>
        <v>1944</v>
      </c>
      <c r="K35" s="102"/>
      <c r="L35" s="311">
        <v>3</v>
      </c>
      <c r="M35" s="104">
        <f t="shared" si="20"/>
        <v>36.333333333333336</v>
      </c>
      <c r="N35" s="104">
        <f t="shared" ref="N35:N41" si="22">N34+M35</f>
        <v>109</v>
      </c>
      <c r="O35" s="290">
        <f>O32</f>
        <v>109</v>
      </c>
      <c r="P35" s="102"/>
      <c r="Q35" s="102"/>
    </row>
    <row r="36" spans="1:17" ht="15.75" x14ac:dyDescent="0.25">
      <c r="A36" s="102"/>
      <c r="B36" s="311">
        <v>3</v>
      </c>
      <c r="C36" s="104">
        <f t="shared" si="17"/>
        <v>83.333333333333329</v>
      </c>
      <c r="D36" s="104">
        <f>D35+C36</f>
        <v>250</v>
      </c>
      <c r="E36" s="290">
        <f>E33</f>
        <v>250</v>
      </c>
      <c r="F36" s="102"/>
      <c r="G36" s="311">
        <v>3</v>
      </c>
      <c r="H36" s="104">
        <f t="shared" si="18"/>
        <v>243</v>
      </c>
      <c r="I36" s="104">
        <f>I35+H36</f>
        <v>729</v>
      </c>
      <c r="J36" s="290">
        <f t="shared" si="19"/>
        <v>1701</v>
      </c>
      <c r="K36" s="102"/>
      <c r="L36" s="311">
        <v>4</v>
      </c>
      <c r="M36" s="104">
        <f t="shared" si="20"/>
        <v>36.333333333333336</v>
      </c>
      <c r="N36" s="104">
        <f>M36</f>
        <v>36.333333333333336</v>
      </c>
      <c r="O36" s="290">
        <f t="shared" si="21"/>
        <v>72.666666666666657</v>
      </c>
      <c r="P36" s="102"/>
      <c r="Q36" s="102"/>
    </row>
    <row r="37" spans="1:17" ht="15.75" x14ac:dyDescent="0.25">
      <c r="A37" s="102"/>
      <c r="B37" s="311">
        <v>4</v>
      </c>
      <c r="C37" s="104">
        <f t="shared" si="17"/>
        <v>83.333333333333329</v>
      </c>
      <c r="D37" s="104">
        <f>C37</f>
        <v>83.333333333333329</v>
      </c>
      <c r="E37" s="290">
        <f>E36-C37</f>
        <v>166.66666666666669</v>
      </c>
      <c r="F37" s="102"/>
      <c r="G37" s="311">
        <v>4</v>
      </c>
      <c r="H37" s="104">
        <f t="shared" si="18"/>
        <v>243</v>
      </c>
      <c r="I37" s="104">
        <f>H37+I36</f>
        <v>972</v>
      </c>
      <c r="J37" s="290">
        <f t="shared" si="19"/>
        <v>1458</v>
      </c>
      <c r="K37" s="102"/>
      <c r="L37" s="311">
        <v>5</v>
      </c>
      <c r="M37" s="104">
        <f t="shared" si="20"/>
        <v>36.333333333333336</v>
      </c>
      <c r="N37" s="104">
        <f t="shared" si="22"/>
        <v>72.666666666666671</v>
      </c>
      <c r="O37" s="290">
        <f t="shared" si="21"/>
        <v>36.333333333333321</v>
      </c>
      <c r="P37" s="102"/>
      <c r="Q37" s="102"/>
    </row>
    <row r="38" spans="1:17" ht="15.75" x14ac:dyDescent="0.25">
      <c r="A38" s="102"/>
      <c r="B38" s="311">
        <v>5</v>
      </c>
      <c r="C38" s="104">
        <f t="shared" si="17"/>
        <v>83.333333333333329</v>
      </c>
      <c r="D38" s="104">
        <f>D37+C38</f>
        <v>166.66666666666666</v>
      </c>
      <c r="E38" s="290">
        <f>E37-C38</f>
        <v>83.333333333333357</v>
      </c>
      <c r="F38" s="102"/>
      <c r="G38" s="311">
        <v>5</v>
      </c>
      <c r="H38" s="104">
        <f t="shared" si="18"/>
        <v>243</v>
      </c>
      <c r="I38" s="104">
        <f>I37+H38</f>
        <v>1215</v>
      </c>
      <c r="J38" s="290">
        <f t="shared" si="19"/>
        <v>1215</v>
      </c>
      <c r="K38" s="102"/>
      <c r="L38" s="311">
        <v>6</v>
      </c>
      <c r="M38" s="104">
        <f t="shared" si="20"/>
        <v>36.333333333333336</v>
      </c>
      <c r="N38" s="104">
        <f t="shared" si="22"/>
        <v>109</v>
      </c>
      <c r="O38" s="290">
        <f>O35</f>
        <v>109</v>
      </c>
      <c r="P38" s="102"/>
      <c r="Q38" s="102"/>
    </row>
    <row r="39" spans="1:17" ht="15.75" x14ac:dyDescent="0.25">
      <c r="A39" s="102"/>
      <c r="B39" s="311">
        <v>6</v>
      </c>
      <c r="C39" s="104">
        <f t="shared" si="17"/>
        <v>83.333333333333329</v>
      </c>
      <c r="D39" s="104">
        <f>C39+D38</f>
        <v>250</v>
      </c>
      <c r="E39" s="290">
        <f>E36</f>
        <v>250</v>
      </c>
      <c r="F39" s="102"/>
      <c r="G39" s="311">
        <v>6</v>
      </c>
      <c r="H39" s="104">
        <f t="shared" si="18"/>
        <v>243</v>
      </c>
      <c r="I39" s="104">
        <f>H39+I38</f>
        <v>1458</v>
      </c>
      <c r="J39" s="290">
        <f t="shared" si="19"/>
        <v>972</v>
      </c>
      <c r="K39" s="102"/>
      <c r="L39" s="311">
        <v>7</v>
      </c>
      <c r="M39" s="104">
        <f t="shared" si="20"/>
        <v>36.333333333333336</v>
      </c>
      <c r="N39" s="104">
        <f>M39</f>
        <v>36.333333333333336</v>
      </c>
      <c r="O39" s="290">
        <f t="shared" si="21"/>
        <v>72.666666666666657</v>
      </c>
      <c r="P39" s="102"/>
      <c r="Q39" s="102"/>
    </row>
    <row r="40" spans="1:17" ht="15.75" x14ac:dyDescent="0.25">
      <c r="A40" s="102"/>
      <c r="B40" s="311">
        <v>7</v>
      </c>
      <c r="C40" s="104">
        <f t="shared" si="17"/>
        <v>83.333333333333329</v>
      </c>
      <c r="D40" s="104">
        <f>C40</f>
        <v>83.333333333333329</v>
      </c>
      <c r="E40" s="290">
        <f>E39-C40</f>
        <v>166.66666666666669</v>
      </c>
      <c r="F40" s="102"/>
      <c r="G40" s="311">
        <v>7</v>
      </c>
      <c r="H40" s="104">
        <f t="shared" si="18"/>
        <v>243</v>
      </c>
      <c r="I40" s="104">
        <f>H40+I39</f>
        <v>1701</v>
      </c>
      <c r="J40" s="290">
        <f t="shared" si="19"/>
        <v>729</v>
      </c>
      <c r="K40" s="102"/>
      <c r="L40" s="311">
        <v>8</v>
      </c>
      <c r="M40" s="104">
        <f t="shared" si="20"/>
        <v>36.333333333333336</v>
      </c>
      <c r="N40" s="104">
        <f t="shared" si="22"/>
        <v>72.666666666666671</v>
      </c>
      <c r="O40" s="290">
        <f t="shared" si="21"/>
        <v>36.333333333333321</v>
      </c>
      <c r="P40" s="102"/>
      <c r="Q40" s="102"/>
    </row>
    <row r="41" spans="1:17" ht="15.75" x14ac:dyDescent="0.25">
      <c r="A41" s="102"/>
      <c r="B41" s="311">
        <v>8</v>
      </c>
      <c r="C41" s="104">
        <f t="shared" si="17"/>
        <v>83.333333333333329</v>
      </c>
      <c r="D41" s="104">
        <f>D40+C41</f>
        <v>166.66666666666666</v>
      </c>
      <c r="E41" s="290">
        <f>E40-C41</f>
        <v>83.333333333333357</v>
      </c>
      <c r="F41" s="102"/>
      <c r="G41" s="311">
        <v>8</v>
      </c>
      <c r="H41" s="104">
        <f t="shared" si="18"/>
        <v>243</v>
      </c>
      <c r="I41" s="104">
        <f>I40+H41</f>
        <v>1944</v>
      </c>
      <c r="J41" s="290">
        <f t="shared" si="19"/>
        <v>486</v>
      </c>
      <c r="K41" s="102"/>
      <c r="L41" s="311">
        <v>9</v>
      </c>
      <c r="M41" s="104">
        <f t="shared" si="20"/>
        <v>36.333333333333336</v>
      </c>
      <c r="N41" s="104">
        <f t="shared" si="22"/>
        <v>109</v>
      </c>
      <c r="O41" s="290">
        <f>O38</f>
        <v>109</v>
      </c>
      <c r="P41" s="102"/>
      <c r="Q41" s="102"/>
    </row>
    <row r="42" spans="1:17" ht="16.5" thickBot="1" x14ac:dyDescent="0.3">
      <c r="A42" s="102"/>
      <c r="B42" s="311">
        <v>9</v>
      </c>
      <c r="C42" s="104">
        <f t="shared" si="17"/>
        <v>83.333333333333329</v>
      </c>
      <c r="D42" s="104">
        <f>D41+C42</f>
        <v>250</v>
      </c>
      <c r="E42" s="290">
        <f>E39</f>
        <v>250</v>
      </c>
      <c r="F42" s="102"/>
      <c r="G42" s="311">
        <v>9</v>
      </c>
      <c r="H42" s="104">
        <f t="shared" si="18"/>
        <v>243</v>
      </c>
      <c r="I42" s="104">
        <f>I41+H42</f>
        <v>2187</v>
      </c>
      <c r="J42" s="290">
        <f t="shared" si="19"/>
        <v>243</v>
      </c>
      <c r="K42" s="102"/>
      <c r="L42" s="312">
        <v>10</v>
      </c>
      <c r="M42" s="291">
        <f t="shared" si="20"/>
        <v>36.333333333333336</v>
      </c>
      <c r="N42" s="291">
        <f>M42</f>
        <v>36.333333333333336</v>
      </c>
      <c r="O42" s="292">
        <f t="shared" si="21"/>
        <v>72.666666666666657</v>
      </c>
      <c r="P42" s="102"/>
      <c r="Q42" s="102"/>
    </row>
    <row r="43" spans="1:17" ht="16.5" thickBot="1" x14ac:dyDescent="0.3">
      <c r="A43" s="102"/>
      <c r="B43" s="312">
        <v>10</v>
      </c>
      <c r="C43" s="291">
        <f t="shared" si="17"/>
        <v>83.333333333333329</v>
      </c>
      <c r="D43" s="291">
        <f>C43</f>
        <v>83.333333333333329</v>
      </c>
      <c r="E43" s="292">
        <f>E42-C43</f>
        <v>166.66666666666669</v>
      </c>
      <c r="F43" s="102"/>
      <c r="G43" s="312">
        <v>10</v>
      </c>
      <c r="H43" s="291">
        <f t="shared" si="18"/>
        <v>243</v>
      </c>
      <c r="I43" s="291">
        <f>H43+I42</f>
        <v>2430</v>
      </c>
      <c r="J43" s="292">
        <f t="shared" si="19"/>
        <v>0</v>
      </c>
      <c r="K43" s="102"/>
      <c r="L43" s="102"/>
      <c r="M43" s="102"/>
      <c r="N43" s="102"/>
      <c r="O43" s="102"/>
      <c r="P43" s="102"/>
      <c r="Q43" s="102"/>
    </row>
    <row r="44" spans="1:17" ht="16.5" thickBot="1" x14ac:dyDescent="0.3">
      <c r="A44" s="102"/>
      <c r="B44" s="241"/>
      <c r="C44" s="102"/>
      <c r="D44" s="102"/>
      <c r="E44" s="102"/>
      <c r="F44" s="102"/>
      <c r="G44" s="102"/>
      <c r="H44" s="102"/>
      <c r="I44" s="102"/>
      <c r="J44" s="102"/>
      <c r="K44" s="102"/>
      <c r="L44" s="719" t="s">
        <v>247</v>
      </c>
      <c r="M44" s="720"/>
      <c r="N44" s="720"/>
      <c r="O44" s="721"/>
      <c r="P44" s="102"/>
      <c r="Q44" s="102"/>
    </row>
    <row r="45" spans="1:17" ht="15.75" x14ac:dyDescent="0.25">
      <c r="A45" s="102"/>
      <c r="B45" s="732"/>
      <c r="C45" s="732"/>
      <c r="D45" s="732"/>
      <c r="E45" s="732"/>
      <c r="F45" s="102"/>
      <c r="G45" s="723" t="s">
        <v>246</v>
      </c>
      <c r="H45" s="724"/>
      <c r="I45" s="724"/>
      <c r="J45" s="725"/>
      <c r="K45" s="102"/>
      <c r="L45" s="216"/>
      <c r="M45" s="243" t="s">
        <v>43</v>
      </c>
      <c r="N45" s="243" t="s">
        <v>44</v>
      </c>
      <c r="O45" s="289" t="s">
        <v>45</v>
      </c>
      <c r="P45" s="102"/>
      <c r="Q45" s="102"/>
    </row>
    <row r="46" spans="1:17" ht="15.75" x14ac:dyDescent="0.25">
      <c r="A46" s="102"/>
      <c r="B46" s="239"/>
      <c r="C46" s="294"/>
      <c r="D46" s="294"/>
      <c r="E46" s="294"/>
      <c r="F46" s="102"/>
      <c r="G46" s="216"/>
      <c r="H46" s="243" t="s">
        <v>43</v>
      </c>
      <c r="I46" s="243" t="s">
        <v>44</v>
      </c>
      <c r="J46" s="289" t="s">
        <v>45</v>
      </c>
      <c r="K46" s="102"/>
      <c r="L46" s="311">
        <v>0</v>
      </c>
      <c r="M46" s="103"/>
      <c r="N46" s="103"/>
      <c r="O46" s="290">
        <f>+'Inversión y Costos (2)'!E5</f>
        <v>3780</v>
      </c>
      <c r="P46" s="102"/>
      <c r="Q46" s="102"/>
    </row>
    <row r="47" spans="1:17" ht="15.75" x14ac:dyDescent="0.25">
      <c r="A47" s="102"/>
      <c r="B47" s="239"/>
      <c r="C47" s="239"/>
      <c r="D47" s="239"/>
      <c r="E47" s="293"/>
      <c r="F47" s="102"/>
      <c r="G47" s="311">
        <v>0</v>
      </c>
      <c r="H47" s="103"/>
      <c r="I47" s="103"/>
      <c r="J47" s="290">
        <f>+'Inversión y Costos (2)'!E15</f>
        <v>150</v>
      </c>
      <c r="K47" s="102"/>
      <c r="L47" s="311">
        <v>1</v>
      </c>
      <c r="M47" s="104">
        <f>$O$46*10%</f>
        <v>378</v>
      </c>
      <c r="N47" s="104">
        <f>M47</f>
        <v>378</v>
      </c>
      <c r="O47" s="290">
        <f>O46-M47</f>
        <v>3402</v>
      </c>
      <c r="P47" s="102"/>
      <c r="Q47" s="102"/>
    </row>
    <row r="48" spans="1:17" ht="15.75" x14ac:dyDescent="0.25">
      <c r="A48" s="102"/>
      <c r="B48" s="239"/>
      <c r="C48" s="293"/>
      <c r="D48" s="293"/>
      <c r="E48" s="293"/>
      <c r="F48" s="102"/>
      <c r="G48" s="311">
        <v>1</v>
      </c>
      <c r="H48" s="104">
        <f>$J$47*10%</f>
        <v>15</v>
      </c>
      <c r="I48" s="104">
        <f>H48</f>
        <v>15</v>
      </c>
      <c r="J48" s="290">
        <f t="shared" ref="J48:J54" si="23">J47-H48</f>
        <v>135</v>
      </c>
      <c r="K48" s="102"/>
      <c r="L48" s="311">
        <v>2</v>
      </c>
      <c r="M48" s="104">
        <f t="shared" ref="M48:M56" si="24">$O$46*10%</f>
        <v>378</v>
      </c>
      <c r="N48" s="104">
        <f>N47+M48</f>
        <v>756</v>
      </c>
      <c r="O48" s="290">
        <f>O47-M48</f>
        <v>3024</v>
      </c>
      <c r="P48" s="102"/>
      <c r="Q48" s="102"/>
    </row>
    <row r="49" spans="1:17" ht="15.75" x14ac:dyDescent="0.25">
      <c r="A49" s="102"/>
      <c r="B49" s="239"/>
      <c r="C49" s="293"/>
      <c r="D49" s="293"/>
      <c r="E49" s="293"/>
      <c r="F49" s="102"/>
      <c r="G49" s="311">
        <v>2</v>
      </c>
      <c r="H49" s="104">
        <f t="shared" ref="H49:H57" si="25">$J$47*10%</f>
        <v>15</v>
      </c>
      <c r="I49" s="104">
        <f>I48+H49</f>
        <v>30</v>
      </c>
      <c r="J49" s="290">
        <f t="shared" si="23"/>
        <v>120</v>
      </c>
      <c r="K49" s="102"/>
      <c r="L49" s="311">
        <v>3</v>
      </c>
      <c r="M49" s="104">
        <f t="shared" si="24"/>
        <v>378</v>
      </c>
      <c r="N49" s="104">
        <f>N48+M49</f>
        <v>1134</v>
      </c>
      <c r="O49" s="290">
        <f t="shared" ref="O49:O55" si="26">O48-M49</f>
        <v>2646</v>
      </c>
      <c r="P49" s="102"/>
      <c r="Q49" s="102"/>
    </row>
    <row r="50" spans="1:17" ht="15.75" x14ac:dyDescent="0.25">
      <c r="A50" s="102"/>
      <c r="B50" s="239"/>
      <c r="C50" s="293"/>
      <c r="D50" s="293"/>
      <c r="E50" s="293"/>
      <c r="F50" s="102"/>
      <c r="G50" s="311">
        <v>3</v>
      </c>
      <c r="H50" s="104">
        <f t="shared" si="25"/>
        <v>15</v>
      </c>
      <c r="I50" s="104">
        <f>I49+H50</f>
        <v>45</v>
      </c>
      <c r="J50" s="290">
        <f t="shared" si="23"/>
        <v>105</v>
      </c>
      <c r="K50" s="102"/>
      <c r="L50" s="311">
        <v>4</v>
      </c>
      <c r="M50" s="104">
        <f t="shared" si="24"/>
        <v>378</v>
      </c>
      <c r="N50" s="104">
        <f>M50</f>
        <v>378</v>
      </c>
      <c r="O50" s="290">
        <f t="shared" si="26"/>
        <v>2268</v>
      </c>
      <c r="P50" s="102"/>
      <c r="Q50" s="102"/>
    </row>
    <row r="51" spans="1:17" ht="15.75" x14ac:dyDescent="0.25">
      <c r="A51" s="102"/>
      <c r="B51" s="239"/>
      <c r="C51" s="293"/>
      <c r="D51" s="293"/>
      <c r="E51" s="293"/>
      <c r="F51" s="102"/>
      <c r="G51" s="311">
        <v>4</v>
      </c>
      <c r="H51" s="104">
        <f t="shared" si="25"/>
        <v>15</v>
      </c>
      <c r="I51" s="104">
        <f>H51</f>
        <v>15</v>
      </c>
      <c r="J51" s="290">
        <f t="shared" si="23"/>
        <v>90</v>
      </c>
      <c r="K51" s="102"/>
      <c r="L51" s="311">
        <v>5</v>
      </c>
      <c r="M51" s="104">
        <f t="shared" si="24"/>
        <v>378</v>
      </c>
      <c r="N51" s="104">
        <f>N50+M51</f>
        <v>756</v>
      </c>
      <c r="O51" s="290">
        <f t="shared" si="26"/>
        <v>1890</v>
      </c>
      <c r="P51" s="102"/>
      <c r="Q51" s="102"/>
    </row>
    <row r="52" spans="1:17" ht="15.75" x14ac:dyDescent="0.25">
      <c r="A52" s="102"/>
      <c r="B52" s="239"/>
      <c r="C52" s="293"/>
      <c r="D52" s="293"/>
      <c r="E52" s="293"/>
      <c r="F52" s="102"/>
      <c r="G52" s="311">
        <v>5</v>
      </c>
      <c r="H52" s="104">
        <f t="shared" si="25"/>
        <v>15</v>
      </c>
      <c r="I52" s="104">
        <f>I51+H52</f>
        <v>30</v>
      </c>
      <c r="J52" s="290">
        <f t="shared" si="23"/>
        <v>75</v>
      </c>
      <c r="K52" s="102"/>
      <c r="L52" s="311">
        <v>6</v>
      </c>
      <c r="M52" s="104">
        <f t="shared" si="24"/>
        <v>378</v>
      </c>
      <c r="N52" s="104">
        <f>M52+N51</f>
        <v>1134</v>
      </c>
      <c r="O52" s="290">
        <f t="shared" si="26"/>
        <v>1512</v>
      </c>
      <c r="P52" s="102"/>
      <c r="Q52" s="102"/>
    </row>
    <row r="53" spans="1:17" ht="15.75" x14ac:dyDescent="0.25">
      <c r="A53" s="102"/>
      <c r="B53" s="239"/>
      <c r="C53" s="293"/>
      <c r="D53" s="293"/>
      <c r="E53" s="293"/>
      <c r="F53" s="102"/>
      <c r="G53" s="311">
        <v>6</v>
      </c>
      <c r="H53" s="104">
        <f t="shared" si="25"/>
        <v>15</v>
      </c>
      <c r="I53" s="104">
        <f>H53+I52</f>
        <v>45</v>
      </c>
      <c r="J53" s="290">
        <f t="shared" si="23"/>
        <v>60</v>
      </c>
      <c r="K53" s="102"/>
      <c r="L53" s="311">
        <v>7</v>
      </c>
      <c r="M53" s="104">
        <f t="shared" si="24"/>
        <v>378</v>
      </c>
      <c r="N53" s="104">
        <f>M53</f>
        <v>378</v>
      </c>
      <c r="O53" s="290">
        <f t="shared" si="26"/>
        <v>1134</v>
      </c>
      <c r="P53" s="102"/>
      <c r="Q53" s="102"/>
    </row>
    <row r="54" spans="1:17" ht="15.75" x14ac:dyDescent="0.25">
      <c r="A54" s="102"/>
      <c r="B54" s="239"/>
      <c r="C54" s="293"/>
      <c r="D54" s="293"/>
      <c r="E54" s="293"/>
      <c r="F54" s="102"/>
      <c r="G54" s="311">
        <v>7</v>
      </c>
      <c r="H54" s="104">
        <f t="shared" si="25"/>
        <v>15</v>
      </c>
      <c r="I54" s="104">
        <f>H54</f>
        <v>15</v>
      </c>
      <c r="J54" s="290">
        <f t="shared" si="23"/>
        <v>45</v>
      </c>
      <c r="K54" s="102"/>
      <c r="L54" s="311">
        <v>8</v>
      </c>
      <c r="M54" s="104">
        <f t="shared" si="24"/>
        <v>378</v>
      </c>
      <c r="N54" s="104">
        <f>N53+M54</f>
        <v>756</v>
      </c>
      <c r="O54" s="290">
        <f t="shared" si="26"/>
        <v>756</v>
      </c>
      <c r="P54" s="102"/>
      <c r="Q54" s="102"/>
    </row>
    <row r="55" spans="1:17" ht="15.75" x14ac:dyDescent="0.25">
      <c r="A55" s="102"/>
      <c r="B55" s="239"/>
      <c r="C55" s="293"/>
      <c r="D55" s="293"/>
      <c r="E55" s="293"/>
      <c r="F55" s="102"/>
      <c r="G55" s="311">
        <v>8</v>
      </c>
      <c r="H55" s="104">
        <f t="shared" si="25"/>
        <v>15</v>
      </c>
      <c r="I55" s="104">
        <f>I54+H55</f>
        <v>30</v>
      </c>
      <c r="J55" s="290">
        <f>J54-H55</f>
        <v>30</v>
      </c>
      <c r="K55" s="102"/>
      <c r="L55" s="311">
        <v>9</v>
      </c>
      <c r="M55" s="104">
        <f t="shared" si="24"/>
        <v>378</v>
      </c>
      <c r="N55" s="104">
        <f>N54+M55</f>
        <v>1134</v>
      </c>
      <c r="O55" s="290">
        <f t="shared" si="26"/>
        <v>378</v>
      </c>
      <c r="P55" s="102"/>
      <c r="Q55" s="102"/>
    </row>
    <row r="56" spans="1:17" ht="16.5" thickBot="1" x14ac:dyDescent="0.3">
      <c r="A56" s="102"/>
      <c r="B56" s="239"/>
      <c r="C56" s="293"/>
      <c r="D56" s="293"/>
      <c r="E56" s="293"/>
      <c r="F56" s="102"/>
      <c r="G56" s="311">
        <v>9</v>
      </c>
      <c r="H56" s="104">
        <f t="shared" si="25"/>
        <v>15</v>
      </c>
      <c r="I56" s="104">
        <f>I55+H56</f>
        <v>45</v>
      </c>
      <c r="J56" s="290">
        <f>J55-H56</f>
        <v>15</v>
      </c>
      <c r="K56" s="102"/>
      <c r="L56" s="312">
        <v>10</v>
      </c>
      <c r="M56" s="291">
        <f t="shared" si="24"/>
        <v>378</v>
      </c>
      <c r="N56" s="291">
        <f>M56</f>
        <v>378</v>
      </c>
      <c r="O56" s="292">
        <f>O55-M56</f>
        <v>0</v>
      </c>
      <c r="P56" s="102"/>
      <c r="Q56" s="102"/>
    </row>
    <row r="57" spans="1:17" ht="16.5" thickBot="1" x14ac:dyDescent="0.3">
      <c r="A57" s="102"/>
      <c r="B57" s="239"/>
      <c r="C57" s="293"/>
      <c r="D57" s="293"/>
      <c r="E57" s="293"/>
      <c r="F57" s="102"/>
      <c r="G57" s="312">
        <v>10</v>
      </c>
      <c r="H57" s="291">
        <f t="shared" si="25"/>
        <v>15</v>
      </c>
      <c r="I57" s="291">
        <f>H57</f>
        <v>15</v>
      </c>
      <c r="J57" s="292">
        <f>J56-H57</f>
        <v>0</v>
      </c>
      <c r="K57" s="102"/>
      <c r="L57" s="102"/>
      <c r="M57" s="102"/>
      <c r="N57" s="102"/>
      <c r="O57" s="102"/>
      <c r="P57" s="102"/>
      <c r="Q57" s="102"/>
    </row>
    <row r="58" spans="1:17" ht="16.5" thickBot="1" x14ac:dyDescent="0.3">
      <c r="A58" s="102"/>
      <c r="B58" s="239"/>
      <c r="C58" s="239"/>
      <c r="D58" s="239"/>
      <c r="E58" s="239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</row>
    <row r="59" spans="1:17" ht="16.5" thickBot="1" x14ac:dyDescent="0.3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729" t="s">
        <v>46</v>
      </c>
      <c r="M59" s="730"/>
      <c r="N59" s="731"/>
      <c r="O59" s="102"/>
      <c r="P59" s="102"/>
      <c r="Q59" s="102"/>
    </row>
    <row r="60" spans="1:17" ht="32.25" thickBot="1" x14ac:dyDescent="0.3">
      <c r="A60" s="102"/>
      <c r="B60" s="102"/>
      <c r="C60" s="102"/>
      <c r="D60" s="102"/>
      <c r="E60" s="102"/>
      <c r="F60" s="508"/>
      <c r="G60" s="239"/>
      <c r="H60" s="102"/>
      <c r="I60" s="102"/>
      <c r="J60" s="102"/>
      <c r="K60" s="102"/>
      <c r="L60" s="295" t="s">
        <v>47</v>
      </c>
      <c r="M60" s="296" t="s">
        <v>48</v>
      </c>
      <c r="N60" s="297" t="s">
        <v>49</v>
      </c>
      <c r="O60" s="102"/>
      <c r="P60" s="102"/>
    </row>
    <row r="61" spans="1:17" ht="15" customHeight="1" x14ac:dyDescent="0.25">
      <c r="A61" s="102"/>
      <c r="B61" s="102"/>
      <c r="C61" s="102"/>
      <c r="D61" s="102"/>
      <c r="E61" s="102"/>
      <c r="F61" s="508"/>
      <c r="G61" s="239"/>
      <c r="H61" s="102"/>
      <c r="I61" s="102"/>
      <c r="J61" s="102"/>
      <c r="K61" s="102"/>
      <c r="L61" s="298" t="s">
        <v>237</v>
      </c>
      <c r="M61" s="299">
        <f>N61/12</f>
        <v>750</v>
      </c>
      <c r="N61" s="300">
        <f>C5</f>
        <v>9000</v>
      </c>
      <c r="O61" s="102"/>
      <c r="P61" s="102"/>
    </row>
    <row r="62" spans="1:17" ht="15.75" customHeight="1" x14ac:dyDescent="0.25">
      <c r="A62" s="102"/>
      <c r="B62" s="102"/>
      <c r="C62" s="102"/>
      <c r="D62" s="102"/>
      <c r="E62" s="102"/>
      <c r="F62" s="239"/>
      <c r="G62" s="239"/>
      <c r="H62" s="102"/>
      <c r="I62" s="102"/>
      <c r="J62" s="102"/>
      <c r="K62" s="102"/>
      <c r="L62" s="301" t="str">
        <f>G2</f>
        <v>Generador Electrico</v>
      </c>
      <c r="M62" s="302">
        <f t="shared" ref="M62:M71" si="27">N62/12</f>
        <v>22.5</v>
      </c>
      <c r="N62" s="303">
        <f>H5</f>
        <v>270</v>
      </c>
      <c r="O62" s="102"/>
      <c r="P62" s="102"/>
    </row>
    <row r="63" spans="1:17" ht="30" customHeight="1" x14ac:dyDescent="0.25">
      <c r="A63" s="102"/>
      <c r="B63" s="102"/>
      <c r="C63" s="102"/>
      <c r="D63" s="102"/>
      <c r="E63" s="102"/>
      <c r="J63" s="102"/>
      <c r="K63" s="102"/>
      <c r="L63" s="301" t="str">
        <f>L2</f>
        <v>Tanques de Almacenamiento</v>
      </c>
      <c r="M63" s="302">
        <f t="shared" si="27"/>
        <v>500</v>
      </c>
      <c r="N63" s="303">
        <f>M5</f>
        <v>6000</v>
      </c>
      <c r="O63" s="102"/>
      <c r="P63" s="102"/>
    </row>
    <row r="64" spans="1:17" ht="15" customHeight="1" x14ac:dyDescent="0.25">
      <c r="A64" s="102"/>
      <c r="B64" s="102"/>
      <c r="C64" s="102"/>
      <c r="D64" s="102"/>
      <c r="E64" s="102"/>
      <c r="J64" s="102"/>
      <c r="K64" s="102"/>
      <c r="L64" s="301" t="str">
        <f>L16</f>
        <v>Vehiculo</v>
      </c>
      <c r="M64" s="302">
        <f t="shared" si="27"/>
        <v>2833.3333333333335</v>
      </c>
      <c r="N64" s="303">
        <f>M19</f>
        <v>34000</v>
      </c>
      <c r="O64" s="102"/>
      <c r="P64" s="102"/>
    </row>
    <row r="65" spans="1:21" ht="16.5" customHeight="1" x14ac:dyDescent="0.25">
      <c r="A65" s="102"/>
      <c r="B65" s="102"/>
      <c r="C65" s="102"/>
      <c r="D65" s="102"/>
      <c r="E65" s="102"/>
      <c r="F65" s="3"/>
      <c r="G65" s="3"/>
      <c r="H65" s="3"/>
      <c r="I65" s="3"/>
      <c r="J65" s="102"/>
      <c r="K65" s="102"/>
      <c r="L65" s="301" t="str">
        <f>B17</f>
        <v>Computadora</v>
      </c>
      <c r="M65" s="302">
        <f t="shared" si="27"/>
        <v>6.9444444444444438</v>
      </c>
      <c r="N65" s="303">
        <f>C20</f>
        <v>83.333333333333329</v>
      </c>
      <c r="O65" s="102"/>
      <c r="P65" s="102"/>
    </row>
    <row r="66" spans="1:21" ht="15" customHeight="1" x14ac:dyDescent="0.25">
      <c r="A66" s="102"/>
      <c r="B66" s="102"/>
      <c r="C66" s="102"/>
      <c r="D66" s="102"/>
      <c r="E66" s="102"/>
      <c r="F66" s="512"/>
      <c r="G66" s="512"/>
      <c r="H66" s="3"/>
      <c r="I66" s="3"/>
      <c r="J66" s="102"/>
      <c r="K66" s="102"/>
      <c r="L66" s="301" t="str">
        <f>G17</f>
        <v>Impresora 3 en 1</v>
      </c>
      <c r="M66" s="302">
        <f t="shared" si="27"/>
        <v>5.1388888888888884</v>
      </c>
      <c r="N66" s="303">
        <f>H20</f>
        <v>61.666666666666664</v>
      </c>
      <c r="O66" s="102"/>
      <c r="P66" s="102"/>
    </row>
    <row r="67" spans="1:21" ht="15" customHeight="1" x14ac:dyDescent="0.25">
      <c r="A67" s="102"/>
      <c r="B67" s="102"/>
      <c r="C67" s="102"/>
      <c r="D67" s="102"/>
      <c r="E67" s="102"/>
      <c r="F67" s="508"/>
      <c r="G67" s="508"/>
      <c r="H67" s="3"/>
      <c r="I67" s="3"/>
      <c r="J67" s="102"/>
      <c r="K67" s="102"/>
      <c r="L67" s="301" t="str">
        <f>L30</f>
        <v>Router</v>
      </c>
      <c r="M67" s="302">
        <f t="shared" si="27"/>
        <v>3.0277777777777781</v>
      </c>
      <c r="N67" s="303">
        <f>M33</f>
        <v>36.333333333333336</v>
      </c>
      <c r="O67" s="102"/>
      <c r="P67" s="102"/>
      <c r="Q67" s="102"/>
    </row>
    <row r="68" spans="1:21" ht="15.75" customHeight="1" x14ac:dyDescent="0.25">
      <c r="A68" s="102"/>
      <c r="B68" s="102"/>
      <c r="C68" s="102"/>
      <c r="D68" s="102"/>
      <c r="E68" s="102"/>
      <c r="F68" s="508"/>
      <c r="G68" s="508"/>
      <c r="H68" s="3"/>
      <c r="I68" s="3"/>
      <c r="J68" s="102"/>
      <c r="K68" s="102"/>
      <c r="L68" s="301" t="str">
        <f>B31</f>
        <v>IMPRESORA LASER</v>
      </c>
      <c r="M68" s="302">
        <f t="shared" si="27"/>
        <v>6.9444444444444438</v>
      </c>
      <c r="N68" s="303">
        <f>C34</f>
        <v>83.333333333333329</v>
      </c>
      <c r="O68" s="102"/>
      <c r="P68" s="102"/>
      <c r="Q68" s="102"/>
    </row>
    <row r="69" spans="1:21" ht="15.75" customHeight="1" x14ac:dyDescent="0.25">
      <c r="A69" s="102"/>
      <c r="B69" s="102"/>
      <c r="C69" s="102"/>
      <c r="D69" s="102"/>
      <c r="E69" s="102"/>
      <c r="F69" s="508"/>
      <c r="G69" s="508"/>
      <c r="H69" s="3"/>
      <c r="I69" s="3"/>
      <c r="J69" s="102"/>
      <c r="K69" s="102"/>
      <c r="L69" s="301" t="str">
        <f>G31</f>
        <v>Muebles de oficina</v>
      </c>
      <c r="M69" s="302">
        <f t="shared" si="27"/>
        <v>20.25</v>
      </c>
      <c r="N69" s="303">
        <f>H34</f>
        <v>243</v>
      </c>
      <c r="O69" s="102"/>
      <c r="P69" s="102"/>
      <c r="Q69" s="102"/>
    </row>
    <row r="70" spans="1:21" ht="15.75" x14ac:dyDescent="0.25">
      <c r="A70" s="102"/>
      <c r="B70" s="102"/>
      <c r="C70" s="102"/>
      <c r="D70" s="239"/>
      <c r="E70" s="239"/>
      <c r="F70" s="512"/>
      <c r="G70" s="508"/>
      <c r="H70" s="3"/>
      <c r="I70" s="3"/>
      <c r="J70" s="102"/>
      <c r="K70" s="102"/>
      <c r="L70" s="301" t="str">
        <f>L44</f>
        <v>Aire acondicionado</v>
      </c>
      <c r="M70" s="302">
        <f t="shared" si="27"/>
        <v>31.5</v>
      </c>
      <c r="N70" s="303">
        <f>M47</f>
        <v>378</v>
      </c>
      <c r="O70" s="102"/>
      <c r="P70" s="102"/>
      <c r="Q70" s="102"/>
    </row>
    <row r="71" spans="1:21" ht="16.5" thickBot="1" x14ac:dyDescent="0.3">
      <c r="A71" s="102"/>
      <c r="B71" s="102"/>
      <c r="C71" s="102"/>
      <c r="D71" s="507"/>
      <c r="E71" s="508"/>
      <c r="F71" s="512"/>
      <c r="G71" s="508"/>
      <c r="H71" s="3"/>
      <c r="I71" s="3"/>
      <c r="J71" s="102"/>
      <c r="K71" s="102"/>
      <c r="L71" s="304" t="str">
        <f>G45</f>
        <v xml:space="preserve">Microonda </v>
      </c>
      <c r="M71" s="305">
        <f t="shared" si="27"/>
        <v>1.25</v>
      </c>
      <c r="N71" s="306">
        <f>H48</f>
        <v>15</v>
      </c>
      <c r="O71" s="102"/>
      <c r="P71" s="102"/>
      <c r="Q71" s="102"/>
    </row>
    <row r="72" spans="1:21" ht="16.5" thickBot="1" x14ac:dyDescent="0.3">
      <c r="A72" s="102"/>
      <c r="B72" s="102"/>
      <c r="C72" s="102"/>
      <c r="D72" s="507"/>
      <c r="E72" s="508"/>
      <c r="F72" s="508"/>
      <c r="G72" s="508"/>
      <c r="H72" s="3"/>
      <c r="I72" s="3"/>
      <c r="J72" s="102"/>
      <c r="K72" s="102"/>
      <c r="L72" s="307" t="s">
        <v>50</v>
      </c>
      <c r="M72" s="308">
        <f>SUM(M61:M71)</f>
        <v>4180.8888888888887</v>
      </c>
      <c r="N72" s="309">
        <f>M72*12</f>
        <v>50170.666666666664</v>
      </c>
      <c r="O72" s="102"/>
      <c r="P72" s="102"/>
      <c r="Q72" s="102"/>
    </row>
    <row r="73" spans="1:21" ht="15.75" x14ac:dyDescent="0.25">
      <c r="A73" s="102"/>
      <c r="B73" s="102"/>
      <c r="C73" s="102"/>
      <c r="D73" s="509"/>
      <c r="E73" s="508"/>
      <c r="F73" s="508"/>
      <c r="G73" s="508"/>
      <c r="H73" s="3"/>
      <c r="I73" s="3"/>
      <c r="J73" s="102"/>
      <c r="K73" s="102"/>
      <c r="L73" s="102"/>
      <c r="M73" s="102"/>
      <c r="N73" s="102"/>
      <c r="O73" s="102"/>
      <c r="P73" s="102"/>
      <c r="Q73" s="102"/>
    </row>
    <row r="74" spans="1:21" ht="15.75" x14ac:dyDescent="0.25">
      <c r="A74" s="102"/>
      <c r="B74" s="102"/>
      <c r="C74" s="102"/>
      <c r="D74" s="239"/>
      <c r="E74" s="239"/>
      <c r="F74" s="508"/>
      <c r="G74" s="508"/>
      <c r="H74" s="3"/>
      <c r="I74" s="3"/>
      <c r="J74" s="102"/>
      <c r="K74" s="102"/>
      <c r="L74" s="102"/>
      <c r="M74" s="102"/>
      <c r="N74" s="102"/>
      <c r="O74" s="310"/>
      <c r="P74" s="102"/>
      <c r="Q74" s="102"/>
    </row>
    <row r="75" spans="1:21" x14ac:dyDescent="0.25">
      <c r="F75" s="508"/>
      <c r="G75" s="508"/>
      <c r="H75" s="3"/>
      <c r="I75" s="3"/>
    </row>
    <row r="76" spans="1:21" ht="15.75" thickBot="1" x14ac:dyDescent="0.3">
      <c r="F76" s="508"/>
      <c r="G76" s="508"/>
      <c r="H76" s="3"/>
      <c r="I76" s="3"/>
    </row>
    <row r="77" spans="1:21" ht="15.75" x14ac:dyDescent="0.25">
      <c r="C77" s="3"/>
      <c r="D77" s="3"/>
      <c r="E77" s="3"/>
      <c r="F77" s="508"/>
      <c r="G77" s="508"/>
      <c r="H77" s="3"/>
      <c r="I77" s="3"/>
      <c r="L77" s="518"/>
      <c r="M77" s="520" t="s">
        <v>25</v>
      </c>
      <c r="N77" s="520" t="s">
        <v>306</v>
      </c>
      <c r="O77" s="520" t="s">
        <v>307</v>
      </c>
      <c r="P77" s="520" t="s">
        <v>308</v>
      </c>
      <c r="Q77" s="520" t="s">
        <v>309</v>
      </c>
      <c r="R77" s="520" t="s">
        <v>310</v>
      </c>
      <c r="S77" s="520" t="s">
        <v>311</v>
      </c>
      <c r="T77" s="521" t="s">
        <v>312</v>
      </c>
      <c r="U77" s="102"/>
    </row>
    <row r="78" spans="1:21" ht="15.75" x14ac:dyDescent="0.25">
      <c r="C78" s="3"/>
      <c r="D78" s="510"/>
      <c r="E78" s="511"/>
      <c r="F78" s="508"/>
      <c r="G78" s="508"/>
      <c r="H78" s="3"/>
      <c r="I78" s="3"/>
      <c r="L78" s="522" t="s">
        <v>305</v>
      </c>
      <c r="M78" s="514">
        <v>6</v>
      </c>
      <c r="N78" s="515">
        <v>15000</v>
      </c>
      <c r="O78" s="515">
        <f>M78*N78</f>
        <v>90000</v>
      </c>
      <c r="P78" s="514">
        <v>10</v>
      </c>
      <c r="Q78" s="516">
        <f>O78/P78</f>
        <v>9000</v>
      </c>
      <c r="R78" s="517">
        <v>10</v>
      </c>
      <c r="S78" s="516">
        <f>Q78*R78</f>
        <v>90000</v>
      </c>
      <c r="T78" s="519">
        <v>0</v>
      </c>
      <c r="U78" s="102"/>
    </row>
    <row r="79" spans="1:21" ht="15.75" x14ac:dyDescent="0.25">
      <c r="C79" s="3"/>
      <c r="D79" s="510"/>
      <c r="E79" s="511"/>
      <c r="F79" s="508"/>
      <c r="G79" s="508"/>
      <c r="H79" s="3"/>
      <c r="I79" s="3"/>
      <c r="L79" s="522" t="s">
        <v>302</v>
      </c>
      <c r="M79" s="514">
        <v>1</v>
      </c>
      <c r="N79" s="515">
        <v>2700</v>
      </c>
      <c r="O79" s="515">
        <f t="shared" ref="O79:O88" si="28">M79*N79</f>
        <v>2700</v>
      </c>
      <c r="P79" s="514">
        <v>10</v>
      </c>
      <c r="Q79" s="516">
        <f t="shared" ref="Q79:Q87" si="29">O79/P79</f>
        <v>270</v>
      </c>
      <c r="R79" s="517">
        <v>10</v>
      </c>
      <c r="S79" s="516">
        <f t="shared" ref="S79:S88" si="30">Q79*R79</f>
        <v>2700</v>
      </c>
      <c r="T79" s="519">
        <v>0</v>
      </c>
      <c r="U79" s="102"/>
    </row>
    <row r="80" spans="1:21" ht="15.75" x14ac:dyDescent="0.25">
      <c r="C80" s="3"/>
      <c r="D80" s="510"/>
      <c r="E80" s="511"/>
      <c r="F80" s="508"/>
      <c r="G80" s="508"/>
      <c r="H80" s="3"/>
      <c r="I80" s="3"/>
      <c r="L80" s="522" t="s">
        <v>239</v>
      </c>
      <c r="M80" s="514">
        <v>6</v>
      </c>
      <c r="N80" s="515">
        <v>10000</v>
      </c>
      <c r="O80" s="515">
        <f t="shared" si="28"/>
        <v>60000</v>
      </c>
      <c r="P80" s="514">
        <v>10</v>
      </c>
      <c r="Q80" s="516">
        <f t="shared" si="29"/>
        <v>6000</v>
      </c>
      <c r="R80" s="517">
        <v>10</v>
      </c>
      <c r="S80" s="516">
        <f t="shared" si="30"/>
        <v>60000</v>
      </c>
      <c r="T80" s="519">
        <v>0</v>
      </c>
      <c r="U80" s="102"/>
    </row>
    <row r="81" spans="3:21" ht="15.75" x14ac:dyDescent="0.25">
      <c r="C81" s="3"/>
      <c r="D81" s="510"/>
      <c r="E81" s="513"/>
      <c r="F81" s="3"/>
      <c r="G81" s="3"/>
      <c r="H81" s="3"/>
      <c r="I81" s="3"/>
      <c r="L81" s="522" t="s">
        <v>56</v>
      </c>
      <c r="M81" s="514">
        <v>5</v>
      </c>
      <c r="N81" s="515">
        <v>383</v>
      </c>
      <c r="O81" s="515">
        <f t="shared" si="28"/>
        <v>1915</v>
      </c>
      <c r="P81" s="514">
        <v>3</v>
      </c>
      <c r="Q81" s="516">
        <f t="shared" si="29"/>
        <v>638.33333333333337</v>
      </c>
      <c r="R81" s="517">
        <v>3</v>
      </c>
      <c r="S81" s="516">
        <f t="shared" si="30"/>
        <v>1915</v>
      </c>
      <c r="T81" s="519">
        <v>166.67</v>
      </c>
      <c r="U81" s="102"/>
    </row>
    <row r="82" spans="3:21" ht="15.75" x14ac:dyDescent="0.25">
      <c r="C82" s="3"/>
      <c r="D82" s="510"/>
      <c r="E82" s="511"/>
      <c r="L82" s="522" t="s">
        <v>20</v>
      </c>
      <c r="M82" s="514">
        <v>1</v>
      </c>
      <c r="N82" s="515">
        <v>185</v>
      </c>
      <c r="O82" s="515">
        <f t="shared" si="28"/>
        <v>185</v>
      </c>
      <c r="P82" s="514">
        <v>3</v>
      </c>
      <c r="Q82" s="516">
        <f t="shared" si="29"/>
        <v>61.666666666666664</v>
      </c>
      <c r="R82" s="517">
        <v>3</v>
      </c>
      <c r="S82" s="516">
        <f t="shared" si="30"/>
        <v>185</v>
      </c>
      <c r="T82" s="519">
        <v>123.33</v>
      </c>
      <c r="U82" s="102"/>
    </row>
    <row r="83" spans="3:21" ht="15.75" x14ac:dyDescent="0.25">
      <c r="C83" s="3"/>
      <c r="D83" s="510"/>
      <c r="E83" s="511"/>
      <c r="L83" s="522" t="s">
        <v>303</v>
      </c>
      <c r="M83" s="514">
        <v>1</v>
      </c>
      <c r="N83" s="515">
        <v>250</v>
      </c>
      <c r="O83" s="515">
        <f t="shared" si="28"/>
        <v>250</v>
      </c>
      <c r="P83" s="514">
        <v>3</v>
      </c>
      <c r="Q83" s="516">
        <f t="shared" si="29"/>
        <v>83.333333333333329</v>
      </c>
      <c r="R83" s="517">
        <v>3</v>
      </c>
      <c r="S83" s="516">
        <f t="shared" si="30"/>
        <v>250</v>
      </c>
      <c r="T83" s="519">
        <v>166.67</v>
      </c>
      <c r="U83" s="102"/>
    </row>
    <row r="84" spans="3:21" ht="15.75" x14ac:dyDescent="0.25">
      <c r="C84" s="3"/>
      <c r="D84" s="510"/>
      <c r="E84" s="511"/>
      <c r="L84" s="522" t="s">
        <v>244</v>
      </c>
      <c r="M84" s="514">
        <v>1</v>
      </c>
      <c r="N84" s="515">
        <v>109</v>
      </c>
      <c r="O84" s="515">
        <f t="shared" si="28"/>
        <v>109</v>
      </c>
      <c r="P84" s="514">
        <v>3</v>
      </c>
      <c r="Q84" s="516">
        <f t="shared" si="29"/>
        <v>36.333333333333336</v>
      </c>
      <c r="R84" s="517">
        <v>3</v>
      </c>
      <c r="S84" s="516">
        <f t="shared" si="30"/>
        <v>109</v>
      </c>
      <c r="T84" s="519">
        <v>72.67</v>
      </c>
      <c r="U84" s="102"/>
    </row>
    <row r="85" spans="3:21" ht="15.75" x14ac:dyDescent="0.25">
      <c r="C85" s="3"/>
      <c r="D85" s="510"/>
      <c r="E85" s="511"/>
      <c r="L85" s="522" t="s">
        <v>304</v>
      </c>
      <c r="M85" s="514">
        <v>5</v>
      </c>
      <c r="N85" s="515">
        <v>20</v>
      </c>
      <c r="O85" s="515">
        <f t="shared" si="28"/>
        <v>100</v>
      </c>
      <c r="P85" s="514">
        <v>10</v>
      </c>
      <c r="Q85" s="516">
        <f t="shared" si="29"/>
        <v>10</v>
      </c>
      <c r="R85" s="517">
        <v>10</v>
      </c>
      <c r="S85" s="516">
        <f t="shared" si="30"/>
        <v>100</v>
      </c>
      <c r="T85" s="519">
        <v>20</v>
      </c>
      <c r="U85" s="102"/>
    </row>
    <row r="86" spans="3:21" ht="15.75" x14ac:dyDescent="0.25">
      <c r="C86" s="3"/>
      <c r="D86" s="510"/>
      <c r="E86" s="511"/>
      <c r="L86" s="522" t="s">
        <v>247</v>
      </c>
      <c r="M86" s="514">
        <v>3</v>
      </c>
      <c r="N86" s="515">
        <v>1260</v>
      </c>
      <c r="O86" s="515">
        <f t="shared" si="28"/>
        <v>3780</v>
      </c>
      <c r="P86" s="514">
        <v>5</v>
      </c>
      <c r="Q86" s="516">
        <f t="shared" si="29"/>
        <v>756</v>
      </c>
      <c r="R86" s="517">
        <v>5</v>
      </c>
      <c r="S86" s="516">
        <f t="shared" si="30"/>
        <v>3780</v>
      </c>
      <c r="T86" s="519">
        <v>0</v>
      </c>
      <c r="U86" s="102"/>
    </row>
    <row r="87" spans="3:21" ht="15.75" x14ac:dyDescent="0.25">
      <c r="C87" s="3"/>
      <c r="D87" s="510"/>
      <c r="E87" s="511"/>
      <c r="L87" s="522" t="s">
        <v>22</v>
      </c>
      <c r="M87" s="514">
        <v>1</v>
      </c>
      <c r="N87" s="515">
        <v>150</v>
      </c>
      <c r="O87" s="515">
        <f t="shared" si="28"/>
        <v>150</v>
      </c>
      <c r="P87" s="514">
        <v>10</v>
      </c>
      <c r="Q87" s="516">
        <f t="shared" si="29"/>
        <v>15</v>
      </c>
      <c r="R87" s="517">
        <v>10</v>
      </c>
      <c r="S87" s="516">
        <f t="shared" si="30"/>
        <v>150</v>
      </c>
      <c r="T87" s="519">
        <v>0</v>
      </c>
      <c r="U87" s="102"/>
    </row>
    <row r="88" spans="3:21" ht="15.75" x14ac:dyDescent="0.25">
      <c r="C88" s="3"/>
      <c r="D88" s="510"/>
      <c r="E88" s="511"/>
      <c r="L88" s="522" t="s">
        <v>317</v>
      </c>
      <c r="M88" s="514">
        <v>1</v>
      </c>
      <c r="N88" s="515">
        <v>170000</v>
      </c>
      <c r="O88" s="515">
        <f t="shared" si="28"/>
        <v>170000</v>
      </c>
      <c r="P88" s="514">
        <v>5</v>
      </c>
      <c r="Q88" s="516">
        <f>O88/P88</f>
        <v>34000</v>
      </c>
      <c r="R88" s="517">
        <v>5</v>
      </c>
      <c r="S88" s="516">
        <f t="shared" si="30"/>
        <v>170000</v>
      </c>
      <c r="T88" s="519">
        <v>0</v>
      </c>
      <c r="U88" s="102"/>
    </row>
    <row r="89" spans="3:21" ht="15.75" x14ac:dyDescent="0.25">
      <c r="C89" s="3"/>
      <c r="D89" s="510"/>
      <c r="E89" s="511"/>
      <c r="L89" s="102"/>
      <c r="M89" s="241"/>
      <c r="N89" s="102"/>
      <c r="O89" s="722" t="s">
        <v>313</v>
      </c>
      <c r="P89" s="722"/>
      <c r="Q89" s="525">
        <f>SUM(Q78:Q88)</f>
        <v>50870.666666666672</v>
      </c>
      <c r="R89" s="102"/>
      <c r="S89" s="523" t="s">
        <v>301</v>
      </c>
      <c r="T89" s="524">
        <f>SUM(T78:T88)</f>
        <v>549.33999999999992</v>
      </c>
      <c r="U89" s="102"/>
    </row>
    <row r="90" spans="3:21" ht="15.75" x14ac:dyDescent="0.25">
      <c r="C90" s="3"/>
      <c r="D90" s="510"/>
      <c r="E90" s="511"/>
      <c r="L90" s="102"/>
      <c r="M90" s="102"/>
      <c r="N90" s="102"/>
      <c r="O90" s="102"/>
      <c r="P90" s="102"/>
      <c r="Q90" s="102"/>
      <c r="R90" s="102"/>
      <c r="S90" s="102"/>
      <c r="T90" s="102"/>
      <c r="U90" s="102"/>
    </row>
    <row r="91" spans="3:21" ht="15.75" x14ac:dyDescent="0.25">
      <c r="C91" s="3"/>
      <c r="D91" s="510"/>
      <c r="E91" s="511"/>
      <c r="U91" s="102"/>
    </row>
    <row r="92" spans="3:21" ht="15.75" x14ac:dyDescent="0.25">
      <c r="C92" s="3"/>
      <c r="D92" s="510"/>
      <c r="E92" s="511"/>
    </row>
    <row r="93" spans="3:21" x14ac:dyDescent="0.25">
      <c r="C93" s="3"/>
      <c r="D93" s="3"/>
      <c r="E93" s="3"/>
    </row>
  </sheetData>
  <mergeCells count="14">
    <mergeCell ref="O89:P89"/>
    <mergeCell ref="G45:J45"/>
    <mergeCell ref="L44:O44"/>
    <mergeCell ref="B17:E17"/>
    <mergeCell ref="L59:N59"/>
    <mergeCell ref="L30:O30"/>
    <mergeCell ref="B31:E31"/>
    <mergeCell ref="G31:J31"/>
    <mergeCell ref="B45:E45"/>
    <mergeCell ref="B2:E2"/>
    <mergeCell ref="G2:J2"/>
    <mergeCell ref="L2:O2"/>
    <mergeCell ref="L16:O16"/>
    <mergeCell ref="G17:J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D16" sqref="D16"/>
    </sheetView>
  </sheetViews>
  <sheetFormatPr baseColWidth="10" defaultRowHeight="15" x14ac:dyDescent="0.25"/>
  <cols>
    <col min="1" max="1" width="26.42578125" customWidth="1"/>
    <col min="2" max="2" width="12" bestFit="1" customWidth="1"/>
    <col min="3" max="3" width="30" customWidth="1"/>
    <col min="4" max="4" width="28.42578125" customWidth="1"/>
    <col min="5" max="5" width="13.28515625" customWidth="1"/>
  </cols>
  <sheetData>
    <row r="1" spans="1:6" x14ac:dyDescent="0.25">
      <c r="E1" s="1"/>
    </row>
    <row r="2" spans="1:6" x14ac:dyDescent="0.25">
      <c r="E2" s="1"/>
    </row>
    <row r="3" spans="1:6" ht="16.5" customHeight="1" thickBot="1" x14ac:dyDescent="0.3">
      <c r="A3" s="102"/>
      <c r="B3" s="313"/>
      <c r="C3" s="313"/>
      <c r="D3" s="313"/>
    </row>
    <row r="4" spans="1:6" ht="16.5" customHeight="1" thickBot="1" x14ac:dyDescent="0.3">
      <c r="A4" s="733" t="s">
        <v>290</v>
      </c>
      <c r="B4" s="734"/>
      <c r="C4" s="734"/>
      <c r="D4" s="735"/>
    </row>
    <row r="5" spans="1:6" ht="16.5" customHeight="1" x14ac:dyDescent="0.25">
      <c r="A5" s="321" t="s">
        <v>7</v>
      </c>
      <c r="B5" s="322" t="s">
        <v>8</v>
      </c>
      <c r="C5" s="322" t="s">
        <v>15</v>
      </c>
      <c r="D5" s="323" t="s">
        <v>16</v>
      </c>
      <c r="E5" s="24"/>
    </row>
    <row r="6" spans="1:6" ht="20.25" customHeight="1" x14ac:dyDescent="0.25">
      <c r="A6" s="314" t="s">
        <v>9</v>
      </c>
      <c r="B6" s="203">
        <v>3000</v>
      </c>
      <c r="C6" s="203">
        <f>B6/5</f>
        <v>600</v>
      </c>
      <c r="D6" s="230">
        <f>C6/12</f>
        <v>50</v>
      </c>
      <c r="E6" s="26"/>
    </row>
    <row r="7" spans="1:6" ht="16.5" customHeight="1" x14ac:dyDescent="0.25">
      <c r="A7" s="314" t="s">
        <v>10</v>
      </c>
      <c r="B7" s="203">
        <v>2000</v>
      </c>
      <c r="C7" s="203">
        <f>B7/5</f>
        <v>400</v>
      </c>
      <c r="D7" s="230">
        <f>C7/12</f>
        <v>33.333333333333336</v>
      </c>
      <c r="E7" s="28"/>
    </row>
    <row r="8" spans="1:6" ht="16.5" customHeight="1" thickBot="1" x14ac:dyDescent="0.3">
      <c r="A8" s="315" t="s">
        <v>11</v>
      </c>
      <c r="B8" s="224">
        <v>3000</v>
      </c>
      <c r="C8" s="224">
        <f>B8/5</f>
        <v>600</v>
      </c>
      <c r="D8" s="320">
        <f>C8/12</f>
        <v>50</v>
      </c>
      <c r="E8" s="32"/>
    </row>
    <row r="9" spans="1:6" ht="16.5" customHeight="1" thickBot="1" x14ac:dyDescent="0.3">
      <c r="A9" s="324" t="s">
        <v>2</v>
      </c>
      <c r="B9" s="325">
        <f>SUM(B6:B8)</f>
        <v>8000</v>
      </c>
      <c r="C9" s="326">
        <f>SUM(C6:C8)</f>
        <v>1600</v>
      </c>
      <c r="D9" s="325">
        <f>SUM(D6:D8)</f>
        <v>133.33333333333334</v>
      </c>
      <c r="E9" s="32"/>
    </row>
    <row r="10" spans="1:6" ht="16.5" customHeight="1" x14ac:dyDescent="0.25">
      <c r="A10" s="316"/>
      <c r="B10" s="317"/>
      <c r="C10" s="318"/>
      <c r="D10" s="319"/>
      <c r="E10" s="32"/>
    </row>
    <row r="11" spans="1:6" ht="16.5" customHeight="1" x14ac:dyDescent="0.35">
      <c r="A11" s="33"/>
      <c r="B11" s="29"/>
      <c r="C11" s="30"/>
      <c r="D11" s="31"/>
      <c r="E11" s="32"/>
      <c r="F11" s="327"/>
    </row>
    <row r="12" spans="1:6" ht="16.5" customHeight="1" x14ac:dyDescent="0.25">
      <c r="A12" s="24"/>
      <c r="B12" s="29"/>
      <c r="C12" s="30"/>
      <c r="D12" s="31"/>
      <c r="E12" s="32"/>
    </row>
    <row r="13" spans="1:6" ht="16.5" customHeight="1" x14ac:dyDescent="0.25">
      <c r="A13" s="25"/>
      <c r="B13" s="29"/>
      <c r="C13" s="30"/>
      <c r="D13" s="31"/>
      <c r="E13" s="32"/>
    </row>
    <row r="14" spans="1:6" ht="16.5" customHeight="1" x14ac:dyDescent="0.25">
      <c r="A14" s="34"/>
      <c r="B14" s="29"/>
      <c r="C14" s="30"/>
      <c r="D14" s="31"/>
      <c r="E14" s="32"/>
    </row>
    <row r="15" spans="1:6" ht="16.5" customHeight="1" x14ac:dyDescent="0.25">
      <c r="A15" s="35"/>
      <c r="B15" s="29"/>
      <c r="C15" s="30"/>
      <c r="D15" s="31"/>
      <c r="E15" s="32"/>
    </row>
    <row r="16" spans="1:6" ht="16.5" customHeight="1" x14ac:dyDescent="0.25">
      <c r="A16" s="35"/>
      <c r="B16" s="36"/>
      <c r="C16" s="30"/>
      <c r="D16" s="31"/>
      <c r="E16" s="32"/>
    </row>
    <row r="17" spans="1:10" ht="16.5" customHeight="1" x14ac:dyDescent="0.25">
      <c r="A17" s="37"/>
      <c r="B17" s="29"/>
      <c r="C17" s="30"/>
      <c r="D17" s="31"/>
      <c r="E17" s="32"/>
    </row>
    <row r="18" spans="1:10" ht="16.5" customHeight="1" x14ac:dyDescent="0.25">
      <c r="A18" s="35"/>
      <c r="B18" s="36"/>
      <c r="C18" s="30"/>
      <c r="D18" s="31"/>
      <c r="E18" s="39"/>
    </row>
    <row r="19" spans="1:10" ht="16.5" customHeight="1" x14ac:dyDescent="0.25">
      <c r="A19" s="35"/>
      <c r="B19" s="29"/>
      <c r="C19" s="30"/>
      <c r="D19" s="31"/>
      <c r="E19" s="40"/>
    </row>
    <row r="20" spans="1:10" ht="16.5" customHeight="1" x14ac:dyDescent="0.25">
      <c r="A20" s="35"/>
      <c r="B20" s="23"/>
      <c r="C20" s="27"/>
      <c r="D20" s="38"/>
      <c r="E20" s="24"/>
    </row>
    <row r="21" spans="1:10" ht="16.5" customHeight="1" x14ac:dyDescent="0.25">
      <c r="A21" s="34"/>
      <c r="B21" s="27"/>
      <c r="C21" s="27"/>
      <c r="D21" s="40"/>
      <c r="E21" s="24"/>
    </row>
    <row r="22" spans="1:10" ht="16.5" customHeight="1" x14ac:dyDescent="0.25">
      <c r="A22" s="23"/>
      <c r="B22" s="24"/>
      <c r="C22" s="24"/>
      <c r="D22" s="24"/>
      <c r="E22" s="24"/>
    </row>
    <row r="23" spans="1:10" ht="16.5" customHeight="1" x14ac:dyDescent="0.25">
      <c r="A23" s="34"/>
      <c r="B23" s="24"/>
      <c r="C23" s="24"/>
      <c r="D23" s="24"/>
      <c r="E23" s="24"/>
    </row>
    <row r="24" spans="1:10" ht="16.5" customHeight="1" x14ac:dyDescent="0.25">
      <c r="A24" s="23"/>
      <c r="B24" s="41"/>
      <c r="C24" s="41"/>
      <c r="D24" s="41"/>
      <c r="E24" s="24"/>
    </row>
    <row r="25" spans="1:10" x14ac:dyDescent="0.25">
      <c r="A25" s="23"/>
      <c r="B25" s="42"/>
      <c r="C25" s="42"/>
      <c r="D25" s="42"/>
      <c r="E25" s="24"/>
      <c r="J25" s="46"/>
    </row>
    <row r="26" spans="1:10" x14ac:dyDescent="0.25">
      <c r="A26" s="25"/>
      <c r="B26" s="42"/>
      <c r="C26" s="42"/>
      <c r="D26" s="42"/>
      <c r="E26" s="24"/>
      <c r="J26" s="46"/>
    </row>
    <row r="27" spans="1:10" x14ac:dyDescent="0.25">
      <c r="A27" s="24"/>
      <c r="B27" s="42"/>
      <c r="C27" s="42"/>
      <c r="D27" s="42"/>
      <c r="E27" s="24"/>
      <c r="J27" s="46"/>
    </row>
    <row r="28" spans="1:10" x14ac:dyDescent="0.25">
      <c r="A28" s="24"/>
      <c r="B28" s="43"/>
      <c r="C28" s="43"/>
      <c r="D28" s="43"/>
      <c r="E28" s="24"/>
      <c r="J28" s="46"/>
    </row>
    <row r="29" spans="1:10" x14ac:dyDescent="0.25">
      <c r="A29" s="41"/>
      <c r="B29" s="24"/>
      <c r="C29" s="24"/>
      <c r="D29" s="24"/>
      <c r="E29" s="24"/>
      <c r="J29" s="46"/>
    </row>
    <row r="30" spans="1:10" x14ac:dyDescent="0.25">
      <c r="A30" s="44"/>
      <c r="B30" s="24"/>
      <c r="C30" s="24"/>
      <c r="D30" s="24"/>
      <c r="E30" s="24"/>
      <c r="F30" s="24"/>
      <c r="G30" s="24"/>
      <c r="H30" s="24"/>
      <c r="I30" s="24"/>
      <c r="J30" s="46"/>
    </row>
    <row r="31" spans="1:10" ht="28.5" customHeight="1" x14ac:dyDescent="0.25">
      <c r="A31" s="44"/>
      <c r="B31" s="24"/>
      <c r="C31" s="24"/>
      <c r="D31" s="24"/>
      <c r="E31" s="24"/>
      <c r="F31" s="24"/>
      <c r="G31" s="24"/>
      <c r="H31" s="24"/>
      <c r="I31" s="24"/>
      <c r="J31" s="46"/>
    </row>
    <row r="32" spans="1:10" ht="16.5" customHeight="1" x14ac:dyDescent="0.25">
      <c r="A32" s="44"/>
      <c r="B32" s="24"/>
      <c r="C32" s="24"/>
      <c r="D32" s="24"/>
      <c r="E32" s="24"/>
      <c r="F32" s="24"/>
      <c r="G32" s="24"/>
      <c r="H32" s="24"/>
      <c r="I32" s="24"/>
      <c r="J32" s="47"/>
    </row>
    <row r="33" spans="1:10" ht="16.5" customHeight="1" x14ac:dyDescent="0.25">
      <c r="A33" s="45"/>
      <c r="B33" s="24"/>
      <c r="C33" s="24"/>
      <c r="D33" s="24"/>
      <c r="F33" s="24"/>
      <c r="G33" s="24"/>
      <c r="H33" s="24"/>
      <c r="I33" s="24"/>
      <c r="J33" s="46"/>
    </row>
    <row r="34" spans="1:10" ht="16.5" customHeight="1" x14ac:dyDescent="0.25">
      <c r="A34" s="24"/>
      <c r="B34" s="24"/>
      <c r="C34" s="24"/>
      <c r="D34" s="24"/>
      <c r="F34" s="24"/>
      <c r="G34" s="24"/>
      <c r="H34" s="24"/>
      <c r="I34" s="24"/>
      <c r="J34" s="46"/>
    </row>
    <row r="35" spans="1:10" ht="16.5" customHeight="1" x14ac:dyDescent="0.25">
      <c r="F35" s="24"/>
      <c r="G35" s="24"/>
      <c r="H35" s="24"/>
      <c r="I35" s="24"/>
      <c r="J35" s="46"/>
    </row>
    <row r="36" spans="1:10" ht="16.5" customHeight="1" x14ac:dyDescent="0.25">
      <c r="F36" s="24"/>
      <c r="G36" s="24"/>
      <c r="H36" s="24"/>
      <c r="I36" s="24"/>
      <c r="J36" s="46"/>
    </row>
    <row r="37" spans="1:10" ht="16.5" customHeight="1" x14ac:dyDescent="0.25">
      <c r="F37" s="24"/>
      <c r="G37" s="24"/>
      <c r="H37" s="24"/>
      <c r="I37" s="24"/>
      <c r="J37" s="3"/>
    </row>
    <row r="38" spans="1:10" ht="16.5" customHeight="1" x14ac:dyDescent="0.25">
      <c r="F38" s="24"/>
      <c r="G38" s="24"/>
      <c r="H38" s="24"/>
      <c r="I38" s="24"/>
    </row>
    <row r="39" spans="1:10" ht="16.5" customHeight="1" x14ac:dyDescent="0.25">
      <c r="F39" s="24"/>
      <c r="G39" s="24"/>
      <c r="H39" s="24"/>
      <c r="I39" s="24"/>
    </row>
    <row r="40" spans="1:10" ht="16.5" customHeight="1" x14ac:dyDescent="0.25">
      <c r="F40" s="24"/>
      <c r="G40" s="24"/>
      <c r="H40" s="24"/>
      <c r="I40" s="24"/>
    </row>
    <row r="41" spans="1:10" ht="16.5" customHeight="1" x14ac:dyDescent="0.25">
      <c r="F41" s="24"/>
      <c r="G41" s="24"/>
      <c r="H41" s="24"/>
      <c r="I41" s="24"/>
    </row>
    <row r="42" spans="1:10" ht="16.5" customHeight="1" x14ac:dyDescent="0.25">
      <c r="F42" s="24"/>
      <c r="G42" s="24"/>
      <c r="H42" s="24"/>
      <c r="I42" s="24"/>
    </row>
    <row r="43" spans="1:10" ht="16.5" customHeight="1" x14ac:dyDescent="0.25">
      <c r="F43" s="24"/>
      <c r="G43" s="24"/>
      <c r="H43" s="24"/>
      <c r="I43" s="24"/>
    </row>
    <row r="44" spans="1:10" x14ac:dyDescent="0.25">
      <c r="F44" s="24"/>
      <c r="G44" s="24"/>
      <c r="H44" s="24"/>
      <c r="I44" s="24"/>
    </row>
    <row r="45" spans="1:10" x14ac:dyDescent="0.25">
      <c r="F45" s="24"/>
      <c r="G45" s="24"/>
      <c r="H45" s="24"/>
      <c r="I45" s="24"/>
    </row>
    <row r="46" spans="1:10" x14ac:dyDescent="0.25">
      <c r="F46" s="24"/>
      <c r="G46" s="24"/>
      <c r="H46" s="24"/>
      <c r="I46" s="24"/>
    </row>
    <row r="47" spans="1:10" x14ac:dyDescent="0.25">
      <c r="F47" s="24"/>
      <c r="G47" s="24"/>
      <c r="H47" s="24"/>
      <c r="I47" s="24"/>
    </row>
    <row r="48" spans="1:10" x14ac:dyDescent="0.25">
      <c r="F48" s="24"/>
      <c r="G48" s="24"/>
      <c r="H48" s="24"/>
      <c r="I48" s="24"/>
    </row>
    <row r="49" spans="6:9" x14ac:dyDescent="0.25">
      <c r="F49" s="24"/>
      <c r="G49" s="24"/>
      <c r="H49" s="24"/>
      <c r="I49" s="24"/>
    </row>
    <row r="50" spans="6:9" x14ac:dyDescent="0.25">
      <c r="F50" s="24"/>
      <c r="G50" s="24"/>
      <c r="H50" s="24"/>
      <c r="I50" s="24"/>
    </row>
    <row r="51" spans="6:9" x14ac:dyDescent="0.25">
      <c r="F51" s="24"/>
      <c r="G51" s="24"/>
      <c r="H51" s="24"/>
      <c r="I51" s="24"/>
    </row>
    <row r="52" spans="6:9" x14ac:dyDescent="0.25">
      <c r="F52" s="24"/>
      <c r="G52" s="24"/>
      <c r="H52" s="24"/>
      <c r="I52" s="24"/>
    </row>
    <row r="53" spans="6:9" x14ac:dyDescent="0.25">
      <c r="F53" s="24"/>
      <c r="G53" s="24"/>
      <c r="H53" s="24"/>
      <c r="I53" s="24"/>
    </row>
    <row r="54" spans="6:9" x14ac:dyDescent="0.25">
      <c r="F54" s="24"/>
      <c r="G54" s="24"/>
      <c r="H54" s="24"/>
      <c r="I54" s="24"/>
    </row>
    <row r="55" spans="6:9" x14ac:dyDescent="0.25">
      <c r="F55" s="24"/>
      <c r="G55" s="24"/>
      <c r="H55" s="24"/>
      <c r="I55" s="24"/>
    </row>
    <row r="56" spans="6:9" x14ac:dyDescent="0.25">
      <c r="F56" s="24"/>
      <c r="G56" s="24"/>
      <c r="H56" s="24"/>
      <c r="I56" s="24"/>
    </row>
    <row r="57" spans="6:9" x14ac:dyDescent="0.25">
      <c r="F57" s="24"/>
      <c r="G57" s="24"/>
      <c r="H57" s="24"/>
      <c r="I57" s="24"/>
    </row>
  </sheetData>
  <mergeCells count="1">
    <mergeCell ref="A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workbookViewId="0">
      <selection activeCell="G6" sqref="G6"/>
    </sheetView>
  </sheetViews>
  <sheetFormatPr baseColWidth="10" defaultColWidth="9.140625" defaultRowHeight="12.75" x14ac:dyDescent="0.2"/>
  <cols>
    <col min="1" max="4" width="9.140625" style="56" customWidth="1"/>
    <col min="5" max="5" width="22.140625" style="56" customWidth="1"/>
    <col min="6" max="6" width="21.5703125" style="56" customWidth="1"/>
    <col min="7" max="7" width="17.85546875" style="56" customWidth="1"/>
    <col min="8" max="8" width="17" style="56" customWidth="1"/>
    <col min="9" max="9" width="9.140625" style="56"/>
    <col min="10" max="10" width="11.85546875" style="56" bestFit="1" customWidth="1"/>
    <col min="11" max="11" width="19" style="56" customWidth="1"/>
    <col min="12" max="12" width="19.28515625" style="56" customWidth="1"/>
    <col min="13" max="13" width="11.5703125" style="56" customWidth="1"/>
    <col min="14" max="16384" width="9.140625" style="56"/>
  </cols>
  <sheetData>
    <row r="1" spans="2:14" ht="15" x14ac:dyDescent="0.2"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2:14" ht="15" x14ac:dyDescent="0.2"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2:14" ht="15" x14ac:dyDescent="0.2"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2:14" ht="15" x14ac:dyDescent="0.2"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</row>
    <row r="5" spans="2:14" ht="15.75" x14ac:dyDescent="0.25">
      <c r="B5" s="391"/>
      <c r="C5" s="739" t="s">
        <v>185</v>
      </c>
      <c r="D5" s="740"/>
      <c r="E5" s="740"/>
      <c r="F5" s="392"/>
      <c r="G5" s="393">
        <f>'Inversión fija(2)'!B24</f>
        <v>3331134.833112</v>
      </c>
      <c r="H5" s="394"/>
      <c r="I5" s="395"/>
      <c r="J5" s="391"/>
      <c r="K5" s="391"/>
      <c r="L5" s="396" t="s">
        <v>165</v>
      </c>
      <c r="M5" s="396" t="s">
        <v>164</v>
      </c>
      <c r="N5" s="391"/>
    </row>
    <row r="6" spans="2:14" ht="15" x14ac:dyDescent="0.2">
      <c r="B6" s="391"/>
      <c r="C6" s="739" t="s">
        <v>60</v>
      </c>
      <c r="D6" s="740"/>
      <c r="E6" s="740"/>
      <c r="F6" s="393">
        <f>G7</f>
        <v>3331134.833112</v>
      </c>
      <c r="G6" s="393">
        <f>'Demanda e Ingresos (2)'!E34</f>
        <v>0</v>
      </c>
      <c r="H6" s="391"/>
      <c r="I6" s="391"/>
      <c r="J6" s="391"/>
      <c r="K6" s="397" t="s">
        <v>166</v>
      </c>
      <c r="L6" s="393">
        <f>F7</f>
        <v>3331134.833112</v>
      </c>
      <c r="M6" s="398">
        <f>M7+M8</f>
        <v>1</v>
      </c>
      <c r="N6" s="391"/>
    </row>
    <row r="7" spans="2:14" ht="15.75" x14ac:dyDescent="0.25">
      <c r="B7" s="391"/>
      <c r="C7" s="737" t="s">
        <v>186</v>
      </c>
      <c r="D7" s="738"/>
      <c r="E7" s="738"/>
      <c r="F7" s="393">
        <f>SUM(F5:F6)</f>
        <v>3331134.833112</v>
      </c>
      <c r="G7" s="392">
        <f>SUM(G5:G6)</f>
        <v>3331134.833112</v>
      </c>
      <c r="H7" s="391"/>
      <c r="I7" s="391"/>
      <c r="J7" s="391"/>
      <c r="K7" s="397" t="s">
        <v>167</v>
      </c>
      <c r="L7" s="393">
        <f>L6*60%</f>
        <v>1998680.8998671998</v>
      </c>
      <c r="M7" s="398">
        <v>0.6</v>
      </c>
      <c r="N7" s="391"/>
    </row>
    <row r="8" spans="2:14" ht="15" x14ac:dyDescent="0.2">
      <c r="B8" s="391"/>
      <c r="C8" s="391"/>
      <c r="D8" s="391"/>
      <c r="E8" s="391"/>
      <c r="F8" s="391"/>
      <c r="G8" s="391"/>
      <c r="H8" s="391"/>
      <c r="I8" s="391"/>
      <c r="J8" s="391"/>
      <c r="K8" s="397" t="s">
        <v>168</v>
      </c>
      <c r="L8" s="393">
        <f>F7*40%</f>
        <v>1332453.9332448002</v>
      </c>
      <c r="M8" s="398">
        <v>0.4</v>
      </c>
      <c r="N8" s="391"/>
    </row>
    <row r="9" spans="2:14" ht="15" x14ac:dyDescent="0.2">
      <c r="B9" s="391"/>
      <c r="C9" s="391" t="s">
        <v>92</v>
      </c>
      <c r="D9" s="399">
        <v>0.1</v>
      </c>
      <c r="E9" s="391"/>
      <c r="F9" s="391"/>
      <c r="G9" s="391"/>
      <c r="H9" s="391"/>
      <c r="I9" s="391"/>
      <c r="J9" s="391"/>
      <c r="K9" s="391"/>
      <c r="L9" s="391"/>
      <c r="M9" s="391"/>
      <c r="N9" s="391"/>
    </row>
    <row r="10" spans="2:14" ht="15" x14ac:dyDescent="0.2"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</row>
    <row r="11" spans="2:14" ht="15.75" x14ac:dyDescent="0.25">
      <c r="B11" s="391"/>
      <c r="C11" s="391"/>
      <c r="D11" s="396" t="s">
        <v>93</v>
      </c>
      <c r="E11" s="396" t="s">
        <v>94</v>
      </c>
      <c r="F11" s="396" t="s">
        <v>95</v>
      </c>
      <c r="G11" s="396" t="s">
        <v>96</v>
      </c>
      <c r="H11" s="396" t="s">
        <v>93</v>
      </c>
      <c r="I11" s="391"/>
      <c r="J11" s="391"/>
      <c r="K11" s="736" t="s">
        <v>171</v>
      </c>
      <c r="L11" s="736"/>
      <c r="M11" s="391"/>
      <c r="N11" s="391"/>
    </row>
    <row r="12" spans="2:14" ht="15" x14ac:dyDescent="0.2">
      <c r="B12" s="391"/>
      <c r="C12" s="391"/>
      <c r="D12" s="400">
        <v>0</v>
      </c>
      <c r="E12" s="393">
        <f>L12</f>
        <v>1332453.9332448002</v>
      </c>
      <c r="F12" s="393"/>
      <c r="G12" s="393"/>
      <c r="H12" s="393"/>
      <c r="I12" s="391"/>
      <c r="J12" s="391"/>
      <c r="K12" s="397" t="s">
        <v>173</v>
      </c>
      <c r="L12" s="393">
        <f>L8</f>
        <v>1332453.9332448002</v>
      </c>
      <c r="M12" s="391"/>
      <c r="N12" s="391"/>
    </row>
    <row r="13" spans="2:14" ht="15" x14ac:dyDescent="0.2">
      <c r="B13" s="391"/>
      <c r="C13" s="391"/>
      <c r="D13" s="400">
        <v>1</v>
      </c>
      <c r="E13" s="393">
        <f>E12-F13</f>
        <v>1248848.5850405993</v>
      </c>
      <c r="F13" s="393">
        <f>H13-G13</f>
        <v>83605.348204200767</v>
      </c>
      <c r="G13" s="393">
        <f>E12*$D$9</f>
        <v>133245.39332448001</v>
      </c>
      <c r="H13" s="393">
        <f>PMT($D$9,10,-$L$12)</f>
        <v>216850.74152868078</v>
      </c>
      <c r="I13" s="391"/>
      <c r="J13" s="391"/>
      <c r="K13" s="397" t="s">
        <v>169</v>
      </c>
      <c r="L13" s="401" t="s">
        <v>172</v>
      </c>
      <c r="M13" s="391"/>
      <c r="N13" s="391"/>
    </row>
    <row r="14" spans="2:14" ht="15" x14ac:dyDescent="0.2">
      <c r="B14" s="391"/>
      <c r="C14" s="391"/>
      <c r="D14" s="400">
        <v>2</v>
      </c>
      <c r="E14" s="393">
        <f t="shared" ref="E14:E22" si="0">E13-F14</f>
        <v>1156882.7020159785</v>
      </c>
      <c r="F14" s="393">
        <f t="shared" ref="F14:F22" si="1">H14-G14</f>
        <v>91965.883024620838</v>
      </c>
      <c r="G14" s="393">
        <f>E13*$D$9</f>
        <v>124884.85850405994</v>
      </c>
      <c r="H14" s="393">
        <f t="shared" ref="H14:H22" si="2">PMT($D$9,10,-$L$12)</f>
        <v>216850.74152868078</v>
      </c>
      <c r="I14" s="391"/>
      <c r="J14" s="391"/>
      <c r="K14" s="397" t="s">
        <v>170</v>
      </c>
      <c r="L14" s="402">
        <v>0.1</v>
      </c>
      <c r="M14" s="391"/>
      <c r="N14" s="391"/>
    </row>
    <row r="15" spans="2:14" ht="15" x14ac:dyDescent="0.2">
      <c r="B15" s="391"/>
      <c r="C15" s="391"/>
      <c r="D15" s="400">
        <v>3</v>
      </c>
      <c r="E15" s="393">
        <f t="shared" si="0"/>
        <v>1055720.2306888956</v>
      </c>
      <c r="F15" s="393">
        <f t="shared" si="1"/>
        <v>101162.47132708292</v>
      </c>
      <c r="G15" s="393">
        <f t="shared" ref="G15:G22" si="3">E14*$D$9</f>
        <v>115688.27020159786</v>
      </c>
      <c r="H15" s="393">
        <f t="shared" si="2"/>
        <v>216850.74152868078</v>
      </c>
      <c r="I15" s="391"/>
      <c r="J15" s="391"/>
      <c r="K15" s="391"/>
      <c r="L15" s="391"/>
      <c r="M15" s="391"/>
      <c r="N15" s="391"/>
    </row>
    <row r="16" spans="2:14" ht="15" x14ac:dyDescent="0.2">
      <c r="B16" s="391"/>
      <c r="C16" s="391"/>
      <c r="D16" s="400">
        <v>4</v>
      </c>
      <c r="E16" s="393">
        <f t="shared" si="0"/>
        <v>944441.51222910429</v>
      </c>
      <c r="F16" s="393">
        <f t="shared" si="1"/>
        <v>111278.71845979121</v>
      </c>
      <c r="G16" s="393">
        <f t="shared" si="3"/>
        <v>105572.02306888957</v>
      </c>
      <c r="H16" s="393">
        <f t="shared" si="2"/>
        <v>216850.74152868078</v>
      </c>
      <c r="I16" s="391"/>
      <c r="J16" s="391"/>
      <c r="K16" s="391"/>
      <c r="L16" s="391"/>
      <c r="M16" s="391"/>
      <c r="N16" s="391"/>
    </row>
    <row r="17" spans="2:14" ht="15" x14ac:dyDescent="0.2">
      <c r="B17" s="391"/>
      <c r="C17" s="391"/>
      <c r="D17" s="403">
        <v>5</v>
      </c>
      <c r="E17" s="393">
        <f t="shared" si="0"/>
        <v>822034.92192333401</v>
      </c>
      <c r="F17" s="393">
        <f t="shared" si="1"/>
        <v>122406.59030577034</v>
      </c>
      <c r="G17" s="393">
        <f t="shared" si="3"/>
        <v>94444.151222910441</v>
      </c>
      <c r="H17" s="393">
        <f t="shared" si="2"/>
        <v>216850.74152868078</v>
      </c>
      <c r="I17" s="391"/>
      <c r="J17" s="391"/>
      <c r="K17" s="391"/>
      <c r="L17" s="391"/>
      <c r="M17" s="391"/>
      <c r="N17" s="391"/>
    </row>
    <row r="18" spans="2:14" ht="15" x14ac:dyDescent="0.2">
      <c r="B18" s="391"/>
      <c r="C18" s="391"/>
      <c r="D18" s="403">
        <v>6</v>
      </c>
      <c r="E18" s="393">
        <f t="shared" si="0"/>
        <v>687387.67258698656</v>
      </c>
      <c r="F18" s="393">
        <f t="shared" si="1"/>
        <v>134647.24933634739</v>
      </c>
      <c r="G18" s="393">
        <f t="shared" si="3"/>
        <v>82203.492192333404</v>
      </c>
      <c r="H18" s="393">
        <f t="shared" si="2"/>
        <v>216850.74152868078</v>
      </c>
      <c r="I18" s="391"/>
      <c r="J18" s="391"/>
      <c r="K18" s="391"/>
      <c r="L18" s="391"/>
      <c r="M18" s="391"/>
      <c r="N18" s="391"/>
    </row>
    <row r="19" spans="2:14" ht="15" x14ac:dyDescent="0.2">
      <c r="B19" s="391"/>
      <c r="C19" s="391"/>
      <c r="D19" s="403">
        <v>7</v>
      </c>
      <c r="E19" s="393">
        <f t="shared" si="0"/>
        <v>539275.69831700437</v>
      </c>
      <c r="F19" s="393">
        <f t="shared" si="1"/>
        <v>148111.97426998214</v>
      </c>
      <c r="G19" s="393">
        <f>E18*$D$9</f>
        <v>68738.767258698659</v>
      </c>
      <c r="H19" s="393">
        <f t="shared" si="2"/>
        <v>216850.74152868078</v>
      </c>
      <c r="I19" s="391"/>
      <c r="J19" s="391"/>
      <c r="K19" s="391"/>
      <c r="L19" s="391"/>
      <c r="M19" s="391"/>
      <c r="N19" s="391"/>
    </row>
    <row r="20" spans="2:14" ht="15" x14ac:dyDescent="0.2">
      <c r="B20" s="391"/>
      <c r="C20" s="391"/>
      <c r="D20" s="403">
        <v>8</v>
      </c>
      <c r="E20" s="393">
        <f t="shared" si="0"/>
        <v>376352.526620024</v>
      </c>
      <c r="F20" s="393">
        <f t="shared" si="1"/>
        <v>162923.17169698034</v>
      </c>
      <c r="G20" s="393">
        <f t="shared" si="3"/>
        <v>53927.569831700443</v>
      </c>
      <c r="H20" s="393">
        <f t="shared" si="2"/>
        <v>216850.74152868078</v>
      </c>
      <c r="I20" s="391"/>
      <c r="J20" s="391"/>
      <c r="K20" s="391"/>
      <c r="L20" s="391"/>
      <c r="M20" s="391"/>
      <c r="N20" s="391"/>
    </row>
    <row r="21" spans="2:14" ht="15" x14ac:dyDescent="0.2">
      <c r="B21" s="391"/>
      <c r="C21" s="391"/>
      <c r="D21" s="403">
        <v>9</v>
      </c>
      <c r="E21" s="393">
        <f>E20-F21</f>
        <v>197137.03775334562</v>
      </c>
      <c r="F21" s="393">
        <f t="shared" si="1"/>
        <v>179215.48886667838</v>
      </c>
      <c r="G21" s="393">
        <f>E20*$D$9</f>
        <v>37635.2526620024</v>
      </c>
      <c r="H21" s="393">
        <f t="shared" si="2"/>
        <v>216850.74152868078</v>
      </c>
      <c r="I21" s="391"/>
      <c r="J21" s="391"/>
      <c r="K21" s="391"/>
      <c r="L21" s="391"/>
      <c r="M21" s="391"/>
      <c r="N21" s="391"/>
    </row>
    <row r="22" spans="2:14" ht="15" x14ac:dyDescent="0.2">
      <c r="B22" s="391"/>
      <c r="C22" s="391"/>
      <c r="D22" s="403">
        <v>10</v>
      </c>
      <c r="E22" s="393">
        <f t="shared" si="0"/>
        <v>-5.8207660913467407E-10</v>
      </c>
      <c r="F22" s="393">
        <f t="shared" si="1"/>
        <v>197137.0377533462</v>
      </c>
      <c r="G22" s="393">
        <f t="shared" si="3"/>
        <v>19713.703775334565</v>
      </c>
      <c r="H22" s="393">
        <f t="shared" si="2"/>
        <v>216850.74152868078</v>
      </c>
      <c r="I22" s="391"/>
      <c r="J22" s="391"/>
      <c r="K22" s="391"/>
      <c r="L22" s="391"/>
      <c r="M22" s="391"/>
      <c r="N22" s="391"/>
    </row>
    <row r="23" spans="2:14" ht="15" x14ac:dyDescent="0.2"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</row>
    <row r="24" spans="2:14" ht="15" x14ac:dyDescent="0.2"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</row>
    <row r="25" spans="2:14" ht="15" x14ac:dyDescent="0.2"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</row>
    <row r="26" spans="2:14" ht="15" x14ac:dyDescent="0.2"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</row>
    <row r="27" spans="2:14" ht="15" x14ac:dyDescent="0.2"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</row>
  </sheetData>
  <mergeCells count="4">
    <mergeCell ref="K11:L11"/>
    <mergeCell ref="C7:E7"/>
    <mergeCell ref="C5:E5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Inversión fija(2)</vt:lpstr>
      <vt:lpstr>Inversión y Costos (2)</vt:lpstr>
      <vt:lpstr>Demanda e Ingresos (2)</vt:lpstr>
      <vt:lpstr>costo de ventas (2)</vt:lpstr>
      <vt:lpstr>Gastos de Ventas</vt:lpstr>
      <vt:lpstr>Gastos Administrativos (2)</vt:lpstr>
      <vt:lpstr>Tabla depr</vt:lpstr>
      <vt:lpstr>gastos legales</vt:lpstr>
      <vt:lpstr>Amortización</vt:lpstr>
      <vt:lpstr>P&amp;G</vt:lpstr>
      <vt:lpstr>Flujo de Caja</vt:lpstr>
      <vt:lpstr>Analisis Sensibilidad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Caisar</cp:lastModifiedBy>
  <dcterms:created xsi:type="dcterms:W3CDTF">2010-02-04T00:31:01Z</dcterms:created>
  <dcterms:modified xsi:type="dcterms:W3CDTF">2012-04-26T23:02:18Z</dcterms:modified>
</cp:coreProperties>
</file>