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15" windowWidth="20115" windowHeight="7755" tabRatio="818" firstSheet="3" activeTab="10"/>
  </bookViews>
  <sheets>
    <sheet name="Sueldo y Salario " sheetId="1" r:id="rId1"/>
    <sheet name="Publicidad" sheetId="2" r:id="rId2"/>
    <sheet name="DEPRECIACION" sheetId="3" r:id="rId3"/>
    <sheet name="Activos Fijos y Diferidos" sheetId="8" r:id="rId4"/>
    <sheet name="Gastos Operacionales" sheetId="5" r:id="rId5"/>
    <sheet name="Reinversión GO" sheetId="15" r:id="rId6"/>
    <sheet name="Costos Fijos" sheetId="6" r:id="rId7"/>
    <sheet name="Obras Fisicas" sheetId="4" r:id="rId8"/>
    <sheet name="Capital de Trabajo" sheetId="7" r:id="rId9"/>
    <sheet name="Financiamiento" sheetId="9" r:id="rId10"/>
    <sheet name="Flujo de Caja" sheetId="11" r:id="rId11"/>
    <sheet name="Payback" sheetId="12" r:id="rId12"/>
    <sheet name="CAPM" sheetId="13" r:id="rId13"/>
    <sheet name="Fujo de caja 2" sheetId="19" state="hidden" r:id="rId14"/>
    <sheet name="Flujo" sheetId="21" r:id="rId15"/>
  </sheets>
  <calcPr calcId="125725"/>
</workbook>
</file>

<file path=xl/calcChain.xml><?xml version="1.0" encoding="utf-8"?>
<calcChain xmlns="http://schemas.openxmlformats.org/spreadsheetml/2006/main">
  <c r="E39" i="7"/>
  <c r="D39"/>
  <c r="G49" i="11"/>
  <c r="K21" i="2"/>
  <c r="G21"/>
  <c r="F21"/>
  <c r="C21"/>
  <c r="B21"/>
  <c r="D6"/>
  <c r="H6"/>
  <c r="I6"/>
  <c r="G6"/>
  <c r="C6"/>
  <c r="B6"/>
  <c r="D24" i="3"/>
  <c r="C64"/>
  <c r="C16" i="7"/>
  <c r="D16"/>
  <c r="E16"/>
  <c r="F16"/>
  <c r="G16"/>
  <c r="H16"/>
  <c r="I16"/>
  <c r="B16"/>
  <c r="H50" i="11"/>
  <c r="C4" i="9"/>
  <c r="F39" i="21"/>
  <c r="I12"/>
  <c r="I24"/>
  <c r="F38"/>
  <c r="J20"/>
  <c r="K20" s="1"/>
  <c r="I20"/>
  <c r="I19"/>
  <c r="J19" s="1"/>
  <c r="K19" s="1"/>
  <c r="I15"/>
  <c r="J15" s="1"/>
  <c r="K15" s="1"/>
  <c r="J14"/>
  <c r="K14" s="1"/>
  <c r="I14"/>
  <c r="F36"/>
  <c r="G28"/>
  <c r="G36" s="1"/>
  <c r="H23"/>
  <c r="G23"/>
  <c r="G8"/>
  <c r="H8"/>
  <c r="H12" s="1"/>
  <c r="H24" s="1"/>
  <c r="I8"/>
  <c r="J8"/>
  <c r="K8"/>
  <c r="G11"/>
  <c r="H11"/>
  <c r="I11"/>
  <c r="J11"/>
  <c r="K11"/>
  <c r="K12" s="1"/>
  <c r="G48" i="19"/>
  <c r="H48" s="1"/>
  <c r="I48" s="1"/>
  <c r="F48"/>
  <c r="G45"/>
  <c r="H45" s="1"/>
  <c r="I45" s="1"/>
  <c r="F45"/>
  <c r="F4"/>
  <c r="H49" i="11"/>
  <c r="I49" s="1"/>
  <c r="J49" s="1"/>
  <c r="K49" s="1"/>
  <c r="J17" i="7"/>
  <c r="K17" s="1"/>
  <c r="L17" s="1"/>
  <c r="M17" s="1"/>
  <c r="N17" s="1"/>
  <c r="O17" s="1"/>
  <c r="P17" s="1"/>
  <c r="Q17" s="1"/>
  <c r="R17" s="1"/>
  <c r="S17" s="1"/>
  <c r="T17" s="1"/>
  <c r="U17" s="1"/>
  <c r="J16"/>
  <c r="F46" i="1"/>
  <c r="F47"/>
  <c r="F48"/>
  <c r="F49"/>
  <c r="F50"/>
  <c r="F51"/>
  <c r="F52"/>
  <c r="F53"/>
  <c r="F54"/>
  <c r="F55"/>
  <c r="F56"/>
  <c r="F57"/>
  <c r="F45"/>
  <c r="K6" i="7"/>
  <c r="L6"/>
  <c r="M6"/>
  <c r="N6"/>
  <c r="O6"/>
  <c r="P6"/>
  <c r="Q6"/>
  <c r="R6"/>
  <c r="S6"/>
  <c r="T6"/>
  <c r="U6"/>
  <c r="J6"/>
  <c r="K3"/>
  <c r="L3"/>
  <c r="M3"/>
  <c r="N3"/>
  <c r="O3"/>
  <c r="P3"/>
  <c r="Q3"/>
  <c r="R3"/>
  <c r="S3"/>
  <c r="T3"/>
  <c r="U3"/>
  <c r="J3"/>
  <c r="H46" i="11" s="1"/>
  <c r="I46" s="1"/>
  <c r="J46" s="1"/>
  <c r="K46" s="1"/>
  <c r="F47" i="19"/>
  <c r="E47"/>
  <c r="F21"/>
  <c r="G21"/>
  <c r="H21"/>
  <c r="I21"/>
  <c r="E21"/>
  <c r="D34"/>
  <c r="I28"/>
  <c r="H28"/>
  <c r="G28"/>
  <c r="F28"/>
  <c r="E28"/>
  <c r="F27"/>
  <c r="G27"/>
  <c r="H27"/>
  <c r="I27"/>
  <c r="E27"/>
  <c r="E50"/>
  <c r="E9" s="1"/>
  <c r="F8"/>
  <c r="E8"/>
  <c r="E7"/>
  <c r="F5"/>
  <c r="G5"/>
  <c r="H5"/>
  <c r="I5"/>
  <c r="E5"/>
  <c r="E4"/>
  <c r="E45"/>
  <c r="G49"/>
  <c r="H49" s="1"/>
  <c r="F50"/>
  <c r="F9" s="1"/>
  <c r="H20" i="8"/>
  <c r="H17"/>
  <c r="I22" i="1"/>
  <c r="G64"/>
  <c r="F64"/>
  <c r="F40"/>
  <c r="P72"/>
  <c r="G50" i="11"/>
  <c r="D38" i="7"/>
  <c r="B46"/>
  <c r="G18" i="11" s="1"/>
  <c r="G12" i="21" l="1"/>
  <c r="G24" s="1"/>
  <c r="J12"/>
  <c r="H26"/>
  <c r="H25"/>
  <c r="J23"/>
  <c r="I23"/>
  <c r="I25" s="1"/>
  <c r="I26" s="1"/>
  <c r="I27" s="1"/>
  <c r="I28" s="1"/>
  <c r="I36" s="1"/>
  <c r="K23"/>
  <c r="K24" s="1"/>
  <c r="K25" s="1"/>
  <c r="K26" s="1"/>
  <c r="G4" i="19"/>
  <c r="G47"/>
  <c r="K16" i="7"/>
  <c r="L16" s="1"/>
  <c r="M16" s="1"/>
  <c r="N16" s="1"/>
  <c r="O16" s="1"/>
  <c r="P16" s="1"/>
  <c r="Q16" s="1"/>
  <c r="R16" s="1"/>
  <c r="S16" s="1"/>
  <c r="T16" s="1"/>
  <c r="U16" s="1"/>
  <c r="G50" i="19"/>
  <c r="G9" s="1"/>
  <c r="F6"/>
  <c r="H8"/>
  <c r="I49"/>
  <c r="I8" s="1"/>
  <c r="F10"/>
  <c r="F22" s="1"/>
  <c r="G8"/>
  <c r="F7"/>
  <c r="G7"/>
  <c r="E6"/>
  <c r="E10" s="1"/>
  <c r="E22" s="1"/>
  <c r="E24" s="1"/>
  <c r="E26" s="1"/>
  <c r="E34" s="1"/>
  <c r="B47" i="7"/>
  <c r="G19" i="11" s="1"/>
  <c r="G51"/>
  <c r="H51"/>
  <c r="J46" i="1"/>
  <c r="J47"/>
  <c r="J48"/>
  <c r="J49"/>
  <c r="J50"/>
  <c r="J51"/>
  <c r="J52"/>
  <c r="J53"/>
  <c r="J54"/>
  <c r="J55"/>
  <c r="J56"/>
  <c r="J57"/>
  <c r="J45"/>
  <c r="H46"/>
  <c r="H47"/>
  <c r="L47" s="1"/>
  <c r="H48"/>
  <c r="H49"/>
  <c r="H50"/>
  <c r="H51"/>
  <c r="L51" s="1"/>
  <c r="H52"/>
  <c r="H53"/>
  <c r="H54"/>
  <c r="H55"/>
  <c r="L55" s="1"/>
  <c r="H56"/>
  <c r="H57"/>
  <c r="H45"/>
  <c r="G46"/>
  <c r="K46" s="1"/>
  <c r="G47"/>
  <c r="I47" s="1"/>
  <c r="G48"/>
  <c r="I48" s="1"/>
  <c r="G49"/>
  <c r="K49" s="1"/>
  <c r="G50"/>
  <c r="K50" s="1"/>
  <c r="G51"/>
  <c r="I51" s="1"/>
  <c r="G52"/>
  <c r="K52" s="1"/>
  <c r="G53"/>
  <c r="K53" s="1"/>
  <c r="G54"/>
  <c r="K54" s="1"/>
  <c r="G55"/>
  <c r="I55" s="1"/>
  <c r="G56"/>
  <c r="I56" s="1"/>
  <c r="G57"/>
  <c r="K57" s="1"/>
  <c r="G45"/>
  <c r="K45" s="1"/>
  <c r="E58"/>
  <c r="F25"/>
  <c r="J65"/>
  <c r="J73"/>
  <c r="J64"/>
  <c r="I65"/>
  <c r="I66"/>
  <c r="I67"/>
  <c r="I68"/>
  <c r="I69"/>
  <c r="I70"/>
  <c r="I71"/>
  <c r="I72"/>
  <c r="I73"/>
  <c r="I74"/>
  <c r="I75"/>
  <c r="I76"/>
  <c r="I64"/>
  <c r="H77"/>
  <c r="H65"/>
  <c r="H66"/>
  <c r="H67"/>
  <c r="H68"/>
  <c r="H69"/>
  <c r="H70"/>
  <c r="H71"/>
  <c r="H72"/>
  <c r="H73"/>
  <c r="H74"/>
  <c r="H75"/>
  <c r="H76"/>
  <c r="H64"/>
  <c r="G65"/>
  <c r="G66"/>
  <c r="G67"/>
  <c r="J67" s="1"/>
  <c r="G68"/>
  <c r="J68" s="1"/>
  <c r="G69"/>
  <c r="J69" s="1"/>
  <c r="G70"/>
  <c r="G71"/>
  <c r="J71" s="1"/>
  <c r="G72"/>
  <c r="J72" s="1"/>
  <c r="G73"/>
  <c r="G74"/>
  <c r="G75"/>
  <c r="J75" s="1"/>
  <c r="G76"/>
  <c r="J76" s="1"/>
  <c r="F65"/>
  <c r="F66"/>
  <c r="F67"/>
  <c r="F68"/>
  <c r="F69"/>
  <c r="F70"/>
  <c r="F71"/>
  <c r="F72"/>
  <c r="F73"/>
  <c r="F74"/>
  <c r="F75"/>
  <c r="F76"/>
  <c r="E77"/>
  <c r="G10" i="11"/>
  <c r="H10"/>
  <c r="I50"/>
  <c r="C47" i="7" l="1"/>
  <c r="H19" i="11" s="1"/>
  <c r="I19" s="1"/>
  <c r="J19" s="1"/>
  <c r="K19" s="1"/>
  <c r="J50"/>
  <c r="I10"/>
  <c r="J24" i="21"/>
  <c r="J25" s="1"/>
  <c r="J26" s="1"/>
  <c r="H27"/>
  <c r="H28"/>
  <c r="H36" s="1"/>
  <c r="K27"/>
  <c r="K28" s="1"/>
  <c r="K36" s="1"/>
  <c r="J27"/>
  <c r="J28" s="1"/>
  <c r="J36" s="1"/>
  <c r="L56" i="1"/>
  <c r="L52"/>
  <c r="I53"/>
  <c r="L48"/>
  <c r="L45"/>
  <c r="K51"/>
  <c r="L57"/>
  <c r="I57"/>
  <c r="I49"/>
  <c r="M49" s="1"/>
  <c r="K55"/>
  <c r="M55" s="1"/>
  <c r="K47"/>
  <c r="M47" s="1"/>
  <c r="M57"/>
  <c r="M53"/>
  <c r="L54"/>
  <c r="L50"/>
  <c r="L46"/>
  <c r="I52"/>
  <c r="M52" s="1"/>
  <c r="L53"/>
  <c r="L49"/>
  <c r="K56"/>
  <c r="M56" s="1"/>
  <c r="K48"/>
  <c r="M48" s="1"/>
  <c r="F23" i="19"/>
  <c r="F24" s="1"/>
  <c r="F25" s="1"/>
  <c r="G6"/>
  <c r="G10" s="1"/>
  <c r="G22" s="1"/>
  <c r="G23" s="1"/>
  <c r="G24" s="1"/>
  <c r="G25" s="1"/>
  <c r="H50"/>
  <c r="H9" s="1"/>
  <c r="H7"/>
  <c r="I51" i="11"/>
  <c r="J74" i="1"/>
  <c r="J70"/>
  <c r="J66"/>
  <c r="I77"/>
  <c r="J58"/>
  <c r="I45"/>
  <c r="M45" s="1"/>
  <c r="I54"/>
  <c r="M54" s="1"/>
  <c r="I50"/>
  <c r="M50" s="1"/>
  <c r="I46"/>
  <c r="M46" s="1"/>
  <c r="M51"/>
  <c r="J77"/>
  <c r="G77"/>
  <c r="F58"/>
  <c r="F77"/>
  <c r="K50" i="11" l="1"/>
  <c r="J10"/>
  <c r="J51"/>
  <c r="H47" i="19"/>
  <c r="H6" s="1"/>
  <c r="H10" s="1"/>
  <c r="H22" s="1"/>
  <c r="H4"/>
  <c r="G26"/>
  <c r="G34" s="1"/>
  <c r="K58" i="1"/>
  <c r="F26" i="19"/>
  <c r="F34" s="1"/>
  <c r="I50"/>
  <c r="I9" s="1"/>
  <c r="I7"/>
  <c r="G58" i="1"/>
  <c r="I58"/>
  <c r="M58"/>
  <c r="H58"/>
  <c r="L58"/>
  <c r="Q72" s="1"/>
  <c r="J11" i="7" s="1"/>
  <c r="K11" l="1"/>
  <c r="M11" s="1"/>
  <c r="N11" s="1"/>
  <c r="K10" i="11"/>
  <c r="K51"/>
  <c r="I47" i="19"/>
  <c r="I4"/>
  <c r="I6" s="1"/>
  <c r="I10" s="1"/>
  <c r="I22" s="1"/>
  <c r="H23"/>
  <c r="H24" s="1"/>
  <c r="H25" s="1"/>
  <c r="L11" i="7"/>
  <c r="G47" i="11"/>
  <c r="G46"/>
  <c r="E38" i="7"/>
  <c r="H47" i="11" s="1"/>
  <c r="I47" s="1"/>
  <c r="H26" i="19" l="1"/>
  <c r="H34" s="1"/>
  <c r="I24"/>
  <c r="I25" s="1"/>
  <c r="I23"/>
  <c r="P11" i="7"/>
  <c r="R11" s="1"/>
  <c r="T11" s="1"/>
  <c r="U11" s="1"/>
  <c r="O11"/>
  <c r="Q11" s="1"/>
  <c r="S11" s="1"/>
  <c r="H9" i="11"/>
  <c r="G48"/>
  <c r="H6" i="1"/>
  <c r="H7"/>
  <c r="H8"/>
  <c r="H9"/>
  <c r="H10"/>
  <c r="H11"/>
  <c r="H12"/>
  <c r="H13"/>
  <c r="H14"/>
  <c r="H15"/>
  <c r="H16"/>
  <c r="H17"/>
  <c r="H18"/>
  <c r="B6" i="13"/>
  <c r="C52" i="7" l="1"/>
  <c r="H13" i="11" s="1"/>
  <c r="I13" s="1"/>
  <c r="J13" s="1"/>
  <c r="K13" s="1"/>
  <c r="I26" i="19"/>
  <c r="I34" s="1"/>
  <c r="D36" s="1"/>
  <c r="H48" i="11"/>
  <c r="J47"/>
  <c r="H19" i="1"/>
  <c r="I9" i="11" l="1"/>
  <c r="I11" s="1"/>
  <c r="I48"/>
  <c r="D37" i="19"/>
  <c r="K47" i="11"/>
  <c r="K9" s="1"/>
  <c r="K12" i="7"/>
  <c r="Q12" s="1"/>
  <c r="N8"/>
  <c r="O8"/>
  <c r="P8"/>
  <c r="Q8"/>
  <c r="R8"/>
  <c r="S8"/>
  <c r="T8"/>
  <c r="U8"/>
  <c r="N5"/>
  <c r="O5"/>
  <c r="P5"/>
  <c r="Q5"/>
  <c r="R5"/>
  <c r="S5"/>
  <c r="S9" s="1"/>
  <c r="T5"/>
  <c r="T9" s="1"/>
  <c r="U5"/>
  <c r="U9" s="1"/>
  <c r="C107" i="15"/>
  <c r="H8"/>
  <c r="H14"/>
  <c r="H13"/>
  <c r="H12"/>
  <c r="H11"/>
  <c r="H6"/>
  <c r="H10"/>
  <c r="H9"/>
  <c r="H7"/>
  <c r="E105"/>
  <c r="E106"/>
  <c r="E75"/>
  <c r="E76"/>
  <c r="E77"/>
  <c r="E78"/>
  <c r="E79"/>
  <c r="E80"/>
  <c r="E81"/>
  <c r="E82"/>
  <c r="E83"/>
  <c r="E84"/>
  <c r="E85"/>
  <c r="E86"/>
  <c r="E87"/>
  <c r="E88"/>
  <c r="E89"/>
  <c r="E51"/>
  <c r="E52"/>
  <c r="E53"/>
  <c r="E54"/>
  <c r="E55"/>
  <c r="E56"/>
  <c r="E57"/>
  <c r="E58"/>
  <c r="E59"/>
  <c r="E26"/>
  <c r="E36" s="1"/>
  <c r="E27"/>
  <c r="E28"/>
  <c r="E29"/>
  <c r="E30"/>
  <c r="E31"/>
  <c r="E32"/>
  <c r="E33"/>
  <c r="E34"/>
  <c r="E35"/>
  <c r="E41"/>
  <c r="E42"/>
  <c r="E43"/>
  <c r="E44"/>
  <c r="E45"/>
  <c r="E46"/>
  <c r="E47"/>
  <c r="E48"/>
  <c r="E49"/>
  <c r="E50"/>
  <c r="E65"/>
  <c r="E66"/>
  <c r="E67"/>
  <c r="E68"/>
  <c r="E69"/>
  <c r="E70"/>
  <c r="E71"/>
  <c r="E72"/>
  <c r="E73"/>
  <c r="E74"/>
  <c r="E104"/>
  <c r="E103"/>
  <c r="E102"/>
  <c r="E101"/>
  <c r="E100"/>
  <c r="E99"/>
  <c r="E98"/>
  <c r="E97"/>
  <c r="E96"/>
  <c r="E95"/>
  <c r="E7"/>
  <c r="E8"/>
  <c r="E9"/>
  <c r="E10"/>
  <c r="E11"/>
  <c r="E12"/>
  <c r="E13"/>
  <c r="E14"/>
  <c r="E15"/>
  <c r="E16"/>
  <c r="E17"/>
  <c r="E18"/>
  <c r="E19"/>
  <c r="E20"/>
  <c r="E6"/>
  <c r="C90"/>
  <c r="C21"/>
  <c r="I15" i="7"/>
  <c r="D12" i="6"/>
  <c r="N15" i="7" s="1"/>
  <c r="D5" i="6"/>
  <c r="D6"/>
  <c r="D7"/>
  <c r="D8"/>
  <c r="D4"/>
  <c r="G26" i="1"/>
  <c r="G27"/>
  <c r="G28"/>
  <c r="G29"/>
  <c r="G30"/>
  <c r="G31"/>
  <c r="G32"/>
  <c r="G33"/>
  <c r="G34"/>
  <c r="G35"/>
  <c r="G36"/>
  <c r="G37"/>
  <c r="G25"/>
  <c r="J7"/>
  <c r="J8"/>
  <c r="J9"/>
  <c r="J10"/>
  <c r="J11"/>
  <c r="J12"/>
  <c r="J13"/>
  <c r="J14"/>
  <c r="J15"/>
  <c r="J16"/>
  <c r="J17"/>
  <c r="J18"/>
  <c r="J6"/>
  <c r="G18"/>
  <c r="I18" s="1"/>
  <c r="G17"/>
  <c r="I17" s="1"/>
  <c r="G16"/>
  <c r="I16" s="1"/>
  <c r="G15"/>
  <c r="I15" s="1"/>
  <c r="G14"/>
  <c r="I14" s="1"/>
  <c r="G13"/>
  <c r="I13" s="1"/>
  <c r="G12"/>
  <c r="I12" s="1"/>
  <c r="G11"/>
  <c r="I11" s="1"/>
  <c r="G10"/>
  <c r="I10" s="1"/>
  <c r="G9"/>
  <c r="I9" s="1"/>
  <c r="G8"/>
  <c r="G7"/>
  <c r="I7" s="1"/>
  <c r="G6"/>
  <c r="I6" s="1"/>
  <c r="E90" i="15" l="1"/>
  <c r="H5"/>
  <c r="D12" i="7" s="1"/>
  <c r="F12" s="1"/>
  <c r="J12" s="1"/>
  <c r="E60" i="15"/>
  <c r="E21"/>
  <c r="U14" i="7"/>
  <c r="H15"/>
  <c r="S15"/>
  <c r="U15"/>
  <c r="M15"/>
  <c r="F15"/>
  <c r="R9"/>
  <c r="Q9"/>
  <c r="J9" i="11"/>
  <c r="J48"/>
  <c r="O9" i="7"/>
  <c r="C46"/>
  <c r="H18" i="11" s="1"/>
  <c r="I18" s="1"/>
  <c r="J18" s="1"/>
  <c r="K18" s="1"/>
  <c r="K48"/>
  <c r="N9" i="7"/>
  <c r="D15"/>
  <c r="K15"/>
  <c r="P15"/>
  <c r="B15"/>
  <c r="C15"/>
  <c r="T15"/>
  <c r="O15"/>
  <c r="E107" i="15"/>
  <c r="L15" i="7"/>
  <c r="Q15"/>
  <c r="G17" i="11"/>
  <c r="I8" i="1"/>
  <c r="K8" s="1"/>
  <c r="K16"/>
  <c r="K7"/>
  <c r="K15"/>
  <c r="K14"/>
  <c r="K6"/>
  <c r="H25" s="1"/>
  <c r="K12"/>
  <c r="K11"/>
  <c r="K9"/>
  <c r="K13"/>
  <c r="K17"/>
  <c r="K18"/>
  <c r="K10"/>
  <c r="H12" i="7"/>
  <c r="N12" s="1"/>
  <c r="T12" s="1"/>
  <c r="P9"/>
  <c r="G15"/>
  <c r="E15"/>
  <c r="J15"/>
  <c r="R15"/>
  <c r="H15" i="15" l="1"/>
  <c r="L12" i="7"/>
  <c r="H17" i="11"/>
  <c r="I17" s="1"/>
  <c r="J17" s="1"/>
  <c r="K17" s="1"/>
  <c r="R12" i="7"/>
  <c r="P12"/>
  <c r="I19" i="1"/>
  <c r="C45" i="7" l="1"/>
  <c r="H14" i="11" s="1"/>
  <c r="I14" s="1"/>
  <c r="J14" s="1"/>
  <c r="K14" s="1"/>
  <c r="K5" i="7"/>
  <c r="L5"/>
  <c r="M5"/>
  <c r="J5"/>
  <c r="K8"/>
  <c r="L8"/>
  <c r="M8"/>
  <c r="E11" i="5"/>
  <c r="E12"/>
  <c r="E13"/>
  <c r="E14"/>
  <c r="E15"/>
  <c r="E16"/>
  <c r="M9" i="7" l="1"/>
  <c r="L9"/>
  <c r="K9"/>
  <c r="J8"/>
  <c r="J9" s="1"/>
  <c r="E31" i="5" l="1"/>
  <c r="H68"/>
  <c r="I36" i="13" l="1"/>
  <c r="B17" s="1"/>
  <c r="B18" s="1"/>
  <c r="B22" s="1"/>
  <c r="F36" i="11" s="1"/>
  <c r="B27" i="13"/>
  <c r="E72" i="3" l="1"/>
  <c r="F72" s="1"/>
  <c r="E71"/>
  <c r="F71" s="1"/>
  <c r="E70"/>
  <c r="F70" s="1"/>
  <c r="E69"/>
  <c r="F69" s="1"/>
  <c r="E68"/>
  <c r="F68" s="1"/>
  <c r="E67"/>
  <c r="F67" s="1"/>
  <c r="E65"/>
  <c r="F65" s="1"/>
  <c r="E63"/>
  <c r="F63" s="1"/>
  <c r="E61"/>
  <c r="F61" s="1"/>
  <c r="E60"/>
  <c r="F60" s="1"/>
  <c r="E59"/>
  <c r="F59" s="1"/>
  <c r="E58"/>
  <c r="F58" s="1"/>
  <c r="E57"/>
  <c r="F57" s="1"/>
  <c r="E56"/>
  <c r="F56" s="1"/>
  <c r="E55"/>
  <c r="F55" s="1"/>
  <c r="E52"/>
  <c r="F52" s="1"/>
  <c r="E51"/>
  <c r="F51" s="1"/>
  <c r="C66"/>
  <c r="E66" s="1"/>
  <c r="F66" s="1"/>
  <c r="C62"/>
  <c r="E62" s="1"/>
  <c r="C54"/>
  <c r="E54" s="1"/>
  <c r="F54" s="1"/>
  <c r="C53"/>
  <c r="E53" s="1"/>
  <c r="F53" s="1"/>
  <c r="D32"/>
  <c r="D8"/>
  <c r="D16"/>
  <c r="D7"/>
  <c r="B8" i="7"/>
  <c r="C8"/>
  <c r="D8"/>
  <c r="E8"/>
  <c r="F8"/>
  <c r="G8"/>
  <c r="H8"/>
  <c r="I8"/>
  <c r="E41" i="8"/>
  <c r="E42" s="1"/>
  <c r="C73"/>
  <c r="F61"/>
  <c r="F60"/>
  <c r="E59"/>
  <c r="F59" s="1"/>
  <c r="E58"/>
  <c r="F58" s="1"/>
  <c r="F57"/>
  <c r="E56"/>
  <c r="F56" s="1"/>
  <c r="F55"/>
  <c r="E54"/>
  <c r="F54" s="1"/>
  <c r="F53"/>
  <c r="E52"/>
  <c r="F52" s="1"/>
  <c r="F51"/>
  <c r="E50"/>
  <c r="F50" s="1"/>
  <c r="E49"/>
  <c r="F49" s="1"/>
  <c r="E48"/>
  <c r="F48" s="1"/>
  <c r="E47"/>
  <c r="F47" s="1"/>
  <c r="B5" i="7"/>
  <c r="C5"/>
  <c r="D5"/>
  <c r="E5"/>
  <c r="F5"/>
  <c r="G5"/>
  <c r="H5"/>
  <c r="I5"/>
  <c r="J37" i="8"/>
  <c r="J36"/>
  <c r="E36"/>
  <c r="E35"/>
  <c r="E29"/>
  <c r="E28"/>
  <c r="E27"/>
  <c r="E26"/>
  <c r="E25"/>
  <c r="E24"/>
  <c r="E23"/>
  <c r="E22"/>
  <c r="E21"/>
  <c r="E20"/>
  <c r="E19"/>
  <c r="E18"/>
  <c r="E17"/>
  <c r="E11"/>
  <c r="E10"/>
  <c r="E9"/>
  <c r="E8"/>
  <c r="E7"/>
  <c r="E6"/>
  <c r="E5"/>
  <c r="B39" i="7" l="1"/>
  <c r="B38"/>
  <c r="G9" i="11" s="1"/>
  <c r="E64" i="3"/>
  <c r="F64" s="1"/>
  <c r="F62"/>
  <c r="D9" i="7"/>
  <c r="I9"/>
  <c r="E9"/>
  <c r="H9"/>
  <c r="E12" i="8"/>
  <c r="H18" s="1"/>
  <c r="J38"/>
  <c r="E30"/>
  <c r="H19" s="1"/>
  <c r="F9" i="7"/>
  <c r="B9"/>
  <c r="G9"/>
  <c r="C9"/>
  <c r="E37" i="8"/>
  <c r="F62"/>
  <c r="H16" s="1"/>
  <c r="E62"/>
  <c r="E8" i="4"/>
  <c r="E7"/>
  <c r="E6"/>
  <c r="C9" i="6"/>
  <c r="E33" i="5"/>
  <c r="E103"/>
  <c r="E102"/>
  <c r="E101"/>
  <c r="E100"/>
  <c r="E99"/>
  <c r="E98"/>
  <c r="E97"/>
  <c r="E96"/>
  <c r="E95"/>
  <c r="E94"/>
  <c r="E93"/>
  <c r="E92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4"/>
  <c r="E32"/>
  <c r="E30"/>
  <c r="E29"/>
  <c r="E28"/>
  <c r="E27"/>
  <c r="E26"/>
  <c r="E21"/>
  <c r="E20"/>
  <c r="E19"/>
  <c r="E18"/>
  <c r="E17"/>
  <c r="E10"/>
  <c r="E9"/>
  <c r="E8"/>
  <c r="E7"/>
  <c r="H21" i="8" l="1"/>
  <c r="F73" i="3"/>
  <c r="K34" i="11" s="1"/>
  <c r="E64" i="8"/>
  <c r="B26" i="7" s="1"/>
  <c r="G11" i="11"/>
  <c r="D9" i="6"/>
  <c r="K11" i="11"/>
  <c r="E104" i="5"/>
  <c r="E58"/>
  <c r="H30" s="1"/>
  <c r="E22"/>
  <c r="H28" s="1"/>
  <c r="E87"/>
  <c r="H31" s="1"/>
  <c r="E35"/>
  <c r="H29" s="1"/>
  <c r="E9" i="4"/>
  <c r="H32" i="5" l="1"/>
  <c r="K13" i="7"/>
  <c r="O13"/>
  <c r="S13"/>
  <c r="T13"/>
  <c r="G15" i="11"/>
  <c r="M13" i="7"/>
  <c r="Q13"/>
  <c r="U13"/>
  <c r="J13"/>
  <c r="N13"/>
  <c r="R13"/>
  <c r="L13"/>
  <c r="P13"/>
  <c r="H11" i="11"/>
  <c r="G104" i="5"/>
  <c r="B12" i="7" s="1"/>
  <c r="B45" s="1"/>
  <c r="E13"/>
  <c r="I13"/>
  <c r="F13"/>
  <c r="B13"/>
  <c r="C13"/>
  <c r="G13"/>
  <c r="D13"/>
  <c r="H13"/>
  <c r="J11" i="11"/>
  <c r="D45" i="3"/>
  <c r="F44"/>
  <c r="G44" s="1"/>
  <c r="F43"/>
  <c r="G43" s="1"/>
  <c r="F42"/>
  <c r="G42" s="1"/>
  <c r="F41"/>
  <c r="G41" s="1"/>
  <c r="F40"/>
  <c r="G40" s="1"/>
  <c r="F39"/>
  <c r="D33"/>
  <c r="G32"/>
  <c r="F32"/>
  <c r="G31"/>
  <c r="F31"/>
  <c r="D25"/>
  <c r="F24"/>
  <c r="G24" s="1"/>
  <c r="G25" s="1"/>
  <c r="D18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F5"/>
  <c r="B23" i="2"/>
  <c r="J23"/>
  <c r="I23"/>
  <c r="E23"/>
  <c r="L20"/>
  <c r="L23" s="1"/>
  <c r="T14" i="7" s="1"/>
  <c r="G20" i="2"/>
  <c r="G23" s="1"/>
  <c r="O14" i="7" s="1"/>
  <c r="F20" i="2"/>
  <c r="F23" s="1"/>
  <c r="N14" i="7" s="1"/>
  <c r="D20" i="2"/>
  <c r="C20"/>
  <c r="C23" s="1"/>
  <c r="K14" i="7" s="1"/>
  <c r="E13" i="2"/>
  <c r="F13"/>
  <c r="I5"/>
  <c r="H5"/>
  <c r="H13" s="1"/>
  <c r="H14" i="7" s="1"/>
  <c r="G5" i="2"/>
  <c r="D5"/>
  <c r="D13" s="1"/>
  <c r="D14" i="7" s="1"/>
  <c r="C5" i="2"/>
  <c r="B5"/>
  <c r="B13" s="1"/>
  <c r="B14" i="7" s="1"/>
  <c r="E38" i="1"/>
  <c r="I15" i="11" l="1"/>
  <c r="J15" s="1"/>
  <c r="K15" s="1"/>
  <c r="H15"/>
  <c r="J14" i="7"/>
  <c r="I13" i="2"/>
  <c r="I14" i="7" s="1"/>
  <c r="C39"/>
  <c r="G14" i="11" s="1"/>
  <c r="C13" i="2"/>
  <c r="G33" i="3"/>
  <c r="F45"/>
  <c r="F33"/>
  <c r="F18"/>
  <c r="F25"/>
  <c r="G5"/>
  <c r="G18" s="1"/>
  <c r="G39"/>
  <c r="G45" s="1"/>
  <c r="G13" i="2"/>
  <c r="G14" i="7" s="1"/>
  <c r="D23" i="2"/>
  <c r="L14" i="7" s="1"/>
  <c r="H23" i="2"/>
  <c r="K23"/>
  <c r="S14" i="7" s="1"/>
  <c r="B24" i="2" l="1"/>
  <c r="B14"/>
  <c r="G16" i="11" s="1"/>
  <c r="C14" i="7"/>
  <c r="I47" i="3"/>
  <c r="G20" i="11" s="1"/>
  <c r="H16" l="1"/>
  <c r="I16" s="1"/>
  <c r="J16" s="1"/>
  <c r="K16" s="1"/>
  <c r="G28"/>
  <c r="H20"/>
  <c r="H28" s="1"/>
  <c r="E19" i="1"/>
  <c r="F19"/>
  <c r="I20" i="11" l="1"/>
  <c r="G38" i="1"/>
  <c r="G19"/>
  <c r="I28" i="11" l="1"/>
  <c r="J20"/>
  <c r="F34" i="1"/>
  <c r="H34" s="1"/>
  <c r="F30"/>
  <c r="H30" s="1"/>
  <c r="F37"/>
  <c r="H37" s="1"/>
  <c r="F26"/>
  <c r="H26" s="1"/>
  <c r="F36"/>
  <c r="H36" s="1"/>
  <c r="F27"/>
  <c r="H27" s="1"/>
  <c r="F33"/>
  <c r="H33" s="1"/>
  <c r="F29"/>
  <c r="H29" s="1"/>
  <c r="F28"/>
  <c r="H28" s="1"/>
  <c r="F31"/>
  <c r="H31" s="1"/>
  <c r="F35"/>
  <c r="H35" s="1"/>
  <c r="F32"/>
  <c r="H32" s="1"/>
  <c r="J19"/>
  <c r="J28" i="11" l="1"/>
  <c r="K20"/>
  <c r="K28" s="1"/>
  <c r="C11" i="7"/>
  <c r="C18" s="1"/>
  <c r="C20" s="1"/>
  <c r="F11"/>
  <c r="F18" s="1"/>
  <c r="F20" s="1"/>
  <c r="G11"/>
  <c r="G18" s="1"/>
  <c r="G20" s="1"/>
  <c r="H11"/>
  <c r="B11"/>
  <c r="K19" i="1"/>
  <c r="F38" s="1"/>
  <c r="H40" s="1"/>
  <c r="O18" i="7" l="1"/>
  <c r="O20" s="1"/>
  <c r="S18"/>
  <c r="S20" s="1"/>
  <c r="N18"/>
  <c r="N20" s="1"/>
  <c r="J18"/>
  <c r="J20" s="1"/>
  <c r="L18"/>
  <c r="L20" s="1"/>
  <c r="P18"/>
  <c r="P20" s="1"/>
  <c r="T18"/>
  <c r="T20" s="1"/>
  <c r="D11"/>
  <c r="D18" s="1"/>
  <c r="D20" s="1"/>
  <c r="P73" i="1"/>
  <c r="I11" i="7" s="1"/>
  <c r="I18" s="1"/>
  <c r="I20" s="1"/>
  <c r="E11"/>
  <c r="E18" s="1"/>
  <c r="E20" s="1"/>
  <c r="H38" i="1"/>
  <c r="B18" i="7"/>
  <c r="B20" s="1"/>
  <c r="B21" s="1"/>
  <c r="H18"/>
  <c r="H20" s="1"/>
  <c r="R18"/>
  <c r="R20" s="1"/>
  <c r="Q18"/>
  <c r="Q20" s="1"/>
  <c r="U18"/>
  <c r="U20" s="1"/>
  <c r="M18"/>
  <c r="M20" s="1"/>
  <c r="K18"/>
  <c r="K20" s="1"/>
  <c r="B52" l="1"/>
  <c r="G13" i="11" s="1"/>
  <c r="C21" i="7"/>
  <c r="D21" s="1"/>
  <c r="E21" s="1"/>
  <c r="F21" s="1"/>
  <c r="G21" s="1"/>
  <c r="H21" s="1"/>
  <c r="I21" s="1"/>
  <c r="J21" s="1"/>
  <c r="K21" s="1"/>
  <c r="L21" s="1"/>
  <c r="M21" s="1"/>
  <c r="N21" s="1"/>
  <c r="O21" s="1"/>
  <c r="P21" s="1"/>
  <c r="Q21" s="1"/>
  <c r="R21" s="1"/>
  <c r="S21" s="1"/>
  <c r="T21" s="1"/>
  <c r="U21" s="1"/>
  <c r="B23"/>
  <c r="C38"/>
  <c r="B28" l="1"/>
  <c r="B29" s="1"/>
  <c r="B32" s="1"/>
  <c r="F31" i="11" l="1"/>
  <c r="K33" s="1"/>
  <c r="F30"/>
  <c r="E4" i="12" l="1"/>
  <c r="G4" s="1"/>
  <c r="F32" i="11"/>
  <c r="F35" s="1"/>
  <c r="B8" i="13"/>
  <c r="B33" i="7"/>
  <c r="B9" i="13" s="1"/>
  <c r="B31" s="1"/>
  <c r="C2" i="9"/>
  <c r="F8" s="1"/>
  <c r="C9" l="1"/>
  <c r="C12"/>
  <c r="C16"/>
  <c r="C20"/>
  <c r="C24"/>
  <c r="C28"/>
  <c r="C32"/>
  <c r="C36"/>
  <c r="C40"/>
  <c r="C44"/>
  <c r="C48"/>
  <c r="C52"/>
  <c r="C56"/>
  <c r="C60"/>
  <c r="C64"/>
  <c r="C68"/>
  <c r="C14"/>
  <c r="C22"/>
  <c r="C30"/>
  <c r="C38"/>
  <c r="C46"/>
  <c r="C54"/>
  <c r="C62"/>
  <c r="C13"/>
  <c r="C21"/>
  <c r="C29"/>
  <c r="C37"/>
  <c r="C45"/>
  <c r="C53"/>
  <c r="C61"/>
  <c r="D9"/>
  <c r="C11"/>
  <c r="C15"/>
  <c r="C19"/>
  <c r="C23"/>
  <c r="C27"/>
  <c r="C31"/>
  <c r="C35"/>
  <c r="C39"/>
  <c r="C43"/>
  <c r="C47"/>
  <c r="C51"/>
  <c r="C55"/>
  <c r="C59"/>
  <c r="C63"/>
  <c r="C67"/>
  <c r="C10"/>
  <c r="C18"/>
  <c r="C26"/>
  <c r="C34"/>
  <c r="C42"/>
  <c r="C50"/>
  <c r="C58"/>
  <c r="C66"/>
  <c r="C17"/>
  <c r="C25"/>
  <c r="C33"/>
  <c r="C41"/>
  <c r="C49"/>
  <c r="C57"/>
  <c r="C65"/>
  <c r="B30" i="13"/>
  <c r="B7"/>
  <c r="B28"/>
  <c r="E9" i="9" l="1"/>
  <c r="B11" i="13"/>
  <c r="B10"/>
  <c r="B29"/>
  <c r="F9" i="9" l="1"/>
  <c r="D10" s="1"/>
  <c r="E10" s="1"/>
  <c r="B13" i="13"/>
  <c r="F10" i="9" l="1"/>
  <c r="D11" l="1"/>
  <c r="E11" l="1"/>
  <c r="F11" l="1"/>
  <c r="D12" s="1"/>
  <c r="E12" l="1"/>
  <c r="F12" s="1"/>
  <c r="D13" s="1"/>
  <c r="E13" s="1"/>
  <c r="F13" l="1"/>
  <c r="D14" s="1"/>
  <c r="E14" l="1"/>
  <c r="F14" s="1"/>
  <c r="D15" l="1"/>
  <c r="E15" s="1"/>
  <c r="F15" s="1"/>
  <c r="D16" s="1"/>
  <c r="I4" s="1"/>
  <c r="G21" i="11" s="1"/>
  <c r="G22" s="1"/>
  <c r="G23" s="1"/>
  <c r="G25" s="1"/>
  <c r="G26" s="1"/>
  <c r="G27" s="1"/>
  <c r="E16" i="9" l="1"/>
  <c r="F16" l="1"/>
  <c r="D17" s="1"/>
  <c r="J4"/>
  <c r="G29" i="11" s="1"/>
  <c r="G35" s="1"/>
  <c r="F4" i="12" l="1"/>
  <c r="H4" s="1"/>
  <c r="E5" s="1"/>
  <c r="G5" s="1"/>
  <c r="E17" i="9"/>
  <c r="F17" s="1"/>
  <c r="D18" s="1"/>
  <c r="E18" l="1"/>
  <c r="F18" l="1"/>
  <c r="D19" s="1"/>
  <c r="E19" l="1"/>
  <c r="F19" l="1"/>
  <c r="D20" s="1"/>
  <c r="E20" l="1"/>
  <c r="F20" l="1"/>
  <c r="D21" s="1"/>
  <c r="E21" l="1"/>
  <c r="F21" l="1"/>
  <c r="D22" l="1"/>
  <c r="E22" l="1"/>
  <c r="F22" s="1"/>
  <c r="D23" l="1"/>
  <c r="E23" s="1"/>
  <c r="F23" l="1"/>
  <c r="D24" l="1"/>
  <c r="E24" s="1"/>
  <c r="F24" l="1"/>
  <c r="D25" l="1"/>
  <c r="E25" s="1"/>
  <c r="F25" l="1"/>
  <c r="D26" l="1"/>
  <c r="E26" s="1"/>
  <c r="F26" l="1"/>
  <c r="D27" l="1"/>
  <c r="E27" s="1"/>
  <c r="F27" l="1"/>
  <c r="D28" l="1"/>
  <c r="I5" s="1"/>
  <c r="H21" i="11" s="1"/>
  <c r="H22" s="1"/>
  <c r="H23" s="1"/>
  <c r="H24" s="1"/>
  <c r="H25" s="1"/>
  <c r="H26" s="1"/>
  <c r="H27" l="1"/>
  <c r="E28" i="9"/>
  <c r="J5" s="1"/>
  <c r="H29" i="11" s="1"/>
  <c r="H35" l="1"/>
  <c r="F5" i="12" s="1"/>
  <c r="H5" s="1"/>
  <c r="E6" s="1"/>
  <c r="G6" s="1"/>
  <c r="F28" i="9"/>
  <c r="D29" l="1"/>
  <c r="E29" l="1"/>
  <c r="F29" l="1"/>
  <c r="D30" l="1"/>
  <c r="E30" l="1"/>
  <c r="F30" l="1"/>
  <c r="D31" l="1"/>
  <c r="E31" l="1"/>
  <c r="F31" l="1"/>
  <c r="D32" l="1"/>
  <c r="E32" l="1"/>
  <c r="F32" l="1"/>
  <c r="D33" l="1"/>
  <c r="E33" l="1"/>
  <c r="F33" l="1"/>
  <c r="D34" l="1"/>
  <c r="E34" s="1"/>
  <c r="F34" s="1"/>
  <c r="D35" l="1"/>
  <c r="E35" s="1"/>
  <c r="F35" s="1"/>
  <c r="D36" l="1"/>
  <c r="E36" s="1"/>
  <c r="F36" s="1"/>
  <c r="D37" l="1"/>
  <c r="E37" s="1"/>
  <c r="F37" s="1"/>
  <c r="D38" l="1"/>
  <c r="E38" s="1"/>
  <c r="F38" s="1"/>
  <c r="D39" l="1"/>
  <c r="E39" s="1"/>
  <c r="F39" s="1"/>
  <c r="D40" l="1"/>
  <c r="I6" s="1"/>
  <c r="I21" i="11" s="1"/>
  <c r="I22" s="1"/>
  <c r="I23" s="1"/>
  <c r="I24" s="1"/>
  <c r="I25" s="1"/>
  <c r="I26" l="1"/>
  <c r="I27" s="1"/>
  <c r="E40" i="9"/>
  <c r="J6" s="1"/>
  <c r="I29" i="11" s="1"/>
  <c r="I35" l="1"/>
  <c r="F6" i="12" s="1"/>
  <c r="H6" s="1"/>
  <c r="E7" s="1"/>
  <c r="G7" s="1"/>
  <c r="F40" i="9"/>
  <c r="D41" l="1"/>
  <c r="E41" l="1"/>
  <c r="F41" l="1"/>
  <c r="D42" l="1"/>
  <c r="E42" l="1"/>
  <c r="F42" l="1"/>
  <c r="D43" l="1"/>
  <c r="E43" l="1"/>
  <c r="F43" l="1"/>
  <c r="D44" l="1"/>
  <c r="E44" l="1"/>
  <c r="F44" l="1"/>
  <c r="D45" l="1"/>
  <c r="E45" l="1"/>
  <c r="F45" l="1"/>
  <c r="D46" l="1"/>
  <c r="E46" s="1"/>
  <c r="F46" s="1"/>
  <c r="D47" l="1"/>
  <c r="E47" s="1"/>
  <c r="F47" s="1"/>
  <c r="D48" l="1"/>
  <c r="E48" s="1"/>
  <c r="F48" s="1"/>
  <c r="D49" l="1"/>
  <c r="E49" s="1"/>
  <c r="F49" s="1"/>
  <c r="D50" l="1"/>
  <c r="E50" s="1"/>
  <c r="F50" s="1"/>
  <c r="D51" l="1"/>
  <c r="E51" s="1"/>
  <c r="F51" s="1"/>
  <c r="D52" l="1"/>
  <c r="I7" s="1"/>
  <c r="J21" i="11" s="1"/>
  <c r="J22" s="1"/>
  <c r="J23" s="1"/>
  <c r="J24" s="1"/>
  <c r="J25" s="1"/>
  <c r="J26" s="1"/>
  <c r="J27" s="1"/>
  <c r="E52" i="9" l="1"/>
  <c r="J7" s="1"/>
  <c r="J29" i="11" s="1"/>
  <c r="J35" s="1"/>
  <c r="F7" i="12" l="1"/>
  <c r="H7" s="1"/>
  <c r="E8" s="1"/>
  <c r="G8" s="1"/>
  <c r="F52" i="9"/>
  <c r="D53" l="1"/>
  <c r="E53" l="1"/>
  <c r="F53" l="1"/>
  <c r="D54" l="1"/>
  <c r="E54" l="1"/>
  <c r="F54" l="1"/>
  <c r="D55" l="1"/>
  <c r="E55" l="1"/>
  <c r="F55" l="1"/>
  <c r="D56" l="1"/>
  <c r="E56" l="1"/>
  <c r="F56" l="1"/>
  <c r="D57" l="1"/>
  <c r="E57" l="1"/>
  <c r="F57" l="1"/>
  <c r="D58" l="1"/>
  <c r="E58" s="1"/>
  <c r="F58" s="1"/>
  <c r="D59" l="1"/>
  <c r="E59" s="1"/>
  <c r="F59" s="1"/>
  <c r="D60" l="1"/>
  <c r="E60" s="1"/>
  <c r="F60" s="1"/>
  <c r="D61" l="1"/>
  <c r="E61" s="1"/>
  <c r="F61" s="1"/>
  <c r="D62" l="1"/>
  <c r="E62" s="1"/>
  <c r="F62" s="1"/>
  <c r="D63" l="1"/>
  <c r="E63" s="1"/>
  <c r="F63" s="1"/>
  <c r="D64" l="1"/>
  <c r="I8" s="1"/>
  <c r="K21" i="11" s="1"/>
  <c r="K22" s="1"/>
  <c r="K23" s="1"/>
  <c r="K24" s="1"/>
  <c r="K25" s="1"/>
  <c r="K26" s="1"/>
  <c r="K27" s="1"/>
  <c r="E64" i="9" l="1"/>
  <c r="J8" s="1"/>
  <c r="K29" i="11" s="1"/>
  <c r="K35" s="1"/>
  <c r="F37" s="1"/>
  <c r="F8" i="12" l="1"/>
  <c r="H8" s="1"/>
  <c r="F38" i="11"/>
  <c r="F64" i="9"/>
  <c r="D65" l="1"/>
  <c r="E65" s="1"/>
  <c r="F65" s="1"/>
  <c r="D66" l="1"/>
  <c r="E66" s="1"/>
  <c r="F66" s="1"/>
  <c r="D67" l="1"/>
  <c r="E67" s="1"/>
  <c r="F67" s="1"/>
  <c r="D68" l="1"/>
  <c r="E68" s="1"/>
  <c r="F68" s="1"/>
</calcChain>
</file>

<file path=xl/sharedStrings.xml><?xml version="1.0" encoding="utf-8"?>
<sst xmlns="http://schemas.openxmlformats.org/spreadsheetml/2006/main" count="876" uniqueCount="471">
  <si>
    <t xml:space="preserve">CARGO </t>
  </si>
  <si>
    <t>No. de 
personal</t>
  </si>
  <si>
    <t>Sueldo 
mensual</t>
  </si>
  <si>
    <t>Decimotercero anual</t>
  </si>
  <si>
    <t>DIRECTOR / ADMINISTRADOR DE EDUCACIÓN INICIAL</t>
  </si>
  <si>
    <t>EDUCADOR DE PARVULOS (TÍTULO UNIVERSITARIO)</t>
  </si>
  <si>
    <t>PSICOLOGO/A EDUCATIVO / INFANTIL</t>
  </si>
  <si>
    <t>AUXILIAR PEDAGOGICA DE CENTROS INFANTILES</t>
  </si>
  <si>
    <t>NUTRICIONISTA</t>
  </si>
  <si>
    <t>TOTAL</t>
  </si>
  <si>
    <t>CONSERJE</t>
  </si>
  <si>
    <t>GUARDIA</t>
  </si>
  <si>
    <t>RECEPCIONISTA / ANFITRIONA</t>
  </si>
  <si>
    <t>AREA ADMINISTRATIVA</t>
  </si>
  <si>
    <t>COCINERA</t>
  </si>
  <si>
    <t>SERVICIOS GENERALES</t>
  </si>
  <si>
    <t>AREA OPERATIVA Y MEDICA</t>
  </si>
  <si>
    <t>CHOFER</t>
  </si>
  <si>
    <t>FISIOTERAPISTA</t>
  </si>
  <si>
    <t>MATERIAL POP</t>
  </si>
  <si>
    <t>LETREROS</t>
  </si>
  <si>
    <t>ENFERMERA</t>
  </si>
  <si>
    <t>REVISTAS Y WEB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</si>
  <si>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</si>
  <si>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</si>
  <si>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</si>
  <si>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</si>
  <si>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</si>
  <si>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</si>
  <si>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</si>
  <si>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</si>
  <si>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</si>
  <si>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</si>
  <si>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</si>
  <si>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</si>
  <si>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PAGINA WEB</t>
  </si>
  <si>
    <t>REVISTA ( EL UNIVERSO)</t>
  </si>
  <si>
    <t>http://www.eluniverso.com/publicidad/publicidadImpresa_revistas.htm</t>
  </si>
  <si>
    <t>http://www.cosas.com.ec/53-cosas.html</t>
  </si>
  <si>
    <t>NOMBRE</t>
  </si>
  <si>
    <t>MARCA</t>
  </si>
  <si>
    <t>DEPREC. ANUAL</t>
  </si>
  <si>
    <t>VALOR EN LIBROS</t>
  </si>
  <si>
    <t>COCINA</t>
  </si>
  <si>
    <t>LICUADORA</t>
  </si>
  <si>
    <t>LAVADORA</t>
  </si>
  <si>
    <t>SECADORA</t>
  </si>
  <si>
    <t>DISPENSADOR DE AGUA</t>
  </si>
  <si>
    <t>TOSTADORA</t>
  </si>
  <si>
    <t>EXTRACTOR DE JUGOS</t>
  </si>
  <si>
    <t>TELEVISOR LCD 32"</t>
  </si>
  <si>
    <t>MINICOMPONENTE</t>
  </si>
  <si>
    <t>INDURAMA</t>
  </si>
  <si>
    <t xml:space="preserve">MICROONDAS </t>
  </si>
  <si>
    <t>PANASONIC</t>
  </si>
  <si>
    <t>MABE</t>
  </si>
  <si>
    <t>BLACK&amp;DECKER</t>
  </si>
  <si>
    <t xml:space="preserve">DVD </t>
  </si>
  <si>
    <t>SONY</t>
  </si>
  <si>
    <t>VIDA UTIL</t>
  </si>
  <si>
    <t xml:space="preserve">TOTAL </t>
  </si>
  <si>
    <t xml:space="preserve">Total </t>
  </si>
  <si>
    <t>TELEFONO</t>
  </si>
  <si>
    <t>HYUNDAI</t>
  </si>
  <si>
    <t>MC</t>
  </si>
  <si>
    <t>IESS 9,35% mensual</t>
  </si>
  <si>
    <t>IESS 9,35% anual</t>
  </si>
  <si>
    <t>Total a recibir mensual</t>
  </si>
  <si>
    <t>Total a recibir anual</t>
  </si>
  <si>
    <t>Total a recibir neto</t>
  </si>
  <si>
    <t>Tamaño A4 (21x29,7cm)</t>
  </si>
  <si>
    <t>No Barniz UV. No Troquel.</t>
  </si>
  <si>
    <t>AFICHES</t>
  </si>
  <si>
    <t>Papel couche brillo de 150gr</t>
  </si>
  <si>
    <t>Impresión full color 1 lado</t>
  </si>
  <si>
    <t>http://www.favolaprint.com/</t>
  </si>
  <si>
    <t>1/3 PAGINA INDETERMINADA</t>
  </si>
  <si>
    <t>AFICHES 2000 unids</t>
  </si>
  <si>
    <t xml:space="preserve">LETREROS </t>
  </si>
  <si>
    <t>REVISTA EL UNIVERSO</t>
  </si>
  <si>
    <t>Total</t>
  </si>
  <si>
    <t>Gasto anual de Publicidad</t>
  </si>
  <si>
    <t>PAGINA WEB (mantenimiento)</t>
  </si>
  <si>
    <t>CALENDARIOS 250 unids</t>
  </si>
  <si>
    <t>COSTO TOTAL</t>
  </si>
  <si>
    <t>Computadora de escritorio</t>
  </si>
  <si>
    <t>XTRATECH</t>
  </si>
  <si>
    <t>Impresora Multifuncional</t>
  </si>
  <si>
    <t>LEXMARK</t>
  </si>
  <si>
    <t>ARCHIVADORES</t>
  </si>
  <si>
    <t>ESCRITORIO</t>
  </si>
  <si>
    <t>LIBRERO</t>
  </si>
  <si>
    <t>MUEBLES DE ESPERA</t>
  </si>
  <si>
    <t>SILLA</t>
  </si>
  <si>
    <t>http://www.webinsignia.com/index.php?option=com_content&amp;view=article&amp;id=59&amp;Itemid=66#</t>
  </si>
  <si>
    <t>Pagina web</t>
  </si>
  <si>
    <t>VAN</t>
  </si>
  <si>
    <t>VEHICULO</t>
  </si>
  <si>
    <t>LG</t>
  </si>
  <si>
    <t>Descripcion</t>
  </si>
  <si>
    <t>Preci/ Uni</t>
  </si>
  <si>
    <t>FUNDA CON 100 PELOTAS</t>
  </si>
  <si>
    <t>PISCINA CUADRADA 1.20 X 1.20 ( DISEÑOS)</t>
  </si>
  <si>
    <t>COLCHONETA 2X1X0.03 CON DISEÑO O ESPECIAL</t>
  </si>
  <si>
    <t>KIT MELODY MEDIUM X 9 PZS</t>
  </si>
  <si>
    <t>GIMNASIA GIRATORIA 3-6 MESES</t>
  </si>
  <si>
    <t xml:space="preserve">CUBO ACTIVIDADES +12 </t>
  </si>
  <si>
    <t>CUBO ACTIVIDADES +18</t>
  </si>
  <si>
    <t>COBIJA ACTIVIDADES</t>
  </si>
  <si>
    <t>SET DE DADOS EN ESPUMA X3</t>
  </si>
  <si>
    <t>TARJETAS DE ESTIMULACIÓN VISUAL Y AUDITIVAS</t>
  </si>
  <si>
    <t>ENTRENADOR PARA NIÑOS</t>
  </si>
  <si>
    <t>CUNA</t>
  </si>
  <si>
    <t>SILLA COMEDOR</t>
  </si>
  <si>
    <t>ANDADOR</t>
  </si>
  <si>
    <t>CAJONERAS ÚTILES</t>
  </si>
  <si>
    <t>CARRITO ANDADOR</t>
  </si>
  <si>
    <t>CESTOS DE BASURA</t>
  </si>
  <si>
    <t>JUEGOS VARIOS</t>
  </si>
  <si>
    <t>LEGOS 300 PZS</t>
  </si>
  <si>
    <t>JUGUETE EXPLORA Y CRECE</t>
  </si>
  <si>
    <t>IDENTIFICADOR DE ÓRGANOS</t>
  </si>
  <si>
    <t>CUBO DE FIGURAS</t>
  </si>
  <si>
    <t>ROMPECABEZAS DE LETRAS</t>
  </si>
  <si>
    <t>ROMPECABEZAS VARIOS</t>
  </si>
  <si>
    <t>CABALLITOS MESEDORES DE MADERA</t>
  </si>
  <si>
    <t>BARRILITOS CHILLON</t>
  </si>
  <si>
    <t xml:space="preserve">CHINESCO </t>
  </si>
  <si>
    <t>COLECCIÓN CUENTOS INFANTILES (12)</t>
  </si>
  <si>
    <t>ALCANCIA DE FIGURAS EOMÉTRICAS</t>
  </si>
  <si>
    <t>ENCAJABLE FARMY ARM 12 PZS</t>
  </si>
  <si>
    <t>INSTRUMENTOS MUSICALES</t>
  </si>
  <si>
    <t>PAR DE MARACAS</t>
  </si>
  <si>
    <t>CASTAÑUELAS DE PLÁSTICO</t>
  </si>
  <si>
    <t>XILOFONO</t>
  </si>
  <si>
    <t>PANDERETAS</t>
  </si>
  <si>
    <t>GUACHARACAS INFANTILES</t>
  </si>
  <si>
    <t>ALFOMBRA BAÑO</t>
  </si>
  <si>
    <t>BAÑERA COMPLETA</t>
  </si>
  <si>
    <t>BACINILLA</t>
  </si>
  <si>
    <t>JABONERA</t>
  </si>
  <si>
    <t>DISPENSADOR DE JABÓN LÍQUIDO</t>
  </si>
  <si>
    <t>JABÓN LÍQUIDO (GLN)</t>
  </si>
  <si>
    <t>DISPENSADOR DE PAPEL HIGIÉNICO</t>
  </si>
  <si>
    <t>ROLLOS DE PAPEL HIGIÉNICO (20M)</t>
  </si>
  <si>
    <t>DISPENSADOR DE TOALLAS PRECORTADAS</t>
  </si>
  <si>
    <t>TOALLAS PRECORTADAS (150)</t>
  </si>
  <si>
    <t>SECADOR DE MANOS</t>
  </si>
  <si>
    <t>TACHO DE BASURA</t>
  </si>
  <si>
    <t>FUNDAS DE BASURA (20)</t>
  </si>
  <si>
    <t>COCHE DE LIMPIEZA</t>
  </si>
  <si>
    <t>CERA EMULSIONADA ESTRELLAS GALON</t>
  </si>
  <si>
    <t>BALDE ESCURRIDOR CON RUEDAS</t>
  </si>
  <si>
    <t xml:space="preserve">ATOMIZADOR </t>
  </si>
  <si>
    <t>ESCOBA FIBRA DE COCO</t>
  </si>
  <si>
    <t>TRAPEADOR METALICO</t>
  </si>
  <si>
    <t>CLORO HH (GLN)</t>
  </si>
  <si>
    <t>AMBIENTAL EN GALON VARIOS AROMAS</t>
  </si>
  <si>
    <t>PAÑOS MULTIUSOS WYPALL 25 HOJAS</t>
  </si>
  <si>
    <t>JARRA</t>
  </si>
  <si>
    <t>RECIPIENTES</t>
  </si>
  <si>
    <t>PLATOS PLÁSTICOS</t>
  </si>
  <si>
    <t>PLATO HONDO</t>
  </si>
  <si>
    <t>CEPILLO PARA BIBERÓN</t>
  </si>
  <si>
    <t>CENTRO DE NUTRICIÓN (3)</t>
  </si>
  <si>
    <t>CAJONERAS CUBIERTOS</t>
  </si>
  <si>
    <t xml:space="preserve">CUBIERTOS </t>
  </si>
  <si>
    <t>VASOS x 6</t>
  </si>
  <si>
    <t>UTENSILIOS DE COCINAS</t>
  </si>
  <si>
    <t>TERMOS</t>
  </si>
  <si>
    <t>IMPLEMENTO DE LIMPIEZA COCINA</t>
  </si>
  <si>
    <t>ADORNOS DE  OFICINA VARIOS</t>
  </si>
  <si>
    <t>TELEFONO ALÁMBRICO PANASONIC</t>
  </si>
  <si>
    <t>TELEFONO INALÁMBRICO PANASONIC</t>
  </si>
  <si>
    <t>MICROONDAS PANASONIC</t>
  </si>
  <si>
    <t>REFRIGERADORA</t>
  </si>
  <si>
    <t>DVD SONY</t>
  </si>
  <si>
    <t>COMPUTADORA DE ESCRITORIO XTRATECH</t>
  </si>
  <si>
    <t>CANTIDAD</t>
  </si>
  <si>
    <t>TOTAL OFICINA</t>
  </si>
  <si>
    <t>BALANCE DE OBRAS FISICAS</t>
  </si>
  <si>
    <t>DESCRIPCION</t>
  </si>
  <si>
    <t>COSTO UNIT.</t>
  </si>
  <si>
    <t>OFICINA</t>
  </si>
  <si>
    <t>INSTALACIONES</t>
  </si>
  <si>
    <t>FAST BOY</t>
  </si>
  <si>
    <t>CNT LINEA TELEFONICA</t>
  </si>
  <si>
    <t>GUANTES BICOLOR N°7 1/2</t>
  </si>
  <si>
    <t>IMPRESORA MULTIFUNCION LEXMARK</t>
  </si>
  <si>
    <t>ADAPTADORES TAZA BAÑO</t>
  </si>
  <si>
    <t>BALON DIDACTICO 22" (55 CMS)</t>
  </si>
  <si>
    <t>COSTO MENSUAL</t>
  </si>
  <si>
    <t>COSTO ANUAL</t>
  </si>
  <si>
    <t>SERVICIOS BASICOS</t>
  </si>
  <si>
    <t>ELECTRICIDAD</t>
  </si>
  <si>
    <t>AGUA POTABLE</t>
  </si>
  <si>
    <t>INTERNET</t>
  </si>
  <si>
    <t>TOTAL SERVICIOS BASICO</t>
  </si>
  <si>
    <t>CABLE</t>
  </si>
  <si>
    <t>INSTALACION LINEA TELEFONICA</t>
  </si>
  <si>
    <t>INSTALACION  FAST BOY</t>
  </si>
  <si>
    <t>INSTALACION DE CABLE</t>
  </si>
  <si>
    <t>Cantidad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</si>
  <si>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</si>
  <si>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</si>
  <si>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</si>
  <si>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</si>
  <si>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</si>
  <si>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</si>
  <si>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</si>
  <si>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</si>
  <si>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</si>
  <si>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</si>
  <si>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</si>
  <si>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</si>
  <si>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Egresos</t>
  </si>
  <si>
    <t>Sueldos y Salarios</t>
  </si>
  <si>
    <t>Gastos Operativos</t>
  </si>
  <si>
    <t>Gastos Fijos</t>
  </si>
  <si>
    <t>Gastos de Publicidad</t>
  </si>
  <si>
    <t>Total Egresos</t>
  </si>
  <si>
    <t>Saldo Mensual</t>
  </si>
  <si>
    <t>Saldo Acumulado</t>
  </si>
  <si>
    <t>Capital de Trabajo</t>
  </si>
  <si>
    <t>Activos Fijos</t>
  </si>
  <si>
    <t>Vehiculo</t>
  </si>
  <si>
    <t>Activos Diferidos</t>
  </si>
  <si>
    <t>Precio Unitario</t>
  </si>
  <si>
    <t>Valor Mensual</t>
  </si>
  <si>
    <t>Valor Anual</t>
  </si>
  <si>
    <t>Resmas de hojas tamaño A4</t>
  </si>
  <si>
    <t>Cartuchos de impresora laser</t>
  </si>
  <si>
    <t>Plumas Bic (negras y rojas)</t>
  </si>
  <si>
    <t>Lápices Bic</t>
  </si>
  <si>
    <t xml:space="preserve">Saca punta </t>
  </si>
  <si>
    <t>Borrador</t>
  </si>
  <si>
    <t>Grapadora</t>
  </si>
  <si>
    <t>Cajas de grapa</t>
  </si>
  <si>
    <t>Saca grapa</t>
  </si>
  <si>
    <t>Carpetas y vinchas (50)</t>
  </si>
  <si>
    <t>Perforadora</t>
  </si>
  <si>
    <t>Marcadores de pizarra</t>
  </si>
  <si>
    <t>Folders</t>
  </si>
  <si>
    <t>Borrador acrílico</t>
  </si>
  <si>
    <t>Pizarra Acrilica</t>
  </si>
  <si>
    <t>Patente</t>
  </si>
  <si>
    <t>Permiso / Funcionamiento</t>
  </si>
  <si>
    <t>Organización / Puesta en Marcha</t>
  </si>
  <si>
    <t>R.U.C.</t>
  </si>
  <si>
    <t>Gastos Legalización</t>
  </si>
  <si>
    <t>Gastos de Alquiler</t>
  </si>
  <si>
    <t>Ingresos Guardería</t>
  </si>
  <si>
    <t>Precio Guardería</t>
  </si>
  <si>
    <t>Cantidad/niños</t>
  </si>
  <si>
    <t>Ingresos Estimulación</t>
  </si>
  <si>
    <t>Total Ingresos</t>
  </si>
  <si>
    <t xml:space="preserve">Cantidad </t>
  </si>
  <si>
    <t>Inversión Inicial</t>
  </si>
  <si>
    <t>SPLITS</t>
  </si>
  <si>
    <t>Estructura de Financiamiento</t>
  </si>
  <si>
    <t>Préstamo</t>
  </si>
  <si>
    <t>Interes</t>
  </si>
  <si>
    <t>Saldo</t>
  </si>
  <si>
    <t>Amortización</t>
  </si>
  <si>
    <t>Periodo</t>
  </si>
  <si>
    <t>Pago</t>
  </si>
  <si>
    <t>Tasa/Interés</t>
  </si>
  <si>
    <t>Años</t>
  </si>
  <si>
    <t>-</t>
  </si>
  <si>
    <t>Valor de Desecho</t>
  </si>
  <si>
    <t>Activo</t>
  </si>
  <si>
    <t>Valor de Compra</t>
  </si>
  <si>
    <t>Vida Contable</t>
  </si>
  <si>
    <t>Dep. Anual</t>
  </si>
  <si>
    <t>Valor en libros</t>
  </si>
  <si>
    <t>Valor de Desecho Contable</t>
  </si>
  <si>
    <t>Flujo de Caja</t>
  </si>
  <si>
    <t>Precio Estimulación prenatal</t>
  </si>
  <si>
    <t>Incremento</t>
  </si>
  <si>
    <t>Utilidad Operacional</t>
  </si>
  <si>
    <t>Intereses sobre prestamos</t>
  </si>
  <si>
    <t>15% Participación de Trabajadores</t>
  </si>
  <si>
    <t>Utilidad antes Impto a la Renta</t>
  </si>
  <si>
    <t>Impuestos (23% - 22%)</t>
  </si>
  <si>
    <t>Utilidad Neta</t>
  </si>
  <si>
    <t>Depreciación y amort (+)</t>
  </si>
  <si>
    <t>Pago de Capital</t>
  </si>
  <si>
    <t>(-) Inversion Inicial</t>
  </si>
  <si>
    <t>(-) Capital de Trabajo</t>
  </si>
  <si>
    <t>(+) Prestamo</t>
  </si>
  <si>
    <t>Recuperacion capital de trabajo</t>
  </si>
  <si>
    <t>Flujo total</t>
  </si>
  <si>
    <t>TMAR</t>
  </si>
  <si>
    <t>TIR</t>
  </si>
  <si>
    <t>Total Ingresos Guarderías</t>
  </si>
  <si>
    <t>Inflación</t>
  </si>
  <si>
    <t xml:space="preserve">Total Ingresos </t>
  </si>
  <si>
    <t>PUBLICIDAD Y PROMOCION 2012</t>
  </si>
  <si>
    <t>Periodo de Recuperación de la Inversión (Payback)</t>
  </si>
  <si>
    <t>Saldo de Inversión</t>
  </si>
  <si>
    <t>Rentabilidad Exigida</t>
  </si>
  <si>
    <t>Recuperación Inversión</t>
  </si>
  <si>
    <t>Total Depreciación</t>
  </si>
  <si>
    <t>BETA</t>
  </si>
  <si>
    <t>Beta desap</t>
  </si>
  <si>
    <t>Pasivo</t>
  </si>
  <si>
    <t>Patrimonio</t>
  </si>
  <si>
    <t>Impuestos Ecuador</t>
  </si>
  <si>
    <t xml:space="preserve">Beta apalancado </t>
  </si>
  <si>
    <t>Beta  Gymboree</t>
  </si>
  <si>
    <t>Capital Propio</t>
  </si>
  <si>
    <t>CAPM = ( Rf + Bi*[ E(Rm) -Rf ] ) + Riesgo pais</t>
  </si>
  <si>
    <t>Riesgo pais (PUNTOS BASICOS)</t>
  </si>
  <si>
    <t>RIESGO PAIS %</t>
  </si>
  <si>
    <t>Tasa Libre de Riesgo (Rf)</t>
  </si>
  <si>
    <t>Riesgo Max. Mercado (Rm)</t>
  </si>
  <si>
    <t>CAPM = TMAR = Ke</t>
  </si>
  <si>
    <t>Kd</t>
  </si>
  <si>
    <t>Ke</t>
  </si>
  <si>
    <t>RIESGO PAÍS</t>
  </si>
  <si>
    <t>FECHA</t>
  </si>
  <si>
    <t>VALOR</t>
  </si>
  <si>
    <t>Abril-09-2012</t>
  </si>
  <si>
    <t>Abril-08-2012</t>
  </si>
  <si>
    <t>Abril-07-2012</t>
  </si>
  <si>
    <t>Abril-06-2012</t>
  </si>
  <si>
    <t>Abril-05-2012</t>
  </si>
  <si>
    <t>Abril-04-2012</t>
  </si>
  <si>
    <t>Abril-03-2012</t>
  </si>
  <si>
    <t>Abril-02-2012</t>
  </si>
  <si>
    <t>Abril-01-2012</t>
  </si>
  <si>
    <t>Marzo-31-2012</t>
  </si>
  <si>
    <t>Marzo-30-2012</t>
  </si>
  <si>
    <t>Marzo-29-2012</t>
  </si>
  <si>
    <t>Marzo-28-2012</t>
  </si>
  <si>
    <t>Marzo-27-2012</t>
  </si>
  <si>
    <t>Marzo-26-2012</t>
  </si>
  <si>
    <t>Marzo-23-2012</t>
  </si>
  <si>
    <t>Marzo-22-2012</t>
  </si>
  <si>
    <t>Marzo-21-2012</t>
  </si>
  <si>
    <t>Marzo-20-2012</t>
  </si>
  <si>
    <t>Marzo-19-2012</t>
  </si>
  <si>
    <t>Marzo-16-2012</t>
  </si>
  <si>
    <t>Marzo-15-2012</t>
  </si>
  <si>
    <t>Marzo-14-2012</t>
  </si>
  <si>
    <t>Marzo-13-2012</t>
  </si>
  <si>
    <t>Marzo-12-2012</t>
  </si>
  <si>
    <t>Marzo-09-2012</t>
  </si>
  <si>
    <t>Marzo-08-2012</t>
  </si>
  <si>
    <t>Marzo-07-2012</t>
  </si>
  <si>
    <t>Marzo-06-2012</t>
  </si>
  <si>
    <t>Marzo-05-2012</t>
  </si>
  <si>
    <t>PROMEDIO</t>
  </si>
  <si>
    <t>http://www.advfn.com/p.php?pid=financials&amp;symbol=NASDAQ%3AGYMB</t>
  </si>
  <si>
    <t>Debt/Equity Ratio</t>
  </si>
  <si>
    <t>T EEUU</t>
  </si>
  <si>
    <t>CAPACIDAD NIÑOS:</t>
  </si>
  <si>
    <t>1 A 2 AÑOS</t>
  </si>
  <si>
    <t>3 A 4 AÑOS</t>
  </si>
  <si>
    <t>CAMBIADOR</t>
  </si>
  <si>
    <t>MESAS X8</t>
  </si>
  <si>
    <t>BALON DIDACTICO 26" (65 CMS)</t>
  </si>
  <si>
    <t>BALON DIDACTICO 40" (100 CMS)</t>
  </si>
  <si>
    <t>Total Gastos Operacionales</t>
  </si>
  <si>
    <t>PUBLICIDAD Y PROMOCION (2013- 2017)</t>
  </si>
  <si>
    <t>ADMINISTRAOR</t>
  </si>
  <si>
    <t>ADMINISTRADOR</t>
  </si>
  <si>
    <t>Sueldo anual proporcional</t>
  </si>
  <si>
    <t>SILLA PRE- ESCOLAR EN  METAL</t>
  </si>
  <si>
    <t>SILLA PRE- ESCOLAR EN METAL</t>
  </si>
  <si>
    <t>ALCANCIA DE FIGURAS GEOMÉTRICAS</t>
  </si>
  <si>
    <t>DETERGENTE (500 GRMS)</t>
  </si>
  <si>
    <t>Detergente (2 Kg)</t>
  </si>
  <si>
    <t>VASOS x 4</t>
  </si>
  <si>
    <t>COLCHONETA 2X1X0.03 TEXTURIZADA</t>
  </si>
  <si>
    <t>Vida Útil Estimada mensual</t>
  </si>
  <si>
    <t>Desgaste mensual</t>
  </si>
  <si>
    <t>REINVERSIÓN</t>
  </si>
  <si>
    <t>6 MESES</t>
  </si>
  <si>
    <t>8 MESES</t>
  </si>
  <si>
    <t>10 MESES</t>
  </si>
  <si>
    <t>2 MESES</t>
  </si>
  <si>
    <t>3 MESES</t>
  </si>
  <si>
    <t>12 MESES</t>
  </si>
  <si>
    <t>24 MESES</t>
  </si>
  <si>
    <t>36 MESES</t>
  </si>
  <si>
    <t>48 MESES</t>
  </si>
  <si>
    <t>60 MESES</t>
  </si>
  <si>
    <t>VOLANTES</t>
  </si>
  <si>
    <t>Tamaño A5 (21x14,85cm)</t>
  </si>
  <si>
    <t>Papel couche brillo de 115gr</t>
  </si>
  <si>
    <t>Impresión full color 2 lados</t>
  </si>
  <si>
    <t xml:space="preserve">Alquiler </t>
  </si>
  <si>
    <t>AÑO 2013</t>
  </si>
  <si>
    <t>Capital de Trabajo (2012)</t>
  </si>
  <si>
    <t>Gastos de Alimentación</t>
  </si>
  <si>
    <t xml:space="preserve">Depreciación </t>
  </si>
  <si>
    <t>Incremento de la Demanda</t>
  </si>
  <si>
    <t>Inflacion</t>
  </si>
  <si>
    <t>Para Guardería y estimulacion Niños</t>
  </si>
  <si>
    <t>Estimulacion mujeres embarazadas</t>
  </si>
  <si>
    <t>% Deuda</t>
  </si>
  <si>
    <t>% Capital</t>
  </si>
  <si>
    <t xml:space="preserve">Gastos </t>
  </si>
  <si>
    <t xml:space="preserve">Total Gastos </t>
  </si>
  <si>
    <t>REVISTA MAMÁ</t>
  </si>
  <si>
    <t>3  A 11 MESES</t>
  </si>
  <si>
    <t>MUEBLES Y EQUIPO DE OFICINA</t>
  </si>
  <si>
    <t>EQUIPO DE COMPUTACIÓN</t>
  </si>
  <si>
    <t>LÍNEA BLANCA</t>
  </si>
  <si>
    <t>VALOR DE DESECHO</t>
  </si>
  <si>
    <t>SUMINISTROS DE OFICINA</t>
  </si>
  <si>
    <t>ACTIVOS DIFERIDOS</t>
  </si>
  <si>
    <t>Gastos de Constitución</t>
  </si>
  <si>
    <t>ESTIMULACIÓN</t>
  </si>
  <si>
    <t>Descripción</t>
  </si>
  <si>
    <t>SUMINISTROS DE LIMPIEZA</t>
  </si>
  <si>
    <t>MATERIAL DIDÁCTICO</t>
  </si>
  <si>
    <t>SUMUNISTROS DE COCINA</t>
  </si>
  <si>
    <t>Total Activos Fijos</t>
  </si>
  <si>
    <t>VEHÍCULO</t>
  </si>
  <si>
    <t>IMPLEMENTOS PARA AULAS</t>
  </si>
  <si>
    <t>Cantidad Guardería</t>
  </si>
  <si>
    <t>Decimocuarto sueldo</t>
  </si>
  <si>
    <t>Decimotercero sueldo</t>
  </si>
  <si>
    <t>Vacaciones</t>
  </si>
  <si>
    <t>Beneficios Sociales netos</t>
  </si>
  <si>
    <t>Fondos de Reserva mensual</t>
  </si>
  <si>
    <t>Fondos de Reserva anual</t>
  </si>
  <si>
    <t>Sueldo anual</t>
  </si>
  <si>
    <t>Ingreso</t>
  </si>
  <si>
    <t>Gastos por Gasolina</t>
  </si>
  <si>
    <t>Ingresos Estimulación Prenatal</t>
  </si>
  <si>
    <t>Ingresos</t>
  </si>
  <si>
    <t>Guardería y Estimulación</t>
  </si>
  <si>
    <t>Estimulación prenatal</t>
  </si>
  <si>
    <t>Cantidades</t>
  </si>
  <si>
    <t>Gastos</t>
  </si>
  <si>
    <t>Alimentación</t>
  </si>
  <si>
    <t>Gasolina</t>
  </si>
  <si>
    <t>Operativos</t>
  </si>
  <si>
    <t>Beneficios Sociales (Dic)</t>
  </si>
  <si>
    <t>Sueldos y Salarios (mensual)</t>
  </si>
  <si>
    <t>Total anual</t>
  </si>
  <si>
    <t>ROL DE PAGOS AÑO 2013</t>
  </si>
  <si>
    <t>ROL DE PAGOS AÑO 2012</t>
  </si>
  <si>
    <t>BENEFICIOS SOCIALES 2012</t>
  </si>
  <si>
    <t>BENEFICIOS SOCIALES 2013</t>
  </si>
  <si>
    <t>AÑOS</t>
  </si>
  <si>
    <t xml:space="preserve">EQUIPO DE COMPUTACIÓN </t>
  </si>
  <si>
    <t>SUMINISTRO DE OFICINA</t>
  </si>
  <si>
    <t>ACTIVOS FIJOS</t>
  </si>
  <si>
    <t>LÍNEA BLANCA Y ELECTRODOMÉSTICOS</t>
  </si>
  <si>
    <t>Cantidad Estimulación prenatal</t>
  </si>
  <si>
    <t>Estimulación</t>
  </si>
  <si>
    <t>Implementos para aulas</t>
  </si>
  <si>
    <t>Materiales Didácticos</t>
  </si>
  <si>
    <t>Suministro de Limpieza</t>
  </si>
  <si>
    <t>COSTOS Y GASTOS</t>
  </si>
  <si>
    <t>Precio  Guarderia y estimulacion</t>
  </si>
  <si>
    <t>Precio estimulacion prenatal</t>
  </si>
  <si>
    <t>Ingreso estimulacion prenatal</t>
  </si>
  <si>
    <t>Ingresos   Guarderia y estimulacion</t>
  </si>
  <si>
    <t>Pago de capital</t>
  </si>
  <si>
    <t>cálculo cuota mensual</t>
  </si>
  <si>
    <t>Meses</t>
  </si>
  <si>
    <t>Tasa mensual</t>
  </si>
  <si>
    <t>Año</t>
  </si>
  <si>
    <t>Interés</t>
  </si>
  <si>
    <t>9,42 cm x 5,43 cm</t>
  </si>
  <si>
    <t>OCTAVO DE PAGINA VERTICAL</t>
  </si>
</sst>
</file>

<file path=xl/styles.xml><?xml version="1.0" encoding="utf-8"?>
<styleSheet xmlns="http://schemas.openxmlformats.org/spreadsheetml/2006/main">
  <numFmts count="17">
    <numFmt numFmtId="6" formatCode="&quot;$&quot;\ #,##0_);[Red]\(&quot;$&quot;\ #,##0\)"/>
    <numFmt numFmtId="8" formatCode="&quot;$&quot;\ #,##0.00_);[Red]\(&quot;$&quot;\ #,##0.00\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.00_ ;_ * \-#,##0.00_ ;_ * &quot;-&quot;??_ ;_ @_ 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&quot;$&quot;\ #,##0.00;[Red]&quot;$&quot;\ #,##0.00"/>
    <numFmt numFmtId="168" formatCode="[$$-300A]\ #,##0.00;[Red][$$-300A]\ #,##0.00"/>
    <numFmt numFmtId="169" formatCode="[$$-300A]\ #,##0.00"/>
    <numFmt numFmtId="170" formatCode="0.0%"/>
    <numFmt numFmtId="171" formatCode="0.0"/>
    <numFmt numFmtId="172" formatCode="&quot;$&quot;\ #,##0.000_);[Red]\(&quot;$&quot;\ #,##0.000\)"/>
    <numFmt numFmtId="173" formatCode="&quot;$&quot;\ #,##0.0000_);[Red]\(&quot;$&quot;\ #,##0.0000\)"/>
    <numFmt numFmtId="174" formatCode="0.000%"/>
    <numFmt numFmtId="175" formatCode="0.0000%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i/>
      <u/>
      <sz val="10"/>
      <color theme="1"/>
      <name val="Arial"/>
      <family val="2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i/>
      <sz val="9"/>
      <color theme="1"/>
      <name val="Arial"/>
      <family val="2"/>
    </font>
    <font>
      <b/>
      <i/>
      <sz val="9"/>
      <color theme="0"/>
      <name val="Arial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Arial"/>
      <family val="2"/>
    </font>
    <font>
      <b/>
      <i/>
      <sz val="10"/>
      <name val="Arial"/>
      <family val="2"/>
    </font>
    <font>
      <b/>
      <u/>
      <sz val="9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rgb="FF999999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10"/>
      <color indexed="8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medium">
        <color indexed="64"/>
      </top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8C0D4"/>
      </right>
      <top style="medium">
        <color indexed="64"/>
      </top>
      <bottom style="medium">
        <color indexed="64"/>
      </bottom>
      <diagonal/>
    </border>
    <border>
      <left style="thin">
        <color rgb="FF78C0D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3" tint="0.39997558519241921"/>
      </right>
      <top style="medium">
        <color indexed="64"/>
      </top>
      <bottom/>
      <diagonal/>
    </border>
    <border>
      <left style="thin">
        <color theme="3" tint="0.3999755851924192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3" tint="0.39997558519241921"/>
      </right>
      <top/>
      <bottom style="medium">
        <color indexed="64"/>
      </bottom>
      <diagonal/>
    </border>
    <border>
      <left style="thin">
        <color theme="3" tint="0.3999755851924192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0">
    <xf numFmtId="0" fontId="0" fillId="0" borderId="0"/>
    <xf numFmtId="44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8" fillId="0" borderId="0"/>
    <xf numFmtId="0" fontId="8" fillId="0" borderId="0"/>
    <xf numFmtId="0" fontId="8" fillId="0" borderId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2">
    <xf numFmtId="0" fontId="0" fillId="0" borderId="0" xfId="0"/>
    <xf numFmtId="0" fontId="0" fillId="0" borderId="0" xfId="0"/>
    <xf numFmtId="9" fontId="5" fillId="0" borderId="0" xfId="0" applyNumberFormat="1" applyFont="1"/>
    <xf numFmtId="2" fontId="7" fillId="0" borderId="0" xfId="0" applyNumberFormat="1" applyFont="1" applyBorder="1" applyAlignment="1">
      <alignment horizontal="center" vertical="center"/>
    </xf>
    <xf numFmtId="0" fontId="3" fillId="2" borderId="6" xfId="2" applyFont="1" applyFill="1" applyBorder="1" applyAlignment="1">
      <alignment horizontal="center"/>
    </xf>
    <xf numFmtId="0" fontId="10" fillId="0" borderId="0" xfId="0" applyFont="1" applyFill="1" applyBorder="1" applyAlignment="1"/>
    <xf numFmtId="167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0" xfId="0"/>
    <xf numFmtId="0" fontId="0" fillId="0" borderId="0" xfId="0"/>
    <xf numFmtId="0" fontId="12" fillId="0" borderId="13" xfId="7" applyFont="1" applyFill="1" applyBorder="1" applyAlignment="1">
      <alignment horizontal="left" vertical="center"/>
    </xf>
    <xf numFmtId="0" fontId="12" fillId="0" borderId="14" xfId="7" applyFont="1" applyFill="1" applyBorder="1" applyAlignment="1">
      <alignment horizontal="left" vertical="center"/>
    </xf>
    <xf numFmtId="0" fontId="13" fillId="0" borderId="13" xfId="0" applyFont="1" applyBorder="1"/>
    <xf numFmtId="0" fontId="0" fillId="0" borderId="0" xfId="0"/>
    <xf numFmtId="0" fontId="9" fillId="0" borderId="7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2" fillId="0" borderId="0" xfId="7" applyFont="1" applyFill="1" applyBorder="1" applyAlignment="1">
      <alignment horizontal="left" vertical="center"/>
    </xf>
    <xf numFmtId="0" fontId="0" fillId="0" borderId="0" xfId="0"/>
    <xf numFmtId="44" fontId="3" fillId="0" borderId="0" xfId="1" applyFont="1" applyBorder="1"/>
    <xf numFmtId="0" fontId="3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9" fillId="0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12" fillId="0" borderId="15" xfId="7" applyFont="1" applyFill="1" applyBorder="1" applyAlignment="1">
      <alignment horizontal="left" vertical="center"/>
    </xf>
    <xf numFmtId="0" fontId="0" fillId="0" borderId="0" xfId="0"/>
    <xf numFmtId="0" fontId="0" fillId="0" borderId="0" xfId="0" applyAlignment="1">
      <alignment horizontal="center"/>
    </xf>
    <xf numFmtId="44" fontId="5" fillId="0" borderId="0" xfId="1" applyNumberFormat="1" applyFont="1" applyFill="1" applyBorder="1"/>
    <xf numFmtId="44" fontId="5" fillId="0" borderId="0" xfId="1" applyFont="1" applyFill="1" applyBorder="1" applyAlignment="1">
      <alignment horizontal="center"/>
    </xf>
    <xf numFmtId="44" fontId="5" fillId="0" borderId="0" xfId="1" applyFont="1" applyFill="1" applyBorder="1"/>
    <xf numFmtId="0" fontId="0" fillId="0" borderId="0" xfId="0" applyFill="1" applyBorder="1"/>
    <xf numFmtId="44" fontId="5" fillId="0" borderId="2" xfId="1" applyFont="1" applyFill="1" applyBorder="1" applyAlignment="1">
      <alignment horizontal="center"/>
    </xf>
    <xf numFmtId="168" fontId="6" fillId="0" borderId="2" xfId="0" applyNumberFormat="1" applyFont="1" applyBorder="1" applyAlignment="1"/>
    <xf numFmtId="168" fontId="4" fillId="0" borderId="2" xfId="0" applyNumberFormat="1" applyFont="1" applyFill="1" applyBorder="1" applyAlignment="1">
      <alignment horizontal="center" vertical="center"/>
    </xf>
    <xf numFmtId="168" fontId="5" fillId="0" borderId="2" xfId="1" applyNumberFormat="1" applyFont="1" applyFill="1" applyBorder="1" applyAlignment="1">
      <alignment horizontal="center"/>
    </xf>
    <xf numFmtId="168" fontId="5" fillId="0" borderId="2" xfId="0" applyNumberFormat="1" applyFont="1" applyFill="1" applyBorder="1"/>
    <xf numFmtId="168" fontId="0" fillId="0" borderId="0" xfId="0" applyNumberFormat="1" applyAlignment="1">
      <alignment horizontal="center"/>
    </xf>
    <xf numFmtId="168" fontId="5" fillId="0" borderId="2" xfId="0" applyNumberFormat="1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44" fontId="5" fillId="0" borderId="2" xfId="1" applyFont="1" applyFill="1" applyBorder="1"/>
    <xf numFmtId="0" fontId="0" fillId="0" borderId="2" xfId="0" applyBorder="1" applyAlignment="1">
      <alignment horizontal="center"/>
    </xf>
    <xf numFmtId="44" fontId="0" fillId="0" borderId="2" xfId="1" applyFont="1" applyBorder="1"/>
    <xf numFmtId="44" fontId="0" fillId="0" borderId="2" xfId="0" applyNumberFormat="1" applyBorder="1"/>
    <xf numFmtId="0" fontId="0" fillId="0" borderId="13" xfId="0" applyFill="1" applyBorder="1"/>
    <xf numFmtId="44" fontId="0" fillId="0" borderId="26" xfId="0" applyNumberFormat="1" applyBorder="1"/>
    <xf numFmtId="0" fontId="0" fillId="0" borderId="13" xfId="0" applyBorder="1"/>
    <xf numFmtId="0" fontId="0" fillId="0" borderId="14" xfId="0" applyFill="1" applyBorder="1"/>
    <xf numFmtId="0" fontId="0" fillId="0" borderId="6" xfId="0" applyBorder="1" applyAlignment="1">
      <alignment horizontal="center"/>
    </xf>
    <xf numFmtId="44" fontId="0" fillId="0" borderId="6" xfId="0" applyNumberFormat="1" applyBorder="1"/>
    <xf numFmtId="44" fontId="0" fillId="0" borderId="28" xfId="0" applyNumberFormat="1" applyBorder="1"/>
    <xf numFmtId="0" fontId="0" fillId="0" borderId="27" xfId="0" applyBorder="1"/>
    <xf numFmtId="44" fontId="0" fillId="0" borderId="27" xfId="0" applyNumberFormat="1" applyBorder="1"/>
    <xf numFmtId="0" fontId="0" fillId="0" borderId="25" xfId="0" applyFill="1" applyBorder="1"/>
    <xf numFmtId="0" fontId="0" fillId="0" borderId="7" xfId="0" applyBorder="1" applyAlignment="1">
      <alignment horizontal="center"/>
    </xf>
    <xf numFmtId="44" fontId="0" fillId="0" borderId="7" xfId="1" applyFont="1" applyBorder="1"/>
    <xf numFmtId="44" fontId="0" fillId="0" borderId="7" xfId="0" applyNumberFormat="1" applyBorder="1"/>
    <xf numFmtId="44" fontId="0" fillId="0" borderId="18" xfId="0" applyNumberFormat="1" applyBorder="1"/>
    <xf numFmtId="0" fontId="2" fillId="0" borderId="27" xfId="0" applyFont="1" applyFill="1" applyBorder="1" applyAlignment="1">
      <alignment horizontal="center"/>
    </xf>
    <xf numFmtId="167" fontId="0" fillId="0" borderId="18" xfId="0" applyNumberFormat="1" applyBorder="1"/>
    <xf numFmtId="167" fontId="0" fillId="0" borderId="26" xfId="0" applyNumberFormat="1" applyBorder="1"/>
    <xf numFmtId="167" fontId="9" fillId="0" borderId="2" xfId="0" applyNumberFormat="1" applyFont="1" applyBorder="1" applyAlignment="1">
      <alignment horizontal="center" vertical="center"/>
    </xf>
    <xf numFmtId="167" fontId="9" fillId="0" borderId="6" xfId="0" applyNumberFormat="1" applyFont="1" applyBorder="1" applyAlignment="1">
      <alignment horizontal="center" vertical="center"/>
    </xf>
    <xf numFmtId="0" fontId="9" fillId="0" borderId="29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3" fillId="2" borderId="30" xfId="2" applyFont="1" applyFill="1" applyBorder="1" applyAlignment="1">
      <alignment horizontal="center"/>
    </xf>
    <xf numFmtId="0" fontId="15" fillId="0" borderId="0" xfId="17"/>
    <xf numFmtId="0" fontId="0" fillId="3" borderId="0" xfId="0" applyFill="1"/>
    <xf numFmtId="0" fontId="6" fillId="0" borderId="2" xfId="0" applyFont="1" applyFill="1" applyBorder="1" applyAlignment="1">
      <alignment horizontal="center"/>
    </xf>
    <xf numFmtId="0" fontId="0" fillId="0" borderId="2" xfId="0" applyBorder="1"/>
    <xf numFmtId="168" fontId="0" fillId="0" borderId="2" xfId="0" applyNumberFormat="1" applyBorder="1" applyAlignment="1">
      <alignment horizontal="center"/>
    </xf>
    <xf numFmtId="168" fontId="5" fillId="0" borderId="2" xfId="0" applyNumberFormat="1" applyFont="1" applyFill="1" applyBorder="1" applyAlignment="1">
      <alignment horizontal="center"/>
    </xf>
    <xf numFmtId="44" fontId="0" fillId="0" borderId="0" xfId="1" applyFont="1" applyBorder="1"/>
    <xf numFmtId="0" fontId="0" fillId="0" borderId="15" xfId="0" applyFill="1" applyBorder="1"/>
    <xf numFmtId="167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44" fontId="0" fillId="0" borderId="10" xfId="0" applyNumberFormat="1" applyBorder="1"/>
    <xf numFmtId="167" fontId="0" fillId="0" borderId="31" xfId="0" applyNumberFormat="1" applyBorder="1"/>
    <xf numFmtId="0" fontId="2" fillId="0" borderId="11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167" fontId="0" fillId="0" borderId="12" xfId="1" applyNumberFormat="1" applyFont="1" applyBorder="1" applyAlignment="1">
      <alignment horizontal="center"/>
    </xf>
    <xf numFmtId="44" fontId="0" fillId="0" borderId="12" xfId="0" applyNumberFormat="1" applyBorder="1"/>
    <xf numFmtId="167" fontId="0" fillId="0" borderId="16" xfId="0" applyNumberFormat="1" applyBorder="1"/>
    <xf numFmtId="0" fontId="0" fillId="0" borderId="25" xfId="0" applyFont="1" applyFill="1" applyBorder="1" applyAlignment="1">
      <alignment horizontal="left"/>
    </xf>
    <xf numFmtId="44" fontId="0" fillId="0" borderId="2" xfId="1" applyFont="1" applyFill="1" applyBorder="1"/>
    <xf numFmtId="0" fontId="0" fillId="0" borderId="13" xfId="0" applyFont="1" applyFill="1" applyBorder="1" applyAlignment="1">
      <alignment horizontal="left"/>
    </xf>
    <xf numFmtId="167" fontId="0" fillId="0" borderId="27" xfId="0" applyNumberFormat="1" applyBorder="1"/>
    <xf numFmtId="167" fontId="0" fillId="0" borderId="28" xfId="0" applyNumberFormat="1" applyBorder="1"/>
    <xf numFmtId="0" fontId="2" fillId="0" borderId="32" xfId="0" applyFont="1" applyFill="1" applyBorder="1" applyAlignment="1">
      <alignment horizontal="center"/>
    </xf>
    <xf numFmtId="0" fontId="0" fillId="0" borderId="33" xfId="0" applyBorder="1"/>
    <xf numFmtId="44" fontId="0" fillId="0" borderId="33" xfId="0" applyNumberFormat="1" applyBorder="1"/>
    <xf numFmtId="167" fontId="0" fillId="0" borderId="33" xfId="0" applyNumberFormat="1" applyBorder="1"/>
    <xf numFmtId="0" fontId="11" fillId="0" borderId="13" xfId="0" applyFont="1" applyFill="1" applyBorder="1" applyAlignment="1">
      <alignment horizontal="left" vertical="center"/>
    </xf>
    <xf numFmtId="44" fontId="0" fillId="0" borderId="6" xfId="1" applyFont="1" applyBorder="1"/>
    <xf numFmtId="0" fontId="2" fillId="0" borderId="32" xfId="0" applyFont="1" applyBorder="1" applyAlignment="1">
      <alignment horizontal="center"/>
    </xf>
    <xf numFmtId="167" fontId="0" fillId="0" borderId="12" xfId="0" applyNumberFormat="1" applyBorder="1"/>
    <xf numFmtId="0" fontId="12" fillId="0" borderId="25" xfId="7" applyFont="1" applyFill="1" applyBorder="1" applyAlignment="1">
      <alignment horizontal="left" vertical="center"/>
    </xf>
    <xf numFmtId="167" fontId="9" fillId="0" borderId="7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7" xfId="0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8" fontId="0" fillId="0" borderId="2" xfId="0" applyNumberFormat="1" applyBorder="1"/>
    <xf numFmtId="8" fontId="0" fillId="0" borderId="0" xfId="0" applyNumberFormat="1" applyBorder="1"/>
    <xf numFmtId="0" fontId="0" fillId="0" borderId="2" xfId="0" applyFill="1" applyBorder="1"/>
    <xf numFmtId="8" fontId="0" fillId="0" borderId="2" xfId="0" applyNumberFormat="1" applyFill="1" applyBorder="1"/>
    <xf numFmtId="8" fontId="0" fillId="0" borderId="2" xfId="1" applyNumberFormat="1" applyFont="1" applyBorder="1"/>
    <xf numFmtId="0" fontId="16" fillId="0" borderId="0" xfId="0" applyFont="1" applyFill="1" applyBorder="1" applyAlignment="1">
      <alignment horizontal="center" vertical="center"/>
    </xf>
    <xf numFmtId="44" fontId="16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4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6" fontId="0" fillId="0" borderId="2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6" fontId="2" fillId="0" borderId="2" xfId="0" applyNumberFormat="1" applyFont="1" applyBorder="1" applyAlignment="1">
      <alignment horizontal="center"/>
    </xf>
    <xf numFmtId="8" fontId="0" fillId="0" borderId="26" xfId="0" applyNumberFormat="1" applyBorder="1"/>
    <xf numFmtId="8" fontId="0" fillId="0" borderId="18" xfId="0" applyNumberFormat="1" applyBorder="1"/>
    <xf numFmtId="0" fontId="0" fillId="0" borderId="14" xfId="0" applyBorder="1"/>
    <xf numFmtId="0" fontId="0" fillId="0" borderId="6" xfId="0" applyBorder="1"/>
    <xf numFmtId="8" fontId="2" fillId="0" borderId="33" xfId="0" applyNumberFormat="1" applyFont="1" applyBorder="1"/>
    <xf numFmtId="8" fontId="0" fillId="0" borderId="26" xfId="0" applyNumberFormat="1" applyFill="1" applyBorder="1"/>
    <xf numFmtId="0" fontId="0" fillId="0" borderId="7" xfId="0" applyFill="1" applyBorder="1"/>
    <xf numFmtId="0" fontId="0" fillId="0" borderId="6" xfId="0" applyFill="1" applyBorder="1"/>
    <xf numFmtId="8" fontId="0" fillId="0" borderId="6" xfId="0" applyNumberFormat="1" applyFill="1" applyBorder="1"/>
    <xf numFmtId="8" fontId="0" fillId="0" borderId="28" xfId="0" applyNumberFormat="1" applyFill="1" applyBorder="1"/>
    <xf numFmtId="44" fontId="0" fillId="0" borderId="26" xfId="1" applyFont="1" applyBorder="1"/>
    <xf numFmtId="44" fontId="0" fillId="0" borderId="26" xfId="1" applyFont="1" applyFill="1" applyBorder="1"/>
    <xf numFmtId="44" fontId="0" fillId="0" borderId="7" xfId="1" applyFont="1" applyFill="1" applyBorder="1"/>
    <xf numFmtId="44" fontId="0" fillId="0" borderId="18" xfId="1" applyFont="1" applyBorder="1"/>
    <xf numFmtId="44" fontId="0" fillId="0" borderId="6" xfId="1" applyFont="1" applyFill="1" applyBorder="1"/>
    <xf numFmtId="44" fontId="0" fillId="0" borderId="28" xfId="1" applyFont="1" applyFill="1" applyBorder="1"/>
    <xf numFmtId="44" fontId="2" fillId="0" borderId="33" xfId="0" applyNumberFormat="1" applyFont="1" applyBorder="1"/>
    <xf numFmtId="44" fontId="0" fillId="0" borderId="28" xfId="1" applyFont="1" applyBorder="1"/>
    <xf numFmtId="44" fontId="2" fillId="0" borderId="33" xfId="1" applyFont="1" applyBorder="1"/>
    <xf numFmtId="0" fontId="0" fillId="0" borderId="0" xfId="0" applyBorder="1" applyAlignment="1"/>
    <xf numFmtId="0" fontId="2" fillId="0" borderId="0" xfId="0" applyFont="1" applyBorder="1" applyAlignment="1">
      <alignment horizontal="center"/>
    </xf>
    <xf numFmtId="0" fontId="2" fillId="0" borderId="34" xfId="0" applyFont="1" applyBorder="1"/>
    <xf numFmtId="168" fontId="2" fillId="0" borderId="35" xfId="0" applyNumberFormat="1" applyFont="1" applyBorder="1" applyAlignment="1">
      <alignment horizontal="center"/>
    </xf>
    <xf numFmtId="168" fontId="2" fillId="0" borderId="36" xfId="0" applyNumberFormat="1" applyFont="1" applyBorder="1" applyAlignment="1">
      <alignment horizontal="center"/>
    </xf>
    <xf numFmtId="168" fontId="0" fillId="0" borderId="18" xfId="0" applyNumberFormat="1" applyBorder="1" applyAlignment="1">
      <alignment horizontal="center"/>
    </xf>
    <xf numFmtId="0" fontId="16" fillId="0" borderId="0" xfId="0" applyFont="1" applyFill="1" applyBorder="1"/>
    <xf numFmtId="44" fontId="16" fillId="0" borderId="0" xfId="0" applyNumberFormat="1" applyFont="1" applyFill="1" applyBorder="1"/>
    <xf numFmtId="0" fontId="17" fillId="0" borderId="0" xfId="0" applyFont="1" applyFill="1" applyBorder="1"/>
    <xf numFmtId="44" fontId="17" fillId="0" borderId="0" xfId="0" applyNumberFormat="1" applyFont="1" applyFill="1" applyBorder="1"/>
    <xf numFmtId="6" fontId="0" fillId="0" borderId="0" xfId="0" applyNumberFormat="1" applyFill="1" applyBorder="1" applyAlignment="1">
      <alignment horizontal="center"/>
    </xf>
    <xf numFmtId="0" fontId="16" fillId="0" borderId="0" xfId="0" applyFont="1" applyFill="1" applyBorder="1" applyAlignment="1">
      <alignment horizontal="left" vertical="center"/>
    </xf>
    <xf numFmtId="8" fontId="2" fillId="0" borderId="0" xfId="0" applyNumberFormat="1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/>
    </xf>
    <xf numFmtId="6" fontId="2" fillId="0" borderId="0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44" fontId="17" fillId="0" borderId="0" xfId="0" applyNumberFormat="1" applyFont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13" xfId="0" applyFill="1" applyBorder="1" applyAlignment="1">
      <alignment horizontal="left"/>
    </xf>
    <xf numFmtId="0" fontId="2" fillId="0" borderId="25" xfId="0" applyFont="1" applyFill="1" applyBorder="1" applyAlignment="1">
      <alignment horizontal="center"/>
    </xf>
    <xf numFmtId="0" fontId="2" fillId="0" borderId="7" xfId="0" applyFont="1" applyFill="1" applyBorder="1"/>
    <xf numFmtId="0" fontId="2" fillId="0" borderId="18" xfId="0" applyFont="1" applyFill="1" applyBorder="1"/>
    <xf numFmtId="44" fontId="0" fillId="0" borderId="2" xfId="1" applyFont="1" applyFill="1" applyBorder="1" applyAlignment="1">
      <alignment horizontal="center"/>
    </xf>
    <xf numFmtId="44" fontId="0" fillId="0" borderId="26" xfId="1" applyFont="1" applyFill="1" applyBorder="1" applyAlignment="1">
      <alignment horizontal="center"/>
    </xf>
    <xf numFmtId="44" fontId="17" fillId="0" borderId="0" xfId="1" applyFont="1" applyFill="1" applyBorder="1" applyAlignment="1">
      <alignment horizontal="center" vertical="center"/>
    </xf>
    <xf numFmtId="44" fontId="0" fillId="0" borderId="0" xfId="0" applyNumberFormat="1"/>
    <xf numFmtId="167" fontId="0" fillId="0" borderId="0" xfId="0" applyNumberForma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44" fontId="9" fillId="0" borderId="0" xfId="1" applyFont="1" applyFill="1" applyBorder="1" applyAlignment="1">
      <alignment horizontal="right"/>
    </xf>
    <xf numFmtId="167" fontId="0" fillId="0" borderId="0" xfId="0" applyNumberFormat="1" applyFill="1" applyBorder="1"/>
    <xf numFmtId="0" fontId="12" fillId="0" borderId="39" xfId="7" applyFont="1" applyFill="1" applyBorder="1" applyAlignment="1">
      <alignment horizontal="left" vertical="center"/>
    </xf>
    <xf numFmtId="0" fontId="9" fillId="0" borderId="40" xfId="0" applyFont="1" applyFill="1" applyBorder="1" applyAlignment="1">
      <alignment horizontal="center"/>
    </xf>
    <xf numFmtId="167" fontId="9" fillId="0" borderId="41" xfId="0" applyNumberFormat="1" applyFont="1" applyBorder="1" applyAlignment="1">
      <alignment horizontal="center" vertical="center"/>
    </xf>
    <xf numFmtId="167" fontId="9" fillId="0" borderId="42" xfId="0" applyNumberFormat="1" applyFont="1" applyBorder="1" applyAlignment="1">
      <alignment horizontal="center" vertical="center"/>
    </xf>
    <xf numFmtId="167" fontId="9" fillId="0" borderId="33" xfId="0" applyNumberFormat="1" applyFont="1" applyBorder="1" applyAlignment="1">
      <alignment horizontal="center" vertical="center"/>
    </xf>
    <xf numFmtId="8" fontId="0" fillId="0" borderId="0" xfId="0" applyNumberFormat="1"/>
    <xf numFmtId="44" fontId="0" fillId="0" borderId="0" xfId="1" applyFont="1"/>
    <xf numFmtId="0" fontId="2" fillId="0" borderId="0" xfId="0" applyFont="1" applyFill="1" applyBorder="1" applyAlignment="1"/>
    <xf numFmtId="44" fontId="2" fillId="0" borderId="0" xfId="1" applyFont="1" applyFill="1" applyBorder="1"/>
    <xf numFmtId="44" fontId="2" fillId="0" borderId="0" xfId="0" applyNumberFormat="1" applyFont="1" applyFill="1" applyBorder="1" applyAlignment="1">
      <alignment horizontal="center" vertical="center"/>
    </xf>
    <xf numFmtId="168" fontId="0" fillId="0" borderId="0" xfId="0" applyNumberFormat="1" applyFill="1" applyBorder="1" applyAlignment="1">
      <alignment horizontal="center"/>
    </xf>
    <xf numFmtId="8" fontId="0" fillId="0" borderId="0" xfId="0" applyNumberForma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4" fontId="0" fillId="0" borderId="0" xfId="1" applyFont="1" applyFill="1" applyBorder="1" applyAlignment="1">
      <alignment horizontal="center"/>
    </xf>
    <xf numFmtId="44" fontId="1" fillId="0" borderId="0" xfId="1" applyFont="1" applyFill="1" applyBorder="1" applyAlignment="1">
      <alignment horizontal="center"/>
    </xf>
    <xf numFmtId="44" fontId="2" fillId="0" borderId="0" xfId="0" applyNumberFormat="1" applyFont="1" applyFill="1" applyBorder="1" applyAlignment="1">
      <alignment horizontal="center"/>
    </xf>
    <xf numFmtId="44" fontId="2" fillId="0" borderId="0" xfId="1" applyFont="1" applyFill="1" applyBorder="1" applyAlignment="1">
      <alignment horizontal="center"/>
    </xf>
    <xf numFmtId="0" fontId="2" fillId="0" borderId="43" xfId="0" applyFont="1" applyBorder="1" applyAlignment="1">
      <alignment horizontal="left"/>
    </xf>
    <xf numFmtId="0" fontId="0" fillId="0" borderId="44" xfId="0" applyBorder="1" applyAlignment="1">
      <alignment horizontal="center"/>
    </xf>
    <xf numFmtId="44" fontId="0" fillId="0" borderId="44" xfId="1" applyFont="1" applyBorder="1" applyAlignment="1">
      <alignment horizontal="center"/>
    </xf>
    <xf numFmtId="44" fontId="2" fillId="0" borderId="45" xfId="1" applyFont="1" applyFill="1" applyBorder="1" applyAlignment="1">
      <alignment horizontal="center"/>
    </xf>
    <xf numFmtId="44" fontId="0" fillId="0" borderId="4" xfId="1" applyFont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8" fontId="18" fillId="0" borderId="0" xfId="0" applyNumberFormat="1" applyFont="1" applyFill="1" applyBorder="1" applyAlignment="1">
      <alignment horizontal="center" vertical="center"/>
    </xf>
    <xf numFmtId="44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44" fontId="0" fillId="0" borderId="0" xfId="0" applyNumberFormat="1" applyFont="1" applyFill="1" applyBorder="1" applyAlignment="1">
      <alignment horizontal="center" vertical="center"/>
    </xf>
    <xf numFmtId="44" fontId="0" fillId="0" borderId="0" xfId="0" applyNumberFormat="1" applyFont="1" applyFill="1" applyBorder="1"/>
    <xf numFmtId="44" fontId="0" fillId="0" borderId="0" xfId="0" applyNumberFormat="1" applyFont="1" applyFill="1" applyBorder="1" applyAlignment="1">
      <alignment vertical="center"/>
    </xf>
    <xf numFmtId="44" fontId="0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6" fontId="2" fillId="0" borderId="0" xfId="0" applyNumberFormat="1" applyFont="1" applyBorder="1" applyAlignment="1">
      <alignment horizontal="center"/>
    </xf>
    <xf numFmtId="0" fontId="0" fillId="0" borderId="0" xfId="0" applyAlignment="1"/>
    <xf numFmtId="0" fontId="21" fillId="0" borderId="0" xfId="0" applyFont="1" applyFill="1" applyBorder="1"/>
    <xf numFmtId="2" fontId="0" fillId="0" borderId="0" xfId="0" applyNumberFormat="1"/>
    <xf numFmtId="0" fontId="0" fillId="0" borderId="0" xfId="0" applyFill="1" applyBorder="1" applyAlignment="1"/>
    <xf numFmtId="44" fontId="0" fillId="0" borderId="2" xfId="1" applyFont="1" applyBorder="1" applyAlignment="1">
      <alignment horizontal="right"/>
    </xf>
    <xf numFmtId="9" fontId="0" fillId="0" borderId="0" xfId="0" applyNumberFormat="1"/>
    <xf numFmtId="0" fontId="21" fillId="0" borderId="2" xfId="0" applyFont="1" applyFill="1" applyBorder="1"/>
    <xf numFmtId="0" fontId="21" fillId="0" borderId="2" xfId="0" applyFont="1" applyBorder="1"/>
    <xf numFmtId="169" fontId="21" fillId="0" borderId="2" xfId="0" applyNumberFormat="1" applyFont="1" applyBorder="1"/>
    <xf numFmtId="0" fontId="19" fillId="7" borderId="2" xfId="0" applyFont="1" applyFill="1" applyBorder="1"/>
    <xf numFmtId="0" fontId="21" fillId="7" borderId="2" xfId="0" applyFont="1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9" borderId="32" xfId="0" applyFont="1" applyFill="1" applyBorder="1"/>
    <xf numFmtId="0" fontId="2" fillId="9" borderId="38" xfId="0" applyFont="1" applyFill="1" applyBorder="1"/>
    <xf numFmtId="0" fontId="2" fillId="9" borderId="37" xfId="0" applyFont="1" applyFill="1" applyBorder="1"/>
    <xf numFmtId="0" fontId="4" fillId="9" borderId="33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2" fillId="9" borderId="0" xfId="0" applyFont="1" applyFill="1"/>
    <xf numFmtId="0" fontId="0" fillId="9" borderId="0" xfId="0" applyFill="1"/>
    <xf numFmtId="0" fontId="0" fillId="0" borderId="8" xfId="0" applyBorder="1"/>
    <xf numFmtId="44" fontId="0" fillId="0" borderId="8" xfId="0" applyNumberFormat="1" applyBorder="1"/>
    <xf numFmtId="0" fontId="2" fillId="9" borderId="33" xfId="0" applyFont="1" applyFill="1" applyBorder="1" applyAlignment="1">
      <alignment horizontal="center"/>
    </xf>
    <xf numFmtId="0" fontId="2" fillId="9" borderId="33" xfId="0" applyFont="1" applyFill="1" applyBorder="1"/>
    <xf numFmtId="168" fontId="0" fillId="0" borderId="12" xfId="0" applyNumberFormat="1" applyFill="1" applyBorder="1" applyAlignment="1">
      <alignment horizontal="center"/>
    </xf>
    <xf numFmtId="0" fontId="2" fillId="9" borderId="33" xfId="0" applyFont="1" applyFill="1" applyBorder="1" applyAlignment="1"/>
    <xf numFmtId="0" fontId="19" fillId="0" borderId="0" xfId="0" applyFont="1" applyFill="1" applyBorder="1" applyAlignment="1"/>
    <xf numFmtId="8" fontId="28" fillId="0" borderId="0" xfId="0" applyNumberFormat="1" applyFont="1" applyBorder="1"/>
    <xf numFmtId="0" fontId="28" fillId="0" borderId="0" xfId="0" applyFont="1" applyBorder="1"/>
    <xf numFmtId="0" fontId="4" fillId="0" borderId="47" xfId="0" applyFont="1" applyFill="1" applyBorder="1"/>
    <xf numFmtId="43" fontId="21" fillId="0" borderId="47" xfId="18" applyNumberFormat="1" applyFont="1" applyBorder="1"/>
    <xf numFmtId="10" fontId="21" fillId="0" borderId="47" xfId="0" applyNumberFormat="1" applyFont="1" applyBorder="1"/>
    <xf numFmtId="43" fontId="21" fillId="0" borderId="47" xfId="0" applyNumberFormat="1" applyFont="1" applyBorder="1"/>
    <xf numFmtId="10" fontId="21" fillId="0" borderId="47" xfId="0" applyNumberFormat="1" applyFont="1" applyFill="1" applyBorder="1"/>
    <xf numFmtId="0" fontId="5" fillId="0" borderId="0" xfId="0" applyFont="1"/>
    <xf numFmtId="0" fontId="21" fillId="0" borderId="0" xfId="0" applyFont="1"/>
    <xf numFmtId="10" fontId="23" fillId="0" borderId="47" xfId="0" applyNumberFormat="1" applyFont="1" applyFill="1" applyBorder="1"/>
    <xf numFmtId="43" fontId="23" fillId="0" borderId="47" xfId="18" applyFont="1" applyFill="1" applyBorder="1"/>
    <xf numFmtId="43" fontId="23" fillId="0" borderId="47" xfId="0" applyNumberFormat="1" applyFont="1" applyFill="1" applyBorder="1"/>
    <xf numFmtId="0" fontId="31" fillId="0" borderId="0" xfId="17" applyFont="1"/>
    <xf numFmtId="0" fontId="27" fillId="0" borderId="0" xfId="2" applyFont="1" applyFill="1" applyBorder="1" applyAlignment="1">
      <alignment horizontal="center" vertical="center"/>
    </xf>
    <xf numFmtId="44" fontId="17" fillId="0" borderId="0" xfId="1" applyFont="1" applyFill="1" applyBorder="1"/>
    <xf numFmtId="0" fontId="26" fillId="0" borderId="0" xfId="0" applyFont="1" applyFill="1" applyBorder="1" applyAlignment="1">
      <alignment vertical="center"/>
    </xf>
    <xf numFmtId="2" fontId="0" fillId="0" borderId="2" xfId="0" applyNumberFormat="1" applyBorder="1" applyAlignment="1">
      <alignment horizontal="center"/>
    </xf>
    <xf numFmtId="0" fontId="4" fillId="11" borderId="47" xfId="0" applyFont="1" applyFill="1" applyBorder="1"/>
    <xf numFmtId="10" fontId="21" fillId="11" borderId="47" xfId="0" applyNumberFormat="1" applyFont="1" applyFill="1" applyBorder="1"/>
    <xf numFmtId="10" fontId="23" fillId="11" borderId="47" xfId="0" applyNumberFormat="1" applyFont="1" applyFill="1" applyBorder="1"/>
    <xf numFmtId="44" fontId="0" fillId="0" borderId="33" xfId="1" applyFont="1" applyBorder="1"/>
    <xf numFmtId="0" fontId="0" fillId="11" borderId="33" xfId="0" applyFill="1" applyBorder="1" applyAlignment="1">
      <alignment horizontal="center"/>
    </xf>
    <xf numFmtId="0" fontId="32" fillId="9" borderId="2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 vertical="center"/>
    </xf>
    <xf numFmtId="8" fontId="28" fillId="0" borderId="2" xfId="0" applyNumberFormat="1" applyFont="1" applyBorder="1"/>
    <xf numFmtId="8" fontId="2" fillId="0" borderId="2" xfId="0" applyNumberFormat="1" applyFont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28" fillId="0" borderId="0" xfId="0" applyNumberFormat="1" applyFont="1" applyFill="1" applyBorder="1"/>
    <xf numFmtId="8" fontId="28" fillId="0" borderId="0" xfId="0" applyNumberFormat="1" applyFont="1" applyFill="1" applyBorder="1"/>
    <xf numFmtId="168" fontId="0" fillId="0" borderId="7" xfId="0" applyNumberFormat="1" applyFill="1" applyBorder="1" applyAlignment="1">
      <alignment horizontal="center"/>
    </xf>
    <xf numFmtId="168" fontId="0" fillId="0" borderId="2" xfId="0" applyNumberForma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0" borderId="0" xfId="0" applyFont="1" applyBorder="1" applyAlignment="1"/>
    <xf numFmtId="0" fontId="0" fillId="0" borderId="39" xfId="0" applyBorder="1"/>
    <xf numFmtId="0" fontId="0" fillId="0" borderId="26" xfId="0" applyBorder="1"/>
    <xf numFmtId="0" fontId="0" fillId="0" borderId="34" xfId="0" applyBorder="1"/>
    <xf numFmtId="0" fontId="0" fillId="0" borderId="39" xfId="0" applyFill="1" applyBorder="1"/>
    <xf numFmtId="0" fontId="0" fillId="0" borderId="34" xfId="0" applyFill="1" applyBorder="1"/>
    <xf numFmtId="0" fontId="0" fillId="0" borderId="48" xfId="0" applyBorder="1"/>
    <xf numFmtId="0" fontId="0" fillId="0" borderId="53" xfId="0" applyBorder="1"/>
    <xf numFmtId="8" fontId="0" fillId="0" borderId="36" xfId="0" applyNumberFormat="1" applyBorder="1"/>
    <xf numFmtId="0" fontId="0" fillId="0" borderId="46" xfId="0" applyFill="1" applyBorder="1"/>
    <xf numFmtId="0" fontId="0" fillId="0" borderId="53" xfId="0" applyFill="1" applyBorder="1"/>
    <xf numFmtId="0" fontId="0" fillId="0" borderId="54" xfId="0" applyFill="1" applyBorder="1"/>
    <xf numFmtId="0" fontId="0" fillId="0" borderId="35" xfId="0" applyBorder="1"/>
    <xf numFmtId="8" fontId="0" fillId="0" borderId="41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8" fontId="0" fillId="0" borderId="42" xfId="0" applyNumberFormat="1" applyBorder="1" applyAlignment="1">
      <alignment horizontal="center"/>
    </xf>
    <xf numFmtId="8" fontId="0" fillId="0" borderId="2" xfId="0" applyNumberFormat="1" applyBorder="1" applyAlignment="1">
      <alignment horizontal="center"/>
    </xf>
    <xf numFmtId="8" fontId="0" fillId="0" borderId="26" xfId="0" applyNumberFormat="1" applyBorder="1" applyAlignment="1">
      <alignment horizontal="center"/>
    </xf>
    <xf numFmtId="8" fontId="0" fillId="0" borderId="2" xfId="0" applyNumberFormat="1" applyFill="1" applyBorder="1" applyAlignment="1">
      <alignment horizontal="center"/>
    </xf>
    <xf numFmtId="8" fontId="0" fillId="0" borderId="35" xfId="0" applyNumberFormat="1" applyFill="1" applyBorder="1" applyAlignment="1">
      <alignment horizontal="center"/>
    </xf>
    <xf numFmtId="0" fontId="0" fillId="0" borderId="35" xfId="0" applyBorder="1" applyAlignment="1">
      <alignment horizontal="center"/>
    </xf>
    <xf numFmtId="8" fontId="0" fillId="0" borderId="36" xfId="0" applyNumberFormat="1" applyBorder="1" applyAlignment="1">
      <alignment horizontal="center"/>
    </xf>
    <xf numFmtId="8" fontId="0" fillId="0" borderId="9" xfId="0" applyNumberFormat="1" applyBorder="1" applyAlignment="1">
      <alignment horizontal="center"/>
    </xf>
    <xf numFmtId="8" fontId="0" fillId="0" borderId="28" xfId="0" applyNumberFormat="1" applyBorder="1" applyAlignment="1">
      <alignment horizontal="center"/>
    </xf>
    <xf numFmtId="0" fontId="0" fillId="0" borderId="40" xfId="0" applyBorder="1" applyAlignment="1">
      <alignment horizontal="center"/>
    </xf>
    <xf numFmtId="8" fontId="0" fillId="0" borderId="35" xfId="0" applyNumberFormat="1" applyBorder="1" applyAlignment="1">
      <alignment horizontal="center"/>
    </xf>
    <xf numFmtId="0" fontId="0" fillId="0" borderId="51" xfId="0" applyBorder="1" applyAlignment="1">
      <alignment horizontal="center"/>
    </xf>
    <xf numFmtId="8" fontId="0" fillId="0" borderId="33" xfId="0" applyNumberFormat="1" applyBorder="1" applyAlignment="1">
      <alignment horizontal="center"/>
    </xf>
    <xf numFmtId="0" fontId="2" fillId="2" borderId="0" xfId="0" applyFont="1" applyFill="1" applyBorder="1"/>
    <xf numFmtId="0" fontId="2" fillId="7" borderId="11" xfId="0" applyFont="1" applyFill="1" applyBorder="1" applyAlignment="1">
      <alignment horizontal="center"/>
    </xf>
    <xf numFmtId="0" fontId="35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2" fillId="9" borderId="0" xfId="0" applyFont="1" applyFill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2" fillId="0" borderId="2" xfId="0" applyFont="1" applyBorder="1"/>
    <xf numFmtId="0" fontId="32" fillId="3" borderId="2" xfId="0" applyFont="1" applyFill="1" applyBorder="1" applyAlignment="1">
      <alignment horizontal="center"/>
    </xf>
    <xf numFmtId="8" fontId="2" fillId="0" borderId="9" xfId="0" applyNumberFormat="1" applyFont="1" applyBorder="1" applyAlignment="1">
      <alignment horizontal="center"/>
    </xf>
    <xf numFmtId="8" fontId="2" fillId="0" borderId="16" xfId="0" applyNumberFormat="1" applyFont="1" applyBorder="1" applyAlignment="1">
      <alignment horizontal="center"/>
    </xf>
    <xf numFmtId="0" fontId="32" fillId="0" borderId="11" xfId="0" applyFont="1" applyBorder="1"/>
    <xf numFmtId="168" fontId="32" fillId="0" borderId="37" xfId="0" applyNumberFormat="1" applyFont="1" applyFill="1" applyBorder="1" applyAlignment="1">
      <alignment horizontal="center"/>
    </xf>
    <xf numFmtId="44" fontId="28" fillId="0" borderId="2" xfId="0" applyNumberFormat="1" applyFont="1" applyBorder="1"/>
    <xf numFmtId="8" fontId="33" fillId="0" borderId="2" xfId="0" applyNumberFormat="1" applyFont="1" applyBorder="1"/>
    <xf numFmtId="167" fontId="0" fillId="0" borderId="0" xfId="0" applyNumberFormat="1" applyBorder="1"/>
    <xf numFmtId="44" fontId="0" fillId="0" borderId="48" xfId="0" applyNumberFormat="1" applyBorder="1"/>
    <xf numFmtId="8" fontId="21" fillId="0" borderId="2" xfId="1" applyNumberFormat="1" applyFont="1" applyBorder="1"/>
    <xf numFmtId="0" fontId="0" fillId="13" borderId="33" xfId="0" applyFill="1" applyBorder="1" applyAlignment="1">
      <alignment horizontal="center"/>
    </xf>
    <xf numFmtId="10" fontId="21" fillId="0" borderId="47" xfId="19" applyNumberFormat="1" applyFont="1" applyBorder="1"/>
    <xf numFmtId="8" fontId="21" fillId="0" borderId="33" xfId="1" applyNumberFormat="1" applyFont="1" applyBorder="1"/>
    <xf numFmtId="44" fontId="2" fillId="0" borderId="16" xfId="0" applyNumberFormat="1" applyFont="1" applyFill="1" applyBorder="1"/>
    <xf numFmtId="44" fontId="0" fillId="0" borderId="35" xfId="0" applyNumberFormat="1" applyBorder="1"/>
    <xf numFmtId="44" fontId="0" fillId="0" borderId="45" xfId="0" applyNumberFormat="1" applyBorder="1"/>
    <xf numFmtId="0" fontId="0" fillId="0" borderId="7" xfId="0" applyFill="1" applyBorder="1" applyAlignment="1">
      <alignment horizontal="center"/>
    </xf>
    <xf numFmtId="44" fontId="2" fillId="0" borderId="37" xfId="0" applyNumberFormat="1" applyFont="1" applyFill="1" applyBorder="1"/>
    <xf numFmtId="0" fontId="19" fillId="9" borderId="33" xfId="0" applyFont="1" applyFill="1" applyBorder="1" applyAlignment="1">
      <alignment horizontal="center"/>
    </xf>
    <xf numFmtId="0" fontId="19" fillId="9" borderId="37" xfId="0" applyFont="1" applyFill="1" applyBorder="1" applyAlignment="1">
      <alignment horizontal="center"/>
    </xf>
    <xf numFmtId="0" fontId="2" fillId="11" borderId="33" xfId="0" applyFont="1" applyFill="1" applyBorder="1" applyAlignment="1">
      <alignment horizontal="center"/>
    </xf>
    <xf numFmtId="0" fontId="2" fillId="11" borderId="34" xfId="0" applyFont="1" applyFill="1" applyBorder="1" applyAlignment="1">
      <alignment horizontal="center"/>
    </xf>
    <xf numFmtId="44" fontId="2" fillId="0" borderId="36" xfId="0" applyNumberFormat="1" applyFont="1" applyBorder="1"/>
    <xf numFmtId="0" fontId="0" fillId="0" borderId="25" xfId="0" applyBorder="1"/>
    <xf numFmtId="0" fontId="2" fillId="9" borderId="55" xfId="0" applyFont="1" applyFill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0" fontId="0" fillId="0" borderId="35" xfId="0" applyFill="1" applyBorder="1" applyAlignment="1">
      <alignment horizontal="center"/>
    </xf>
    <xf numFmtId="8" fontId="2" fillId="0" borderId="37" xfId="0" applyNumberFormat="1" applyFont="1" applyBorder="1" applyAlignment="1">
      <alignment horizontal="center"/>
    </xf>
    <xf numFmtId="0" fontId="2" fillId="11" borderId="20" xfId="0" applyFont="1" applyFill="1" applyBorder="1" applyAlignment="1">
      <alignment horizontal="center"/>
    </xf>
    <xf numFmtId="0" fontId="2" fillId="11" borderId="11" xfId="0" applyFont="1" applyFill="1" applyBorder="1" applyAlignment="1">
      <alignment horizontal="center"/>
    </xf>
    <xf numFmtId="0" fontId="28" fillId="0" borderId="2" xfId="0" applyNumberFormat="1" applyFont="1" applyBorder="1"/>
    <xf numFmtId="0" fontId="28" fillId="11" borderId="2" xfId="0" applyFont="1" applyFill="1" applyBorder="1"/>
    <xf numFmtId="8" fontId="0" fillId="0" borderId="55" xfId="0" applyNumberFormat="1" applyBorder="1"/>
    <xf numFmtId="10" fontId="0" fillId="0" borderId="60" xfId="0" applyNumberFormat="1" applyBorder="1"/>
    <xf numFmtId="0" fontId="0" fillId="0" borderId="58" xfId="0" applyBorder="1"/>
    <xf numFmtId="0" fontId="0" fillId="11" borderId="50" xfId="0" applyFill="1" applyBorder="1"/>
    <xf numFmtId="0" fontId="0" fillId="11" borderId="61" xfId="0" applyFill="1" applyBorder="1"/>
    <xf numFmtId="0" fontId="0" fillId="11" borderId="59" xfId="0" applyFill="1" applyBorder="1"/>
    <xf numFmtId="2" fontId="0" fillId="0" borderId="35" xfId="0" applyNumberFormat="1" applyBorder="1" applyAlignment="1">
      <alignment horizontal="center"/>
    </xf>
    <xf numFmtId="0" fontId="0" fillId="0" borderId="50" xfId="0" applyBorder="1"/>
    <xf numFmtId="0" fontId="0" fillId="0" borderId="59" xfId="0" applyBorder="1"/>
    <xf numFmtId="10" fontId="0" fillId="0" borderId="52" xfId="0" applyNumberFormat="1" applyBorder="1"/>
    <xf numFmtId="0" fontId="0" fillId="0" borderId="62" xfId="0" applyBorder="1"/>
    <xf numFmtId="9" fontId="0" fillId="0" borderId="52" xfId="0" applyNumberFormat="1" applyBorder="1"/>
    <xf numFmtId="0" fontId="20" fillId="0" borderId="25" xfId="0" applyFont="1" applyFill="1" applyBorder="1" applyAlignment="1">
      <alignment horizontal="center"/>
    </xf>
    <xf numFmtId="0" fontId="21" fillId="0" borderId="13" xfId="0" applyFont="1" applyFill="1" applyBorder="1"/>
    <xf numFmtId="169" fontId="21" fillId="0" borderId="26" xfId="0" applyNumberFormat="1" applyFont="1" applyBorder="1"/>
    <xf numFmtId="0" fontId="22" fillId="7" borderId="13" xfId="0" applyFont="1" applyFill="1" applyBorder="1"/>
    <xf numFmtId="0" fontId="19" fillId="0" borderId="13" xfId="0" applyFont="1" applyFill="1" applyBorder="1"/>
    <xf numFmtId="0" fontId="19" fillId="7" borderId="13" xfId="0" applyFont="1" applyFill="1" applyBorder="1"/>
    <xf numFmtId="0" fontId="24" fillId="7" borderId="13" xfId="0" applyFont="1" applyFill="1" applyBorder="1"/>
    <xf numFmtId="0" fontId="21" fillId="0" borderId="13" xfId="0" applyFont="1" applyBorder="1"/>
    <xf numFmtId="0" fontId="25" fillId="8" borderId="13" xfId="0" applyFont="1" applyFill="1" applyBorder="1" applyAlignment="1">
      <alignment horizontal="center"/>
    </xf>
    <xf numFmtId="0" fontId="25" fillId="8" borderId="34" xfId="0" applyFont="1" applyFill="1" applyBorder="1" applyAlignment="1">
      <alignment horizontal="center"/>
    </xf>
    <xf numFmtId="0" fontId="4" fillId="0" borderId="39" xfId="0" applyFont="1" applyFill="1" applyBorder="1"/>
    <xf numFmtId="43" fontId="21" fillId="0" borderId="42" xfId="18" applyFont="1" applyBorder="1"/>
    <xf numFmtId="0" fontId="2" fillId="0" borderId="13" xfId="0" applyFont="1" applyBorder="1"/>
    <xf numFmtId="0" fontId="4" fillId="0" borderId="13" xfId="0" applyFont="1" applyFill="1" applyBorder="1"/>
    <xf numFmtId="43" fontId="21" fillId="0" borderId="26" xfId="18" applyNumberFormat="1" applyFont="1" applyBorder="1"/>
    <xf numFmtId="8" fontId="21" fillId="0" borderId="26" xfId="1" applyNumberFormat="1" applyFont="1" applyBorder="1"/>
    <xf numFmtId="170" fontId="21" fillId="0" borderId="26" xfId="19" applyNumberFormat="1" applyFont="1" applyBorder="1"/>
    <xf numFmtId="10" fontId="21" fillId="0" borderId="26" xfId="0" applyNumberFormat="1" applyFont="1" applyBorder="1"/>
    <xf numFmtId="0" fontId="4" fillId="0" borderId="34" xfId="0" applyFont="1" applyFill="1" applyBorder="1"/>
    <xf numFmtId="43" fontId="21" fillId="0" borderId="36" xfId="18" applyNumberFormat="1" applyFont="1" applyBorder="1"/>
    <xf numFmtId="0" fontId="16" fillId="11" borderId="63" xfId="0" applyFont="1" applyFill="1" applyBorder="1" applyAlignment="1">
      <alignment horizontal="center" vertical="center"/>
    </xf>
    <xf numFmtId="0" fontId="16" fillId="11" borderId="64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171" fontId="17" fillId="0" borderId="26" xfId="0" applyNumberFormat="1" applyFont="1" applyBorder="1" applyAlignment="1">
      <alignment horizontal="center" vertical="center"/>
    </xf>
    <xf numFmtId="0" fontId="16" fillId="11" borderId="65" xfId="0" applyFont="1" applyFill="1" applyBorder="1" applyAlignment="1">
      <alignment horizontal="center" vertical="center"/>
    </xf>
    <xf numFmtId="171" fontId="16" fillId="11" borderId="66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0" fillId="0" borderId="41" xfId="0" applyFill="1" applyBorder="1"/>
    <xf numFmtId="44" fontId="0" fillId="0" borderId="41" xfId="1" applyFont="1" applyFill="1" applyBorder="1"/>
    <xf numFmtId="44" fontId="0" fillId="0" borderId="42" xfId="1" applyFont="1" applyBorder="1"/>
    <xf numFmtId="0" fontId="0" fillId="0" borderId="15" xfId="0" applyBorder="1"/>
    <xf numFmtId="44" fontId="0" fillId="0" borderId="0" xfId="1" applyFont="1" applyFill="1" applyBorder="1"/>
    <xf numFmtId="44" fontId="0" fillId="0" borderId="33" xfId="1" applyFont="1" applyFill="1" applyBorder="1"/>
    <xf numFmtId="0" fontId="19" fillId="0" borderId="7" xfId="0" applyFont="1" applyFill="1" applyBorder="1"/>
    <xf numFmtId="0" fontId="19" fillId="0" borderId="7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1" fontId="0" fillId="0" borderId="2" xfId="0" applyNumberFormat="1" applyBorder="1"/>
    <xf numFmtId="0" fontId="2" fillId="9" borderId="38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8" fontId="21" fillId="7" borderId="2" xfId="1" applyNumberFormat="1" applyFont="1" applyFill="1" applyBorder="1"/>
    <xf numFmtId="8" fontId="28" fillId="0" borderId="26" xfId="0" applyNumberFormat="1" applyFont="1" applyBorder="1"/>
    <xf numFmtId="0" fontId="28" fillId="0" borderId="3" xfId="0" applyNumberFormat="1" applyFont="1" applyBorder="1"/>
    <xf numFmtId="8" fontId="28" fillId="0" borderId="6" xfId="0" applyNumberFormat="1" applyFont="1" applyBorder="1"/>
    <xf numFmtId="8" fontId="28" fillId="0" borderId="28" xfId="0" applyNumberFormat="1" applyFont="1" applyBorder="1"/>
    <xf numFmtId="0" fontId="28" fillId="0" borderId="0" xfId="0" applyNumberFormat="1" applyFont="1" applyBorder="1"/>
    <xf numFmtId="0" fontId="28" fillId="0" borderId="2" xfId="0" applyFont="1" applyBorder="1"/>
    <xf numFmtId="0" fontId="28" fillId="0" borderId="0" xfId="0" applyFont="1" applyFill="1" applyBorder="1"/>
    <xf numFmtId="0" fontId="33" fillId="9" borderId="2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8" fontId="28" fillId="0" borderId="2" xfId="0" applyNumberFormat="1" applyFont="1" applyFill="1" applyBorder="1" applyAlignment="1"/>
    <xf numFmtId="0" fontId="33" fillId="9" borderId="2" xfId="0" applyFont="1" applyFill="1" applyBorder="1" applyAlignment="1">
      <alignment horizontal="center" vertical="center"/>
    </xf>
    <xf numFmtId="0" fontId="28" fillId="11" borderId="0" xfId="0" applyFont="1" applyFill="1" applyBorder="1"/>
    <xf numFmtId="0" fontId="33" fillId="0" borderId="21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0" borderId="41" xfId="0" applyFont="1" applyFill="1" applyBorder="1" applyAlignment="1">
      <alignment horizontal="center"/>
    </xf>
    <xf numFmtId="0" fontId="33" fillId="0" borderId="4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67" fontId="0" fillId="0" borderId="2" xfId="0" applyNumberFormat="1" applyBorder="1"/>
    <xf numFmtId="167" fontId="9" fillId="0" borderId="0" xfId="0" applyNumberFormat="1" applyFont="1" applyBorder="1" applyAlignment="1">
      <alignment horizontal="center" vertical="center"/>
    </xf>
    <xf numFmtId="167" fontId="9" fillId="0" borderId="0" xfId="0" applyNumberFormat="1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/>
    </xf>
    <xf numFmtId="167" fontId="9" fillId="0" borderId="26" xfId="0" applyNumberFormat="1" applyFont="1" applyBorder="1" applyAlignment="1">
      <alignment horizontal="center" vertical="center"/>
    </xf>
    <xf numFmtId="167" fontId="9" fillId="0" borderId="28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167" fontId="9" fillId="0" borderId="12" xfId="0" applyNumberFormat="1" applyFont="1" applyBorder="1" applyAlignment="1">
      <alignment horizontal="center" vertical="center"/>
    </xf>
    <xf numFmtId="167" fontId="9" fillId="0" borderId="16" xfId="0" applyNumberFormat="1" applyFont="1" applyBorder="1" applyAlignment="1">
      <alignment horizontal="center" vertical="center"/>
    </xf>
    <xf numFmtId="167" fontId="9" fillId="0" borderId="18" xfId="0" applyNumberFormat="1" applyFont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4" fillId="9" borderId="33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/>
    </xf>
    <xf numFmtId="0" fontId="2" fillId="7" borderId="11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15" borderId="29" xfId="0" applyFont="1" applyFill="1" applyBorder="1"/>
    <xf numFmtId="8" fontId="0" fillId="0" borderId="41" xfId="0" applyNumberFormat="1" applyBorder="1"/>
    <xf numFmtId="1" fontId="0" fillId="0" borderId="26" xfId="0" applyNumberFormat="1" applyBorder="1"/>
    <xf numFmtId="2" fontId="0" fillId="0" borderId="26" xfId="0" applyNumberFormat="1" applyBorder="1"/>
    <xf numFmtId="0" fontId="0" fillId="7" borderId="46" xfId="0" applyFill="1" applyBorder="1"/>
    <xf numFmtId="0" fontId="0" fillId="7" borderId="53" xfId="0" applyFill="1" applyBorder="1"/>
    <xf numFmtId="0" fontId="0" fillId="8" borderId="53" xfId="0" applyFill="1" applyBorder="1"/>
    <xf numFmtId="0" fontId="0" fillId="8" borderId="54" xfId="0" applyFill="1" applyBorder="1"/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0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44" fontId="0" fillId="0" borderId="16" xfId="0" applyNumberFormat="1" applyBorder="1"/>
    <xf numFmtId="0" fontId="0" fillId="0" borderId="25" xfId="0" applyFont="1" applyFill="1" applyBorder="1" applyAlignment="1">
      <alignment horizontal="left" vertical="center"/>
    </xf>
    <xf numFmtId="0" fontId="2" fillId="7" borderId="11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8" fontId="28" fillId="0" borderId="5" xfId="0" applyNumberFormat="1" applyFont="1" applyBorder="1"/>
    <xf numFmtId="0" fontId="28" fillId="0" borderId="50" xfId="0" applyFont="1" applyFill="1" applyBorder="1"/>
    <xf numFmtId="0" fontId="28" fillId="0" borderId="61" xfId="0" applyFont="1" applyFill="1" applyBorder="1"/>
    <xf numFmtId="0" fontId="28" fillId="0" borderId="59" xfId="0" applyFont="1" applyFill="1" applyBorder="1"/>
    <xf numFmtId="0" fontId="33" fillId="0" borderId="67" xfId="0" applyFont="1" applyFill="1" applyBorder="1" applyAlignment="1">
      <alignment horizontal="center"/>
    </xf>
    <xf numFmtId="0" fontId="28" fillId="0" borderId="4" xfId="0" applyNumberFormat="1" applyFont="1" applyBorder="1"/>
    <xf numFmtId="8" fontId="28" fillId="0" borderId="68" xfId="0" applyNumberFormat="1" applyFont="1" applyBorder="1"/>
    <xf numFmtId="0" fontId="33" fillId="0" borderId="22" xfId="0" applyFont="1" applyFill="1" applyBorder="1" applyAlignment="1">
      <alignment horizontal="center"/>
    </xf>
    <xf numFmtId="0" fontId="28" fillId="0" borderId="26" xfId="0" applyNumberFormat="1" applyFont="1" applyBorder="1"/>
    <xf numFmtId="8" fontId="28" fillId="0" borderId="24" xfId="0" applyNumberFormat="1" applyFont="1" applyBorder="1"/>
    <xf numFmtId="0" fontId="0" fillId="0" borderId="39" xfId="0" applyBorder="1" applyAlignment="1">
      <alignment horizontal="left" vertical="center"/>
    </xf>
    <xf numFmtId="8" fontId="0" fillId="0" borderId="42" xfId="0" applyNumberFormat="1" applyBorder="1" applyAlignment="1">
      <alignment horizontal="center" vertical="center"/>
    </xf>
    <xf numFmtId="44" fontId="0" fillId="0" borderId="26" xfId="0" applyNumberFormat="1" applyBorder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8" fontId="0" fillId="0" borderId="36" xfId="0" applyNumberFormat="1" applyBorder="1" applyAlignment="1">
      <alignment horizontal="center" vertical="center"/>
    </xf>
    <xf numFmtId="8" fontId="0" fillId="0" borderId="12" xfId="0" applyNumberFormat="1" applyBorder="1"/>
    <xf numFmtId="8" fontId="0" fillId="0" borderId="0" xfId="0" applyNumberFormat="1" applyFill="1" applyBorder="1"/>
    <xf numFmtId="0" fontId="22" fillId="0" borderId="13" xfId="0" applyFont="1" applyFill="1" applyBorder="1"/>
    <xf numFmtId="3" fontId="21" fillId="0" borderId="2" xfId="0" applyNumberFormat="1" applyFont="1" applyBorder="1"/>
    <xf numFmtId="169" fontId="19" fillId="0" borderId="2" xfId="0" applyNumberFormat="1" applyFont="1" applyBorder="1"/>
    <xf numFmtId="1" fontId="0" fillId="0" borderId="0" xfId="0" applyNumberFormat="1"/>
    <xf numFmtId="173" fontId="0" fillId="0" borderId="41" xfId="0" applyNumberFormat="1" applyBorder="1"/>
    <xf numFmtId="172" fontId="0" fillId="0" borderId="12" xfId="0" applyNumberFormat="1" applyBorder="1"/>
    <xf numFmtId="173" fontId="0" fillId="0" borderId="0" xfId="0" applyNumberFormat="1"/>
    <xf numFmtId="173" fontId="21" fillId="7" borderId="2" xfId="1" applyNumberFormat="1" applyFont="1" applyFill="1" applyBorder="1"/>
    <xf numFmtId="173" fontId="21" fillId="0" borderId="2" xfId="0" applyNumberFormat="1" applyFont="1" applyBorder="1"/>
    <xf numFmtId="173" fontId="21" fillId="0" borderId="26" xfId="0" applyNumberFormat="1" applyFont="1" applyBorder="1"/>
    <xf numFmtId="173" fontId="24" fillId="0" borderId="35" xfId="0" applyNumberFormat="1" applyFont="1" applyFill="1" applyBorder="1"/>
    <xf numFmtId="173" fontId="21" fillId="0" borderId="35" xfId="0" applyNumberFormat="1" applyFont="1" applyBorder="1"/>
    <xf numFmtId="173" fontId="21" fillId="0" borderId="36" xfId="0" applyNumberFormat="1" applyFont="1" applyBorder="1"/>
    <xf numFmtId="10" fontId="24" fillId="0" borderId="2" xfId="19" applyNumberFormat="1" applyFont="1" applyFill="1" applyBorder="1"/>
    <xf numFmtId="8" fontId="21" fillId="0" borderId="2" xfId="0" applyNumberFormat="1" applyFont="1" applyBorder="1"/>
    <xf numFmtId="8" fontId="21" fillId="0" borderId="26" xfId="0" applyNumberFormat="1" applyFont="1" applyBorder="1"/>
    <xf numFmtId="10" fontId="0" fillId="0" borderId="0" xfId="19" applyNumberFormat="1" applyFont="1"/>
    <xf numFmtId="10" fontId="0" fillId="0" borderId="58" xfId="0" applyNumberFormat="1" applyBorder="1"/>
    <xf numFmtId="174" fontId="0" fillId="0" borderId="58" xfId="0" applyNumberFormat="1" applyBorder="1"/>
    <xf numFmtId="8" fontId="24" fillId="0" borderId="0" xfId="0" applyNumberFormat="1" applyFont="1" applyFill="1" applyBorder="1"/>
    <xf numFmtId="0" fontId="25" fillId="0" borderId="0" xfId="0" applyFont="1" applyFill="1" applyBorder="1" applyAlignment="1">
      <alignment horizontal="center"/>
    </xf>
    <xf numFmtId="0" fontId="33" fillId="9" borderId="2" xfId="0" applyFont="1" applyFill="1" applyBorder="1" applyAlignment="1">
      <alignment horizontal="center" vertical="center"/>
    </xf>
    <xf numFmtId="0" fontId="0" fillId="11" borderId="69" xfId="0" applyFill="1" applyBorder="1"/>
    <xf numFmtId="175" fontId="0" fillId="0" borderId="70" xfId="0" applyNumberFormat="1" applyBorder="1"/>
    <xf numFmtId="0" fontId="0" fillId="11" borderId="8" xfId="0" applyFill="1" applyBorder="1" applyAlignment="1">
      <alignment horizontal="center"/>
    </xf>
    <xf numFmtId="0" fontId="0" fillId="11" borderId="22" xfId="0" applyFill="1" applyBorder="1" applyAlignment="1">
      <alignment horizontal="center"/>
    </xf>
    <xf numFmtId="0" fontId="0" fillId="0" borderId="29" xfId="0" applyBorder="1" applyAlignment="1">
      <alignment horizontal="center"/>
    </xf>
    <xf numFmtId="8" fontId="0" fillId="0" borderId="2" xfId="0" applyNumberFormat="1" applyBorder="1" applyAlignment="1">
      <alignment horizontal="center" vertical="center"/>
    </xf>
    <xf numFmtId="8" fontId="0" fillId="0" borderId="39" xfId="0" applyNumberFormat="1" applyBorder="1" applyAlignment="1">
      <alignment horizontal="center" vertical="center"/>
    </xf>
    <xf numFmtId="8" fontId="0" fillId="0" borderId="41" xfId="0" applyNumberFormat="1" applyBorder="1" applyAlignment="1">
      <alignment horizontal="center" vertical="center"/>
    </xf>
    <xf numFmtId="8" fontId="0" fillId="0" borderId="13" xfId="0" applyNumberFormat="1" applyBorder="1" applyAlignment="1">
      <alignment horizontal="center" vertical="center"/>
    </xf>
    <xf numFmtId="8" fontId="0" fillId="0" borderId="26" xfId="0" applyNumberFormat="1" applyBorder="1" applyAlignment="1">
      <alignment horizontal="center" vertical="center"/>
    </xf>
    <xf numFmtId="8" fontId="0" fillId="0" borderId="35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11" borderId="71" xfId="0" applyFill="1" applyBorder="1" applyAlignment="1">
      <alignment horizontal="center" vertical="center"/>
    </xf>
    <xf numFmtId="0" fontId="0" fillId="11" borderId="72" xfId="0" applyFill="1" applyBorder="1" applyAlignment="1">
      <alignment horizontal="center" vertical="center"/>
    </xf>
    <xf numFmtId="0" fontId="0" fillId="11" borderId="73" xfId="0" applyFill="1" applyBorder="1" applyAlignment="1">
      <alignment horizontal="center" vertical="center"/>
    </xf>
    <xf numFmtId="10" fontId="0" fillId="0" borderId="0" xfId="0" applyNumberFormat="1" applyFill="1" applyBorder="1"/>
    <xf numFmtId="175" fontId="0" fillId="0" borderId="0" xfId="0" applyNumberFormat="1" applyFill="1" applyBorder="1"/>
    <xf numFmtId="8" fontId="0" fillId="0" borderId="0" xfId="0" applyNumberForma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/>
    </xf>
    <xf numFmtId="0" fontId="19" fillId="0" borderId="41" xfId="0" applyFont="1" applyFill="1" applyBorder="1"/>
    <xf numFmtId="0" fontId="19" fillId="0" borderId="41" xfId="0" applyFont="1" applyFill="1" applyBorder="1" applyAlignment="1">
      <alignment horizontal="center"/>
    </xf>
    <xf numFmtId="0" fontId="19" fillId="0" borderId="42" xfId="0" applyFont="1" applyFill="1" applyBorder="1" applyAlignment="1">
      <alignment horizontal="center"/>
    </xf>
    <xf numFmtId="49" fontId="28" fillId="0" borderId="0" xfId="19" applyNumberFormat="1" applyFont="1" applyFill="1" applyBorder="1"/>
    <xf numFmtId="169" fontId="21" fillId="0" borderId="2" xfId="0" applyNumberFormat="1" applyFont="1" applyBorder="1" applyAlignment="1">
      <alignment horizontal="center" vertical="center"/>
    </xf>
    <xf numFmtId="169" fontId="21" fillId="0" borderId="26" xfId="0" applyNumberFormat="1" applyFont="1" applyBorder="1" applyAlignment="1">
      <alignment horizontal="center" vertical="center"/>
    </xf>
    <xf numFmtId="8" fontId="21" fillId="7" borderId="2" xfId="1" applyNumberFormat="1" applyFont="1" applyFill="1" applyBorder="1" applyAlignment="1">
      <alignment horizontal="center" vertical="center"/>
    </xf>
    <xf numFmtId="169" fontId="21" fillId="7" borderId="2" xfId="0" applyNumberFormat="1" applyFont="1" applyFill="1" applyBorder="1" applyAlignment="1">
      <alignment horizontal="center" vertical="center"/>
    </xf>
    <xf numFmtId="169" fontId="21" fillId="7" borderId="26" xfId="0" applyNumberFormat="1" applyFont="1" applyFill="1" applyBorder="1" applyAlignment="1">
      <alignment horizontal="center" vertical="center"/>
    </xf>
    <xf numFmtId="8" fontId="21" fillId="0" borderId="2" xfId="1" applyNumberFormat="1" applyFont="1" applyBorder="1" applyAlignment="1">
      <alignment horizontal="center" vertical="center"/>
    </xf>
    <xf numFmtId="8" fontId="21" fillId="0" borderId="26" xfId="1" applyNumberFormat="1" applyFont="1" applyBorder="1" applyAlignment="1">
      <alignment horizontal="center" vertical="center"/>
    </xf>
    <xf numFmtId="169" fontId="21" fillId="0" borderId="0" xfId="0" applyNumberFormat="1" applyFont="1" applyBorder="1" applyAlignment="1">
      <alignment horizontal="center" vertical="center"/>
    </xf>
    <xf numFmtId="0" fontId="22" fillId="7" borderId="34" xfId="0" applyFont="1" applyFill="1" applyBorder="1"/>
    <xf numFmtId="8" fontId="21" fillId="7" borderId="35" xfId="1" applyNumberFormat="1" applyFont="1" applyFill="1" applyBorder="1"/>
    <xf numFmtId="8" fontId="21" fillId="7" borderId="35" xfId="1" applyNumberFormat="1" applyFont="1" applyFill="1" applyBorder="1" applyAlignment="1">
      <alignment horizontal="center" vertical="center"/>
    </xf>
    <xf numFmtId="169" fontId="21" fillId="7" borderId="35" xfId="0" applyNumberFormat="1" applyFont="1" applyFill="1" applyBorder="1" applyAlignment="1">
      <alignment horizontal="center" vertical="center"/>
    </xf>
    <xf numFmtId="169" fontId="21" fillId="7" borderId="36" xfId="0" applyNumberFormat="1" applyFont="1" applyFill="1" applyBorder="1" applyAlignment="1">
      <alignment horizontal="center" vertical="center"/>
    </xf>
    <xf numFmtId="0" fontId="25" fillId="8" borderId="39" xfId="0" applyFont="1" applyFill="1" applyBorder="1" applyAlignment="1">
      <alignment horizontal="center"/>
    </xf>
    <xf numFmtId="10" fontId="24" fillId="0" borderId="42" xfId="0" applyNumberFormat="1" applyFont="1" applyFill="1" applyBorder="1"/>
    <xf numFmtId="10" fontId="24" fillId="0" borderId="26" xfId="0" applyNumberFormat="1" applyFont="1" applyFill="1" applyBorder="1"/>
    <xf numFmtId="8" fontId="24" fillId="0" borderId="36" xfId="0" applyNumberFormat="1" applyFont="1" applyFill="1" applyBorder="1"/>
    <xf numFmtId="1" fontId="0" fillId="0" borderId="2" xfId="0" applyNumberFormat="1" applyBorder="1" applyAlignment="1">
      <alignment horizontal="center" vertical="center"/>
    </xf>
    <xf numFmtId="1" fontId="0" fillId="0" borderId="26" xfId="0" applyNumberFormat="1" applyBorder="1" applyAlignment="1">
      <alignment horizontal="center" vertical="center"/>
    </xf>
    <xf numFmtId="8" fontId="0" fillId="0" borderId="12" xfId="0" applyNumberFormat="1" applyBorder="1" applyAlignment="1">
      <alignment horizontal="center" vertical="center"/>
    </xf>
    <xf numFmtId="8" fontId="0" fillId="0" borderId="16" xfId="0" applyNumberFormat="1" applyBorder="1" applyAlignment="1">
      <alignment horizontal="center" vertical="center"/>
    </xf>
    <xf numFmtId="8" fontId="28" fillId="0" borderId="60" xfId="0" applyNumberFormat="1" applyFont="1" applyBorder="1"/>
    <xf numFmtId="8" fontId="28" fillId="0" borderId="13" xfId="0" applyNumberFormat="1" applyFont="1" applyBorder="1"/>
    <xf numFmtId="0" fontId="28" fillId="0" borderId="13" xfId="0" applyNumberFormat="1" applyFont="1" applyBorder="1"/>
    <xf numFmtId="8" fontId="28" fillId="0" borderId="21" xfId="0" applyNumberFormat="1" applyFont="1" applyBorder="1"/>
    <xf numFmtId="8" fontId="28" fillId="0" borderId="34" xfId="0" applyNumberFormat="1" applyFont="1" applyBorder="1"/>
    <xf numFmtId="8" fontId="28" fillId="0" borderId="35" xfId="0" applyNumberFormat="1" applyFont="1" applyBorder="1"/>
    <xf numFmtId="8" fontId="28" fillId="0" borderId="36" xfId="0" applyNumberFormat="1" applyFont="1" applyBorder="1"/>
    <xf numFmtId="0" fontId="2" fillId="7" borderId="32" xfId="0" applyFont="1" applyFill="1" applyBorder="1" applyAlignment="1">
      <alignment horizontal="center" vertical="center" wrapText="1"/>
    </xf>
    <xf numFmtId="0" fontId="2" fillId="7" borderId="38" xfId="0" applyFont="1" applyFill="1" applyBorder="1" applyAlignment="1">
      <alignment horizontal="center" vertical="center" wrapText="1"/>
    </xf>
    <xf numFmtId="0" fontId="2" fillId="7" borderId="37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/>
    </xf>
    <xf numFmtId="0" fontId="37" fillId="7" borderId="0" xfId="7" applyFont="1" applyFill="1" applyBorder="1" applyAlignment="1">
      <alignment horizontal="center" vertical="center" wrapText="1"/>
    </xf>
    <xf numFmtId="0" fontId="37" fillId="7" borderId="24" xfId="7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48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6" borderId="48" xfId="0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0" fillId="4" borderId="22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7" borderId="32" xfId="0" applyFont="1" applyFill="1" applyBorder="1" applyAlignment="1">
      <alignment horizontal="center"/>
    </xf>
    <xf numFmtId="0" fontId="2" fillId="7" borderId="38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0" fontId="2" fillId="9" borderId="32" xfId="0" applyFont="1" applyFill="1" applyBorder="1" applyAlignment="1">
      <alignment horizontal="center"/>
    </xf>
    <xf numFmtId="0" fontId="2" fillId="9" borderId="38" xfId="0" applyFont="1" applyFill="1" applyBorder="1" applyAlignment="1">
      <alignment horizontal="center"/>
    </xf>
    <xf numFmtId="0" fontId="2" fillId="9" borderId="37" xfId="0" applyFont="1" applyFill="1" applyBorder="1" applyAlignment="1">
      <alignment horizontal="center"/>
    </xf>
    <xf numFmtId="0" fontId="2" fillId="7" borderId="33" xfId="0" applyFont="1" applyFill="1" applyBorder="1" applyAlignment="1">
      <alignment horizontal="center"/>
    </xf>
    <xf numFmtId="0" fontId="19" fillId="9" borderId="56" xfId="0" applyFont="1" applyFill="1" applyBorder="1" applyAlignment="1">
      <alignment horizontal="center" vertical="top"/>
    </xf>
    <xf numFmtId="0" fontId="19" fillId="9" borderId="57" xfId="0" applyFont="1" applyFill="1" applyBorder="1" applyAlignment="1">
      <alignment horizontal="center" vertical="top"/>
    </xf>
    <xf numFmtId="0" fontId="2" fillId="11" borderId="32" xfId="0" applyFont="1" applyFill="1" applyBorder="1" applyAlignment="1">
      <alignment horizontal="center"/>
    </xf>
    <xf numFmtId="0" fontId="2" fillId="11" borderId="37" xfId="0" applyFont="1" applyFill="1" applyBorder="1" applyAlignment="1">
      <alignment horizontal="center"/>
    </xf>
    <xf numFmtId="0" fontId="0" fillId="9" borderId="32" xfId="0" applyFill="1" applyBorder="1" applyAlignment="1">
      <alignment horizontal="center" vertical="center" wrapText="1"/>
    </xf>
    <xf numFmtId="0" fontId="0" fillId="9" borderId="37" xfId="0" applyFill="1" applyBorder="1" applyAlignment="1">
      <alignment horizontal="center" vertical="center" wrapText="1"/>
    </xf>
    <xf numFmtId="0" fontId="0" fillId="7" borderId="33" xfId="0" applyFill="1" applyBorder="1" applyAlignment="1">
      <alignment horizontal="center"/>
    </xf>
    <xf numFmtId="0" fontId="2" fillId="9" borderId="55" xfId="0" applyFont="1" applyFill="1" applyBorder="1" applyAlignment="1">
      <alignment horizontal="center" vertical="center" wrapText="1"/>
    </xf>
    <xf numFmtId="0" fontId="2" fillId="9" borderId="58" xfId="0" applyFont="1" applyFill="1" applyBorder="1" applyAlignment="1">
      <alignment horizontal="center" vertical="center" wrapText="1"/>
    </xf>
    <xf numFmtId="0" fontId="2" fillId="9" borderId="42" xfId="0" applyFont="1" applyFill="1" applyBorder="1" applyAlignment="1">
      <alignment horizontal="center" vertical="center" wrapText="1"/>
    </xf>
    <xf numFmtId="0" fontId="2" fillId="9" borderId="36" xfId="0" applyFont="1" applyFill="1" applyBorder="1" applyAlignment="1">
      <alignment horizontal="center" vertical="center" wrapText="1"/>
    </xf>
    <xf numFmtId="0" fontId="0" fillId="15" borderId="39" xfId="0" applyFill="1" applyBorder="1" applyAlignment="1">
      <alignment horizontal="center" vertical="center" wrapText="1"/>
    </xf>
    <xf numFmtId="0" fontId="0" fillId="15" borderId="42" xfId="0" applyFill="1" applyBorder="1" applyAlignment="1">
      <alignment horizontal="center" vertical="center" wrapText="1"/>
    </xf>
    <xf numFmtId="43" fontId="2" fillId="9" borderId="19" xfId="18" applyFont="1" applyFill="1" applyBorder="1" applyAlignment="1">
      <alignment horizontal="center" vertical="center" wrapText="1"/>
    </xf>
    <xf numFmtId="43" fontId="2" fillId="9" borderId="20" xfId="18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43" fontId="2" fillId="9" borderId="8" xfId="18" applyFont="1" applyFill="1" applyBorder="1" applyAlignment="1">
      <alignment horizontal="center" vertical="center" wrapText="1"/>
    </xf>
    <xf numFmtId="43" fontId="2" fillId="9" borderId="9" xfId="18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/>
    </xf>
    <xf numFmtId="0" fontId="2" fillId="9" borderId="59" xfId="0" applyFont="1" applyFill="1" applyBorder="1" applyAlignment="1">
      <alignment horizontal="center" vertical="center"/>
    </xf>
    <xf numFmtId="0" fontId="2" fillId="9" borderId="50" xfId="0" applyFont="1" applyFill="1" applyBorder="1" applyAlignment="1">
      <alignment horizontal="center" vertical="center" wrapText="1"/>
    </xf>
    <xf numFmtId="0" fontId="2" fillId="9" borderId="5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9" borderId="2" xfId="0" applyFont="1" applyFill="1" applyBorder="1" applyAlignment="1">
      <alignment horizontal="center"/>
    </xf>
    <xf numFmtId="0" fontId="33" fillId="10" borderId="32" xfId="0" applyFont="1" applyFill="1" applyBorder="1" applyAlignment="1">
      <alignment horizontal="center"/>
    </xf>
    <xf numFmtId="0" fontId="33" fillId="10" borderId="38" xfId="0" applyFont="1" applyFill="1" applyBorder="1" applyAlignment="1">
      <alignment horizontal="center"/>
    </xf>
    <xf numFmtId="0" fontId="33" fillId="10" borderId="37" xfId="0" applyFont="1" applyFill="1" applyBorder="1" applyAlignment="1">
      <alignment horizontal="center"/>
    </xf>
    <xf numFmtId="0" fontId="28" fillId="14" borderId="48" xfId="0" applyFont="1" applyFill="1" applyBorder="1" applyAlignment="1">
      <alignment horizontal="center"/>
    </xf>
    <xf numFmtId="0" fontId="28" fillId="14" borderId="22" xfId="0" applyFont="1" applyFill="1" applyBorder="1" applyAlignment="1">
      <alignment horizontal="center"/>
    </xf>
    <xf numFmtId="0" fontId="33" fillId="9" borderId="2" xfId="0" applyFont="1" applyFill="1" applyBorder="1" applyAlignment="1">
      <alignment horizontal="center"/>
    </xf>
    <xf numFmtId="0" fontId="33" fillId="9" borderId="2" xfId="0" applyFont="1" applyFill="1" applyBorder="1" applyAlignment="1">
      <alignment horizontal="center" vertical="center"/>
    </xf>
    <xf numFmtId="0" fontId="0" fillId="16" borderId="11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2" fillId="7" borderId="11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0" fillId="7" borderId="32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6" fillId="11" borderId="49" xfId="0" applyFont="1" applyFill="1" applyBorder="1" applyAlignment="1">
      <alignment horizontal="center"/>
    </xf>
    <xf numFmtId="0" fontId="29" fillId="11" borderId="47" xfId="2" applyFont="1" applyFill="1" applyBorder="1" applyAlignment="1">
      <alignment horizontal="center"/>
    </xf>
    <xf numFmtId="0" fontId="30" fillId="11" borderId="49" xfId="0" applyFont="1" applyFill="1" applyBorder="1" applyAlignment="1">
      <alignment horizontal="center" vertical="center"/>
    </xf>
  </cellXfs>
  <cellStyles count="20">
    <cellStyle name="Euro" xfId="3"/>
    <cellStyle name="Excel Built-in Comma" xfId="8"/>
    <cellStyle name="Excel Built-in Normal" xfId="7"/>
    <cellStyle name="Excel Built-in Normal 1" xfId="9"/>
    <cellStyle name="Hipervínculo" xfId="17" builtinId="8"/>
    <cellStyle name="Millares" xfId="18" builtinId="3"/>
    <cellStyle name="Millares [0] 2" xfId="10"/>
    <cellStyle name="Millares 2" xfId="4"/>
    <cellStyle name="Millares 2 2" xfId="11"/>
    <cellStyle name="Millares 3" xfId="5"/>
    <cellStyle name="Millares 3 2" xfId="15"/>
    <cellStyle name="Moneda" xfId="1" builtinId="4"/>
    <cellStyle name="Normal" xfId="0" builtinId="0"/>
    <cellStyle name="Normal 2" xfId="2"/>
    <cellStyle name="Normal 2 2" xfId="16"/>
    <cellStyle name="Normal 3" xfId="6"/>
    <cellStyle name="Normal 6" xfId="12"/>
    <cellStyle name="Porcentual" xfId="19" builtinId="5"/>
    <cellStyle name="Porcentual 2 2" xfId="13"/>
    <cellStyle name="Porcentual 3 2" xfId="14"/>
  </cellStyles>
  <dxfs count="0"/>
  <tableStyles count="0" defaultTableStyle="TableStyleMedium2" defaultPivotStyle="PivotStyleLight16"/>
  <colors>
    <mruColors>
      <color rgb="FFFFCCCC"/>
      <color rgb="FFCC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dvfn.com/p.php?pid=financials&amp;symbol=NASDAQ%3AGYMB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avolaprint.com/" TargetMode="External"/><Relationship Id="rId1" Type="http://schemas.openxmlformats.org/officeDocument/2006/relationships/hyperlink" Target="http://www.cosas.com.ec/53-cosas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/>
  </sheetPr>
  <dimension ref="A2:Q77"/>
  <sheetViews>
    <sheetView showGridLines="0" topLeftCell="C4" zoomScale="115" zoomScaleNormal="115" workbookViewId="0">
      <selection activeCell="G59" sqref="G59"/>
    </sheetView>
  </sheetViews>
  <sheetFormatPr baseColWidth="10" defaultRowHeight="15"/>
  <cols>
    <col min="1" max="1" width="11.42578125" customWidth="1"/>
    <col min="3" max="3" width="14" customWidth="1"/>
    <col min="4" max="4" width="56.28515625" customWidth="1"/>
    <col min="6" max="6" width="15.140625" customWidth="1"/>
    <col min="7" max="7" width="14" customWidth="1"/>
    <col min="8" max="8" width="13.85546875" customWidth="1"/>
    <col min="9" max="9" width="14.42578125" customWidth="1"/>
    <col min="10" max="10" width="13.7109375" style="30" bestFit="1" customWidth="1"/>
    <col min="11" max="11" width="14.42578125" style="30" customWidth="1"/>
    <col min="12" max="12" width="22.140625" bestFit="1" customWidth="1"/>
    <col min="13" max="13" width="14" bestFit="1" customWidth="1"/>
    <col min="14" max="14" width="12.85546875" bestFit="1" customWidth="1"/>
    <col min="15" max="15" width="26.5703125" bestFit="1" customWidth="1"/>
    <col min="17" max="17" width="15" customWidth="1"/>
  </cols>
  <sheetData>
    <row r="2" spans="1:15">
      <c r="O2" s="2"/>
    </row>
    <row r="3" spans="1:15">
      <c r="B3" s="537" t="s">
        <v>445</v>
      </c>
      <c r="C3" s="537"/>
      <c r="D3" s="537"/>
      <c r="E3" s="537"/>
      <c r="F3" s="537"/>
      <c r="G3" s="537"/>
      <c r="H3" s="537"/>
      <c r="I3" s="537"/>
      <c r="J3" s="537"/>
      <c r="K3" s="537"/>
      <c r="O3" s="1"/>
    </row>
    <row r="4" spans="1:15" ht="15.75" thickBot="1">
      <c r="C4" s="5"/>
      <c r="D4" s="556"/>
      <c r="E4" s="557"/>
      <c r="F4" s="557"/>
      <c r="G4" s="557"/>
      <c r="H4" s="557"/>
      <c r="I4" s="557"/>
      <c r="J4" s="557"/>
      <c r="K4" s="557"/>
      <c r="L4" s="558"/>
      <c r="M4" s="558"/>
      <c r="N4" s="558"/>
      <c r="O4" s="558"/>
    </row>
    <row r="5" spans="1:15" ht="26.25" thickBot="1">
      <c r="D5" s="417" t="s">
        <v>0</v>
      </c>
      <c r="E5" s="223" t="s">
        <v>1</v>
      </c>
      <c r="F5" s="223" t="s">
        <v>2</v>
      </c>
      <c r="G5" s="223" t="s">
        <v>367</v>
      </c>
      <c r="H5" s="223" t="s">
        <v>65</v>
      </c>
      <c r="I5" s="223" t="s">
        <v>66</v>
      </c>
      <c r="J5" s="223" t="s">
        <v>67</v>
      </c>
      <c r="K5" s="223" t="s">
        <v>68</v>
      </c>
      <c r="L5" s="9"/>
      <c r="M5" s="9"/>
      <c r="N5" s="9"/>
      <c r="O5" s="9"/>
    </row>
    <row r="6" spans="1:15" ht="15" customHeight="1">
      <c r="A6" s="18"/>
      <c r="B6" s="540" t="s">
        <v>13</v>
      </c>
      <c r="C6" s="559"/>
      <c r="D6" s="102" t="s">
        <v>4</v>
      </c>
      <c r="E6" s="17">
        <v>1</v>
      </c>
      <c r="F6" s="103">
        <v>299.29713000000004</v>
      </c>
      <c r="G6" s="65">
        <f>F6*8*E6</f>
        <v>2394.3770400000003</v>
      </c>
      <c r="H6" s="65">
        <f>+F6*9.35%*E6</f>
        <v>27.984281655000004</v>
      </c>
      <c r="I6" s="65">
        <f>+E6*G6*9.35%</f>
        <v>223.87425324000003</v>
      </c>
      <c r="J6" s="65">
        <f t="shared" ref="J6:J18" si="0">+F6-H6</f>
        <v>271.31284834500002</v>
      </c>
      <c r="K6" s="408">
        <f t="shared" ref="K6:K18" si="1">+G6-I6</f>
        <v>2170.5027867600002</v>
      </c>
    </row>
    <row r="7" spans="1:15" s="16" customFormat="1">
      <c r="A7" s="18"/>
      <c r="B7" s="542"/>
      <c r="C7" s="560"/>
      <c r="D7" s="13" t="s">
        <v>365</v>
      </c>
      <c r="E7" s="17">
        <v>1</v>
      </c>
      <c r="F7" s="103">
        <v>294.62517480000002</v>
      </c>
      <c r="G7" s="65">
        <f t="shared" ref="G7:G18" si="2">F7*8*E7</f>
        <v>2357.0013984000002</v>
      </c>
      <c r="H7" s="65">
        <f t="shared" ref="H7:H18" si="3">+F7*9.35%*E7</f>
        <v>27.547453843800003</v>
      </c>
      <c r="I7" s="65">
        <f t="shared" ref="I7:I18" si="4">+E7*G7*9.35%</f>
        <v>220.37963075040003</v>
      </c>
      <c r="J7" s="65">
        <f t="shared" si="0"/>
        <v>267.07772095620004</v>
      </c>
      <c r="K7" s="408">
        <f t="shared" si="1"/>
        <v>2136.6217676496003</v>
      </c>
    </row>
    <row r="8" spans="1:15" s="18" customFormat="1" ht="15.75" thickBot="1">
      <c r="B8" s="542"/>
      <c r="C8" s="560"/>
      <c r="D8" s="15" t="s">
        <v>12</v>
      </c>
      <c r="E8" s="219">
        <v>1</v>
      </c>
      <c r="F8" s="65">
        <v>292.87319160000004</v>
      </c>
      <c r="G8" s="65">
        <f t="shared" si="2"/>
        <v>2342.9855328000003</v>
      </c>
      <c r="H8" s="65">
        <f t="shared" si="3"/>
        <v>27.383643414600005</v>
      </c>
      <c r="I8" s="65">
        <f t="shared" si="4"/>
        <v>219.06914731680004</v>
      </c>
      <c r="J8" s="65">
        <f t="shared" si="0"/>
        <v>265.48954818540005</v>
      </c>
      <c r="K8" s="408">
        <f t="shared" si="1"/>
        <v>2123.9163854832004</v>
      </c>
    </row>
    <row r="9" spans="1:15">
      <c r="A9" s="18"/>
      <c r="B9" s="544" t="s">
        <v>16</v>
      </c>
      <c r="C9" s="561"/>
      <c r="D9" s="13" t="s">
        <v>5</v>
      </c>
      <c r="E9" s="25">
        <v>4</v>
      </c>
      <c r="F9" s="65">
        <v>297.83714400000002</v>
      </c>
      <c r="G9" s="65">
        <f t="shared" si="2"/>
        <v>9530.7886080000007</v>
      </c>
      <c r="H9" s="65">
        <f t="shared" si="3"/>
        <v>111.391091856</v>
      </c>
      <c r="I9" s="65">
        <f t="shared" si="4"/>
        <v>3564.5149393920001</v>
      </c>
      <c r="J9" s="65">
        <f t="shared" si="0"/>
        <v>186.44605214400002</v>
      </c>
      <c r="K9" s="408">
        <f t="shared" si="1"/>
        <v>5966.2736686080007</v>
      </c>
    </row>
    <row r="10" spans="1:15">
      <c r="A10" s="18"/>
      <c r="B10" s="546"/>
      <c r="C10" s="562"/>
      <c r="D10" s="13" t="s">
        <v>7</v>
      </c>
      <c r="E10" s="27">
        <v>4</v>
      </c>
      <c r="F10" s="65">
        <v>292.727193</v>
      </c>
      <c r="G10" s="65">
        <f t="shared" si="2"/>
        <v>9367.270176</v>
      </c>
      <c r="H10" s="65">
        <f t="shared" si="3"/>
        <v>109.479970182</v>
      </c>
      <c r="I10" s="65">
        <f t="shared" si="4"/>
        <v>3503.3590458240001</v>
      </c>
      <c r="J10" s="65">
        <f t="shared" si="0"/>
        <v>183.24722281800001</v>
      </c>
      <c r="K10" s="408">
        <f t="shared" si="1"/>
        <v>5863.9111301760004</v>
      </c>
    </row>
    <row r="11" spans="1:15">
      <c r="A11" s="18"/>
      <c r="B11" s="546"/>
      <c r="C11" s="562"/>
      <c r="D11" s="13" t="s">
        <v>6</v>
      </c>
      <c r="E11" s="25">
        <v>1</v>
      </c>
      <c r="F11" s="65">
        <v>294.62517480000002</v>
      </c>
      <c r="G11" s="65">
        <f t="shared" si="2"/>
        <v>2357.0013984000002</v>
      </c>
      <c r="H11" s="65">
        <f t="shared" si="3"/>
        <v>27.547453843800003</v>
      </c>
      <c r="I11" s="65">
        <f t="shared" si="4"/>
        <v>220.37963075040003</v>
      </c>
      <c r="J11" s="65">
        <f t="shared" si="0"/>
        <v>267.07772095620004</v>
      </c>
      <c r="K11" s="408">
        <f t="shared" si="1"/>
        <v>2136.6217676496003</v>
      </c>
    </row>
    <row r="12" spans="1:15" s="20" customFormat="1">
      <c r="B12" s="546"/>
      <c r="C12" s="562"/>
      <c r="D12" s="98" t="s">
        <v>18</v>
      </c>
      <c r="E12" s="25">
        <v>2</v>
      </c>
      <c r="F12" s="65">
        <v>297.81</v>
      </c>
      <c r="G12" s="65">
        <f t="shared" si="2"/>
        <v>4764.96</v>
      </c>
      <c r="H12" s="65">
        <f t="shared" si="3"/>
        <v>55.690469999999998</v>
      </c>
      <c r="I12" s="65">
        <f t="shared" si="4"/>
        <v>891.04751999999996</v>
      </c>
      <c r="J12" s="65">
        <f t="shared" si="0"/>
        <v>242.11953</v>
      </c>
      <c r="K12" s="408">
        <f t="shared" si="1"/>
        <v>3873.91248</v>
      </c>
    </row>
    <row r="13" spans="1:15" ht="15.75" thickBot="1">
      <c r="A13" s="18"/>
      <c r="B13" s="548"/>
      <c r="C13" s="563"/>
      <c r="D13" s="29" t="s">
        <v>21</v>
      </c>
      <c r="E13" s="25">
        <v>1</v>
      </c>
      <c r="F13" s="65">
        <v>297.81</v>
      </c>
      <c r="G13" s="65">
        <f t="shared" si="2"/>
        <v>2382.48</v>
      </c>
      <c r="H13" s="65">
        <f t="shared" si="3"/>
        <v>27.845234999999999</v>
      </c>
      <c r="I13" s="65">
        <f t="shared" si="4"/>
        <v>222.76187999999999</v>
      </c>
      <c r="J13" s="65">
        <f t="shared" si="0"/>
        <v>269.964765</v>
      </c>
      <c r="K13" s="408">
        <f t="shared" si="1"/>
        <v>2159.71812</v>
      </c>
    </row>
    <row r="14" spans="1:15">
      <c r="B14" s="550" t="s">
        <v>15</v>
      </c>
      <c r="C14" s="564"/>
      <c r="D14" s="14" t="s">
        <v>8</v>
      </c>
      <c r="E14" s="4">
        <v>1</v>
      </c>
      <c r="F14" s="66">
        <v>291.99720000000002</v>
      </c>
      <c r="G14" s="65">
        <f t="shared" si="2"/>
        <v>2335.9776000000002</v>
      </c>
      <c r="H14" s="65">
        <f t="shared" si="3"/>
        <v>27.301738200000003</v>
      </c>
      <c r="I14" s="65">
        <f t="shared" si="4"/>
        <v>218.41390560000002</v>
      </c>
      <c r="J14" s="65">
        <f t="shared" si="0"/>
        <v>264.69546180000003</v>
      </c>
      <c r="K14" s="408">
        <f t="shared" si="1"/>
        <v>2117.5636944000003</v>
      </c>
    </row>
    <row r="15" spans="1:15" s="18" customFormat="1">
      <c r="B15" s="552"/>
      <c r="C15" s="565"/>
      <c r="D15" s="14" t="s">
        <v>14</v>
      </c>
      <c r="E15" s="4">
        <v>1</v>
      </c>
      <c r="F15" s="65">
        <v>292.58119440000002</v>
      </c>
      <c r="G15" s="65">
        <f t="shared" si="2"/>
        <v>2340.6495552000001</v>
      </c>
      <c r="H15" s="65">
        <f t="shared" si="3"/>
        <v>27.356341676400003</v>
      </c>
      <c r="I15" s="65">
        <f t="shared" si="4"/>
        <v>218.85073341120003</v>
      </c>
      <c r="J15" s="65">
        <f t="shared" si="0"/>
        <v>265.22485272360001</v>
      </c>
      <c r="K15" s="408">
        <f t="shared" si="1"/>
        <v>2121.7988217888001</v>
      </c>
    </row>
    <row r="16" spans="1:15" s="19" customFormat="1">
      <c r="B16" s="552"/>
      <c r="C16" s="565"/>
      <c r="D16" s="14" t="s">
        <v>17</v>
      </c>
      <c r="E16" s="4">
        <v>1</v>
      </c>
      <c r="F16" s="65">
        <v>293.45718600000004</v>
      </c>
      <c r="G16" s="65">
        <f t="shared" si="2"/>
        <v>2347.6574880000003</v>
      </c>
      <c r="H16" s="65">
        <f t="shared" si="3"/>
        <v>27.438246891000002</v>
      </c>
      <c r="I16" s="65">
        <f t="shared" si="4"/>
        <v>219.50597512800002</v>
      </c>
      <c r="J16" s="65">
        <f t="shared" si="0"/>
        <v>266.01893910900003</v>
      </c>
      <c r="K16" s="408">
        <f t="shared" si="1"/>
        <v>2128.1515128720002</v>
      </c>
    </row>
    <row r="17" spans="2:17">
      <c r="B17" s="552"/>
      <c r="C17" s="565"/>
      <c r="D17" s="15" t="s">
        <v>10</v>
      </c>
      <c r="E17" s="219">
        <v>1</v>
      </c>
      <c r="F17" s="65">
        <v>292.28919720000005</v>
      </c>
      <c r="G17" s="65">
        <f t="shared" si="2"/>
        <v>2338.3135776000004</v>
      </c>
      <c r="H17" s="65">
        <f t="shared" si="3"/>
        <v>27.329039938200005</v>
      </c>
      <c r="I17" s="65">
        <f t="shared" si="4"/>
        <v>218.63231950560004</v>
      </c>
      <c r="J17" s="65">
        <f t="shared" si="0"/>
        <v>264.96015726180002</v>
      </c>
      <c r="K17" s="408">
        <f t="shared" si="1"/>
        <v>2119.6812580944002</v>
      </c>
    </row>
    <row r="18" spans="2:17" s="12" customFormat="1" ht="15.75" thickBot="1">
      <c r="B18" s="554"/>
      <c r="C18" s="566"/>
      <c r="D18" s="14" t="s">
        <v>11</v>
      </c>
      <c r="E18" s="7">
        <v>1</v>
      </c>
      <c r="F18" s="66">
        <v>292.28919720000005</v>
      </c>
      <c r="G18" s="66">
        <f t="shared" si="2"/>
        <v>2338.3135776000004</v>
      </c>
      <c r="H18" s="66">
        <f t="shared" si="3"/>
        <v>27.329039938200005</v>
      </c>
      <c r="I18" s="66">
        <f t="shared" si="4"/>
        <v>218.63231950560004</v>
      </c>
      <c r="J18" s="66">
        <f t="shared" si="0"/>
        <v>264.96015726180002</v>
      </c>
      <c r="K18" s="409">
        <f t="shared" si="1"/>
        <v>2119.6812580944002</v>
      </c>
      <c r="O18" s="144"/>
    </row>
    <row r="19" spans="2:17" s="8" customFormat="1" ht="15.75" thickBot="1">
      <c r="D19" s="100" t="s">
        <v>9</v>
      </c>
      <c r="E19" s="85">
        <f>SUM(E6:E18)</f>
        <v>20</v>
      </c>
      <c r="F19" s="101">
        <f>SUM(F6:F18)</f>
        <v>3830.2189830000007</v>
      </c>
      <c r="G19" s="411">
        <f>SUM(G6:G18)</f>
        <v>47197.775951999996</v>
      </c>
      <c r="H19" s="411">
        <f>+SUM(H6:H18)</f>
        <v>551.62400643900003</v>
      </c>
      <c r="I19" s="411">
        <f>+SUM(I6:I18)</f>
        <v>10159.421300423999</v>
      </c>
      <c r="J19" s="411">
        <f>+SUM(J6:J18)</f>
        <v>3278.5949765610003</v>
      </c>
      <c r="K19" s="412">
        <f>+SUM(K6:K18)</f>
        <v>37038.35465157601</v>
      </c>
      <c r="O19" s="169"/>
    </row>
    <row r="20" spans="2:17" s="30" customFormat="1">
      <c r="D20" s="385"/>
      <c r="E20" s="7"/>
      <c r="F20" s="309"/>
      <c r="G20" s="405"/>
      <c r="H20" s="405"/>
      <c r="I20" s="405"/>
      <c r="J20" s="405"/>
      <c r="K20" s="405"/>
      <c r="O20" s="169"/>
    </row>
    <row r="21" spans="2:17" s="11" customFormat="1" ht="15.75" thickBot="1">
      <c r="J21" s="30"/>
      <c r="K21" s="30"/>
    </row>
    <row r="22" spans="2:17" ht="15.75" thickBot="1">
      <c r="B22" s="534" t="s">
        <v>446</v>
      </c>
      <c r="C22" s="535"/>
      <c r="D22" s="535"/>
      <c r="E22" s="535"/>
      <c r="F22" s="535"/>
      <c r="G22" s="535"/>
      <c r="H22" s="536"/>
      <c r="I22" s="6">
        <f>+J19-P72</f>
        <v>409.82437207012481</v>
      </c>
      <c r="O22" s="6"/>
    </row>
    <row r="23" spans="2:17" ht="15.75" thickBot="1">
      <c r="D23" s="9"/>
      <c r="E23" s="9"/>
      <c r="F23" s="3"/>
      <c r="G23" s="9"/>
      <c r="H23" s="9"/>
    </row>
    <row r="24" spans="2:17" ht="26.25" thickBot="1">
      <c r="B24" s="30"/>
      <c r="C24" s="30"/>
      <c r="D24" s="418" t="s">
        <v>0</v>
      </c>
      <c r="E24" s="414" t="s">
        <v>1</v>
      </c>
      <c r="F24" s="414" t="s">
        <v>68</v>
      </c>
      <c r="G24" s="414" t="s">
        <v>3</v>
      </c>
      <c r="H24" s="415" t="s">
        <v>69</v>
      </c>
      <c r="I24" s="170"/>
      <c r="K24" s="170"/>
      <c r="M24" s="567"/>
      <c r="N24" s="567"/>
    </row>
    <row r="25" spans="2:17" ht="15" customHeight="1">
      <c r="B25" s="540" t="s">
        <v>13</v>
      </c>
      <c r="C25" s="541"/>
      <c r="D25" s="102" t="s">
        <v>4</v>
      </c>
      <c r="E25" s="17">
        <v>1</v>
      </c>
      <c r="F25" s="103">
        <f>+K6</f>
        <v>2170.5027867600002</v>
      </c>
      <c r="G25" s="103">
        <f>F6*E6*(7/12)</f>
        <v>174.58999250000002</v>
      </c>
      <c r="H25" s="413">
        <f t="shared" ref="H25:H38" si="5">+F25+G25</f>
        <v>2345.09277926</v>
      </c>
      <c r="I25" s="406"/>
      <c r="K25" s="171"/>
      <c r="Q25" s="168"/>
    </row>
    <row r="26" spans="2:17">
      <c r="B26" s="542"/>
      <c r="C26" s="543"/>
      <c r="D26" s="13" t="s">
        <v>366</v>
      </c>
      <c r="E26" s="25">
        <v>1</v>
      </c>
      <c r="F26" s="65">
        <f t="shared" ref="F26:F38" si="6">+K7</f>
        <v>2136.6217676496003</v>
      </c>
      <c r="G26" s="65">
        <f t="shared" ref="G26:G37" si="7">F7*E7*(7/12)</f>
        <v>171.86468530000002</v>
      </c>
      <c r="H26" s="408">
        <f t="shared" si="5"/>
        <v>2308.4864529496003</v>
      </c>
      <c r="I26" s="406"/>
      <c r="K26" s="171"/>
    </row>
    <row r="27" spans="2:17" ht="15.75" thickBot="1">
      <c r="B27" s="542"/>
      <c r="C27" s="543"/>
      <c r="D27" s="15" t="s">
        <v>12</v>
      </c>
      <c r="E27" s="219">
        <v>1</v>
      </c>
      <c r="F27" s="65">
        <f t="shared" si="6"/>
        <v>2123.9163854832004</v>
      </c>
      <c r="G27" s="65">
        <f t="shared" si="7"/>
        <v>170.84269510000004</v>
      </c>
      <c r="H27" s="408">
        <f t="shared" si="5"/>
        <v>2294.7590805832006</v>
      </c>
      <c r="I27" s="406"/>
      <c r="K27" s="171"/>
    </row>
    <row r="28" spans="2:17" ht="15" customHeight="1">
      <c r="B28" s="544" t="s">
        <v>16</v>
      </c>
      <c r="C28" s="545"/>
      <c r="D28" s="13" t="s">
        <v>5</v>
      </c>
      <c r="E28" s="25">
        <v>4</v>
      </c>
      <c r="F28" s="65">
        <f t="shared" si="6"/>
        <v>5966.2736686080007</v>
      </c>
      <c r="G28" s="65">
        <f t="shared" si="7"/>
        <v>694.95333600000015</v>
      </c>
      <c r="H28" s="408">
        <f t="shared" si="5"/>
        <v>6661.2270046080012</v>
      </c>
      <c r="I28" s="406"/>
      <c r="K28" s="171"/>
    </row>
    <row r="29" spans="2:17">
      <c r="B29" s="546"/>
      <c r="C29" s="547"/>
      <c r="D29" s="13" t="s">
        <v>7</v>
      </c>
      <c r="E29" s="25">
        <v>4</v>
      </c>
      <c r="F29" s="65">
        <f t="shared" si="6"/>
        <v>5863.9111301760004</v>
      </c>
      <c r="G29" s="65">
        <f t="shared" si="7"/>
        <v>683.03011700000002</v>
      </c>
      <c r="H29" s="408">
        <f t="shared" si="5"/>
        <v>6546.9412471760006</v>
      </c>
      <c r="I29" s="406"/>
      <c r="K29" s="171"/>
    </row>
    <row r="30" spans="2:17">
      <c r="B30" s="546"/>
      <c r="C30" s="547"/>
      <c r="D30" s="13" t="s">
        <v>6</v>
      </c>
      <c r="E30" s="25">
        <v>1</v>
      </c>
      <c r="F30" s="65">
        <f t="shared" si="6"/>
        <v>2136.6217676496003</v>
      </c>
      <c r="G30" s="65">
        <f t="shared" si="7"/>
        <v>171.86468530000002</v>
      </c>
      <c r="H30" s="408">
        <f t="shared" si="5"/>
        <v>2308.4864529496003</v>
      </c>
      <c r="I30" s="406"/>
      <c r="K30" s="171"/>
    </row>
    <row r="31" spans="2:17">
      <c r="B31" s="546"/>
      <c r="C31" s="547"/>
      <c r="D31" s="98" t="s">
        <v>18</v>
      </c>
      <c r="E31" s="25">
        <v>2</v>
      </c>
      <c r="F31" s="65">
        <f t="shared" si="6"/>
        <v>3873.91248</v>
      </c>
      <c r="G31" s="65">
        <f t="shared" si="7"/>
        <v>347.44500000000005</v>
      </c>
      <c r="H31" s="408">
        <f t="shared" si="5"/>
        <v>4221.3574799999997</v>
      </c>
      <c r="I31" s="406"/>
      <c r="K31" s="171"/>
    </row>
    <row r="32" spans="2:17" ht="15.75" thickBot="1">
      <c r="B32" s="548"/>
      <c r="C32" s="549"/>
      <c r="D32" s="13" t="s">
        <v>21</v>
      </c>
      <c r="E32" s="25">
        <v>1</v>
      </c>
      <c r="F32" s="65">
        <f t="shared" si="6"/>
        <v>2159.71812</v>
      </c>
      <c r="G32" s="65">
        <f t="shared" si="7"/>
        <v>173.72250000000003</v>
      </c>
      <c r="H32" s="408">
        <f t="shared" si="5"/>
        <v>2333.4406199999999</v>
      </c>
      <c r="I32" s="406"/>
      <c r="K32" s="171"/>
    </row>
    <row r="33" spans="2:17" ht="15" customHeight="1">
      <c r="B33" s="550" t="s">
        <v>15</v>
      </c>
      <c r="C33" s="551"/>
      <c r="D33" s="13" t="s">
        <v>8</v>
      </c>
      <c r="E33" s="407">
        <v>1</v>
      </c>
      <c r="F33" s="65">
        <f t="shared" si="6"/>
        <v>2117.5636944000003</v>
      </c>
      <c r="G33" s="65">
        <f t="shared" si="7"/>
        <v>170.33170000000001</v>
      </c>
      <c r="H33" s="408">
        <f t="shared" si="5"/>
        <v>2287.8953944000004</v>
      </c>
      <c r="I33" s="406"/>
      <c r="K33" s="171"/>
    </row>
    <row r="34" spans="2:17">
      <c r="B34" s="552"/>
      <c r="C34" s="553"/>
      <c r="D34" s="13" t="s">
        <v>14</v>
      </c>
      <c r="E34" s="407">
        <v>1</v>
      </c>
      <c r="F34" s="65">
        <f t="shared" si="6"/>
        <v>2121.7988217888001</v>
      </c>
      <c r="G34" s="65">
        <f t="shared" si="7"/>
        <v>170.67236340000002</v>
      </c>
      <c r="H34" s="408">
        <f t="shared" si="5"/>
        <v>2292.4711851888001</v>
      </c>
      <c r="I34" s="406"/>
      <c r="K34" s="171"/>
    </row>
    <row r="35" spans="2:17">
      <c r="B35" s="552"/>
      <c r="C35" s="553"/>
      <c r="D35" s="13" t="s">
        <v>17</v>
      </c>
      <c r="E35" s="407">
        <v>1</v>
      </c>
      <c r="F35" s="65">
        <f t="shared" si="6"/>
        <v>2128.1515128720002</v>
      </c>
      <c r="G35" s="65">
        <f t="shared" si="7"/>
        <v>171.18335850000003</v>
      </c>
      <c r="H35" s="408">
        <f t="shared" si="5"/>
        <v>2299.3348713720002</v>
      </c>
      <c r="I35" s="406"/>
      <c r="K35" s="171"/>
    </row>
    <row r="36" spans="2:17">
      <c r="B36" s="552"/>
      <c r="C36" s="553"/>
      <c r="D36" s="15" t="s">
        <v>10</v>
      </c>
      <c r="E36" s="219">
        <v>1</v>
      </c>
      <c r="F36" s="65">
        <f t="shared" si="6"/>
        <v>2119.6812580944002</v>
      </c>
      <c r="G36" s="65">
        <f t="shared" si="7"/>
        <v>170.50203170000003</v>
      </c>
      <c r="H36" s="408">
        <f t="shared" si="5"/>
        <v>2290.1832897944</v>
      </c>
      <c r="I36" s="406"/>
      <c r="K36" s="171"/>
    </row>
    <row r="37" spans="2:17" ht="15.75" thickBot="1">
      <c r="B37" s="554"/>
      <c r="C37" s="555"/>
      <c r="D37" s="14" t="s">
        <v>11</v>
      </c>
      <c r="E37" s="52">
        <v>1</v>
      </c>
      <c r="F37" s="66">
        <f t="shared" si="6"/>
        <v>2119.6812580944002</v>
      </c>
      <c r="G37" s="66">
        <f t="shared" si="7"/>
        <v>170.50203170000003</v>
      </c>
      <c r="H37" s="409">
        <f t="shared" si="5"/>
        <v>2290.1832897944</v>
      </c>
      <c r="I37" s="406"/>
      <c r="K37" s="171"/>
    </row>
    <row r="38" spans="2:17" ht="15.75" thickBot="1">
      <c r="B38" s="30"/>
      <c r="C38" s="30"/>
      <c r="D38" s="410" t="s">
        <v>9</v>
      </c>
      <c r="E38" s="85">
        <f>SUM(E25:E37)</f>
        <v>20</v>
      </c>
      <c r="F38" s="411">
        <f t="shared" si="6"/>
        <v>37038.35465157601</v>
      </c>
      <c r="G38" s="411">
        <f>SUM(G25:G37)</f>
        <v>3441.5044965000002</v>
      </c>
      <c r="H38" s="412">
        <f t="shared" si="5"/>
        <v>40479.859148076008</v>
      </c>
      <c r="I38" s="406"/>
      <c r="K38" s="172"/>
      <c r="P38" s="172"/>
      <c r="Q38" s="168"/>
    </row>
    <row r="39" spans="2:17">
      <c r="D39" s="21"/>
      <c r="E39" s="23"/>
      <c r="F39" s="23"/>
    </row>
    <row r="40" spans="2:17">
      <c r="D40" s="21"/>
      <c r="E40" s="23"/>
      <c r="F40" s="23">
        <f>+F38/8</f>
        <v>4629.7943314470012</v>
      </c>
      <c r="G40" s="23"/>
      <c r="H40" s="6">
        <f>+F40+G38</f>
        <v>8071.298827947001</v>
      </c>
      <c r="I40" s="6"/>
      <c r="J40" s="6"/>
      <c r="K40" s="6"/>
    </row>
    <row r="41" spans="2:17">
      <c r="D41" s="21"/>
      <c r="E41" s="23"/>
      <c r="F41" s="23"/>
    </row>
    <row r="42" spans="2:17">
      <c r="B42" s="538" t="s">
        <v>444</v>
      </c>
      <c r="C42" s="538"/>
      <c r="D42" s="538"/>
      <c r="E42" s="538"/>
      <c r="F42" s="538"/>
      <c r="G42" s="538"/>
      <c r="H42" s="538"/>
      <c r="I42" s="538"/>
      <c r="J42" s="538"/>
      <c r="K42" s="538"/>
      <c r="L42" s="538"/>
      <c r="M42" s="539"/>
    </row>
    <row r="43" spans="2:17" ht="15.75" thickBot="1">
      <c r="D43" s="21"/>
      <c r="E43" s="23"/>
      <c r="F43" s="23"/>
    </row>
    <row r="44" spans="2:17" ht="39" thickBot="1">
      <c r="B44" s="30"/>
      <c r="C44" s="30"/>
      <c r="D44" s="417" t="s">
        <v>0</v>
      </c>
      <c r="E44" s="223" t="s">
        <v>1</v>
      </c>
      <c r="F44" s="223" t="s">
        <v>2</v>
      </c>
      <c r="G44" s="223" t="s">
        <v>429</v>
      </c>
      <c r="H44" s="223" t="s">
        <v>65</v>
      </c>
      <c r="I44" s="223" t="s">
        <v>66</v>
      </c>
      <c r="J44" s="223" t="s">
        <v>427</v>
      </c>
      <c r="K44" s="223" t="s">
        <v>428</v>
      </c>
      <c r="L44" s="223" t="s">
        <v>67</v>
      </c>
      <c r="M44" s="223" t="s">
        <v>68</v>
      </c>
    </row>
    <row r="45" spans="2:17" ht="15.75" thickBot="1">
      <c r="B45" s="540" t="s">
        <v>13</v>
      </c>
      <c r="C45" s="559"/>
      <c r="D45" s="102" t="s">
        <v>4</v>
      </c>
      <c r="E45" s="17">
        <v>1</v>
      </c>
      <c r="F45" s="103">
        <f>+F6*1.0514</f>
        <v>314.681002482</v>
      </c>
      <c r="G45" s="65">
        <f>+F45*12</f>
        <v>3776.1720297840002</v>
      </c>
      <c r="H45" s="65">
        <f>+F45*9.35%*E45</f>
        <v>29.422673732067</v>
      </c>
      <c r="I45" s="65">
        <f>+E45*G45*9.35%</f>
        <v>353.07208478480402</v>
      </c>
      <c r="J45" s="175">
        <f>+F45/12</f>
        <v>26.2234168735</v>
      </c>
      <c r="K45" s="175">
        <f>+G45/12</f>
        <v>314.681002482</v>
      </c>
      <c r="L45" s="65">
        <f>+F45-H45+J45</f>
        <v>311.48174562343303</v>
      </c>
      <c r="M45" s="65">
        <f>+G45-I45+K45</f>
        <v>3737.7809474811961</v>
      </c>
    </row>
    <row r="46" spans="2:17" ht="15.75" thickBot="1">
      <c r="B46" s="542"/>
      <c r="C46" s="560"/>
      <c r="D46" s="13" t="s">
        <v>365</v>
      </c>
      <c r="E46" s="17">
        <v>1</v>
      </c>
      <c r="F46" s="103">
        <f t="shared" ref="F46:F57" si="8">+F7*1.0514</f>
        <v>309.76890878472</v>
      </c>
      <c r="G46" s="65">
        <f t="shared" ref="G46:G57" si="9">+F46*12</f>
        <v>3717.22690541664</v>
      </c>
      <c r="H46" s="65">
        <f t="shared" ref="H46:H57" si="10">+F46*9.35%*E46</f>
        <v>28.96339297137132</v>
      </c>
      <c r="I46" s="65">
        <f t="shared" ref="I46:I57" si="11">+E46*G46*9.35%</f>
        <v>347.56071565645584</v>
      </c>
      <c r="J46" s="175">
        <f t="shared" ref="J46:J57" si="12">+F46/12</f>
        <v>25.814075732060001</v>
      </c>
      <c r="K46" s="175">
        <f t="shared" ref="K46:K57" si="13">+G46/12</f>
        <v>309.76890878472</v>
      </c>
      <c r="L46" s="65">
        <f t="shared" ref="L46:L57" si="14">+F46-H46+J46</f>
        <v>306.6195915454087</v>
      </c>
      <c r="M46" s="65">
        <f t="shared" ref="M46:M57" si="15">+G46-I46+K46</f>
        <v>3679.4350985449046</v>
      </c>
    </row>
    <row r="47" spans="2:17" ht="15.75" thickBot="1">
      <c r="B47" s="542"/>
      <c r="C47" s="560"/>
      <c r="D47" s="15" t="s">
        <v>12</v>
      </c>
      <c r="E47" s="219">
        <v>1</v>
      </c>
      <c r="F47" s="103">
        <f t="shared" si="8"/>
        <v>307.92687364824002</v>
      </c>
      <c r="G47" s="65">
        <f t="shared" si="9"/>
        <v>3695.1224837788805</v>
      </c>
      <c r="H47" s="65">
        <f t="shared" si="10"/>
        <v>28.791162686110443</v>
      </c>
      <c r="I47" s="65">
        <f t="shared" si="11"/>
        <v>345.49395223332533</v>
      </c>
      <c r="J47" s="175">
        <f t="shared" si="12"/>
        <v>25.660572804020003</v>
      </c>
      <c r="K47" s="175">
        <f t="shared" si="13"/>
        <v>307.92687364824002</v>
      </c>
      <c r="L47" s="65">
        <f t="shared" si="14"/>
        <v>304.79628376614954</v>
      </c>
      <c r="M47" s="65">
        <f t="shared" si="15"/>
        <v>3657.5554051937952</v>
      </c>
    </row>
    <row r="48" spans="2:17" ht="15.75" thickBot="1">
      <c r="B48" s="544" t="s">
        <v>16</v>
      </c>
      <c r="C48" s="561"/>
      <c r="D48" s="13" t="s">
        <v>5</v>
      </c>
      <c r="E48" s="25">
        <v>4</v>
      </c>
      <c r="F48" s="103">
        <f t="shared" si="8"/>
        <v>313.14597320159999</v>
      </c>
      <c r="G48" s="65">
        <f t="shared" si="9"/>
        <v>3757.7516784191998</v>
      </c>
      <c r="H48" s="65">
        <f t="shared" si="10"/>
        <v>117.1165939773984</v>
      </c>
      <c r="I48" s="65">
        <f t="shared" si="11"/>
        <v>1405.3991277287807</v>
      </c>
      <c r="J48" s="175">
        <f t="shared" si="12"/>
        <v>26.095497766799998</v>
      </c>
      <c r="K48" s="175">
        <f t="shared" si="13"/>
        <v>313.14597320159999</v>
      </c>
      <c r="L48" s="65">
        <f t="shared" si="14"/>
        <v>222.1248769910016</v>
      </c>
      <c r="M48" s="65">
        <f t="shared" si="15"/>
        <v>2665.498523892019</v>
      </c>
    </row>
    <row r="49" spans="2:13" ht="15.75" thickBot="1">
      <c r="B49" s="546"/>
      <c r="C49" s="562"/>
      <c r="D49" s="13" t="s">
        <v>7</v>
      </c>
      <c r="E49" s="27">
        <v>4</v>
      </c>
      <c r="F49" s="103">
        <f t="shared" si="8"/>
        <v>307.77337072019998</v>
      </c>
      <c r="G49" s="65">
        <f t="shared" si="9"/>
        <v>3693.2804486423997</v>
      </c>
      <c r="H49" s="65">
        <f t="shared" si="10"/>
        <v>115.10724064935479</v>
      </c>
      <c r="I49" s="65">
        <f t="shared" si="11"/>
        <v>1381.2868877922574</v>
      </c>
      <c r="J49" s="175">
        <f t="shared" si="12"/>
        <v>25.647780893349999</v>
      </c>
      <c r="K49" s="175">
        <f t="shared" si="13"/>
        <v>307.77337072019998</v>
      </c>
      <c r="L49" s="65">
        <f t="shared" si="14"/>
        <v>218.31391096419517</v>
      </c>
      <c r="M49" s="65">
        <f t="shared" si="15"/>
        <v>2619.7669315703424</v>
      </c>
    </row>
    <row r="50" spans="2:13" ht="15.75" thickBot="1">
      <c r="B50" s="546"/>
      <c r="C50" s="562"/>
      <c r="D50" s="13" t="s">
        <v>6</v>
      </c>
      <c r="E50" s="25">
        <v>1</v>
      </c>
      <c r="F50" s="103">
        <f t="shared" si="8"/>
        <v>309.76890878472</v>
      </c>
      <c r="G50" s="65">
        <f t="shared" si="9"/>
        <v>3717.22690541664</v>
      </c>
      <c r="H50" s="65">
        <f t="shared" si="10"/>
        <v>28.96339297137132</v>
      </c>
      <c r="I50" s="65">
        <f t="shared" si="11"/>
        <v>347.56071565645584</v>
      </c>
      <c r="J50" s="175">
        <f t="shared" si="12"/>
        <v>25.814075732060001</v>
      </c>
      <c r="K50" s="175">
        <f t="shared" si="13"/>
        <v>309.76890878472</v>
      </c>
      <c r="L50" s="65">
        <f t="shared" si="14"/>
        <v>306.6195915454087</v>
      </c>
      <c r="M50" s="65">
        <f t="shared" si="15"/>
        <v>3679.4350985449046</v>
      </c>
    </row>
    <row r="51" spans="2:13" ht="15.75" thickBot="1">
      <c r="B51" s="546"/>
      <c r="C51" s="562"/>
      <c r="D51" s="98" t="s">
        <v>18</v>
      </c>
      <c r="E51" s="25">
        <v>2</v>
      </c>
      <c r="F51" s="103">
        <f t="shared" si="8"/>
        <v>313.11743399999995</v>
      </c>
      <c r="G51" s="65">
        <f t="shared" si="9"/>
        <v>3757.4092079999991</v>
      </c>
      <c r="H51" s="65">
        <f t="shared" si="10"/>
        <v>58.552960157999991</v>
      </c>
      <c r="I51" s="65">
        <f t="shared" si="11"/>
        <v>702.63552189599989</v>
      </c>
      <c r="J51" s="175">
        <f t="shared" si="12"/>
        <v>26.093119499999997</v>
      </c>
      <c r="K51" s="175">
        <f t="shared" si="13"/>
        <v>313.11743399999995</v>
      </c>
      <c r="L51" s="65">
        <f t="shared" si="14"/>
        <v>280.65759334199993</v>
      </c>
      <c r="M51" s="65">
        <f t="shared" si="15"/>
        <v>3367.8911201039991</v>
      </c>
    </row>
    <row r="52" spans="2:13" ht="15.75" thickBot="1">
      <c r="B52" s="548"/>
      <c r="C52" s="563"/>
      <c r="D52" s="29" t="s">
        <v>21</v>
      </c>
      <c r="E52" s="25">
        <v>1</v>
      </c>
      <c r="F52" s="103">
        <f t="shared" si="8"/>
        <v>313.11743399999995</v>
      </c>
      <c r="G52" s="65">
        <f t="shared" si="9"/>
        <v>3757.4092079999991</v>
      </c>
      <c r="H52" s="65">
        <f t="shared" si="10"/>
        <v>29.276480078999995</v>
      </c>
      <c r="I52" s="65">
        <f t="shared" si="11"/>
        <v>351.31776094799994</v>
      </c>
      <c r="J52" s="175">
        <f t="shared" si="12"/>
        <v>26.093119499999997</v>
      </c>
      <c r="K52" s="175">
        <f t="shared" si="13"/>
        <v>313.11743399999995</v>
      </c>
      <c r="L52" s="65">
        <f t="shared" si="14"/>
        <v>309.93407342099994</v>
      </c>
      <c r="M52" s="65">
        <f t="shared" si="15"/>
        <v>3719.208881051999</v>
      </c>
    </row>
    <row r="53" spans="2:13" ht="15.75" thickBot="1">
      <c r="B53" s="550" t="s">
        <v>15</v>
      </c>
      <c r="C53" s="564"/>
      <c r="D53" s="14" t="s">
        <v>8</v>
      </c>
      <c r="E53" s="4">
        <v>1</v>
      </c>
      <c r="F53" s="103">
        <f t="shared" si="8"/>
        <v>307.00585608</v>
      </c>
      <c r="G53" s="65">
        <f t="shared" si="9"/>
        <v>3684.0702729599998</v>
      </c>
      <c r="H53" s="65">
        <f t="shared" si="10"/>
        <v>28.705047543479999</v>
      </c>
      <c r="I53" s="65">
        <f t="shared" si="11"/>
        <v>344.46057052175996</v>
      </c>
      <c r="J53" s="175">
        <f t="shared" si="12"/>
        <v>25.58382134</v>
      </c>
      <c r="K53" s="175">
        <f t="shared" si="13"/>
        <v>307.00585608</v>
      </c>
      <c r="L53" s="65">
        <f t="shared" si="14"/>
        <v>303.88462987651997</v>
      </c>
      <c r="M53" s="65">
        <f t="shared" si="15"/>
        <v>3646.6155585182396</v>
      </c>
    </row>
    <row r="54" spans="2:13" ht="15.75" thickBot="1">
      <c r="B54" s="552"/>
      <c r="C54" s="565"/>
      <c r="D54" s="14" t="s">
        <v>14</v>
      </c>
      <c r="E54" s="4">
        <v>1</v>
      </c>
      <c r="F54" s="103">
        <f t="shared" si="8"/>
        <v>307.61986779215999</v>
      </c>
      <c r="G54" s="65">
        <f t="shared" si="9"/>
        <v>3691.4384135059199</v>
      </c>
      <c r="H54" s="65">
        <f t="shared" si="10"/>
        <v>28.762457638566961</v>
      </c>
      <c r="I54" s="65">
        <f t="shared" si="11"/>
        <v>345.14949166280348</v>
      </c>
      <c r="J54" s="175">
        <f t="shared" si="12"/>
        <v>25.634988982679999</v>
      </c>
      <c r="K54" s="175">
        <f t="shared" si="13"/>
        <v>307.61986779215999</v>
      </c>
      <c r="L54" s="65">
        <f t="shared" si="14"/>
        <v>304.49239913627304</v>
      </c>
      <c r="M54" s="65">
        <f t="shared" si="15"/>
        <v>3653.9087896352767</v>
      </c>
    </row>
    <row r="55" spans="2:13" ht="15.75" thickBot="1">
      <c r="B55" s="552"/>
      <c r="C55" s="565"/>
      <c r="D55" s="14" t="s">
        <v>17</v>
      </c>
      <c r="E55" s="4">
        <v>1</v>
      </c>
      <c r="F55" s="103">
        <f t="shared" si="8"/>
        <v>308.54088536040001</v>
      </c>
      <c r="G55" s="65">
        <f t="shared" si="9"/>
        <v>3702.4906243248001</v>
      </c>
      <c r="H55" s="65">
        <f t="shared" si="10"/>
        <v>28.848572781197401</v>
      </c>
      <c r="I55" s="65">
        <f t="shared" si="11"/>
        <v>346.1828733743688</v>
      </c>
      <c r="J55" s="175">
        <f t="shared" si="12"/>
        <v>25.711740446700002</v>
      </c>
      <c r="K55" s="175">
        <f t="shared" si="13"/>
        <v>308.54088536040001</v>
      </c>
      <c r="L55" s="65">
        <f t="shared" si="14"/>
        <v>305.40405302590261</v>
      </c>
      <c r="M55" s="65">
        <f t="shared" si="15"/>
        <v>3664.8486363108314</v>
      </c>
    </row>
    <row r="56" spans="2:13" ht="15.75" thickBot="1">
      <c r="B56" s="552"/>
      <c r="C56" s="565"/>
      <c r="D56" s="15" t="s">
        <v>10</v>
      </c>
      <c r="E56" s="219">
        <v>1</v>
      </c>
      <c r="F56" s="103">
        <f t="shared" si="8"/>
        <v>307.31286193608003</v>
      </c>
      <c r="G56" s="65">
        <f t="shared" si="9"/>
        <v>3687.7543432329603</v>
      </c>
      <c r="H56" s="65">
        <f t="shared" si="10"/>
        <v>28.733752591023482</v>
      </c>
      <c r="I56" s="65">
        <f t="shared" si="11"/>
        <v>344.80503109228181</v>
      </c>
      <c r="J56" s="175">
        <f t="shared" si="12"/>
        <v>25.609405161340003</v>
      </c>
      <c r="K56" s="175">
        <f t="shared" si="13"/>
        <v>307.31286193608003</v>
      </c>
      <c r="L56" s="65">
        <f t="shared" si="14"/>
        <v>304.18851450639659</v>
      </c>
      <c r="M56" s="65">
        <f t="shared" si="15"/>
        <v>3650.2621740767586</v>
      </c>
    </row>
    <row r="57" spans="2:13" ht="15.75" thickBot="1">
      <c r="B57" s="554"/>
      <c r="C57" s="566"/>
      <c r="D57" s="14" t="s">
        <v>11</v>
      </c>
      <c r="E57" s="7">
        <v>1</v>
      </c>
      <c r="F57" s="103">
        <f t="shared" si="8"/>
        <v>307.31286193608003</v>
      </c>
      <c r="G57" s="65">
        <f t="shared" si="9"/>
        <v>3687.7543432329603</v>
      </c>
      <c r="H57" s="65">
        <f t="shared" si="10"/>
        <v>28.733752591023482</v>
      </c>
      <c r="I57" s="65">
        <f t="shared" si="11"/>
        <v>344.80503109228181</v>
      </c>
      <c r="J57" s="175">
        <f t="shared" si="12"/>
        <v>25.609405161340003</v>
      </c>
      <c r="K57" s="175">
        <f t="shared" si="13"/>
        <v>307.31286193608003</v>
      </c>
      <c r="L57" s="65">
        <f t="shared" si="14"/>
        <v>304.18851450639659</v>
      </c>
      <c r="M57" s="65">
        <f t="shared" si="15"/>
        <v>3650.2621740767586</v>
      </c>
    </row>
    <row r="58" spans="2:13" ht="15.75" thickBot="1">
      <c r="B58" s="30"/>
      <c r="C58" s="30"/>
      <c r="D58" s="100" t="s">
        <v>9</v>
      </c>
      <c r="E58" s="85">
        <f>SUM(E45:E57)</f>
        <v>20</v>
      </c>
      <c r="F58" s="101">
        <f>SUM(F45:F57)</f>
        <v>4027.0922387261994</v>
      </c>
      <c r="G58" s="65">
        <f>SUM(G45:G57)</f>
        <v>48325.106864714398</v>
      </c>
      <c r="H58" s="65">
        <f>+SUM(H45:H57)</f>
        <v>579.97748036996461</v>
      </c>
      <c r="I58" s="65">
        <f>+SUM(I45:I57)</f>
        <v>6959.729764439574</v>
      </c>
      <c r="J58" s="177">
        <f>SUM(J45:J57)</f>
        <v>335.59101989385005</v>
      </c>
      <c r="K58" s="177">
        <f>SUM(K45:K57)</f>
        <v>4027.0922387261994</v>
      </c>
      <c r="L58" s="65">
        <f>+SUM(L45:L57)</f>
        <v>3782.7057782500851</v>
      </c>
      <c r="M58" s="65">
        <f>+SUM(M45:M57)</f>
        <v>45392.469339001022</v>
      </c>
    </row>
    <row r="59" spans="2:13" s="30" customFormat="1">
      <c r="D59" s="385"/>
      <c r="E59" s="7"/>
      <c r="F59" s="309"/>
      <c r="G59" s="405"/>
      <c r="H59" s="405"/>
      <c r="I59" s="405"/>
      <c r="J59" s="405"/>
      <c r="K59" s="405"/>
      <c r="L59" s="405"/>
      <c r="M59" s="405"/>
    </row>
    <row r="60" spans="2:13" ht="15.75" thickBot="1">
      <c r="B60" s="30"/>
      <c r="C60" s="30"/>
      <c r="D60" s="21"/>
      <c r="E60" s="23"/>
      <c r="F60" s="23"/>
      <c r="G60" s="6"/>
      <c r="H60" s="30"/>
      <c r="I60" s="30"/>
    </row>
    <row r="61" spans="2:13" ht="15.75" thickBot="1">
      <c r="B61" s="534" t="s">
        <v>447</v>
      </c>
      <c r="C61" s="535"/>
      <c r="D61" s="535"/>
      <c r="E61" s="535"/>
      <c r="F61" s="535"/>
      <c r="G61" s="535"/>
      <c r="H61" s="535"/>
      <c r="I61" s="535"/>
      <c r="J61" s="536"/>
    </row>
    <row r="62" spans="2:13" ht="15.75" thickBot="1"/>
    <row r="63" spans="2:13" ht="39" thickBot="1">
      <c r="B63" s="30"/>
      <c r="C63" s="30"/>
      <c r="D63" s="417" t="s">
        <v>0</v>
      </c>
      <c r="E63" s="223" t="s">
        <v>1</v>
      </c>
      <c r="F63" s="223" t="s">
        <v>443</v>
      </c>
      <c r="G63" s="223" t="s">
        <v>424</v>
      </c>
      <c r="H63" s="223" t="s">
        <v>423</v>
      </c>
      <c r="I63" s="223" t="s">
        <v>425</v>
      </c>
      <c r="J63" s="223" t="s">
        <v>426</v>
      </c>
    </row>
    <row r="64" spans="2:13" ht="15.75" thickBot="1">
      <c r="B64" s="540" t="s">
        <v>13</v>
      </c>
      <c r="C64" s="559"/>
      <c r="D64" s="173" t="s">
        <v>4</v>
      </c>
      <c r="E64" s="174">
        <v>1</v>
      </c>
      <c r="F64" s="175">
        <f t="shared" ref="F64:F76" si="16">+F6*1.04*12</f>
        <v>3735.2281824000011</v>
      </c>
      <c r="G64" s="175">
        <f>+F64*E64/12</f>
        <v>311.26901520000007</v>
      </c>
      <c r="H64" s="175">
        <f>292*1.04</f>
        <v>303.68</v>
      </c>
      <c r="I64" s="175">
        <f>+F64*E64/24</f>
        <v>155.63450760000003</v>
      </c>
      <c r="J64" s="176">
        <f>+SUM(G64:I64)</f>
        <v>770.58352280000008</v>
      </c>
    </row>
    <row r="65" spans="2:17" ht="15.75" thickBot="1">
      <c r="B65" s="542"/>
      <c r="C65" s="560"/>
      <c r="D65" s="13" t="s">
        <v>366</v>
      </c>
      <c r="E65" s="67">
        <v>1</v>
      </c>
      <c r="F65" s="175">
        <f t="shared" si="16"/>
        <v>3676.9221815040009</v>
      </c>
      <c r="G65" s="175">
        <f t="shared" ref="G65:G76" si="17">+F65*E65/12</f>
        <v>306.41018179200006</v>
      </c>
      <c r="H65" s="175">
        <f t="shared" ref="H65:H76" si="18">292*1.04</f>
        <v>303.68</v>
      </c>
      <c r="I65" s="175">
        <f t="shared" ref="I65:I76" si="19">+F65*E65/24</f>
        <v>153.20509089600003</v>
      </c>
      <c r="J65" s="176">
        <f t="shared" ref="J65:J76" si="20">+SUM(G65:I65)</f>
        <v>763.29527268800007</v>
      </c>
    </row>
    <row r="66" spans="2:17" ht="15.75" thickBot="1">
      <c r="B66" s="542"/>
      <c r="C66" s="560"/>
      <c r="D66" s="15" t="s">
        <v>12</v>
      </c>
      <c r="E66" s="68">
        <v>1</v>
      </c>
      <c r="F66" s="175">
        <f t="shared" si="16"/>
        <v>3655.0574311680007</v>
      </c>
      <c r="G66" s="175">
        <f t="shared" si="17"/>
        <v>304.58811926400006</v>
      </c>
      <c r="H66" s="175">
        <f t="shared" si="18"/>
        <v>303.68</v>
      </c>
      <c r="I66" s="175">
        <f t="shared" si="19"/>
        <v>152.29405963200003</v>
      </c>
      <c r="J66" s="176">
        <f t="shared" si="20"/>
        <v>760.56217889599998</v>
      </c>
    </row>
    <row r="67" spans="2:17" ht="15.75" thickBot="1">
      <c r="B67" s="544" t="s">
        <v>16</v>
      </c>
      <c r="C67" s="561"/>
      <c r="D67" s="13" t="s">
        <v>5</v>
      </c>
      <c r="E67" s="69">
        <v>4</v>
      </c>
      <c r="F67" s="175">
        <f t="shared" si="16"/>
        <v>3717.0075571200005</v>
      </c>
      <c r="G67" s="175">
        <f t="shared" si="17"/>
        <v>1239.0025190400002</v>
      </c>
      <c r="H67" s="175">
        <f t="shared" si="18"/>
        <v>303.68</v>
      </c>
      <c r="I67" s="175">
        <f t="shared" si="19"/>
        <v>619.50125952000008</v>
      </c>
      <c r="J67" s="176">
        <f t="shared" si="20"/>
        <v>2162.1837785600001</v>
      </c>
    </row>
    <row r="68" spans="2:17" ht="15.75" thickBot="1">
      <c r="B68" s="546"/>
      <c r="C68" s="562"/>
      <c r="D68" s="13" t="s">
        <v>7</v>
      </c>
      <c r="E68" s="70">
        <v>4</v>
      </c>
      <c r="F68" s="175">
        <f t="shared" si="16"/>
        <v>3653.2353686400002</v>
      </c>
      <c r="G68" s="175">
        <f t="shared" si="17"/>
        <v>1217.7451228800001</v>
      </c>
      <c r="H68" s="175">
        <f t="shared" si="18"/>
        <v>303.68</v>
      </c>
      <c r="I68" s="175">
        <f t="shared" si="19"/>
        <v>608.87256144000003</v>
      </c>
      <c r="J68" s="176">
        <f t="shared" si="20"/>
        <v>2130.2976843200004</v>
      </c>
    </row>
    <row r="69" spans="2:17" ht="15.75" thickBot="1">
      <c r="B69" s="546"/>
      <c r="C69" s="562"/>
      <c r="D69" s="13" t="s">
        <v>6</v>
      </c>
      <c r="E69" s="69">
        <v>1</v>
      </c>
      <c r="F69" s="175">
        <f t="shared" si="16"/>
        <v>3676.9221815040009</v>
      </c>
      <c r="G69" s="175">
        <f t="shared" si="17"/>
        <v>306.41018179200006</v>
      </c>
      <c r="H69" s="175">
        <f t="shared" si="18"/>
        <v>303.68</v>
      </c>
      <c r="I69" s="175">
        <f t="shared" si="19"/>
        <v>153.20509089600003</v>
      </c>
      <c r="J69" s="176">
        <f t="shared" si="20"/>
        <v>763.29527268800007</v>
      </c>
    </row>
    <row r="70" spans="2:17" ht="15.75" thickBot="1">
      <c r="B70" s="546"/>
      <c r="C70" s="562"/>
      <c r="D70" s="98" t="s">
        <v>18</v>
      </c>
      <c r="E70" s="69">
        <v>2</v>
      </c>
      <c r="F70" s="175">
        <f t="shared" si="16"/>
        <v>3716.6687999999999</v>
      </c>
      <c r="G70" s="175">
        <f t="shared" si="17"/>
        <v>619.44479999999999</v>
      </c>
      <c r="H70" s="175">
        <f t="shared" si="18"/>
        <v>303.68</v>
      </c>
      <c r="I70" s="175">
        <f t="shared" si="19"/>
        <v>309.72239999999999</v>
      </c>
      <c r="J70" s="176">
        <f t="shared" si="20"/>
        <v>1232.8472000000002</v>
      </c>
    </row>
    <row r="71" spans="2:17" ht="15.75" thickBot="1">
      <c r="B71" s="548"/>
      <c r="C71" s="563"/>
      <c r="D71" s="29" t="s">
        <v>21</v>
      </c>
      <c r="E71" s="69">
        <v>1</v>
      </c>
      <c r="F71" s="175">
        <f t="shared" si="16"/>
        <v>3716.6687999999999</v>
      </c>
      <c r="G71" s="175">
        <f t="shared" si="17"/>
        <v>309.72239999999999</v>
      </c>
      <c r="H71" s="175">
        <f t="shared" si="18"/>
        <v>303.68</v>
      </c>
      <c r="I71" s="175">
        <f t="shared" si="19"/>
        <v>154.8612</v>
      </c>
      <c r="J71" s="176">
        <f t="shared" si="20"/>
        <v>768.2636</v>
      </c>
      <c r="O71" s="6"/>
      <c r="P71" s="403">
        <v>2012</v>
      </c>
      <c r="Q71" s="403">
        <v>2013</v>
      </c>
    </row>
    <row r="72" spans="2:17" ht="15.75" thickBot="1">
      <c r="B72" s="550" t="s">
        <v>15</v>
      </c>
      <c r="C72" s="564"/>
      <c r="D72" s="14" t="s">
        <v>8</v>
      </c>
      <c r="E72" s="71">
        <v>1</v>
      </c>
      <c r="F72" s="175">
        <f t="shared" si="16"/>
        <v>3644.1250560000003</v>
      </c>
      <c r="G72" s="175">
        <f t="shared" si="17"/>
        <v>303.67708800000003</v>
      </c>
      <c r="H72" s="175">
        <f t="shared" si="18"/>
        <v>303.68</v>
      </c>
      <c r="I72" s="175">
        <f t="shared" si="19"/>
        <v>151.83854400000001</v>
      </c>
      <c r="J72" s="176">
        <f t="shared" si="20"/>
        <v>759.19563199999993</v>
      </c>
      <c r="O72" s="75" t="s">
        <v>442</v>
      </c>
      <c r="P72" s="46">
        <f>+J19*(7/8)</f>
        <v>2868.7706044908755</v>
      </c>
      <c r="Q72" s="404">
        <f>+L58-J58</f>
        <v>3447.1147583562351</v>
      </c>
    </row>
    <row r="73" spans="2:17" ht="15.75" thickBot="1">
      <c r="B73" s="552"/>
      <c r="C73" s="565"/>
      <c r="D73" s="14" t="s">
        <v>14</v>
      </c>
      <c r="E73" s="71">
        <v>1</v>
      </c>
      <c r="F73" s="175">
        <f t="shared" si="16"/>
        <v>3651.4133061120001</v>
      </c>
      <c r="G73" s="175">
        <f t="shared" si="17"/>
        <v>304.28444217600003</v>
      </c>
      <c r="H73" s="175">
        <f t="shared" si="18"/>
        <v>303.68</v>
      </c>
      <c r="I73" s="175">
        <f t="shared" si="19"/>
        <v>152.14222108800001</v>
      </c>
      <c r="J73" s="176">
        <f t="shared" si="20"/>
        <v>760.10666326400008</v>
      </c>
      <c r="O73" s="75" t="s">
        <v>441</v>
      </c>
      <c r="P73" s="404">
        <f>+I22+G38</f>
        <v>3851.328868570125</v>
      </c>
      <c r="Q73" s="46">
        <v>13151.41</v>
      </c>
    </row>
    <row r="74" spans="2:17" ht="15.75" thickBot="1">
      <c r="B74" s="552"/>
      <c r="C74" s="565"/>
      <c r="D74" s="14" t="s">
        <v>17</v>
      </c>
      <c r="E74" s="71">
        <v>1</v>
      </c>
      <c r="F74" s="175">
        <f t="shared" si="16"/>
        <v>3662.3456812800005</v>
      </c>
      <c r="G74" s="175">
        <f t="shared" si="17"/>
        <v>305.19547344000006</v>
      </c>
      <c r="H74" s="175">
        <f t="shared" si="18"/>
        <v>303.68</v>
      </c>
      <c r="I74" s="175">
        <f t="shared" si="19"/>
        <v>152.59773672000003</v>
      </c>
      <c r="J74" s="176">
        <f t="shared" si="20"/>
        <v>761.47321016000012</v>
      </c>
    </row>
    <row r="75" spans="2:17" ht="15.75" thickBot="1">
      <c r="B75" s="552"/>
      <c r="C75" s="565"/>
      <c r="D75" s="15" t="s">
        <v>10</v>
      </c>
      <c r="E75" s="68">
        <v>1</v>
      </c>
      <c r="F75" s="175">
        <f t="shared" si="16"/>
        <v>3647.7691810560009</v>
      </c>
      <c r="G75" s="175">
        <f t="shared" si="17"/>
        <v>303.98076508800006</v>
      </c>
      <c r="H75" s="175">
        <f t="shared" si="18"/>
        <v>303.68</v>
      </c>
      <c r="I75" s="175">
        <f t="shared" si="19"/>
        <v>151.99038254400003</v>
      </c>
      <c r="J75" s="176">
        <f t="shared" si="20"/>
        <v>759.65114763200006</v>
      </c>
    </row>
    <row r="76" spans="2:17" ht="15.75" thickBot="1">
      <c r="B76" s="554"/>
      <c r="C76" s="566"/>
      <c r="D76" s="14" t="s">
        <v>11</v>
      </c>
      <c r="E76" s="7">
        <v>1</v>
      </c>
      <c r="F76" s="175">
        <f t="shared" si="16"/>
        <v>3647.7691810560009</v>
      </c>
      <c r="G76" s="175">
        <f t="shared" si="17"/>
        <v>303.98076508800006</v>
      </c>
      <c r="H76" s="175">
        <f t="shared" si="18"/>
        <v>303.68</v>
      </c>
      <c r="I76" s="175">
        <f t="shared" si="19"/>
        <v>151.99038254400003</v>
      </c>
      <c r="J76" s="176">
        <f t="shared" si="20"/>
        <v>759.65114763200006</v>
      </c>
    </row>
    <row r="77" spans="2:17" ht="15.75" thickBot="1">
      <c r="B77" s="30"/>
      <c r="C77" s="30"/>
      <c r="D77" s="104" t="s">
        <v>9</v>
      </c>
      <c r="E77" s="105">
        <f t="shared" ref="E77:J77" si="21">SUM(E64:E76)</f>
        <v>20</v>
      </c>
      <c r="F77" s="177">
        <f t="shared" si="21"/>
        <v>47801.132907840001</v>
      </c>
      <c r="G77" s="177">
        <f t="shared" si="21"/>
        <v>6135.710873760001</v>
      </c>
      <c r="H77" s="177">
        <f t="shared" si="21"/>
        <v>3947.8399999999992</v>
      </c>
      <c r="I77" s="177">
        <f t="shared" si="21"/>
        <v>3067.8554368800005</v>
      </c>
      <c r="J77" s="176">
        <f t="shared" si="21"/>
        <v>13151.406310640001</v>
      </c>
    </row>
  </sheetData>
  <mergeCells count="18">
    <mergeCell ref="B64:C66"/>
    <mergeCell ref="B67:C71"/>
    <mergeCell ref="B72:C76"/>
    <mergeCell ref="B45:C47"/>
    <mergeCell ref="B48:C52"/>
    <mergeCell ref="B22:H22"/>
    <mergeCell ref="B61:J61"/>
    <mergeCell ref="B3:K3"/>
    <mergeCell ref="B42:M42"/>
    <mergeCell ref="B25:C27"/>
    <mergeCell ref="B28:C32"/>
    <mergeCell ref="B33:C37"/>
    <mergeCell ref="D4:O4"/>
    <mergeCell ref="B6:C8"/>
    <mergeCell ref="B9:C13"/>
    <mergeCell ref="B14:C18"/>
    <mergeCell ref="M24:N24"/>
    <mergeCell ref="B53:C5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B1:M68"/>
  <sheetViews>
    <sheetView showGridLines="0" workbookViewId="0">
      <selection activeCell="I14" sqref="I14"/>
    </sheetView>
  </sheetViews>
  <sheetFormatPr baseColWidth="10" defaultRowHeight="15"/>
  <cols>
    <col min="1" max="1" width="12.42578125" customWidth="1"/>
    <col min="2" max="2" width="14.28515625" customWidth="1"/>
    <col min="3" max="3" width="13.7109375" customWidth="1"/>
    <col min="4" max="4" width="13.85546875" bestFit="1" customWidth="1"/>
    <col min="5" max="5" width="15" customWidth="1"/>
    <col min="6" max="6" width="14.85546875" bestFit="1" customWidth="1"/>
    <col min="9" max="9" width="14.5703125" bestFit="1" customWidth="1"/>
    <col min="10" max="10" width="14.85546875" customWidth="1"/>
  </cols>
  <sheetData>
    <row r="1" spans="2:13" s="30" customFormat="1" ht="15.75" thickBot="1"/>
    <row r="2" spans="2:13" s="30" customFormat="1" ht="15.75" thickBot="1">
      <c r="B2" s="337" t="s">
        <v>260</v>
      </c>
      <c r="C2" s="334">
        <f>+'Capital de Trabajo'!B32</f>
        <v>72329.488423143601</v>
      </c>
    </row>
    <row r="3" spans="2:13" s="30" customFormat="1" ht="15.75" thickBot="1">
      <c r="B3" s="338" t="s">
        <v>266</v>
      </c>
      <c r="C3" s="335">
        <v>0.1183</v>
      </c>
      <c r="E3" s="30" t="s">
        <v>464</v>
      </c>
      <c r="H3" s="497" t="s">
        <v>467</v>
      </c>
      <c r="I3" s="495" t="s">
        <v>468</v>
      </c>
      <c r="J3" s="496" t="s">
        <v>263</v>
      </c>
    </row>
    <row r="4" spans="2:13" s="30" customFormat="1">
      <c r="B4" s="479" t="s">
        <v>466</v>
      </c>
      <c r="C4" s="480">
        <f>+C3/12</f>
        <v>9.8583333333333335E-3</v>
      </c>
      <c r="H4" s="494">
        <v>2012</v>
      </c>
      <c r="I4" s="486">
        <f>+SUM(D9:D16)</f>
        <v>5453.9036409884911</v>
      </c>
      <c r="J4" s="451">
        <f>+SUM(E9:E16)</f>
        <v>7367.8791142161817</v>
      </c>
    </row>
    <row r="5" spans="2:13" ht="15.75" thickBot="1">
      <c r="B5" s="339" t="s">
        <v>465</v>
      </c>
      <c r="C5" s="336">
        <v>60</v>
      </c>
      <c r="H5" s="490">
        <v>2013</v>
      </c>
      <c r="I5" s="484">
        <f>+SUM(D17:D28)</f>
        <v>7037.7927223761644</v>
      </c>
      <c r="J5" s="488">
        <f>+SUM(E17:E28)</f>
        <v>12194.881410430846</v>
      </c>
    </row>
    <row r="6" spans="2:13" s="30" customFormat="1" ht="15.75" thickBot="1">
      <c r="H6" s="490">
        <v>2014</v>
      </c>
      <c r="I6" s="484">
        <f>+SUM(D29:D40)</f>
        <v>5514.2879386777968</v>
      </c>
      <c r="J6" s="488">
        <f>+SUM(E29:E40)</f>
        <v>13718.386194129213</v>
      </c>
    </row>
    <row r="7" spans="2:13" ht="15.75" thickBot="1">
      <c r="B7" s="256" t="s">
        <v>264</v>
      </c>
      <c r="C7" s="481" t="s">
        <v>265</v>
      </c>
      <c r="D7" s="481" t="s">
        <v>261</v>
      </c>
      <c r="E7" s="481" t="s">
        <v>263</v>
      </c>
      <c r="F7" s="482" t="s">
        <v>262</v>
      </c>
      <c r="H7" s="490">
        <v>2015</v>
      </c>
      <c r="I7" s="484">
        <f>+SUM(D41:D52)</f>
        <v>3800.4519210925218</v>
      </c>
      <c r="J7" s="488">
        <f>+SUM(E41:E52)</f>
        <v>15432.222211714487</v>
      </c>
    </row>
    <row r="8" spans="2:13" ht="15.75" thickBot="1">
      <c r="B8" s="483">
        <v>0</v>
      </c>
      <c r="C8" s="485" t="s">
        <v>268</v>
      </c>
      <c r="D8" s="486" t="s">
        <v>268</v>
      </c>
      <c r="E8" s="486" t="s">
        <v>268</v>
      </c>
      <c r="F8" s="451">
        <f>+C2</f>
        <v>72329.488423143601</v>
      </c>
      <c r="H8" s="492">
        <v>2016</v>
      </c>
      <c r="I8" s="489">
        <f>+SUM(D53:D64)</f>
        <v>1872.5066158980728</v>
      </c>
      <c r="J8" s="454">
        <f>+SUM(E53:E64)</f>
        <v>17360.167516908936</v>
      </c>
    </row>
    <row r="9" spans="2:13">
      <c r="B9" s="68">
        <v>1</v>
      </c>
      <c r="C9" s="487">
        <f>+PMT($C$4,$C$5,-$F$8)</f>
        <v>1602.7228444005841</v>
      </c>
      <c r="D9" s="484">
        <f>+F8*$C$4</f>
        <v>713.048206704824</v>
      </c>
      <c r="E9" s="484">
        <f>+C9-D9</f>
        <v>889.67463769576011</v>
      </c>
      <c r="F9" s="488">
        <f>+F8-E9</f>
        <v>71439.813785447841</v>
      </c>
      <c r="H9" s="493"/>
      <c r="I9" s="493"/>
      <c r="J9" s="493"/>
    </row>
    <row r="10" spans="2:13">
      <c r="B10" s="68">
        <v>2</v>
      </c>
      <c r="C10" s="487">
        <f t="shared" ref="C10:C68" si="0">+PMT($C$4,$C$5,-$F$8)</f>
        <v>1602.7228444005841</v>
      </c>
      <c r="D10" s="484">
        <f t="shared" ref="D10:D68" si="1">+F9*$C$4</f>
        <v>704.27749756820663</v>
      </c>
      <c r="E10" s="484">
        <f>+C10-D10</f>
        <v>898.44534683237748</v>
      </c>
      <c r="F10" s="488">
        <f>+F9-E10</f>
        <v>70541.368438615464</v>
      </c>
    </row>
    <row r="11" spans="2:13">
      <c r="B11" s="68">
        <v>3</v>
      </c>
      <c r="C11" s="487">
        <f t="shared" si="0"/>
        <v>1602.7228444005841</v>
      </c>
      <c r="D11" s="484">
        <f t="shared" si="1"/>
        <v>695.42032385735081</v>
      </c>
      <c r="E11" s="484">
        <f>+C11-D11</f>
        <v>907.3025205432333</v>
      </c>
      <c r="F11" s="488">
        <f>+F10-E11</f>
        <v>69634.065918072229</v>
      </c>
    </row>
    <row r="12" spans="2:13">
      <c r="B12" s="68">
        <v>4</v>
      </c>
      <c r="C12" s="487">
        <f t="shared" si="0"/>
        <v>1602.7228444005841</v>
      </c>
      <c r="D12" s="484">
        <f t="shared" si="1"/>
        <v>686.47583317566205</v>
      </c>
      <c r="E12" s="484">
        <f t="shared" ref="E12:E16" si="2">+C12-D12</f>
        <v>916.24701122492206</v>
      </c>
      <c r="F12" s="488">
        <f t="shared" ref="F12:F16" si="3">+F11-E12</f>
        <v>68717.8189068473</v>
      </c>
    </row>
    <row r="13" spans="2:13">
      <c r="B13" s="68">
        <v>5</v>
      </c>
      <c r="C13" s="487">
        <f t="shared" si="0"/>
        <v>1602.7228444005841</v>
      </c>
      <c r="D13" s="484">
        <f t="shared" si="1"/>
        <v>677.44316472333628</v>
      </c>
      <c r="E13" s="484">
        <f t="shared" si="2"/>
        <v>925.27967967724783</v>
      </c>
      <c r="F13" s="488">
        <f t="shared" si="3"/>
        <v>67792.539227170055</v>
      </c>
      <c r="I13" s="35"/>
      <c r="J13" s="456"/>
      <c r="K13" s="35"/>
      <c r="L13" s="35"/>
      <c r="M13" s="35"/>
    </row>
    <row r="14" spans="2:13">
      <c r="B14" s="68">
        <v>6</v>
      </c>
      <c r="C14" s="487">
        <f t="shared" si="0"/>
        <v>1602.7228444005841</v>
      </c>
      <c r="D14" s="484">
        <f t="shared" si="1"/>
        <v>668.32144921451811</v>
      </c>
      <c r="E14" s="484">
        <f t="shared" si="2"/>
        <v>934.401395186066</v>
      </c>
      <c r="F14" s="488">
        <f t="shared" si="3"/>
        <v>66858.137831983986</v>
      </c>
      <c r="I14" s="35"/>
      <c r="J14" s="498"/>
      <c r="K14" s="35"/>
      <c r="L14" s="35"/>
      <c r="M14" s="35"/>
    </row>
    <row r="15" spans="2:13">
      <c r="B15" s="68">
        <v>7</v>
      </c>
      <c r="C15" s="487">
        <f t="shared" si="0"/>
        <v>1602.7228444005841</v>
      </c>
      <c r="D15" s="484">
        <f t="shared" si="1"/>
        <v>659.10980879364217</v>
      </c>
      <c r="E15" s="484">
        <f t="shared" si="2"/>
        <v>943.61303560694193</v>
      </c>
      <c r="F15" s="488">
        <f t="shared" si="3"/>
        <v>65914.524796377038</v>
      </c>
      <c r="I15" s="35"/>
      <c r="J15" s="499"/>
      <c r="K15" s="35"/>
      <c r="L15" s="35"/>
      <c r="M15" s="35"/>
    </row>
    <row r="16" spans="2:13">
      <c r="B16" s="68">
        <v>8</v>
      </c>
      <c r="C16" s="487">
        <f t="shared" si="0"/>
        <v>1602.7228444005841</v>
      </c>
      <c r="D16" s="484">
        <f t="shared" si="1"/>
        <v>649.80735695095029</v>
      </c>
      <c r="E16" s="484">
        <f t="shared" si="2"/>
        <v>952.91548744963382</v>
      </c>
      <c r="F16" s="488">
        <f t="shared" si="3"/>
        <v>64961.609308927407</v>
      </c>
      <c r="I16" s="35"/>
      <c r="J16" s="35"/>
      <c r="K16" s="35"/>
      <c r="L16" s="35"/>
      <c r="M16" s="35"/>
    </row>
    <row r="17" spans="2:13">
      <c r="B17" s="68">
        <v>9</v>
      </c>
      <c r="C17" s="487">
        <f t="shared" si="0"/>
        <v>1602.7228444005841</v>
      </c>
      <c r="D17" s="484">
        <f t="shared" si="1"/>
        <v>640.41319843717599</v>
      </c>
      <c r="E17" s="484">
        <f t="shared" ref="E17:E68" si="4">+C17-D17</f>
        <v>962.30964596340812</v>
      </c>
      <c r="F17" s="488">
        <f t="shared" ref="F17:F68" si="5">+F16-E17</f>
        <v>63999.299662963997</v>
      </c>
      <c r="I17" s="35"/>
      <c r="J17" s="35"/>
      <c r="K17" s="35"/>
      <c r="L17" s="35"/>
      <c r="M17" s="35"/>
    </row>
    <row r="18" spans="2:13">
      <c r="B18" s="68">
        <v>10</v>
      </c>
      <c r="C18" s="487">
        <f t="shared" si="0"/>
        <v>1602.7228444005841</v>
      </c>
      <c r="D18" s="484">
        <f t="shared" si="1"/>
        <v>630.92642917738669</v>
      </c>
      <c r="E18" s="484">
        <f t="shared" si="4"/>
        <v>971.79641522319741</v>
      </c>
      <c r="F18" s="488">
        <f t="shared" si="5"/>
        <v>63027.503247740802</v>
      </c>
      <c r="I18" s="35"/>
      <c r="J18" s="35"/>
      <c r="K18" s="35"/>
      <c r="L18" s="35"/>
      <c r="M18" s="35"/>
    </row>
    <row r="19" spans="2:13">
      <c r="B19" s="68">
        <v>11</v>
      </c>
      <c r="C19" s="487">
        <f t="shared" si="0"/>
        <v>1602.7228444005841</v>
      </c>
      <c r="D19" s="484">
        <f t="shared" si="1"/>
        <v>621.34613618397805</v>
      </c>
      <c r="E19" s="484">
        <f t="shared" si="4"/>
        <v>981.37670821660606</v>
      </c>
      <c r="F19" s="488">
        <f t="shared" si="5"/>
        <v>62046.126539524194</v>
      </c>
      <c r="I19" s="35"/>
      <c r="J19" s="35"/>
      <c r="K19" s="35"/>
      <c r="L19" s="35"/>
      <c r="M19" s="35"/>
    </row>
    <row r="20" spans="2:13">
      <c r="B20" s="68">
        <v>12</v>
      </c>
      <c r="C20" s="487">
        <f t="shared" si="0"/>
        <v>1602.7228444005841</v>
      </c>
      <c r="D20" s="484">
        <f t="shared" si="1"/>
        <v>611.67139746880935</v>
      </c>
      <c r="E20" s="484">
        <f t="shared" si="4"/>
        <v>991.05144693177476</v>
      </c>
      <c r="F20" s="488">
        <f t="shared" si="5"/>
        <v>61055.075092592422</v>
      </c>
      <c r="I20" s="122"/>
      <c r="J20" s="122"/>
      <c r="K20" s="122"/>
      <c r="L20" s="122"/>
      <c r="M20" s="122"/>
    </row>
    <row r="21" spans="2:13">
      <c r="B21" s="68">
        <v>13</v>
      </c>
      <c r="C21" s="487">
        <f t="shared" si="0"/>
        <v>1602.7228444005841</v>
      </c>
      <c r="D21" s="484">
        <f t="shared" si="1"/>
        <v>601.90128195447369</v>
      </c>
      <c r="E21" s="484">
        <f t="shared" si="4"/>
        <v>1000.8215624461104</v>
      </c>
      <c r="F21" s="488">
        <f t="shared" si="5"/>
        <v>60054.253530146314</v>
      </c>
      <c r="I21" s="122"/>
      <c r="J21" s="500"/>
      <c r="K21" s="500"/>
      <c r="L21" s="500"/>
      <c r="M21" s="500"/>
    </row>
    <row r="22" spans="2:13">
      <c r="B22" s="68">
        <v>14</v>
      </c>
      <c r="C22" s="487">
        <f t="shared" si="0"/>
        <v>1602.7228444005841</v>
      </c>
      <c r="D22" s="484">
        <f t="shared" si="1"/>
        <v>592.03484938469239</v>
      </c>
      <c r="E22" s="484">
        <f t="shared" si="4"/>
        <v>1010.6879950158917</v>
      </c>
      <c r="F22" s="488">
        <f t="shared" si="5"/>
        <v>59043.565535130423</v>
      </c>
      <c r="I22" s="122"/>
      <c r="J22" s="500"/>
      <c r="K22" s="500"/>
      <c r="L22" s="500"/>
      <c r="M22" s="500"/>
    </row>
    <row r="23" spans="2:13">
      <c r="B23" s="68">
        <v>15</v>
      </c>
      <c r="C23" s="487">
        <f t="shared" si="0"/>
        <v>1602.7228444005841</v>
      </c>
      <c r="D23" s="484">
        <f t="shared" si="1"/>
        <v>582.07115023382744</v>
      </c>
      <c r="E23" s="484">
        <f t="shared" si="4"/>
        <v>1020.6516941667567</v>
      </c>
      <c r="F23" s="488">
        <f t="shared" si="5"/>
        <v>58022.913840963665</v>
      </c>
      <c r="I23" s="122"/>
      <c r="J23" s="500"/>
      <c r="K23" s="500"/>
      <c r="L23" s="500"/>
      <c r="M23" s="500"/>
    </row>
    <row r="24" spans="2:13">
      <c r="B24" s="68">
        <v>16</v>
      </c>
      <c r="C24" s="487">
        <f t="shared" si="0"/>
        <v>1602.7228444005841</v>
      </c>
      <c r="D24" s="484">
        <f t="shared" si="1"/>
        <v>572.0092256155001</v>
      </c>
      <c r="E24" s="484">
        <f t="shared" si="4"/>
        <v>1030.713618785084</v>
      </c>
      <c r="F24" s="488">
        <f t="shared" si="5"/>
        <v>56992.200222178581</v>
      </c>
      <c r="I24" s="122"/>
      <c r="J24" s="500"/>
      <c r="K24" s="500"/>
      <c r="L24" s="500"/>
      <c r="M24" s="500"/>
    </row>
    <row r="25" spans="2:13">
      <c r="B25" s="68">
        <v>17</v>
      </c>
      <c r="C25" s="487">
        <f t="shared" si="0"/>
        <v>1602.7228444005841</v>
      </c>
      <c r="D25" s="484">
        <f t="shared" si="1"/>
        <v>561.84810719031054</v>
      </c>
      <c r="E25" s="484">
        <f t="shared" si="4"/>
        <v>1040.8747372102735</v>
      </c>
      <c r="F25" s="488">
        <f t="shared" si="5"/>
        <v>55951.325484968307</v>
      </c>
      <c r="I25" s="122"/>
      <c r="J25" s="500"/>
      <c r="K25" s="500"/>
      <c r="L25" s="500"/>
      <c r="M25" s="500"/>
    </row>
    <row r="26" spans="2:13">
      <c r="B26" s="68">
        <v>18</v>
      </c>
      <c r="C26" s="487">
        <f t="shared" si="0"/>
        <v>1602.7228444005841</v>
      </c>
      <c r="D26" s="484">
        <f t="shared" si="1"/>
        <v>551.58681707264589</v>
      </c>
      <c r="E26" s="484">
        <f t="shared" si="4"/>
        <v>1051.1360273279383</v>
      </c>
      <c r="F26" s="488">
        <f t="shared" si="5"/>
        <v>54900.189457640372</v>
      </c>
      <c r="I26" s="122"/>
      <c r="J26" s="500"/>
      <c r="K26" s="500"/>
      <c r="L26" s="500"/>
      <c r="M26" s="500"/>
    </row>
    <row r="27" spans="2:13">
      <c r="B27" s="68">
        <v>19</v>
      </c>
      <c r="C27" s="487">
        <f t="shared" si="0"/>
        <v>1602.7228444005841</v>
      </c>
      <c r="D27" s="484">
        <f t="shared" si="1"/>
        <v>541.22436773657137</v>
      </c>
      <c r="E27" s="484">
        <f t="shared" si="4"/>
        <v>1061.4984766640127</v>
      </c>
      <c r="F27" s="488">
        <f t="shared" si="5"/>
        <v>53838.69098097636</v>
      </c>
    </row>
    <row r="28" spans="2:13">
      <c r="B28" s="68">
        <v>20</v>
      </c>
      <c r="C28" s="487">
        <f t="shared" si="0"/>
        <v>1602.7228444005841</v>
      </c>
      <c r="D28" s="484">
        <f t="shared" si="1"/>
        <v>530.75976192079202</v>
      </c>
      <c r="E28" s="484">
        <f t="shared" si="4"/>
        <v>1071.9630824797921</v>
      </c>
      <c r="F28" s="488">
        <f t="shared" si="5"/>
        <v>52766.727898496567</v>
      </c>
    </row>
    <row r="29" spans="2:13">
      <c r="B29" s="68">
        <v>21</v>
      </c>
      <c r="C29" s="487">
        <f t="shared" si="0"/>
        <v>1602.7228444005841</v>
      </c>
      <c r="D29" s="484">
        <f t="shared" si="1"/>
        <v>520.19199253267868</v>
      </c>
      <c r="E29" s="484">
        <f t="shared" si="4"/>
        <v>1082.5308518679053</v>
      </c>
      <c r="F29" s="488">
        <f t="shared" si="5"/>
        <v>51684.197046628658</v>
      </c>
    </row>
    <row r="30" spans="2:13">
      <c r="B30" s="68">
        <v>22</v>
      </c>
      <c r="C30" s="487">
        <f t="shared" si="0"/>
        <v>1602.7228444005841</v>
      </c>
      <c r="D30" s="484">
        <f t="shared" si="1"/>
        <v>509.52004255134756</v>
      </c>
      <c r="E30" s="484">
        <f t="shared" si="4"/>
        <v>1093.2028018492365</v>
      </c>
      <c r="F30" s="488">
        <f t="shared" si="5"/>
        <v>50590.994244779424</v>
      </c>
    </row>
    <row r="31" spans="2:13">
      <c r="B31" s="68">
        <v>23</v>
      </c>
      <c r="C31" s="487">
        <f t="shared" si="0"/>
        <v>1602.7228444005841</v>
      </c>
      <c r="D31" s="484">
        <f t="shared" si="1"/>
        <v>498.74288492978383</v>
      </c>
      <c r="E31" s="484">
        <f t="shared" si="4"/>
        <v>1103.9799594708002</v>
      </c>
      <c r="F31" s="488">
        <f t="shared" si="5"/>
        <v>49487.014285308622</v>
      </c>
    </row>
    <row r="32" spans="2:13">
      <c r="B32" s="68">
        <v>24</v>
      </c>
      <c r="C32" s="487">
        <f t="shared" si="0"/>
        <v>1602.7228444005841</v>
      </c>
      <c r="D32" s="484">
        <f t="shared" si="1"/>
        <v>487.85948249600085</v>
      </c>
      <c r="E32" s="484">
        <f t="shared" si="4"/>
        <v>1114.8633619045831</v>
      </c>
      <c r="F32" s="488">
        <f t="shared" si="5"/>
        <v>48372.150923404042</v>
      </c>
    </row>
    <row r="33" spans="2:6">
      <c r="B33" s="68">
        <v>25</v>
      </c>
      <c r="C33" s="487">
        <f t="shared" si="0"/>
        <v>1602.7228444005841</v>
      </c>
      <c r="D33" s="484">
        <f t="shared" si="1"/>
        <v>476.86878785322489</v>
      </c>
      <c r="E33" s="484">
        <f t="shared" si="4"/>
        <v>1125.8540565473593</v>
      </c>
      <c r="F33" s="488">
        <f t="shared" si="5"/>
        <v>47246.296866856683</v>
      </c>
    </row>
    <row r="34" spans="2:6">
      <c r="B34" s="68">
        <v>26</v>
      </c>
      <c r="C34" s="487">
        <f t="shared" si="0"/>
        <v>1602.7228444005841</v>
      </c>
      <c r="D34" s="484">
        <f t="shared" si="1"/>
        <v>465.76974327909545</v>
      </c>
      <c r="E34" s="484">
        <f t="shared" si="4"/>
        <v>1136.9531011214885</v>
      </c>
      <c r="F34" s="488">
        <f t="shared" si="5"/>
        <v>46109.343765735197</v>
      </c>
    </row>
    <row r="35" spans="2:6">
      <c r="B35" s="68">
        <v>27</v>
      </c>
      <c r="C35" s="487">
        <f t="shared" si="0"/>
        <v>1602.7228444005841</v>
      </c>
      <c r="D35" s="484">
        <f t="shared" si="1"/>
        <v>454.56128062387285</v>
      </c>
      <c r="E35" s="484">
        <f t="shared" si="4"/>
        <v>1148.1615637767113</v>
      </c>
      <c r="F35" s="488">
        <f t="shared" si="5"/>
        <v>44961.182201958487</v>
      </c>
    </row>
    <row r="36" spans="2:6">
      <c r="B36" s="68">
        <v>28</v>
      </c>
      <c r="C36" s="487">
        <f t="shared" si="0"/>
        <v>1602.7228444005841</v>
      </c>
      <c r="D36" s="484">
        <f t="shared" si="1"/>
        <v>443.24232120764077</v>
      </c>
      <c r="E36" s="484">
        <f t="shared" si="4"/>
        <v>1159.4805231929433</v>
      </c>
      <c r="F36" s="488">
        <f t="shared" si="5"/>
        <v>43801.701678765545</v>
      </c>
    </row>
    <row r="37" spans="2:6">
      <c r="B37" s="68">
        <v>29</v>
      </c>
      <c r="C37" s="487">
        <f t="shared" si="0"/>
        <v>1602.7228444005841</v>
      </c>
      <c r="D37" s="484">
        <f t="shared" si="1"/>
        <v>431.81177571649698</v>
      </c>
      <c r="E37" s="484">
        <f t="shared" si="4"/>
        <v>1170.9110686840872</v>
      </c>
      <c r="F37" s="488">
        <f t="shared" si="5"/>
        <v>42630.790610081458</v>
      </c>
    </row>
    <row r="38" spans="2:6">
      <c r="B38" s="68">
        <v>30</v>
      </c>
      <c r="C38" s="487">
        <f t="shared" si="0"/>
        <v>1602.7228444005841</v>
      </c>
      <c r="D38" s="484">
        <f t="shared" si="1"/>
        <v>420.26854409771971</v>
      </c>
      <c r="E38" s="484">
        <f t="shared" si="4"/>
        <v>1182.4543003028643</v>
      </c>
      <c r="F38" s="488">
        <f t="shared" si="5"/>
        <v>41448.336309778591</v>
      </c>
    </row>
    <row r="39" spans="2:6">
      <c r="B39" s="68">
        <v>31</v>
      </c>
      <c r="C39" s="487">
        <f t="shared" si="0"/>
        <v>1602.7228444005841</v>
      </c>
      <c r="D39" s="484">
        <f t="shared" si="1"/>
        <v>408.61151545390061</v>
      </c>
      <c r="E39" s="484">
        <f t="shared" si="4"/>
        <v>1194.1113289466834</v>
      </c>
      <c r="F39" s="488">
        <f t="shared" si="5"/>
        <v>40254.22498083191</v>
      </c>
    </row>
    <row r="40" spans="2:6">
      <c r="B40" s="68">
        <v>32</v>
      </c>
      <c r="C40" s="487">
        <f t="shared" si="0"/>
        <v>1602.7228444005841</v>
      </c>
      <c r="D40" s="484">
        <f t="shared" si="1"/>
        <v>396.8395679360346</v>
      </c>
      <c r="E40" s="484">
        <f t="shared" si="4"/>
        <v>1205.8832764645495</v>
      </c>
      <c r="F40" s="488">
        <f t="shared" si="5"/>
        <v>39048.341704367362</v>
      </c>
    </row>
    <row r="41" spans="2:6">
      <c r="B41" s="68">
        <v>33</v>
      </c>
      <c r="C41" s="487">
        <f t="shared" si="0"/>
        <v>1602.7228444005841</v>
      </c>
      <c r="D41" s="484">
        <f t="shared" si="1"/>
        <v>384.95156863555491</v>
      </c>
      <c r="E41" s="484">
        <f t="shared" si="4"/>
        <v>1217.7712757650293</v>
      </c>
      <c r="F41" s="488">
        <f t="shared" si="5"/>
        <v>37830.570428602332</v>
      </c>
    </row>
    <row r="42" spans="2:6">
      <c r="B42" s="68">
        <v>34</v>
      </c>
      <c r="C42" s="487">
        <f t="shared" si="0"/>
        <v>1602.7228444005841</v>
      </c>
      <c r="D42" s="484">
        <f t="shared" si="1"/>
        <v>372.94637347530465</v>
      </c>
      <c r="E42" s="484">
        <f t="shared" si="4"/>
        <v>1229.7764709252795</v>
      </c>
      <c r="F42" s="488">
        <f t="shared" si="5"/>
        <v>36600.793957677051</v>
      </c>
    </row>
    <row r="43" spans="2:6">
      <c r="B43" s="68">
        <v>35</v>
      </c>
      <c r="C43" s="487">
        <f t="shared" si="0"/>
        <v>1602.7228444005841</v>
      </c>
      <c r="D43" s="484">
        <f t="shared" si="1"/>
        <v>360.82282709943291</v>
      </c>
      <c r="E43" s="484">
        <f t="shared" si="4"/>
        <v>1241.9000173011511</v>
      </c>
      <c r="F43" s="488">
        <f t="shared" si="5"/>
        <v>35358.8939403759</v>
      </c>
    </row>
    <row r="44" spans="2:6">
      <c r="B44" s="68">
        <v>36</v>
      </c>
      <c r="C44" s="487">
        <f t="shared" si="0"/>
        <v>1602.7228444005841</v>
      </c>
      <c r="D44" s="484">
        <f t="shared" si="1"/>
        <v>348.57976276220575</v>
      </c>
      <c r="E44" s="484">
        <f t="shared" si="4"/>
        <v>1254.1430816383784</v>
      </c>
      <c r="F44" s="488">
        <f t="shared" si="5"/>
        <v>34104.75085873752</v>
      </c>
    </row>
    <row r="45" spans="2:6">
      <c r="B45" s="68">
        <v>37</v>
      </c>
      <c r="C45" s="487">
        <f t="shared" si="0"/>
        <v>1602.7228444005841</v>
      </c>
      <c r="D45" s="484">
        <f t="shared" si="1"/>
        <v>336.21600221572072</v>
      </c>
      <c r="E45" s="484">
        <f t="shared" si="4"/>
        <v>1266.5068421848634</v>
      </c>
      <c r="F45" s="488">
        <f t="shared" si="5"/>
        <v>32838.244016552657</v>
      </c>
    </row>
    <row r="46" spans="2:6">
      <c r="B46" s="68">
        <v>38</v>
      </c>
      <c r="C46" s="487">
        <f t="shared" si="0"/>
        <v>1602.7228444005841</v>
      </c>
      <c r="D46" s="484">
        <f t="shared" si="1"/>
        <v>323.73035559651493</v>
      </c>
      <c r="E46" s="484">
        <f t="shared" si="4"/>
        <v>1278.9924888040691</v>
      </c>
      <c r="F46" s="488">
        <f t="shared" si="5"/>
        <v>31559.251527748587</v>
      </c>
    </row>
    <row r="47" spans="2:6">
      <c r="B47" s="68">
        <v>39</v>
      </c>
      <c r="C47" s="487">
        <f t="shared" si="0"/>
        <v>1602.7228444005841</v>
      </c>
      <c r="D47" s="484">
        <f t="shared" si="1"/>
        <v>311.12162131105481</v>
      </c>
      <c r="E47" s="484">
        <f t="shared" si="4"/>
        <v>1291.6012230895294</v>
      </c>
      <c r="F47" s="488">
        <f t="shared" si="5"/>
        <v>30267.650304659059</v>
      </c>
    </row>
    <row r="48" spans="2:6">
      <c r="B48" s="68">
        <v>40</v>
      </c>
      <c r="C48" s="487">
        <f t="shared" si="0"/>
        <v>1602.7228444005841</v>
      </c>
      <c r="D48" s="484">
        <f t="shared" si="1"/>
        <v>298.38858592009723</v>
      </c>
      <c r="E48" s="484">
        <f t="shared" si="4"/>
        <v>1304.3342584804868</v>
      </c>
      <c r="F48" s="488">
        <f t="shared" si="5"/>
        <v>28963.316046178574</v>
      </c>
    </row>
    <row r="49" spans="2:6">
      <c r="B49" s="68">
        <v>41</v>
      </c>
      <c r="C49" s="487">
        <f t="shared" si="0"/>
        <v>1602.7228444005841</v>
      </c>
      <c r="D49" s="484">
        <f t="shared" si="1"/>
        <v>285.53002402191044</v>
      </c>
      <c r="E49" s="484">
        <f t="shared" si="4"/>
        <v>1317.1928203786738</v>
      </c>
      <c r="F49" s="488">
        <f t="shared" si="5"/>
        <v>27646.1232257999</v>
      </c>
    </row>
    <row r="50" spans="2:6">
      <c r="B50" s="68">
        <v>42</v>
      </c>
      <c r="C50" s="487">
        <f t="shared" si="0"/>
        <v>1602.7228444005841</v>
      </c>
      <c r="D50" s="484">
        <f t="shared" si="1"/>
        <v>272.544698134344</v>
      </c>
      <c r="E50" s="484">
        <f t="shared" si="4"/>
        <v>1330.1781462662402</v>
      </c>
      <c r="F50" s="488">
        <f t="shared" si="5"/>
        <v>26315.94507953366</v>
      </c>
    </row>
    <row r="51" spans="2:6">
      <c r="B51" s="68">
        <v>43</v>
      </c>
      <c r="C51" s="487">
        <f t="shared" si="0"/>
        <v>1602.7228444005841</v>
      </c>
      <c r="D51" s="484">
        <f t="shared" si="1"/>
        <v>259.431358575736</v>
      </c>
      <c r="E51" s="484">
        <f t="shared" si="4"/>
        <v>1343.2914858248482</v>
      </c>
      <c r="F51" s="488">
        <f t="shared" si="5"/>
        <v>24972.653593708812</v>
      </c>
    </row>
    <row r="52" spans="2:6">
      <c r="B52" s="68">
        <v>44</v>
      </c>
      <c r="C52" s="487">
        <f t="shared" si="0"/>
        <v>1602.7228444005841</v>
      </c>
      <c r="D52" s="484">
        <f t="shared" si="1"/>
        <v>246.18874334464604</v>
      </c>
      <c r="E52" s="484">
        <f t="shared" si="4"/>
        <v>1356.534101055938</v>
      </c>
      <c r="F52" s="488">
        <f t="shared" si="5"/>
        <v>23616.119492652873</v>
      </c>
    </row>
    <row r="53" spans="2:6">
      <c r="B53" s="68">
        <v>45</v>
      </c>
      <c r="C53" s="487">
        <f t="shared" si="0"/>
        <v>1602.7228444005841</v>
      </c>
      <c r="D53" s="484">
        <f t="shared" si="1"/>
        <v>232.81557799840292</v>
      </c>
      <c r="E53" s="484">
        <f t="shared" si="4"/>
        <v>1369.9072664021812</v>
      </c>
      <c r="F53" s="488">
        <f t="shared" si="5"/>
        <v>22246.212226250693</v>
      </c>
    </row>
    <row r="54" spans="2:6">
      <c r="B54" s="68">
        <v>46</v>
      </c>
      <c r="C54" s="487">
        <f t="shared" si="0"/>
        <v>1602.7228444005841</v>
      </c>
      <c r="D54" s="484">
        <f t="shared" si="1"/>
        <v>219.31057553045474</v>
      </c>
      <c r="E54" s="484">
        <f t="shared" si="4"/>
        <v>1383.4122688701293</v>
      </c>
      <c r="F54" s="488">
        <f t="shared" si="5"/>
        <v>20862.799957380565</v>
      </c>
    </row>
    <row r="55" spans="2:6">
      <c r="B55" s="68">
        <v>47</v>
      </c>
      <c r="C55" s="487">
        <f t="shared" si="0"/>
        <v>1602.7228444005841</v>
      </c>
      <c r="D55" s="484">
        <f t="shared" si="1"/>
        <v>205.67243624651007</v>
      </c>
      <c r="E55" s="484">
        <f t="shared" si="4"/>
        <v>1397.0504081540739</v>
      </c>
      <c r="F55" s="488">
        <f t="shared" si="5"/>
        <v>19465.74954922649</v>
      </c>
    </row>
    <row r="56" spans="2:6">
      <c r="B56" s="68">
        <v>48</v>
      </c>
      <c r="C56" s="487">
        <f t="shared" si="0"/>
        <v>1602.7228444005841</v>
      </c>
      <c r="D56" s="484">
        <f t="shared" si="1"/>
        <v>191.89984763945782</v>
      </c>
      <c r="E56" s="484">
        <f t="shared" si="4"/>
        <v>1410.8229967611262</v>
      </c>
      <c r="F56" s="488">
        <f t="shared" si="5"/>
        <v>18054.926552465364</v>
      </c>
    </row>
    <row r="57" spans="2:6">
      <c r="B57" s="68">
        <v>49</v>
      </c>
      <c r="C57" s="487">
        <f t="shared" si="0"/>
        <v>1602.7228444005841</v>
      </c>
      <c r="D57" s="484">
        <f t="shared" si="1"/>
        <v>177.99148426305439</v>
      </c>
      <c r="E57" s="484">
        <f t="shared" si="4"/>
        <v>1424.7313601375297</v>
      </c>
      <c r="F57" s="488">
        <f t="shared" si="5"/>
        <v>16630.195192327836</v>
      </c>
    </row>
    <row r="58" spans="2:6">
      <c r="B58" s="68">
        <v>50</v>
      </c>
      <c r="C58" s="487">
        <f t="shared" si="0"/>
        <v>1602.7228444005841</v>
      </c>
      <c r="D58" s="484">
        <f t="shared" si="1"/>
        <v>163.94600760436526</v>
      </c>
      <c r="E58" s="484">
        <f t="shared" si="4"/>
        <v>1438.776836796219</v>
      </c>
      <c r="F58" s="488">
        <f t="shared" si="5"/>
        <v>15191.418355531616</v>
      </c>
    </row>
    <row r="59" spans="2:6">
      <c r="B59" s="68">
        <v>51</v>
      </c>
      <c r="C59" s="487">
        <f t="shared" si="0"/>
        <v>1602.7228444005841</v>
      </c>
      <c r="D59" s="484">
        <f t="shared" si="1"/>
        <v>149.76206595494918</v>
      </c>
      <c r="E59" s="484">
        <f t="shared" si="4"/>
        <v>1452.960778445635</v>
      </c>
      <c r="F59" s="488">
        <f t="shared" si="5"/>
        <v>13738.457577085981</v>
      </c>
    </row>
    <row r="60" spans="2:6">
      <c r="B60" s="68">
        <v>52</v>
      </c>
      <c r="C60" s="487">
        <f t="shared" si="0"/>
        <v>1602.7228444005841</v>
      </c>
      <c r="D60" s="484">
        <f t="shared" si="1"/>
        <v>135.43829428077262</v>
      </c>
      <c r="E60" s="484">
        <f t="shared" si="4"/>
        <v>1467.2845501198115</v>
      </c>
      <c r="F60" s="488">
        <f t="shared" si="5"/>
        <v>12271.173026966169</v>
      </c>
    </row>
    <row r="61" spans="2:6">
      <c r="B61" s="68">
        <v>53</v>
      </c>
      <c r="C61" s="487">
        <f t="shared" si="0"/>
        <v>1602.7228444005841</v>
      </c>
      <c r="D61" s="484">
        <f t="shared" si="1"/>
        <v>120.97331409084148</v>
      </c>
      <c r="E61" s="484">
        <f t="shared" si="4"/>
        <v>1481.7495303097426</v>
      </c>
      <c r="F61" s="488">
        <f t="shared" si="5"/>
        <v>10789.423496656427</v>
      </c>
    </row>
    <row r="62" spans="2:6">
      <c r="B62" s="68">
        <v>54</v>
      </c>
      <c r="C62" s="487">
        <f t="shared" si="0"/>
        <v>1602.7228444005841</v>
      </c>
      <c r="D62" s="484">
        <f t="shared" si="1"/>
        <v>106.36573330453794</v>
      </c>
      <c r="E62" s="484">
        <f t="shared" si="4"/>
        <v>1496.3571110960461</v>
      </c>
      <c r="F62" s="488">
        <f t="shared" si="5"/>
        <v>9293.0663855603816</v>
      </c>
    </row>
    <row r="63" spans="2:6">
      <c r="B63" s="68">
        <v>55</v>
      </c>
      <c r="C63" s="487">
        <f t="shared" si="0"/>
        <v>1602.7228444005841</v>
      </c>
      <c r="D63" s="484">
        <f t="shared" si="1"/>
        <v>91.614146117649426</v>
      </c>
      <c r="E63" s="484">
        <f t="shared" si="4"/>
        <v>1511.1086982829347</v>
      </c>
      <c r="F63" s="488">
        <f t="shared" si="5"/>
        <v>7781.9576872774469</v>
      </c>
    </row>
    <row r="64" spans="2:6">
      <c r="B64" s="68">
        <v>56</v>
      </c>
      <c r="C64" s="487">
        <f t="shared" si="0"/>
        <v>1602.7228444005841</v>
      </c>
      <c r="D64" s="484">
        <f t="shared" si="1"/>
        <v>76.717132867076828</v>
      </c>
      <c r="E64" s="484">
        <f t="shared" si="4"/>
        <v>1526.0057115335073</v>
      </c>
      <c r="F64" s="488">
        <f t="shared" si="5"/>
        <v>6255.9519757439393</v>
      </c>
    </row>
    <row r="65" spans="2:6">
      <c r="B65" s="68">
        <v>57</v>
      </c>
      <c r="C65" s="487">
        <f t="shared" si="0"/>
        <v>1602.7228444005841</v>
      </c>
      <c r="D65" s="484">
        <f t="shared" si="1"/>
        <v>61.673259894209004</v>
      </c>
      <c r="E65" s="484">
        <f t="shared" si="4"/>
        <v>1541.0495845063751</v>
      </c>
      <c r="F65" s="488">
        <f t="shared" si="5"/>
        <v>4714.9023912375642</v>
      </c>
    </row>
    <row r="66" spans="2:6">
      <c r="B66" s="68">
        <v>58</v>
      </c>
      <c r="C66" s="487">
        <f t="shared" si="0"/>
        <v>1602.7228444005841</v>
      </c>
      <c r="D66" s="484">
        <f t="shared" si="1"/>
        <v>46.481079406950322</v>
      </c>
      <c r="E66" s="484">
        <f t="shared" si="4"/>
        <v>1556.2417649936338</v>
      </c>
      <c r="F66" s="488">
        <f t="shared" si="5"/>
        <v>3158.6606262439304</v>
      </c>
    </row>
    <row r="67" spans="2:6">
      <c r="B67" s="68">
        <v>59</v>
      </c>
      <c r="C67" s="487">
        <f t="shared" si="0"/>
        <v>1602.7228444005841</v>
      </c>
      <c r="D67" s="484">
        <f t="shared" si="1"/>
        <v>31.139129340388081</v>
      </c>
      <c r="E67" s="484">
        <f t="shared" si="4"/>
        <v>1571.583715060196</v>
      </c>
      <c r="F67" s="488">
        <f t="shared" si="5"/>
        <v>1587.0769111837344</v>
      </c>
    </row>
    <row r="68" spans="2:6" ht="15.75" thickBot="1">
      <c r="B68" s="68">
        <v>60</v>
      </c>
      <c r="C68" s="487">
        <f t="shared" si="0"/>
        <v>1602.7228444005841</v>
      </c>
      <c r="D68" s="484">
        <f t="shared" si="1"/>
        <v>15.645933216086314</v>
      </c>
      <c r="E68" s="489">
        <f t="shared" si="4"/>
        <v>1587.0769111844977</v>
      </c>
      <c r="F68" s="454">
        <f t="shared" si="5"/>
        <v>-7.6329342846293002E-10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E1:O53"/>
  <sheetViews>
    <sheetView tabSelected="1" workbookViewId="0">
      <selection activeCell="H38" sqref="H38"/>
    </sheetView>
  </sheetViews>
  <sheetFormatPr baseColWidth="10" defaultRowHeight="15"/>
  <cols>
    <col min="5" max="5" width="28.7109375" customWidth="1"/>
    <col min="6" max="6" width="12.42578125" customWidth="1"/>
    <col min="7" max="7" width="15.42578125" customWidth="1"/>
    <col min="8" max="8" width="11.42578125" bestFit="1" customWidth="1"/>
    <col min="9" max="11" width="15.42578125" customWidth="1"/>
    <col min="13" max="13" width="15.7109375" customWidth="1"/>
  </cols>
  <sheetData>
    <row r="1" spans="5:11" s="30" customFormat="1"/>
    <row r="2" spans="5:11" s="30" customFormat="1" ht="15.75" thickBot="1">
      <c r="F2" s="179"/>
      <c r="J2" s="179"/>
    </row>
    <row r="3" spans="5:11" s="30" customFormat="1" ht="15.75" thickBot="1">
      <c r="E3" s="619" t="s">
        <v>399</v>
      </c>
      <c r="F3" s="620"/>
      <c r="I3" s="621" t="s">
        <v>400</v>
      </c>
      <c r="J3" s="622"/>
    </row>
    <row r="4" spans="5:11">
      <c r="E4" s="344" t="s">
        <v>397</v>
      </c>
      <c r="F4" s="345">
        <v>0.05</v>
      </c>
      <c r="I4" s="341" t="s">
        <v>278</v>
      </c>
      <c r="J4" s="343">
        <v>2.5000000000000001E-2</v>
      </c>
    </row>
    <row r="5" spans="5:11" s="30" customFormat="1" ht="15.75" thickBot="1">
      <c r="E5" s="342" t="s">
        <v>295</v>
      </c>
      <c r="F5" s="474">
        <v>5.1400000000000001E-2</v>
      </c>
      <c r="I5" s="342" t="s">
        <v>398</v>
      </c>
      <c r="J5" s="475">
        <v>5.1400000000000001E-2</v>
      </c>
    </row>
    <row r="6" spans="5:11" s="30" customFormat="1" ht="15.75" thickBot="1">
      <c r="F6" s="212"/>
    </row>
    <row r="7" spans="5:11" ht="15.75" thickBot="1">
      <c r="E7" s="220"/>
      <c r="F7" s="577" t="s">
        <v>276</v>
      </c>
      <c r="G7" s="577"/>
      <c r="H7" s="577"/>
      <c r="I7" s="577"/>
      <c r="J7" s="221"/>
      <c r="K7" s="222"/>
    </row>
    <row r="8" spans="5:11">
      <c r="E8" s="501" t="s">
        <v>267</v>
      </c>
      <c r="F8" s="502">
        <v>0</v>
      </c>
      <c r="G8" s="503">
        <v>2012</v>
      </c>
      <c r="H8" s="503">
        <v>2013</v>
      </c>
      <c r="I8" s="503">
        <v>2014</v>
      </c>
      <c r="J8" s="503">
        <v>2015</v>
      </c>
      <c r="K8" s="504">
        <v>2016</v>
      </c>
    </row>
    <row r="9" spans="5:11" s="30" customFormat="1">
      <c r="E9" s="347" t="s">
        <v>294</v>
      </c>
      <c r="F9" s="213"/>
      <c r="G9" s="506">
        <f>+'Capital de Trabajo'!B38</f>
        <v>47085</v>
      </c>
      <c r="H9" s="506">
        <f>+H46*H47</f>
        <v>93585.114000000001</v>
      </c>
      <c r="I9" s="506">
        <f>+I46*I47</f>
        <v>103315.15830257999</v>
      </c>
      <c r="J9" s="506">
        <f t="shared" ref="J9" si="0">+J46*J47</f>
        <v>114056.83531129923</v>
      </c>
      <c r="K9" s="507">
        <f>+K46*K47</f>
        <v>125915.324478615</v>
      </c>
    </row>
    <row r="10" spans="5:11">
      <c r="E10" s="347" t="s">
        <v>432</v>
      </c>
      <c r="F10" s="213"/>
      <c r="G10" s="506">
        <f>+G49*G50</f>
        <v>23370</v>
      </c>
      <c r="H10" s="506">
        <f>+H49*H50</f>
        <v>41151.795999999995</v>
      </c>
      <c r="I10" s="506">
        <f>+I49*I50</f>
        <v>44348.673272259992</v>
      </c>
      <c r="J10" s="506">
        <f t="shared" ref="J10:K10" si="1">+J49*J50</f>
        <v>47793.899955415502</v>
      </c>
      <c r="K10" s="507">
        <f t="shared" si="1"/>
        <v>51506.769073451942</v>
      </c>
    </row>
    <row r="11" spans="5:11">
      <c r="E11" s="349" t="s">
        <v>296</v>
      </c>
      <c r="F11" s="217"/>
      <c r="G11" s="506">
        <f>+G9+G10</f>
        <v>70455</v>
      </c>
      <c r="H11" s="506">
        <f>+H9+H10</f>
        <v>134736.91</v>
      </c>
      <c r="I11" s="506">
        <f>+I9+I10</f>
        <v>147663.83157483998</v>
      </c>
      <c r="J11" s="506">
        <f>+J9+J10</f>
        <v>161850.73526671474</v>
      </c>
      <c r="K11" s="507">
        <f>+K9+K10</f>
        <v>177422.09355206694</v>
      </c>
    </row>
    <row r="12" spans="5:11">
      <c r="E12" s="350" t="s">
        <v>403</v>
      </c>
      <c r="F12" s="213"/>
      <c r="G12" s="506"/>
      <c r="H12" s="506"/>
      <c r="I12" s="506"/>
      <c r="J12" s="506"/>
      <c r="K12" s="507"/>
    </row>
    <row r="13" spans="5:11">
      <c r="E13" s="347" t="s">
        <v>216</v>
      </c>
      <c r="F13" s="213"/>
      <c r="G13" s="506">
        <f>+'Capital de Trabajo'!B52</f>
        <v>23932.723100006253</v>
      </c>
      <c r="H13" s="506">
        <f>+'Capital de Trabajo'!C52</f>
        <v>57806.650077581478</v>
      </c>
      <c r="I13" s="506">
        <f t="shared" ref="I13:K13" si="2">+H13*1.0514</f>
        <v>60777.911891569158</v>
      </c>
      <c r="J13" s="506">
        <f t="shared" si="2"/>
        <v>63901.896562795802</v>
      </c>
      <c r="K13" s="507">
        <f t="shared" si="2"/>
        <v>67186.454046123501</v>
      </c>
    </row>
    <row r="14" spans="5:11">
      <c r="E14" s="347" t="s">
        <v>217</v>
      </c>
      <c r="F14" s="213"/>
      <c r="G14" s="506">
        <f>+'Capital de Trabajo'!C39</f>
        <v>16448.570000000003</v>
      </c>
      <c r="H14" s="506">
        <f>+'Capital de Trabajo'!C45</f>
        <v>13496.88</v>
      </c>
      <c r="I14" s="506">
        <f>+H14*1.0514</f>
        <v>14190.619631999998</v>
      </c>
      <c r="J14" s="506">
        <f t="shared" ref="J14:K14" si="3">+I14*1.0514</f>
        <v>14920.017481084797</v>
      </c>
      <c r="K14" s="507">
        <f t="shared" si="3"/>
        <v>15686.906379612554</v>
      </c>
    </row>
    <row r="15" spans="5:11">
      <c r="E15" s="347" t="s">
        <v>218</v>
      </c>
      <c r="F15" s="213"/>
      <c r="G15" s="506">
        <f>+'Costos Fijos'!D9</f>
        <v>3534.64</v>
      </c>
      <c r="H15" s="506">
        <f>+G15</f>
        <v>3534.64</v>
      </c>
      <c r="I15" s="506">
        <f t="shared" ref="I15:K15" si="4">+H15</f>
        <v>3534.64</v>
      </c>
      <c r="J15" s="506">
        <f t="shared" si="4"/>
        <v>3534.64</v>
      </c>
      <c r="K15" s="507">
        <f t="shared" si="4"/>
        <v>3534.64</v>
      </c>
    </row>
    <row r="16" spans="5:11">
      <c r="E16" s="347" t="s">
        <v>219</v>
      </c>
      <c r="F16" s="213"/>
      <c r="G16" s="506">
        <f>+Publicidad!B14</f>
        <v>12560</v>
      </c>
      <c r="H16" s="506">
        <f>+Publicidad!B24</f>
        <v>9180</v>
      </c>
      <c r="I16" s="506">
        <f>+H16</f>
        <v>9180</v>
      </c>
      <c r="J16" s="506">
        <f t="shared" ref="J16:K16" si="5">+I16</f>
        <v>9180</v>
      </c>
      <c r="K16" s="507">
        <f t="shared" si="5"/>
        <v>9180</v>
      </c>
    </row>
    <row r="17" spans="5:15">
      <c r="E17" s="347" t="s">
        <v>250</v>
      </c>
      <c r="F17" s="213"/>
      <c r="G17" s="506">
        <f>+'Costos Fijos'!D12</f>
        <v>8000</v>
      </c>
      <c r="H17" s="506">
        <f>+G17</f>
        <v>8000</v>
      </c>
      <c r="I17" s="506">
        <f t="shared" ref="I17:K17" si="6">+H17</f>
        <v>8000</v>
      </c>
      <c r="J17" s="506">
        <f t="shared" si="6"/>
        <v>8000</v>
      </c>
      <c r="K17" s="507">
        <f t="shared" si="6"/>
        <v>8000</v>
      </c>
    </row>
    <row r="18" spans="5:15" s="30" customFormat="1">
      <c r="E18" s="347" t="s">
        <v>395</v>
      </c>
      <c r="F18" s="213"/>
      <c r="G18" s="506">
        <f>+'Capital de Trabajo'!B46</f>
        <v>1360</v>
      </c>
      <c r="H18" s="506">
        <f>+'Capital de Trabajo'!C46</f>
        <v>2144.8560000000002</v>
      </c>
      <c r="I18" s="506">
        <f>+H18*1.0514</f>
        <v>2255.1015984000001</v>
      </c>
      <c r="J18" s="506">
        <f t="shared" ref="J18:K18" si="7">+I18*1.0514</f>
        <v>2371.01382055776</v>
      </c>
      <c r="K18" s="507">
        <f t="shared" si="7"/>
        <v>2492.8839309344285</v>
      </c>
    </row>
    <row r="19" spans="5:15" s="30" customFormat="1">
      <c r="E19" s="347" t="s">
        <v>431</v>
      </c>
      <c r="F19" s="213"/>
      <c r="G19" s="506">
        <f>+'Capital de Trabajo'!B47</f>
        <v>1120</v>
      </c>
      <c r="H19" s="506">
        <f>+'Capital de Trabajo'!C47</f>
        <v>1766.3519999999996</v>
      </c>
      <c r="I19" s="506">
        <f>+H19*1.0514</f>
        <v>1857.1424927999994</v>
      </c>
      <c r="J19" s="506">
        <f t="shared" ref="J19:K19" si="8">+I19*1.0514</f>
        <v>1952.5996169299192</v>
      </c>
      <c r="K19" s="507">
        <f t="shared" si="8"/>
        <v>2052.963237240117</v>
      </c>
    </row>
    <row r="20" spans="5:15">
      <c r="E20" s="347" t="s">
        <v>396</v>
      </c>
      <c r="F20" s="213"/>
      <c r="G20" s="506">
        <f>+DEPRECIACION!I47</f>
        <v>8864.5375000000004</v>
      </c>
      <c r="H20" s="506">
        <f>+G20</f>
        <v>8864.5375000000004</v>
      </c>
      <c r="I20" s="506">
        <f t="shared" ref="I20:K20" si="9">+H20</f>
        <v>8864.5375000000004</v>
      </c>
      <c r="J20" s="506">
        <f t="shared" si="9"/>
        <v>8864.5375000000004</v>
      </c>
      <c r="K20" s="507">
        <f t="shared" si="9"/>
        <v>8864.5375000000004</v>
      </c>
    </row>
    <row r="21" spans="5:15" s="30" customFormat="1">
      <c r="E21" s="347" t="s">
        <v>280</v>
      </c>
      <c r="F21" s="213"/>
      <c r="G21" s="506">
        <f>+Financiamiento!I4</f>
        <v>5453.9036409884911</v>
      </c>
      <c r="H21" s="506">
        <f>+Financiamiento!I5</f>
        <v>7037.7927223761644</v>
      </c>
      <c r="I21" s="506">
        <f>+Financiamiento!I6</f>
        <v>5514.2879386777968</v>
      </c>
      <c r="J21" s="506">
        <f>+Financiamiento!I7</f>
        <v>3800.4519210925218</v>
      </c>
      <c r="K21" s="507">
        <f>+Financiamiento!I8</f>
        <v>1872.5066158980728</v>
      </c>
    </row>
    <row r="22" spans="5:15">
      <c r="E22" s="351" t="s">
        <v>404</v>
      </c>
      <c r="F22" s="216"/>
      <c r="G22" s="506">
        <f>SUM(G13:G21)</f>
        <v>81274.374240994744</v>
      </c>
      <c r="H22" s="506">
        <f>SUM(H13:H21)</f>
        <v>111831.70829995765</v>
      </c>
      <c r="I22" s="506">
        <f t="shared" ref="I22:K22" si="10">SUM(I13:I21)</f>
        <v>114174.24105344695</v>
      </c>
      <c r="J22" s="506">
        <f t="shared" si="10"/>
        <v>116525.15690246079</v>
      </c>
      <c r="K22" s="507">
        <f t="shared" si="10"/>
        <v>118870.89170980868</v>
      </c>
    </row>
    <row r="23" spans="5:15">
      <c r="E23" s="352" t="s">
        <v>279</v>
      </c>
      <c r="F23" s="217"/>
      <c r="G23" s="508">
        <f>G11-G22</f>
        <v>-10819.374240994744</v>
      </c>
      <c r="H23" s="508">
        <f>H11-H22</f>
        <v>22905.201700042351</v>
      </c>
      <c r="I23" s="508">
        <f>I11-I22</f>
        <v>33489.590521393024</v>
      </c>
      <c r="J23" s="509">
        <f>J11-J22</f>
        <v>45325.578364253946</v>
      </c>
      <c r="K23" s="510">
        <f>K11-K22</f>
        <v>58551.201842258262</v>
      </c>
    </row>
    <row r="24" spans="5:15">
      <c r="E24" s="347" t="s">
        <v>281</v>
      </c>
      <c r="F24" s="213"/>
      <c r="G24" s="511"/>
      <c r="H24" s="511">
        <f>+H23*0.15</f>
        <v>3435.7802550063525</v>
      </c>
      <c r="I24" s="511">
        <f t="shared" ref="I24:K24" si="11">+I23*0.15</f>
        <v>5023.438578208953</v>
      </c>
      <c r="J24" s="511">
        <f t="shared" si="11"/>
        <v>6798.8367546380914</v>
      </c>
      <c r="K24" s="512">
        <f t="shared" si="11"/>
        <v>8782.6802763387386</v>
      </c>
    </row>
    <row r="25" spans="5:15">
      <c r="E25" s="352" t="s">
        <v>282</v>
      </c>
      <c r="F25" s="217"/>
      <c r="G25" s="511">
        <f>+G23-G24</f>
        <v>-10819.374240994744</v>
      </c>
      <c r="H25" s="511">
        <f t="shared" ref="H25:K25" si="12">+H23-H24</f>
        <v>19469.421445035998</v>
      </c>
      <c r="I25" s="511">
        <f t="shared" si="12"/>
        <v>28466.151943184072</v>
      </c>
      <c r="J25" s="506">
        <f t="shared" si="12"/>
        <v>38526.741609615856</v>
      </c>
      <c r="K25" s="507">
        <f t="shared" si="12"/>
        <v>49768.521565919524</v>
      </c>
    </row>
    <row r="26" spans="5:15">
      <c r="E26" s="347" t="s">
        <v>283</v>
      </c>
      <c r="F26" s="213"/>
      <c r="G26" s="506">
        <f>+IF(G25&gt;0,G25*0.23,0)</f>
        <v>0</v>
      </c>
      <c r="H26" s="506">
        <f>+H25*0.22</f>
        <v>4283.2727179079193</v>
      </c>
      <c r="I26" s="506">
        <f>+I25*22%</f>
        <v>6262.5534275004957</v>
      </c>
      <c r="J26" s="506">
        <f t="shared" ref="J26:K26" si="13">+J25*0.22</f>
        <v>8475.8831541154887</v>
      </c>
      <c r="K26" s="507">
        <f t="shared" si="13"/>
        <v>10949.074744502295</v>
      </c>
    </row>
    <row r="27" spans="5:15">
      <c r="E27" s="351" t="s">
        <v>284</v>
      </c>
      <c r="F27" s="217"/>
      <c r="G27" s="508">
        <f>+G25-G26</f>
        <v>-10819.374240994744</v>
      </c>
      <c r="H27" s="508">
        <f t="shared" ref="H27:K27" si="14">+H25-H26</f>
        <v>15186.148727128078</v>
      </c>
      <c r="I27" s="508">
        <f t="shared" si="14"/>
        <v>22203.598515683574</v>
      </c>
      <c r="J27" s="509">
        <f t="shared" si="14"/>
        <v>30050.858455500369</v>
      </c>
      <c r="K27" s="510">
        <f t="shared" si="14"/>
        <v>38819.44682141723</v>
      </c>
    </row>
    <row r="28" spans="5:15">
      <c r="E28" s="353" t="s">
        <v>396</v>
      </c>
      <c r="F28" s="214"/>
      <c r="G28" s="506">
        <f>G20</f>
        <v>8864.5375000000004</v>
      </c>
      <c r="H28" s="506">
        <f t="shared" ref="H28:K28" si="15">H20</f>
        <v>8864.5375000000004</v>
      </c>
      <c r="I28" s="506">
        <f t="shared" si="15"/>
        <v>8864.5375000000004</v>
      </c>
      <c r="J28" s="506">
        <f t="shared" si="15"/>
        <v>8864.5375000000004</v>
      </c>
      <c r="K28" s="507">
        <f t="shared" si="15"/>
        <v>8864.5375000000004</v>
      </c>
    </row>
    <row r="29" spans="5:15">
      <c r="E29" s="353" t="s">
        <v>286</v>
      </c>
      <c r="F29" s="214"/>
      <c r="G29" s="511">
        <f>-Financiamiento!J4</f>
        <v>-7367.8791142161817</v>
      </c>
      <c r="H29" s="511">
        <f>-Financiamiento!J5</f>
        <v>-12194.881410430846</v>
      </c>
      <c r="I29" s="511">
        <f>-Financiamiento!J6</f>
        <v>-13718.386194129213</v>
      </c>
      <c r="J29" s="511">
        <f>-Financiamiento!J7</f>
        <v>-15432.222211714487</v>
      </c>
      <c r="K29" s="512">
        <f>-Financiamiento!J8</f>
        <v>-17360.167516908936</v>
      </c>
    </row>
    <row r="30" spans="5:15">
      <c r="E30" s="349" t="s">
        <v>287</v>
      </c>
      <c r="F30" s="311">
        <f>-'Capital de Trabajo'!B29</f>
        <v>-103327.84060449086</v>
      </c>
      <c r="G30" s="506"/>
      <c r="H30" s="506"/>
      <c r="I30" s="506"/>
      <c r="J30" s="506"/>
      <c r="K30" s="507"/>
      <c r="N30" s="477"/>
      <c r="O30" s="476"/>
    </row>
    <row r="31" spans="5:15">
      <c r="E31" s="349" t="s">
        <v>288</v>
      </c>
      <c r="F31" s="311">
        <f>-'Capital de Trabajo'!B28</f>
        <v>-10193.370604490876</v>
      </c>
      <c r="G31" s="506"/>
      <c r="H31" s="506"/>
      <c r="I31" s="506"/>
      <c r="J31" s="506"/>
      <c r="K31" s="507"/>
    </row>
    <row r="32" spans="5:15">
      <c r="E32" s="349" t="s">
        <v>289</v>
      </c>
      <c r="F32" s="215">
        <f>+'Capital de Trabajo'!B32</f>
        <v>72329.488423143601</v>
      </c>
      <c r="G32" s="506"/>
      <c r="H32" s="506"/>
      <c r="I32" s="506"/>
      <c r="J32" s="506"/>
      <c r="K32" s="507"/>
    </row>
    <row r="33" spans="5:11">
      <c r="E33" s="349" t="s">
        <v>290</v>
      </c>
      <c r="F33" s="214"/>
      <c r="G33" s="506"/>
      <c r="H33" s="506"/>
      <c r="I33" s="506"/>
      <c r="J33" s="506"/>
      <c r="K33" s="507">
        <f>-F31</f>
        <v>10193.370604490876</v>
      </c>
    </row>
    <row r="34" spans="5:11">
      <c r="E34" s="349" t="s">
        <v>269</v>
      </c>
      <c r="F34" s="214"/>
      <c r="G34" s="506"/>
      <c r="H34" s="506"/>
      <c r="I34" s="506"/>
      <c r="J34" s="506"/>
      <c r="K34" s="507">
        <f>+DEPRECIACION!F73</f>
        <v>45584.112499999996</v>
      </c>
    </row>
    <row r="35" spans="5:11" ht="15.75" thickBot="1">
      <c r="E35" s="514" t="s">
        <v>291</v>
      </c>
      <c r="F35" s="515">
        <f>SUM(F30:F34)</f>
        <v>-41191.722785838137</v>
      </c>
      <c r="G35" s="516">
        <f>SUM(G27:G34)</f>
        <v>-9322.7158552109249</v>
      </c>
      <c r="H35" s="517">
        <f t="shared" ref="H35:K35" si="16">SUM(H27:H34)</f>
        <v>11855.804816697231</v>
      </c>
      <c r="I35" s="517">
        <f>SUM(I27:I34)</f>
        <v>17349.74982155436</v>
      </c>
      <c r="J35" s="517">
        <f t="shared" si="16"/>
        <v>23483.173743785883</v>
      </c>
      <c r="K35" s="518">
        <f t="shared" si="16"/>
        <v>86101.299908999164</v>
      </c>
    </row>
    <row r="36" spans="5:11">
      <c r="E36" s="519" t="s">
        <v>292</v>
      </c>
      <c r="F36" s="520">
        <f>+CAPM!B22</f>
        <v>0.25212833333333334</v>
      </c>
      <c r="G36" s="513"/>
      <c r="H36" s="513"/>
      <c r="I36" s="513"/>
      <c r="J36" s="513"/>
      <c r="K36" s="513"/>
    </row>
    <row r="37" spans="5:11">
      <c r="E37" s="354" t="s">
        <v>293</v>
      </c>
      <c r="F37" s="521">
        <f>+IRR(F35:K35)</f>
        <v>0.28566662221810213</v>
      </c>
      <c r="G37" s="513"/>
      <c r="H37" s="513"/>
      <c r="I37" s="513"/>
      <c r="J37" s="513"/>
      <c r="K37" s="513"/>
    </row>
    <row r="38" spans="5:11" ht="15.75" thickBot="1">
      <c r="E38" s="355" t="s">
        <v>96</v>
      </c>
      <c r="F38" s="522">
        <f>+NPV(F36,G35:K35)+F35</f>
        <v>5290.7548558494309</v>
      </c>
      <c r="G38" s="513"/>
      <c r="H38" s="513"/>
      <c r="I38" s="513"/>
      <c r="J38" s="513"/>
      <c r="K38" s="513"/>
    </row>
    <row r="43" spans="5:11" ht="15.75" thickBot="1"/>
    <row r="44" spans="5:11" ht="15.75" thickBot="1">
      <c r="F44" s="623" t="s">
        <v>448</v>
      </c>
      <c r="G44" s="624"/>
      <c r="H44" s="624"/>
      <c r="I44" s="624"/>
      <c r="J44" s="624"/>
      <c r="K44" s="625"/>
    </row>
    <row r="45" spans="5:11" ht="15.75" thickBot="1">
      <c r="F45" s="431">
        <v>0</v>
      </c>
      <c r="G45" s="432">
        <v>2012</v>
      </c>
      <c r="H45" s="432">
        <v>2013</v>
      </c>
      <c r="I45" s="432">
        <v>2014</v>
      </c>
      <c r="J45" s="432">
        <v>2015</v>
      </c>
      <c r="K45" s="433">
        <v>2016</v>
      </c>
    </row>
    <row r="46" spans="5:11">
      <c r="E46" s="427" t="s">
        <v>252</v>
      </c>
      <c r="F46" s="268"/>
      <c r="G46" s="486">
        <f>+'Capital de Trabajo'!B3</f>
        <v>215</v>
      </c>
      <c r="H46" s="486">
        <f>+'Capital de Trabajo'!J3</f>
        <v>226.05099999999999</v>
      </c>
      <c r="I46" s="486">
        <f>+H46*1.0514</f>
        <v>237.67002139999997</v>
      </c>
      <c r="J46" s="486">
        <f t="shared" ref="J46:K46" si="17">+I46*1.0514</f>
        <v>249.88626049995995</v>
      </c>
      <c r="K46" s="486">
        <f t="shared" si="17"/>
        <v>262.73041428965786</v>
      </c>
    </row>
    <row r="47" spans="5:11" ht="15.75" thickBot="1">
      <c r="E47" s="428" t="s">
        <v>422</v>
      </c>
      <c r="F47" s="50"/>
      <c r="G47" s="491">
        <f>+'Capital de Trabajo'!D38</f>
        <v>219</v>
      </c>
      <c r="H47" s="491">
        <f>+'Capital de Trabajo'!E38</f>
        <v>414</v>
      </c>
      <c r="I47" s="523">
        <f>+H47*1.05</f>
        <v>434.70000000000005</v>
      </c>
      <c r="J47" s="523">
        <f t="shared" ref="J47:K47" si="18">+I47*1.05</f>
        <v>456.43500000000006</v>
      </c>
      <c r="K47" s="524">
        <f t="shared" si="18"/>
        <v>479.25675000000007</v>
      </c>
    </row>
    <row r="48" spans="5:11" s="30" customFormat="1">
      <c r="E48" s="429" t="s">
        <v>430</v>
      </c>
      <c r="F48" s="50"/>
      <c r="G48" s="486">
        <f>+$G$46*G47</f>
        <v>47085</v>
      </c>
      <c r="H48" s="486">
        <f t="shared" ref="H48" si="19">+H46*H47</f>
        <v>93585.114000000001</v>
      </c>
      <c r="I48" s="486">
        <f>+I46*I47</f>
        <v>103315.15830257999</v>
      </c>
      <c r="J48" s="486">
        <f>+J46*J47</f>
        <v>114056.83531129923</v>
      </c>
      <c r="K48" s="451">
        <f>+K46*K47</f>
        <v>125915.324478615</v>
      </c>
    </row>
    <row r="49" spans="5:13">
      <c r="E49" s="428" t="s">
        <v>277</v>
      </c>
      <c r="F49" s="50"/>
      <c r="G49" s="484">
        <f>+'Capital de Trabajo'!B6</f>
        <v>190</v>
      </c>
      <c r="H49" s="484">
        <f>+G49*1.0514</f>
        <v>199.76599999999999</v>
      </c>
      <c r="I49" s="484">
        <f t="shared" ref="I49:K49" si="20">+H49*1.0514</f>
        <v>210.03397239999998</v>
      </c>
      <c r="J49" s="484">
        <f t="shared" si="20"/>
        <v>220.82971858135997</v>
      </c>
      <c r="K49" s="484">
        <f t="shared" si="20"/>
        <v>232.18036611644186</v>
      </c>
      <c r="M49" s="456"/>
    </row>
    <row r="50" spans="5:13" ht="15.75" thickBot="1">
      <c r="E50" s="428" t="s">
        <v>453</v>
      </c>
      <c r="F50" s="50"/>
      <c r="G50" s="491">
        <f>+'Capital de Trabajo'!D39</f>
        <v>123</v>
      </c>
      <c r="H50" s="491">
        <f>+'Capital de Trabajo'!E39</f>
        <v>206</v>
      </c>
      <c r="I50" s="523">
        <f>+H50*1.025</f>
        <v>211.14999999999998</v>
      </c>
      <c r="J50" s="523">
        <f t="shared" ref="J50:K50" si="21">+I50*1.025</f>
        <v>216.42874999999995</v>
      </c>
      <c r="K50" s="524">
        <f t="shared" si="21"/>
        <v>221.83946874999992</v>
      </c>
      <c r="M50" s="30"/>
    </row>
    <row r="51" spans="5:13" s="30" customFormat="1" ht="15.75" thickBot="1">
      <c r="E51" s="430" t="s">
        <v>430</v>
      </c>
      <c r="F51" s="270"/>
      <c r="G51" s="525">
        <f>+$G$49*G50</f>
        <v>23370</v>
      </c>
      <c r="H51" s="525">
        <f t="shared" ref="H51:K51" si="22">+H49*H50</f>
        <v>41151.795999999995</v>
      </c>
      <c r="I51" s="525">
        <f t="shared" si="22"/>
        <v>44348.673272259992</v>
      </c>
      <c r="J51" s="525">
        <f t="shared" si="22"/>
        <v>47793.899955415502</v>
      </c>
      <c r="K51" s="526">
        <f t="shared" si="22"/>
        <v>51506.769073451942</v>
      </c>
      <c r="M51" s="178"/>
    </row>
    <row r="53" spans="5:13">
      <c r="I53" s="178"/>
      <c r="M53" s="30"/>
    </row>
  </sheetData>
  <mergeCells count="4">
    <mergeCell ref="F7:I7"/>
    <mergeCell ref="E3:F3"/>
    <mergeCell ref="I3:J3"/>
    <mergeCell ref="F44:K4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5050"/>
  </sheetPr>
  <dimension ref="D1:I21"/>
  <sheetViews>
    <sheetView workbookViewId="0">
      <selection activeCell="H16" sqref="H16"/>
    </sheetView>
  </sheetViews>
  <sheetFormatPr baseColWidth="10" defaultRowHeight="15"/>
  <cols>
    <col min="5" max="5" width="17.5703125" customWidth="1"/>
    <col min="6" max="6" width="12.85546875" customWidth="1"/>
    <col min="7" max="7" width="19.28515625" customWidth="1"/>
    <col min="8" max="8" width="22" customWidth="1"/>
  </cols>
  <sheetData>
    <row r="1" spans="4:9" ht="15.75" thickBot="1"/>
    <row r="2" spans="4:9" ht="15.75" thickBot="1">
      <c r="D2" s="626" t="s">
        <v>298</v>
      </c>
      <c r="E2" s="627"/>
      <c r="F2" s="627"/>
      <c r="G2" s="627"/>
      <c r="H2" s="628"/>
      <c r="I2" s="207"/>
    </row>
    <row r="3" spans="4:9" ht="15.75" thickBot="1">
      <c r="D3" s="312" t="s">
        <v>267</v>
      </c>
      <c r="E3" s="312" t="s">
        <v>299</v>
      </c>
      <c r="F3" s="312" t="s">
        <v>276</v>
      </c>
      <c r="G3" s="312" t="s">
        <v>300</v>
      </c>
      <c r="H3" s="312" t="s">
        <v>301</v>
      </c>
    </row>
    <row r="4" spans="4:9" ht="15.75" thickBot="1">
      <c r="D4" s="105">
        <v>1</v>
      </c>
      <c r="E4" s="314">
        <f>-'Flujo de Caja'!F30</f>
        <v>103327.84060449086</v>
      </c>
      <c r="F4" s="255">
        <f>+'Flujo de Caja'!G35</f>
        <v>-9322.7158552109249</v>
      </c>
      <c r="G4" s="255">
        <f>+E4*'Flujo de Caja'!$F$36</f>
        <v>26051.876238542609</v>
      </c>
      <c r="H4" s="255">
        <f>F4-G4</f>
        <v>-35374.592093753534</v>
      </c>
    </row>
    <row r="5" spans="4:9" ht="15.75" thickBot="1">
      <c r="D5" s="105">
        <v>2</v>
      </c>
      <c r="E5" s="255">
        <f>E4-H4</f>
        <v>138702.4326982444</v>
      </c>
      <c r="F5" s="255">
        <f>+'Flujo de Caja'!H35</f>
        <v>11855.804816697231</v>
      </c>
      <c r="G5" s="255">
        <f>E5*'Flujo de Caja'!$F$36</f>
        <v>34970.813185487197</v>
      </c>
      <c r="H5" s="255">
        <f>F5-G5</f>
        <v>-23115.008368789968</v>
      </c>
    </row>
    <row r="6" spans="4:9" ht="15.75" thickBot="1">
      <c r="D6" s="105">
        <v>3</v>
      </c>
      <c r="E6" s="255">
        <f t="shared" ref="E6:E8" si="0">E5-H5</f>
        <v>161817.44106703438</v>
      </c>
      <c r="F6" s="255">
        <f>+'Flujo de Caja'!I35</f>
        <v>17349.74982155436</v>
      </c>
      <c r="G6" s="255">
        <f>E6*'Flujo de Caja'!$F$36</f>
        <v>40798.761720496266</v>
      </c>
      <c r="H6" s="255">
        <f t="shared" ref="H6:H8" si="1">F6-G6</f>
        <v>-23449.011898941906</v>
      </c>
    </row>
    <row r="7" spans="4:9" ht="15.75" thickBot="1">
      <c r="D7" s="105">
        <v>4</v>
      </c>
      <c r="E7" s="255">
        <f t="shared" si="0"/>
        <v>185266.45296597629</v>
      </c>
      <c r="F7" s="255">
        <f>+'Flujo de Caja'!J35</f>
        <v>23483.173743785883</v>
      </c>
      <c r="G7" s="255">
        <f>E7*'Flujo de Caja'!$F$36</f>
        <v>46710.922008889997</v>
      </c>
      <c r="H7" s="255">
        <f t="shared" si="1"/>
        <v>-23227.748265104114</v>
      </c>
    </row>
    <row r="8" spans="4:9" ht="15.75" thickBot="1">
      <c r="D8" s="105">
        <v>5</v>
      </c>
      <c r="E8" s="255">
        <f t="shared" si="0"/>
        <v>208494.2012310804</v>
      </c>
      <c r="F8" s="255">
        <f>+'Flujo de Caja'!K35</f>
        <v>86101.299908999164</v>
      </c>
      <c r="G8" s="255">
        <f>E8*'Flujo de Caja'!$F$36</f>
        <v>52567.295466056916</v>
      </c>
      <c r="H8" s="255">
        <f t="shared" si="1"/>
        <v>33534.004442942249</v>
      </c>
    </row>
    <row r="9" spans="4:9">
      <c r="D9" s="218"/>
      <c r="E9" s="179"/>
      <c r="G9" s="179"/>
      <c r="H9" s="179"/>
    </row>
    <row r="14" spans="4:9">
      <c r="D14" s="250"/>
      <c r="E14" s="250"/>
      <c r="F14" s="250"/>
      <c r="G14" s="250"/>
      <c r="H14" s="250"/>
    </row>
    <row r="15" spans="4:9">
      <c r="D15" s="115"/>
      <c r="E15" s="248"/>
      <c r="F15" s="248"/>
      <c r="G15" s="248"/>
      <c r="H15" s="115"/>
    </row>
    <row r="16" spans="4:9">
      <c r="D16" s="115"/>
      <c r="E16" s="249"/>
      <c r="F16" s="249"/>
      <c r="G16" s="249"/>
      <c r="H16" s="249"/>
    </row>
    <row r="17" spans="4:8">
      <c r="D17" s="115"/>
      <c r="E17" s="249"/>
      <c r="F17" s="249"/>
      <c r="G17" s="249"/>
      <c r="H17" s="249"/>
    </row>
    <row r="18" spans="4:8">
      <c r="D18" s="115"/>
      <c r="E18" s="249"/>
      <c r="F18" s="249"/>
      <c r="G18" s="249"/>
      <c r="H18" s="249"/>
    </row>
    <row r="19" spans="4:8">
      <c r="D19" s="115"/>
      <c r="E19" s="249"/>
      <c r="F19" s="249"/>
      <c r="G19" s="249"/>
      <c r="H19" s="249"/>
    </row>
    <row r="20" spans="4:8">
      <c r="D20" s="115"/>
      <c r="E20" s="249"/>
      <c r="F20" s="249"/>
      <c r="G20" s="249"/>
      <c r="H20" s="249"/>
    </row>
    <row r="21" spans="4:8">
      <c r="D21" s="35"/>
      <c r="E21" s="35"/>
      <c r="F21" s="35"/>
      <c r="G21" s="35"/>
      <c r="H21" s="35"/>
    </row>
  </sheetData>
  <mergeCells count="1">
    <mergeCell ref="D2:H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CCC"/>
  </sheetPr>
  <dimension ref="A2:I36"/>
  <sheetViews>
    <sheetView topLeftCell="A4" workbookViewId="0">
      <selection activeCell="A16" sqref="A16:B22"/>
    </sheetView>
  </sheetViews>
  <sheetFormatPr baseColWidth="10" defaultRowHeight="15"/>
  <cols>
    <col min="1" max="1" width="30.28515625" bestFit="1" customWidth="1"/>
    <col min="2" max="2" width="12.42578125" bestFit="1" customWidth="1"/>
    <col min="4" max="4" width="33.140625" bestFit="1" customWidth="1"/>
  </cols>
  <sheetData>
    <row r="2" spans="1:9" ht="15.75" thickBot="1">
      <c r="A2" s="629" t="s">
        <v>303</v>
      </c>
      <c r="B2" s="629"/>
    </row>
    <row r="3" spans="1:9">
      <c r="A3" s="356" t="s">
        <v>309</v>
      </c>
      <c r="B3" s="357">
        <v>1.32</v>
      </c>
      <c r="C3" s="247" t="s">
        <v>353</v>
      </c>
    </row>
    <row r="4" spans="1:9" s="30" customFormat="1" ht="15.75" thickBot="1">
      <c r="A4" s="358" t="s">
        <v>354</v>
      </c>
      <c r="B4" s="269">
        <v>0.17399999999999999</v>
      </c>
      <c r="C4" s="247"/>
      <c r="H4" s="631" t="s">
        <v>319</v>
      </c>
      <c r="I4" s="631"/>
    </row>
    <row r="5" spans="1:9" s="30" customFormat="1">
      <c r="A5" s="358" t="s">
        <v>355</v>
      </c>
      <c r="B5" s="269">
        <v>0.308</v>
      </c>
      <c r="C5" s="247"/>
      <c r="H5" s="366" t="s">
        <v>320</v>
      </c>
      <c r="I5" s="367" t="s">
        <v>321</v>
      </c>
    </row>
    <row r="6" spans="1:9">
      <c r="A6" s="359" t="s">
        <v>304</v>
      </c>
      <c r="B6" s="360">
        <f>+B3/(1+(B4*(1-B5)))</f>
        <v>1.1781422481810198</v>
      </c>
      <c r="D6" s="178"/>
      <c r="H6" s="368" t="s">
        <v>322</v>
      </c>
      <c r="I6" s="369">
        <v>818</v>
      </c>
    </row>
    <row r="7" spans="1:9">
      <c r="A7" s="359" t="s">
        <v>270</v>
      </c>
      <c r="B7" s="361">
        <f>B8+B9</f>
        <v>103327.84060449086</v>
      </c>
      <c r="C7" s="178"/>
      <c r="D7" s="178"/>
      <c r="H7" s="368" t="s">
        <v>323</v>
      </c>
      <c r="I7" s="369">
        <v>811</v>
      </c>
    </row>
    <row r="8" spans="1:9">
      <c r="A8" s="359" t="s">
        <v>305</v>
      </c>
      <c r="B8" s="361">
        <f>+'Capital de Trabajo'!B32</f>
        <v>72329.488423143601</v>
      </c>
      <c r="H8" s="368" t="s">
        <v>324</v>
      </c>
      <c r="I8" s="369">
        <v>811</v>
      </c>
    </row>
    <row r="9" spans="1:9">
      <c r="A9" s="359" t="s">
        <v>306</v>
      </c>
      <c r="B9" s="361">
        <f>+'Capital de Trabajo'!B33</f>
        <v>30998.352181347262</v>
      </c>
      <c r="H9" s="368" t="s">
        <v>325</v>
      </c>
      <c r="I9" s="369">
        <v>811</v>
      </c>
    </row>
    <row r="10" spans="1:9">
      <c r="A10" s="359" t="s">
        <v>401</v>
      </c>
      <c r="B10" s="362">
        <f>B8/B7</f>
        <v>0.7</v>
      </c>
      <c r="H10" s="368" t="s">
        <v>326</v>
      </c>
      <c r="I10" s="369">
        <v>811</v>
      </c>
    </row>
    <row r="11" spans="1:9">
      <c r="A11" s="359" t="s">
        <v>402</v>
      </c>
      <c r="B11" s="362">
        <f>B9/B7</f>
        <v>0.30000000000000004</v>
      </c>
      <c r="H11" s="368" t="s">
        <v>327</v>
      </c>
      <c r="I11" s="369">
        <v>807</v>
      </c>
    </row>
    <row r="12" spans="1:9">
      <c r="A12" s="359" t="s">
        <v>307</v>
      </c>
      <c r="B12" s="363">
        <v>0.23</v>
      </c>
      <c r="H12" s="368" t="s">
        <v>328</v>
      </c>
      <c r="I12" s="369">
        <v>804</v>
      </c>
    </row>
    <row r="13" spans="1:9" ht="15.75" thickBot="1">
      <c r="A13" s="364" t="s">
        <v>308</v>
      </c>
      <c r="B13" s="365">
        <f>B6*(1+((B10/B11)*(1-0.23)))</f>
        <v>3.2948711540795848</v>
      </c>
      <c r="H13" s="368" t="s">
        <v>329</v>
      </c>
      <c r="I13" s="369">
        <v>827</v>
      </c>
    </row>
    <row r="14" spans="1:9">
      <c r="H14" s="368" t="s">
        <v>330</v>
      </c>
      <c r="I14" s="369">
        <v>824</v>
      </c>
    </row>
    <row r="15" spans="1:9">
      <c r="H15" s="368" t="s">
        <v>331</v>
      </c>
      <c r="I15" s="369">
        <v>824</v>
      </c>
    </row>
    <row r="16" spans="1:9">
      <c r="A16" s="630" t="s">
        <v>311</v>
      </c>
      <c r="B16" s="630"/>
      <c r="H16" s="368" t="s">
        <v>332</v>
      </c>
      <c r="I16" s="369">
        <v>824</v>
      </c>
    </row>
    <row r="17" spans="1:9">
      <c r="A17" s="237" t="s">
        <v>312</v>
      </c>
      <c r="B17" s="240">
        <f>+I36</f>
        <v>807.73333333333335</v>
      </c>
      <c r="H17" s="368" t="s">
        <v>333</v>
      </c>
      <c r="I17" s="369">
        <v>826</v>
      </c>
    </row>
    <row r="18" spans="1:9">
      <c r="A18" s="237" t="s">
        <v>313</v>
      </c>
      <c r="B18" s="241">
        <f>(B17/100)/100</f>
        <v>8.0773333333333336E-2</v>
      </c>
      <c r="H18" s="368" t="s">
        <v>334</v>
      </c>
      <c r="I18" s="369">
        <v>809</v>
      </c>
    </row>
    <row r="19" spans="1:9">
      <c r="A19" s="237" t="s">
        <v>314</v>
      </c>
      <c r="B19" s="313">
        <v>8.5000000000000006E-3</v>
      </c>
      <c r="H19" s="368" t="s">
        <v>335</v>
      </c>
      <c r="I19" s="369">
        <v>810</v>
      </c>
    </row>
    <row r="20" spans="1:9">
      <c r="A20" s="237" t="s">
        <v>308</v>
      </c>
      <c r="B20" s="238">
        <v>3.29</v>
      </c>
      <c r="H20" s="368" t="s">
        <v>336</v>
      </c>
      <c r="I20" s="369">
        <v>806</v>
      </c>
    </row>
    <row r="21" spans="1:9">
      <c r="A21" s="237" t="s">
        <v>315</v>
      </c>
      <c r="B21" s="239">
        <v>5.8000000000000003E-2</v>
      </c>
      <c r="H21" s="368" t="s">
        <v>337</v>
      </c>
      <c r="I21" s="369">
        <v>804</v>
      </c>
    </row>
    <row r="22" spans="1:9">
      <c r="A22" s="252" t="s">
        <v>316</v>
      </c>
      <c r="B22" s="253">
        <f>(B19+B20*(B21-B19))+B18</f>
        <v>0.25212833333333334</v>
      </c>
      <c r="H22" s="368" t="s">
        <v>338</v>
      </c>
      <c r="I22" s="369">
        <v>803</v>
      </c>
    </row>
    <row r="23" spans="1:9">
      <c r="A23" s="242"/>
      <c r="B23" s="243"/>
      <c r="H23" s="368" t="s">
        <v>339</v>
      </c>
      <c r="I23" s="369">
        <v>800</v>
      </c>
    </row>
    <row r="24" spans="1:9">
      <c r="A24" s="252" t="s">
        <v>317</v>
      </c>
      <c r="B24" s="254">
        <v>0.1183</v>
      </c>
      <c r="H24" s="368" t="s">
        <v>340</v>
      </c>
      <c r="I24" s="369">
        <v>797</v>
      </c>
    </row>
    <row r="25" spans="1:9">
      <c r="A25" s="242"/>
      <c r="B25" s="243"/>
      <c r="H25" s="368" t="s">
        <v>341</v>
      </c>
      <c r="I25" s="369">
        <v>797</v>
      </c>
    </row>
    <row r="26" spans="1:9">
      <c r="A26" s="630"/>
      <c r="B26" s="630"/>
      <c r="H26" s="368" t="s">
        <v>342</v>
      </c>
      <c r="I26" s="369">
        <v>802</v>
      </c>
    </row>
    <row r="27" spans="1:9">
      <c r="A27" s="237" t="s">
        <v>317</v>
      </c>
      <c r="B27" s="244">
        <f>B24</f>
        <v>0.1183</v>
      </c>
      <c r="H27" s="368" t="s">
        <v>343</v>
      </c>
      <c r="I27" s="369">
        <v>803</v>
      </c>
    </row>
    <row r="28" spans="1:9">
      <c r="A28" s="237" t="s">
        <v>318</v>
      </c>
      <c r="B28" s="244">
        <f>B22</f>
        <v>0.25212833333333334</v>
      </c>
      <c r="H28" s="368" t="s">
        <v>344</v>
      </c>
      <c r="I28" s="369">
        <v>800</v>
      </c>
    </row>
    <row r="29" spans="1:9">
      <c r="A29" s="237" t="s">
        <v>270</v>
      </c>
      <c r="B29" s="245">
        <f>+B7</f>
        <v>103327.84060449086</v>
      </c>
      <c r="H29" s="368" t="s">
        <v>345</v>
      </c>
      <c r="I29" s="369">
        <v>796</v>
      </c>
    </row>
    <row r="30" spans="1:9">
      <c r="A30" s="237" t="s">
        <v>305</v>
      </c>
      <c r="B30" s="245">
        <f>+B8</f>
        <v>72329.488423143601</v>
      </c>
      <c r="H30" s="368" t="s">
        <v>346</v>
      </c>
      <c r="I30" s="369">
        <v>800</v>
      </c>
    </row>
    <row r="31" spans="1:9">
      <c r="A31" s="237" t="s">
        <v>306</v>
      </c>
      <c r="B31" s="246">
        <f>+B9</f>
        <v>30998.352181347262</v>
      </c>
      <c r="H31" s="368" t="s">
        <v>347</v>
      </c>
      <c r="I31" s="369">
        <v>802</v>
      </c>
    </row>
    <row r="32" spans="1:9">
      <c r="A32" s="237" t="s">
        <v>307</v>
      </c>
      <c r="B32" s="244">
        <v>0.23</v>
      </c>
      <c r="H32" s="368" t="s">
        <v>348</v>
      </c>
      <c r="I32" s="369">
        <v>803</v>
      </c>
    </row>
    <row r="33" spans="8:9">
      <c r="H33" s="368" t="s">
        <v>349</v>
      </c>
      <c r="I33" s="369">
        <v>805</v>
      </c>
    </row>
    <row r="34" spans="8:9">
      <c r="H34" s="368" t="s">
        <v>350</v>
      </c>
      <c r="I34" s="369">
        <v>808</v>
      </c>
    </row>
    <row r="35" spans="8:9">
      <c r="H35" s="368" t="s">
        <v>351</v>
      </c>
      <c r="I35" s="369">
        <v>789</v>
      </c>
    </row>
    <row r="36" spans="8:9" ht="15.75" thickBot="1">
      <c r="H36" s="370" t="s">
        <v>352</v>
      </c>
      <c r="I36" s="371">
        <f>AVERAGE(I6:I35)</f>
        <v>807.73333333333335</v>
      </c>
    </row>
  </sheetData>
  <mergeCells count="4">
    <mergeCell ref="A2:B2"/>
    <mergeCell ref="A16:B16"/>
    <mergeCell ref="A26:B26"/>
    <mergeCell ref="H4:I4"/>
  </mergeCells>
  <hyperlinks>
    <hyperlink ref="C3" r:id="rId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C1:K59"/>
  <sheetViews>
    <sheetView topLeftCell="A36" workbookViewId="0">
      <selection activeCell="E49" sqref="E49:I49"/>
    </sheetView>
  </sheetViews>
  <sheetFormatPr baseColWidth="10" defaultRowHeight="15"/>
  <cols>
    <col min="3" max="3" width="34.5703125" customWidth="1"/>
    <col min="4" max="5" width="18.42578125" customWidth="1"/>
    <col min="6" max="6" width="16.28515625" customWidth="1"/>
    <col min="7" max="8" width="14.140625" customWidth="1"/>
    <col min="9" max="9" width="16" customWidth="1"/>
    <col min="10" max="10" width="12.7109375" bestFit="1" customWidth="1"/>
    <col min="11" max="11" width="16.42578125" customWidth="1"/>
  </cols>
  <sheetData>
    <row r="1" spans="3:9" ht="15.75" thickBot="1"/>
    <row r="2" spans="3:9" ht="15.75" thickBot="1">
      <c r="C2" s="220"/>
      <c r="D2" s="384" t="s">
        <v>276</v>
      </c>
      <c r="E2" s="384"/>
      <c r="F2" s="384"/>
      <c r="G2" s="384"/>
      <c r="H2" s="221"/>
      <c r="I2" s="222"/>
    </row>
    <row r="3" spans="3:9">
      <c r="C3" s="346" t="s">
        <v>267</v>
      </c>
      <c r="D3" s="380">
        <v>0</v>
      </c>
      <c r="E3" s="381">
        <v>2012</v>
      </c>
      <c r="F3" s="381">
        <v>2013</v>
      </c>
      <c r="G3" s="381">
        <v>2014</v>
      </c>
      <c r="H3" s="381">
        <v>2015</v>
      </c>
      <c r="I3" s="382">
        <v>2016</v>
      </c>
    </row>
    <row r="4" spans="3:9">
      <c r="C4" s="347" t="s">
        <v>459</v>
      </c>
      <c r="D4" s="213"/>
      <c r="E4" s="215">
        <f t="shared" ref="E4:I5" si="0">+E45</f>
        <v>210</v>
      </c>
      <c r="F4" s="215">
        <f>+F45*1.0514</f>
        <v>232.14281159999996</v>
      </c>
      <c r="G4" s="215">
        <f t="shared" ref="G4:I4" si="1">+G45*1.0514</f>
        <v>244.07495211623993</v>
      </c>
      <c r="H4" s="215">
        <f t="shared" si="1"/>
        <v>256.62040465501462</v>
      </c>
      <c r="I4" s="215">
        <f t="shared" si="1"/>
        <v>269.81069345428233</v>
      </c>
    </row>
    <row r="5" spans="3:9">
      <c r="C5" s="347" t="s">
        <v>256</v>
      </c>
      <c r="D5" s="213"/>
      <c r="E5" s="458">
        <f t="shared" si="0"/>
        <v>255</v>
      </c>
      <c r="F5" s="458">
        <f t="shared" si="0"/>
        <v>328</v>
      </c>
      <c r="G5" s="458">
        <f t="shared" si="0"/>
        <v>344.4</v>
      </c>
      <c r="H5" s="458">
        <f t="shared" si="0"/>
        <v>362</v>
      </c>
      <c r="I5" s="458">
        <f t="shared" si="0"/>
        <v>379.70100000000002</v>
      </c>
    </row>
    <row r="6" spans="3:9">
      <c r="C6" s="457" t="s">
        <v>462</v>
      </c>
      <c r="D6" s="213"/>
      <c r="E6" s="459">
        <f t="shared" ref="E6:F9" si="2">+E47</f>
        <v>53550</v>
      </c>
      <c r="F6" s="459">
        <f t="shared" si="2"/>
        <v>72420.432000000001</v>
      </c>
      <c r="G6" s="459">
        <f>+G4*G5</f>
        <v>84059.413508833022</v>
      </c>
      <c r="H6" s="459">
        <f>+H47</f>
        <v>88355.132666078847</v>
      </c>
      <c r="I6" s="459">
        <f>I4*I5</f>
        <v>102447.39011528446</v>
      </c>
    </row>
    <row r="7" spans="3:9">
      <c r="C7" s="457" t="s">
        <v>460</v>
      </c>
      <c r="D7" s="213"/>
      <c r="E7" s="215">
        <f t="shared" si="2"/>
        <v>185</v>
      </c>
      <c r="F7" s="215">
        <f t="shared" si="2"/>
        <v>194.50899999999999</v>
      </c>
      <c r="G7" s="215">
        <f>+G48</f>
        <v>204.50676259999997</v>
      </c>
      <c r="H7" s="215">
        <f>+H48</f>
        <v>215.01841019763995</v>
      </c>
      <c r="I7" s="215">
        <f>+I48</f>
        <v>226.07035648179863</v>
      </c>
    </row>
    <row r="8" spans="3:9">
      <c r="C8" s="457" t="s">
        <v>256</v>
      </c>
      <c r="D8" s="213"/>
      <c r="E8" s="458">
        <f t="shared" si="2"/>
        <v>78</v>
      </c>
      <c r="F8" s="458">
        <f t="shared" si="2"/>
        <v>190</v>
      </c>
      <c r="G8" s="458">
        <f>+G49</f>
        <v>194.74999999999997</v>
      </c>
      <c r="H8" s="458">
        <f>+H49</f>
        <v>199.61874999999995</v>
      </c>
      <c r="I8" s="458">
        <f>+I49</f>
        <v>204.60921874999994</v>
      </c>
    </row>
    <row r="9" spans="3:9">
      <c r="C9" s="457" t="s">
        <v>461</v>
      </c>
      <c r="D9" s="213"/>
      <c r="E9" s="459">
        <f t="shared" si="2"/>
        <v>14430</v>
      </c>
      <c r="F9" s="459">
        <f t="shared" si="2"/>
        <v>36956.71</v>
      </c>
      <c r="G9" s="459">
        <f>+G50</f>
        <v>39827.692016349989</v>
      </c>
      <c r="H9" s="459">
        <f>+H50</f>
        <v>42921.706270640127</v>
      </c>
      <c r="I9" s="459">
        <f>+I50</f>
        <v>46256.079022274804</v>
      </c>
    </row>
    <row r="10" spans="3:9">
      <c r="C10" s="457" t="s">
        <v>296</v>
      </c>
      <c r="D10" s="213"/>
      <c r="E10" s="459">
        <f>E6+E9</f>
        <v>67980</v>
      </c>
      <c r="F10" s="459">
        <f t="shared" ref="F10:I10" si="3">F6+F9</f>
        <v>109377.14199999999</v>
      </c>
      <c r="G10" s="459">
        <f>G6+G9</f>
        <v>123887.10552518301</v>
      </c>
      <c r="H10" s="459">
        <f t="shared" si="3"/>
        <v>131276.83893671897</v>
      </c>
      <c r="I10" s="459">
        <f t="shared" si="3"/>
        <v>148703.46913755927</v>
      </c>
    </row>
    <row r="11" spans="3:9">
      <c r="C11" s="350" t="s">
        <v>403</v>
      </c>
      <c r="D11" s="213"/>
      <c r="E11" s="215"/>
      <c r="F11" s="215"/>
      <c r="G11" s="215"/>
      <c r="H11" s="215"/>
      <c r="I11" s="348"/>
    </row>
    <row r="12" spans="3:9" s="30" customFormat="1">
      <c r="C12" s="347" t="s">
        <v>216</v>
      </c>
      <c r="D12" s="213"/>
      <c r="E12" s="215">
        <v>23932.723100006253</v>
      </c>
      <c r="F12" s="215">
        <v>25162.865067346571</v>
      </c>
      <c r="G12" s="215">
        <v>26456.236331808181</v>
      </c>
      <c r="H12" s="215">
        <v>27816.086879263119</v>
      </c>
      <c r="I12" s="348">
        <v>29245.833744857242</v>
      </c>
    </row>
    <row r="13" spans="3:9" s="30" customFormat="1">
      <c r="C13" s="347" t="s">
        <v>217</v>
      </c>
      <c r="D13" s="213"/>
      <c r="E13" s="215">
        <v>21643.839999999997</v>
      </c>
      <c r="F13" s="215">
        <v>15868.822255999999</v>
      </c>
      <c r="G13" s="215">
        <v>16684.479719958399</v>
      </c>
      <c r="H13" s="215">
        <v>17542.061977564259</v>
      </c>
      <c r="I13" s="348">
        <v>18443.723963211061</v>
      </c>
    </row>
    <row r="14" spans="3:9" s="30" customFormat="1">
      <c r="C14" s="347" t="s">
        <v>218</v>
      </c>
      <c r="D14" s="213"/>
      <c r="E14" s="215">
        <v>3534.64</v>
      </c>
      <c r="F14" s="215">
        <v>3534.64</v>
      </c>
      <c r="G14" s="215">
        <v>3534.64</v>
      </c>
      <c r="H14" s="215">
        <v>3534.64</v>
      </c>
      <c r="I14" s="348">
        <v>3534.64</v>
      </c>
    </row>
    <row r="15" spans="3:9" s="30" customFormat="1">
      <c r="C15" s="347" t="s">
        <v>219</v>
      </c>
      <c r="D15" s="213"/>
      <c r="E15" s="215">
        <v>28050</v>
      </c>
      <c r="F15" s="215">
        <v>18138</v>
      </c>
      <c r="G15" s="215">
        <v>18138</v>
      </c>
      <c r="H15" s="215">
        <v>18138</v>
      </c>
      <c r="I15" s="348">
        <v>18138</v>
      </c>
    </row>
    <row r="16" spans="3:9">
      <c r="C16" s="347" t="s">
        <v>250</v>
      </c>
      <c r="D16" s="213"/>
      <c r="E16" s="215">
        <v>9840</v>
      </c>
      <c r="F16" s="215">
        <v>9840</v>
      </c>
      <c r="G16" s="215">
        <v>9840</v>
      </c>
      <c r="H16" s="215">
        <v>9840</v>
      </c>
      <c r="I16" s="348">
        <v>9840</v>
      </c>
    </row>
    <row r="17" spans="3:9">
      <c r="C17" s="347" t="s">
        <v>395</v>
      </c>
      <c r="D17" s="213"/>
      <c r="E17" s="215">
        <v>2000</v>
      </c>
      <c r="F17" s="215">
        <v>3154.1999999999994</v>
      </c>
      <c r="G17" s="215">
        <v>3316.325879999999</v>
      </c>
      <c r="H17" s="215">
        <v>3486.7850302319985</v>
      </c>
      <c r="I17" s="348">
        <v>3666.005780785923</v>
      </c>
    </row>
    <row r="18" spans="3:9">
      <c r="C18" s="347" t="s">
        <v>431</v>
      </c>
      <c r="D18" s="213"/>
      <c r="E18" s="215">
        <v>1200</v>
      </c>
      <c r="F18" s="215">
        <v>1892.5200000000002</v>
      </c>
      <c r="G18" s="215">
        <v>1989.7955280000001</v>
      </c>
      <c r="H18" s="215">
        <v>2092.0710181392001</v>
      </c>
      <c r="I18" s="348">
        <v>2199.6034684715546</v>
      </c>
    </row>
    <row r="19" spans="3:9">
      <c r="C19" s="347" t="s">
        <v>396</v>
      </c>
      <c r="D19" s="213"/>
      <c r="E19" s="215">
        <v>8864.5375000000004</v>
      </c>
      <c r="F19" s="215">
        <v>8864.5375000000004</v>
      </c>
      <c r="G19" s="215">
        <v>8864.5375000000004</v>
      </c>
      <c r="H19" s="215">
        <v>8864.5375000000004</v>
      </c>
      <c r="I19" s="348">
        <v>8864.5375000000004</v>
      </c>
    </row>
    <row r="20" spans="3:9">
      <c r="C20" s="347" t="s">
        <v>280</v>
      </c>
      <c r="D20" s="213"/>
      <c r="E20" s="215">
        <v>9594.0082894115167</v>
      </c>
      <c r="F20" s="215">
        <v>8078.7077492479611</v>
      </c>
      <c r="G20" s="215">
        <v>6384.1471551830582</v>
      </c>
      <c r="H20" s="215">
        <v>4489.1200428402763</v>
      </c>
      <c r="I20" s="348">
        <v>2369.9112231073441</v>
      </c>
    </row>
    <row r="21" spans="3:9">
      <c r="C21" s="351" t="s">
        <v>404</v>
      </c>
      <c r="D21" s="216"/>
      <c r="E21" s="215">
        <f>SUM(E12:E20)</f>
        <v>108659.74888941777</v>
      </c>
      <c r="F21" s="215">
        <f t="shared" ref="F21:I21" si="4">SUM(F12:F20)</f>
        <v>94534.292572594539</v>
      </c>
      <c r="G21" s="215">
        <f t="shared" si="4"/>
        <v>95208.16211494965</v>
      </c>
      <c r="H21" s="215">
        <f t="shared" si="4"/>
        <v>95803.30244803887</v>
      </c>
      <c r="I21" s="215">
        <f t="shared" si="4"/>
        <v>96302.255680433125</v>
      </c>
    </row>
    <row r="22" spans="3:9">
      <c r="C22" s="352" t="s">
        <v>279</v>
      </c>
      <c r="D22" s="217"/>
      <c r="E22" s="386">
        <f>E10-E21</f>
        <v>-40679.748889417766</v>
      </c>
      <c r="F22" s="386">
        <f t="shared" ref="F22:I22" si="5">F10-F21</f>
        <v>14842.849427405454</v>
      </c>
      <c r="G22" s="386">
        <f>G10-G21</f>
        <v>28678.943410233362</v>
      </c>
      <c r="H22" s="386">
        <f t="shared" si="5"/>
        <v>35473.536488680096</v>
      </c>
      <c r="I22" s="386">
        <f t="shared" si="5"/>
        <v>52401.213457126141</v>
      </c>
    </row>
    <row r="23" spans="3:9">
      <c r="C23" s="347" t="s">
        <v>281</v>
      </c>
      <c r="D23" s="213"/>
      <c r="E23" s="311">
        <v>0</v>
      </c>
      <c r="F23" s="311">
        <f>F22*0.15</f>
        <v>2226.4274141108181</v>
      </c>
      <c r="G23" s="311">
        <f t="shared" ref="G23:I23" si="6">G22*0.15</f>
        <v>4301.8415115350044</v>
      </c>
      <c r="H23" s="311">
        <f t="shared" si="6"/>
        <v>5321.0304733020139</v>
      </c>
      <c r="I23" s="311">
        <f t="shared" si="6"/>
        <v>7860.1820185689212</v>
      </c>
    </row>
    <row r="24" spans="3:9">
      <c r="C24" s="352" t="s">
        <v>282</v>
      </c>
      <c r="D24" s="217"/>
      <c r="E24" s="311">
        <f>E22-E23</f>
        <v>-40679.748889417766</v>
      </c>
      <c r="F24" s="311">
        <f>F22-F23</f>
        <v>12616.422013294636</v>
      </c>
      <c r="G24" s="311">
        <f t="shared" ref="G24:I24" si="7">G22-G23</f>
        <v>24377.101898698358</v>
      </c>
      <c r="H24" s="311">
        <f t="shared" si="7"/>
        <v>30152.506015378083</v>
      </c>
      <c r="I24" s="311">
        <f t="shared" si="7"/>
        <v>44541.03143855722</v>
      </c>
    </row>
    <row r="25" spans="3:9">
      <c r="C25" s="347" t="s">
        <v>283</v>
      </c>
      <c r="D25" s="213"/>
      <c r="E25" s="471">
        <v>0</v>
      </c>
      <c r="F25" s="471">
        <f>F24*0.22</f>
        <v>2775.6128429248197</v>
      </c>
      <c r="G25" s="471">
        <f t="shared" ref="G25:I25" si="8">G24*0.22</f>
        <v>5362.9624177136384</v>
      </c>
      <c r="H25" s="471">
        <f t="shared" si="8"/>
        <v>6633.551323383178</v>
      </c>
      <c r="I25" s="471">
        <f t="shared" si="8"/>
        <v>9799.0269164825877</v>
      </c>
    </row>
    <row r="26" spans="3:9">
      <c r="C26" s="351" t="s">
        <v>284</v>
      </c>
      <c r="D26" s="217"/>
      <c r="E26" s="386">
        <f>E24-E25</f>
        <v>-40679.748889417766</v>
      </c>
      <c r="F26" s="386">
        <f t="shared" ref="F26:I26" si="9">F24-F25</f>
        <v>9840.8091703698155</v>
      </c>
      <c r="G26" s="386">
        <f>G24-G25</f>
        <v>19014.139480984719</v>
      </c>
      <c r="H26" s="386">
        <f t="shared" si="9"/>
        <v>23518.954691994906</v>
      </c>
      <c r="I26" s="386">
        <f t="shared" si="9"/>
        <v>34742.004522074632</v>
      </c>
    </row>
    <row r="27" spans="3:9">
      <c r="C27" s="353" t="s">
        <v>285</v>
      </c>
      <c r="D27" s="214"/>
      <c r="E27" s="471">
        <f>E19</f>
        <v>8864.5375000000004</v>
      </c>
      <c r="F27" s="471">
        <f t="shared" ref="F27:I27" si="10">F19</f>
        <v>8864.5375000000004</v>
      </c>
      <c r="G27" s="471">
        <f t="shared" si="10"/>
        <v>8864.5375000000004</v>
      </c>
      <c r="H27" s="471">
        <f t="shared" si="10"/>
        <v>8864.5375000000004</v>
      </c>
      <c r="I27" s="471">
        <f t="shared" si="10"/>
        <v>8864.5375000000004</v>
      </c>
    </row>
    <row r="28" spans="3:9">
      <c r="C28" s="353" t="s">
        <v>286</v>
      </c>
      <c r="D28" s="214"/>
      <c r="E28" s="471">
        <f>K38</f>
        <v>22402.973125958895</v>
      </c>
      <c r="F28" s="471">
        <f>K39</f>
        <v>22402.973125958895</v>
      </c>
      <c r="G28" s="471">
        <f>K40</f>
        <v>22402.973125958895</v>
      </c>
      <c r="H28" s="471">
        <f>K41</f>
        <v>22402.973125958895</v>
      </c>
      <c r="I28" s="471">
        <f>K42</f>
        <v>22402.973125958895</v>
      </c>
    </row>
    <row r="29" spans="3:9">
      <c r="C29" s="349" t="s">
        <v>287</v>
      </c>
      <c r="D29" s="311">
        <v>-115855.673100006</v>
      </c>
      <c r="E29" s="465"/>
      <c r="F29" s="465"/>
      <c r="G29" s="465"/>
      <c r="H29" s="465"/>
      <c r="I29" s="466"/>
    </row>
    <row r="30" spans="3:9">
      <c r="C30" s="349" t="s">
        <v>288</v>
      </c>
      <c r="D30" s="311">
        <v>-22221.203100006249</v>
      </c>
      <c r="E30" s="465"/>
      <c r="F30" s="465"/>
      <c r="G30" s="465"/>
      <c r="H30" s="465"/>
      <c r="I30" s="466"/>
    </row>
    <row r="31" spans="3:9">
      <c r="C31" s="349" t="s">
        <v>289</v>
      </c>
      <c r="D31" s="471">
        <v>81098.97117000437</v>
      </c>
      <c r="E31" s="465"/>
      <c r="F31" s="465"/>
      <c r="G31" s="465"/>
      <c r="H31" s="465"/>
      <c r="I31" s="466"/>
    </row>
    <row r="32" spans="3:9">
      <c r="C32" s="349" t="s">
        <v>290</v>
      </c>
      <c r="D32" s="465"/>
      <c r="E32" s="465"/>
      <c r="F32" s="465"/>
      <c r="G32" s="465"/>
      <c r="H32" s="465"/>
      <c r="I32" s="472">
        <v>22221.203100006249</v>
      </c>
    </row>
    <row r="33" spans="3:11">
      <c r="C33" s="349" t="s">
        <v>269</v>
      </c>
      <c r="D33" s="465"/>
      <c r="E33" s="465"/>
      <c r="F33" s="465"/>
      <c r="G33" s="465"/>
      <c r="H33" s="465"/>
      <c r="I33" s="472">
        <v>45584.112499999996</v>
      </c>
    </row>
    <row r="34" spans="3:11">
      <c r="C34" s="349" t="s">
        <v>291</v>
      </c>
      <c r="D34" s="464">
        <f>SUM(D26:D31)</f>
        <v>-56977.905030007882</v>
      </c>
      <c r="E34" s="464">
        <f t="shared" ref="E34" si="11">SUM(E26:E31)</f>
        <v>-9412.2382634588721</v>
      </c>
      <c r="F34" s="386">
        <f>SUM(F26:F31)</f>
        <v>41108.319796328709</v>
      </c>
      <c r="G34" s="386">
        <f>SUM(G26:G33)</f>
        <v>50281.650106943613</v>
      </c>
      <c r="H34" s="386">
        <f>SUM(H26:H31)</f>
        <v>54786.4653179538</v>
      </c>
      <c r="I34" s="386">
        <f>SUM(I26:I33)</f>
        <v>133814.83074803976</v>
      </c>
    </row>
    <row r="35" spans="3:11">
      <c r="C35" s="354" t="s">
        <v>292</v>
      </c>
      <c r="D35" s="470">
        <v>0.25212833333333334</v>
      </c>
      <c r="E35" s="465"/>
      <c r="F35" s="465"/>
      <c r="G35" s="465"/>
      <c r="H35" s="465"/>
      <c r="I35" s="466"/>
    </row>
    <row r="36" spans="3:11">
      <c r="C36" s="354" t="s">
        <v>293</v>
      </c>
      <c r="D36" s="470">
        <f>IRR(D34:I34)</f>
        <v>0.48830540902249853</v>
      </c>
      <c r="E36" s="465"/>
      <c r="F36" s="465"/>
      <c r="G36" s="465"/>
      <c r="H36" s="465"/>
      <c r="I36" s="466"/>
    </row>
    <row r="37" spans="3:11" ht="15.75" thickBot="1">
      <c r="C37" s="355" t="s">
        <v>96</v>
      </c>
      <c r="D37" s="467">
        <f>NPV(D35,E34:I34)+D34</f>
        <v>53103.610345753797</v>
      </c>
      <c r="E37" s="468"/>
      <c r="F37" s="468"/>
      <c r="G37" s="468"/>
      <c r="H37" s="468"/>
      <c r="I37" s="469"/>
      <c r="K37" s="30" t="s">
        <v>463</v>
      </c>
    </row>
    <row r="38" spans="3:11">
      <c r="K38" s="251">
        <v>22402.973125958895</v>
      </c>
    </row>
    <row r="39" spans="3:11">
      <c r="K39" s="251">
        <v>22402.973125958895</v>
      </c>
    </row>
    <row r="40" spans="3:11">
      <c r="K40" s="251">
        <v>22402.973125958895</v>
      </c>
    </row>
    <row r="41" spans="3:11">
      <c r="K41" s="251">
        <v>22402.973125958895</v>
      </c>
    </row>
    <row r="42" spans="3:11" ht="15.75" thickBot="1">
      <c r="K42" s="340">
        <v>22402.973125958895</v>
      </c>
    </row>
    <row r="43" spans="3:11" ht="15.75" thickBot="1">
      <c r="C43" s="30"/>
      <c r="D43" s="534" t="s">
        <v>448</v>
      </c>
      <c r="E43" s="535"/>
      <c r="F43" s="535"/>
      <c r="G43" s="535"/>
      <c r="H43" s="535"/>
      <c r="I43" s="536"/>
    </row>
    <row r="44" spans="3:11" ht="15.75" thickBot="1">
      <c r="C44" s="30"/>
      <c r="D44" s="431">
        <v>0</v>
      </c>
      <c r="E44" s="432">
        <v>2012</v>
      </c>
      <c r="F44" s="432">
        <v>2013</v>
      </c>
      <c r="G44" s="432">
        <v>2014</v>
      </c>
      <c r="H44" s="432">
        <v>2015</v>
      </c>
      <c r="I44" s="433">
        <v>2016</v>
      </c>
    </row>
    <row r="45" spans="3:11">
      <c r="C45" s="427" t="s">
        <v>252</v>
      </c>
      <c r="D45" s="268"/>
      <c r="E45" s="424">
        <f>210</f>
        <v>210</v>
      </c>
      <c r="F45" s="424">
        <f>+E45*1.0514</f>
        <v>220.79399999999998</v>
      </c>
      <c r="G45" s="424">
        <f t="shared" ref="G45:I45" si="12">+F45*1.0514</f>
        <v>232.14281159999996</v>
      </c>
      <c r="H45" s="424">
        <f t="shared" si="12"/>
        <v>244.07495211623993</v>
      </c>
      <c r="I45" s="424">
        <f t="shared" si="12"/>
        <v>256.62040465501462</v>
      </c>
    </row>
    <row r="46" spans="3:11" ht="15.75" thickBot="1">
      <c r="C46" s="428" t="s">
        <v>422</v>
      </c>
      <c r="D46" s="50"/>
      <c r="E46" s="75">
        <v>255</v>
      </c>
      <c r="F46" s="75">
        <v>328</v>
      </c>
      <c r="G46" s="383">
        <v>344.4</v>
      </c>
      <c r="H46" s="383">
        <v>362</v>
      </c>
      <c r="I46" s="426">
        <v>379.70100000000002</v>
      </c>
    </row>
    <row r="47" spans="3:11">
      <c r="C47" s="429" t="s">
        <v>430</v>
      </c>
      <c r="D47" s="50"/>
      <c r="E47" s="424">
        <f>E45*E46</f>
        <v>53550</v>
      </c>
      <c r="F47" s="424">
        <f>F45*F46</f>
        <v>72420.432000000001</v>
      </c>
      <c r="G47" s="461">
        <f>G45*G46</f>
        <v>79949.984315039983</v>
      </c>
      <c r="H47" s="424">
        <f>H45*H46</f>
        <v>88355.132666078847</v>
      </c>
      <c r="I47" s="424">
        <f>I45*I46</f>
        <v>97439.024267913715</v>
      </c>
    </row>
    <row r="48" spans="3:11">
      <c r="C48" s="428" t="s">
        <v>277</v>
      </c>
      <c r="D48" s="50"/>
      <c r="E48" s="110">
        <v>185</v>
      </c>
      <c r="F48" s="110">
        <f>+E48*1.0514</f>
        <v>194.50899999999999</v>
      </c>
      <c r="G48" s="110">
        <f t="shared" ref="G48:I48" si="13">+F48*1.0514</f>
        <v>204.50676259999997</v>
      </c>
      <c r="H48" s="110">
        <f t="shared" si="13"/>
        <v>215.01841019763995</v>
      </c>
      <c r="I48" s="110">
        <f t="shared" si="13"/>
        <v>226.07035648179863</v>
      </c>
    </row>
    <row r="49" spans="3:10" ht="15.75" thickBot="1">
      <c r="C49" s="428" t="s">
        <v>453</v>
      </c>
      <c r="D49" s="50"/>
      <c r="E49" s="75">
        <v>78</v>
      </c>
      <c r="F49" s="75">
        <v>190</v>
      </c>
      <c r="G49" s="383">
        <f>+F49*1.025</f>
        <v>194.74999999999997</v>
      </c>
      <c r="H49" s="383">
        <f t="shared" ref="H49:I49" si="14">+G49*1.025</f>
        <v>199.61874999999995</v>
      </c>
      <c r="I49" s="425">
        <f t="shared" si="14"/>
        <v>204.60921874999994</v>
      </c>
    </row>
    <row r="50" spans="3:10" ht="15.75" thickBot="1">
      <c r="C50" s="430" t="s">
        <v>430</v>
      </c>
      <c r="D50" s="270"/>
      <c r="E50" s="455">
        <f>E48*E49</f>
        <v>14430</v>
      </c>
      <c r="F50" s="455">
        <f t="shared" ref="F50:I50" si="15">F48*F49</f>
        <v>36956.71</v>
      </c>
      <c r="G50" s="462">
        <f t="shared" si="15"/>
        <v>39827.692016349989</v>
      </c>
      <c r="H50" s="455">
        <f t="shared" si="15"/>
        <v>42921.706270640127</v>
      </c>
      <c r="I50" s="455">
        <f t="shared" si="15"/>
        <v>46256.079022274804</v>
      </c>
    </row>
    <row r="55" spans="3:10">
      <c r="D55" s="30"/>
      <c r="E55" s="30"/>
      <c r="F55" s="30"/>
      <c r="G55" s="30"/>
      <c r="H55" s="178"/>
      <c r="I55" s="30"/>
      <c r="J55" s="30"/>
    </row>
    <row r="56" spans="3:10">
      <c r="H56" s="463"/>
      <c r="I56" s="178"/>
    </row>
    <row r="59" spans="3:10">
      <c r="J59" s="460"/>
    </row>
  </sheetData>
  <mergeCells count="1">
    <mergeCell ref="D43:I4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E4:Q39"/>
  <sheetViews>
    <sheetView topLeftCell="B7" workbookViewId="0">
      <selection activeCell="N25" sqref="N25"/>
    </sheetView>
  </sheetViews>
  <sheetFormatPr baseColWidth="10" defaultRowHeight="15"/>
  <cols>
    <col min="5" max="5" width="28.7109375" customWidth="1"/>
    <col min="6" max="6" width="11.85546875" bestFit="1" customWidth="1"/>
  </cols>
  <sheetData>
    <row r="4" spans="5:17">
      <c r="F4" t="s">
        <v>276</v>
      </c>
    </row>
    <row r="5" spans="5:17">
      <c r="E5" t="s">
        <v>267</v>
      </c>
      <c r="F5">
        <v>0</v>
      </c>
      <c r="G5">
        <v>2012</v>
      </c>
      <c r="H5">
        <v>2013</v>
      </c>
      <c r="I5">
        <v>2014</v>
      </c>
      <c r="J5">
        <v>2015</v>
      </c>
      <c r="K5">
        <v>2016</v>
      </c>
    </row>
    <row r="6" spans="5:17" s="30" customFormat="1">
      <c r="G6" s="30">
        <v>210</v>
      </c>
      <c r="H6" s="209">
        <v>220.79399999999998</v>
      </c>
      <c r="I6" s="209">
        <v>232.14281159999996</v>
      </c>
      <c r="J6" s="209">
        <v>244.07495211623993</v>
      </c>
      <c r="K6" s="209">
        <v>256.62040465501462</v>
      </c>
    </row>
    <row r="7" spans="5:17" s="30" customFormat="1">
      <c r="G7" s="30">
        <v>255</v>
      </c>
      <c r="H7" s="30">
        <v>328</v>
      </c>
      <c r="I7" s="30">
        <v>344.4</v>
      </c>
      <c r="J7" s="30">
        <v>361.62</v>
      </c>
      <c r="K7" s="460">
        <v>379.70100000000002</v>
      </c>
    </row>
    <row r="8" spans="5:17">
      <c r="E8" t="s">
        <v>294</v>
      </c>
      <c r="G8" s="209">
        <f>+$G$6*G7</f>
        <v>53550</v>
      </c>
      <c r="H8" s="209">
        <f t="shared" ref="H8:K8" si="0">+H6*H7</f>
        <v>72420.432000000001</v>
      </c>
      <c r="I8" s="209">
        <f t="shared" si="0"/>
        <v>79949.984315039983</v>
      </c>
      <c r="J8" s="209">
        <f t="shared" si="0"/>
        <v>88262.384184274677</v>
      </c>
      <c r="K8" s="209">
        <f t="shared" si="0"/>
        <v>97439.024267913715</v>
      </c>
    </row>
    <row r="9" spans="5:17" s="30" customFormat="1">
      <c r="G9" s="209">
        <v>185</v>
      </c>
      <c r="H9" s="209">
        <v>194.50899999999999</v>
      </c>
      <c r="I9" s="209">
        <v>204.50676259999997</v>
      </c>
      <c r="J9" s="209">
        <v>215.01841019763995</v>
      </c>
      <c r="K9" s="209">
        <v>226.07035648179863</v>
      </c>
    </row>
    <row r="10" spans="5:17" s="30" customFormat="1">
      <c r="G10" s="460">
        <v>78</v>
      </c>
      <c r="H10" s="460">
        <v>190</v>
      </c>
      <c r="I10" s="460">
        <v>194.74999999999997</v>
      </c>
      <c r="J10" s="460">
        <v>199.61874999999995</v>
      </c>
      <c r="K10" s="460">
        <v>204.60921874999994</v>
      </c>
    </row>
    <row r="11" spans="5:17">
      <c r="E11" t="s">
        <v>432</v>
      </c>
      <c r="G11" s="209">
        <f>+$G$9*G10</f>
        <v>14430</v>
      </c>
      <c r="H11" s="209">
        <f t="shared" ref="H11:K11" si="1">+H9*H10</f>
        <v>36956.71</v>
      </c>
      <c r="I11" s="209">
        <f t="shared" si="1"/>
        <v>39827.692016349989</v>
      </c>
      <c r="J11" s="209">
        <f t="shared" si="1"/>
        <v>42921.706270640127</v>
      </c>
      <c r="K11" s="209">
        <f t="shared" si="1"/>
        <v>46256.079022274804</v>
      </c>
    </row>
    <row r="12" spans="5:17">
      <c r="E12" t="s">
        <v>296</v>
      </c>
      <c r="G12" s="209">
        <f>+G8+G11</f>
        <v>67980</v>
      </c>
      <c r="H12" s="209">
        <f>+H8+H11</f>
        <v>109377.14199999999</v>
      </c>
      <c r="I12" s="209">
        <f>+I8+I11</f>
        <v>119777.67633138997</v>
      </c>
      <c r="J12" s="209">
        <f t="shared" ref="J12:K12" si="2">+J8+J11</f>
        <v>131184.09045491481</v>
      </c>
      <c r="K12" s="209">
        <f t="shared" si="2"/>
        <v>143695.10329018853</v>
      </c>
    </row>
    <row r="13" spans="5:17">
      <c r="E13" t="s">
        <v>403</v>
      </c>
      <c r="G13" s="209"/>
      <c r="H13" s="209"/>
      <c r="I13" s="209"/>
      <c r="J13" s="209"/>
      <c r="K13" s="209"/>
      <c r="O13" s="30"/>
      <c r="P13" s="30"/>
      <c r="Q13" s="30"/>
    </row>
    <row r="14" spans="5:17">
      <c r="E14" t="s">
        <v>216</v>
      </c>
      <c r="G14" s="209">
        <v>23932.723100006253</v>
      </c>
      <c r="H14" s="209">
        <v>25162.865067346571</v>
      </c>
      <c r="I14" s="209">
        <f>+H14*1.0514</f>
        <v>26456.236331808181</v>
      </c>
      <c r="J14" s="209">
        <f t="shared" ref="J14:K14" si="3">+I14*1.0514</f>
        <v>27816.086879263119</v>
      </c>
      <c r="K14" s="209">
        <f t="shared" si="3"/>
        <v>29245.833744857242</v>
      </c>
    </row>
    <row r="15" spans="5:17">
      <c r="E15" t="s">
        <v>217</v>
      </c>
      <c r="G15" s="209">
        <v>21643.839999999997</v>
      </c>
      <c r="H15" s="209">
        <v>15868.822255999999</v>
      </c>
      <c r="I15" s="209">
        <f>+H15*1.0514</f>
        <v>16684.479719958399</v>
      </c>
      <c r="J15" s="209">
        <f t="shared" ref="J15:K15" si="4">+I15*1.0514</f>
        <v>17542.061977564259</v>
      </c>
      <c r="K15" s="209">
        <f t="shared" si="4"/>
        <v>18443.723963211061</v>
      </c>
    </row>
    <row r="16" spans="5:17">
      <c r="E16" t="s">
        <v>218</v>
      </c>
      <c r="G16" s="209">
        <v>3534.64</v>
      </c>
      <c r="H16" s="209">
        <v>3534.64</v>
      </c>
      <c r="I16" s="209">
        <v>3534.64</v>
      </c>
      <c r="J16" s="209">
        <v>3534.64</v>
      </c>
      <c r="K16" s="209">
        <v>3534.64</v>
      </c>
    </row>
    <row r="17" spans="5:11">
      <c r="E17" t="s">
        <v>219</v>
      </c>
      <c r="G17" s="209">
        <v>28050</v>
      </c>
      <c r="H17" s="209">
        <v>18138</v>
      </c>
      <c r="I17" s="209">
        <v>18138</v>
      </c>
      <c r="J17" s="209">
        <v>18138</v>
      </c>
      <c r="K17" s="209">
        <v>18138</v>
      </c>
    </row>
    <row r="18" spans="5:11">
      <c r="E18" t="s">
        <v>250</v>
      </c>
      <c r="G18" s="209">
        <v>9840</v>
      </c>
      <c r="H18" s="209">
        <v>9840</v>
      </c>
      <c r="I18" s="209">
        <v>9840</v>
      </c>
      <c r="J18" s="209">
        <v>9840</v>
      </c>
      <c r="K18" s="209">
        <v>9840</v>
      </c>
    </row>
    <row r="19" spans="5:11">
      <c r="E19" t="s">
        <v>395</v>
      </c>
      <c r="G19" s="209">
        <v>2000</v>
      </c>
      <c r="H19" s="209">
        <v>3154.1999999999994</v>
      </c>
      <c r="I19" s="209">
        <f>+H19*1.0514</f>
        <v>3316.325879999999</v>
      </c>
      <c r="J19" s="209">
        <f t="shared" ref="J19:K19" si="5">+I19*1.0514</f>
        <v>3486.7850302319985</v>
      </c>
      <c r="K19" s="209">
        <f t="shared" si="5"/>
        <v>3666.005780785923</v>
      </c>
    </row>
    <row r="20" spans="5:11">
      <c r="E20" t="s">
        <v>431</v>
      </c>
      <c r="G20" s="209">
        <v>1200</v>
      </c>
      <c r="H20" s="209">
        <v>1892.5200000000002</v>
      </c>
      <c r="I20" s="209">
        <f>+H20*1.0514</f>
        <v>1989.7955280000001</v>
      </c>
      <c r="J20" s="209">
        <f t="shared" ref="J20:K20" si="6">+I20*1.0514</f>
        <v>2092.0710181392001</v>
      </c>
      <c r="K20" s="209">
        <f t="shared" si="6"/>
        <v>2199.6034684715546</v>
      </c>
    </row>
    <row r="21" spans="5:11">
      <c r="E21" t="s">
        <v>396</v>
      </c>
      <c r="G21" s="209">
        <v>8864.5375000000004</v>
      </c>
      <c r="H21" s="209">
        <v>8864.5375000000004</v>
      </c>
      <c r="I21" s="209">
        <v>8864.5375000000004</v>
      </c>
      <c r="J21" s="209">
        <v>8864.5375000000004</v>
      </c>
      <c r="K21" s="209">
        <v>8864.5375000000004</v>
      </c>
    </row>
    <row r="22" spans="5:11">
      <c r="E22" t="s">
        <v>280</v>
      </c>
      <c r="G22" s="209">
        <v>9594.0082894115167</v>
      </c>
      <c r="H22" s="209">
        <v>8078.7077492479611</v>
      </c>
      <c r="I22" s="209">
        <v>6384.1471551830582</v>
      </c>
      <c r="J22" s="209">
        <v>4489.1200428402763</v>
      </c>
      <c r="K22" s="209">
        <v>2369.9112231073441</v>
      </c>
    </row>
    <row r="23" spans="5:11">
      <c r="E23" t="s">
        <v>404</v>
      </c>
      <c r="G23" s="209">
        <f>+SUM(G14:G22)</f>
        <v>108659.74888941777</v>
      </c>
      <c r="H23" s="209">
        <f t="shared" ref="H23:K23" si="7">+SUM(H14:H22)</f>
        <v>94534.292572594539</v>
      </c>
      <c r="I23" s="209">
        <f t="shared" si="7"/>
        <v>95208.16211494965</v>
      </c>
      <c r="J23" s="209">
        <f t="shared" si="7"/>
        <v>95803.30244803887</v>
      </c>
      <c r="K23" s="209">
        <f t="shared" si="7"/>
        <v>96302.255680433125</v>
      </c>
    </row>
    <row r="24" spans="5:11">
      <c r="E24" t="s">
        <v>279</v>
      </c>
      <c r="G24" s="209">
        <f>+G12-G23</f>
        <v>-40679.748889417766</v>
      </c>
      <c r="H24" s="209">
        <f t="shared" ref="H24:K24" si="8">+H12-H23</f>
        <v>14842.849427405454</v>
      </c>
      <c r="I24" s="209">
        <f>+I12-I23</f>
        <v>24569.514216440322</v>
      </c>
      <c r="J24" s="209">
        <f t="shared" si="8"/>
        <v>35380.78800687594</v>
      </c>
      <c r="K24" s="209">
        <f t="shared" si="8"/>
        <v>47392.847609755408</v>
      </c>
    </row>
    <row r="25" spans="5:11">
      <c r="E25" t="s">
        <v>281</v>
      </c>
      <c r="G25" s="209"/>
      <c r="H25" s="209">
        <f>+H24*0.15</f>
        <v>2226.4274141108181</v>
      </c>
      <c r="I25" s="209">
        <f t="shared" ref="I25:K25" si="9">+I24*0.15</f>
        <v>3685.4271324660481</v>
      </c>
      <c r="J25" s="209">
        <f t="shared" si="9"/>
        <v>5307.1182010313905</v>
      </c>
      <c r="K25" s="209">
        <f t="shared" si="9"/>
        <v>7108.9271414633113</v>
      </c>
    </row>
    <row r="26" spans="5:11">
      <c r="E26" t="s">
        <v>282</v>
      </c>
      <c r="G26" s="209">
        <v>-40679.748889417766</v>
      </c>
      <c r="H26" s="209">
        <f>+H24-H25</f>
        <v>12616.422013294636</v>
      </c>
      <c r="I26" s="209">
        <f t="shared" ref="I26:K26" si="10">+I24-I25</f>
        <v>20884.087083974275</v>
      </c>
      <c r="J26" s="209">
        <f t="shared" si="10"/>
        <v>30073.669805844551</v>
      </c>
      <c r="K26" s="209">
        <f t="shared" si="10"/>
        <v>40283.920468292097</v>
      </c>
    </row>
    <row r="27" spans="5:11">
      <c r="E27" t="s">
        <v>283</v>
      </c>
      <c r="G27" s="209">
        <v>0</v>
      </c>
      <c r="H27" s="209">
        <f>+H26*0.22</f>
        <v>2775.6128429248197</v>
      </c>
      <c r="I27" s="209">
        <f t="shared" ref="I27:K27" si="11">+I26*0.22</f>
        <v>4594.4991584743402</v>
      </c>
      <c r="J27" s="209">
        <f t="shared" si="11"/>
        <v>6616.2073572858017</v>
      </c>
      <c r="K27" s="209">
        <f t="shared" si="11"/>
        <v>8862.4625030242623</v>
      </c>
    </row>
    <row r="28" spans="5:11">
      <c r="E28" t="s">
        <v>284</v>
      </c>
      <c r="G28" s="209">
        <f>+G26-G27</f>
        <v>-40679.748889417766</v>
      </c>
      <c r="H28" s="209">
        <f t="shared" ref="H28:K28" si="12">+H26-H27</f>
        <v>9840.8091703698155</v>
      </c>
      <c r="I28" s="209">
        <f t="shared" si="12"/>
        <v>16289.587925499934</v>
      </c>
      <c r="J28" s="209">
        <f t="shared" si="12"/>
        <v>23457.462448558748</v>
      </c>
      <c r="K28" s="209">
        <f t="shared" si="12"/>
        <v>31421.457965267837</v>
      </c>
    </row>
    <row r="29" spans="5:11">
      <c r="E29" t="s">
        <v>285</v>
      </c>
      <c r="G29" s="209">
        <v>8864.5375000000004</v>
      </c>
      <c r="H29" s="209">
        <v>8864.5375000000004</v>
      </c>
      <c r="I29" s="209">
        <v>8864.5375000000004</v>
      </c>
      <c r="J29" s="209">
        <v>8864.5375000000004</v>
      </c>
      <c r="K29" s="209">
        <v>8864.5375000000004</v>
      </c>
    </row>
    <row r="30" spans="5:11">
      <c r="E30" t="s">
        <v>286</v>
      </c>
      <c r="G30" s="209">
        <v>22402.973125958895</v>
      </c>
      <c r="H30" s="209">
        <v>22402.973125958895</v>
      </c>
      <c r="I30" s="209">
        <v>22402.973125958895</v>
      </c>
      <c r="J30" s="209">
        <v>22402.973125958895</v>
      </c>
      <c r="K30" s="209">
        <v>22402.973125958895</v>
      </c>
    </row>
    <row r="31" spans="5:11">
      <c r="E31" t="s">
        <v>287</v>
      </c>
      <c r="F31" s="209">
        <v>-115855.67310000624</v>
      </c>
      <c r="G31" s="209"/>
      <c r="H31" s="209"/>
      <c r="I31" s="209"/>
      <c r="J31" s="209"/>
      <c r="K31" s="209"/>
    </row>
    <row r="32" spans="5:11">
      <c r="E32" t="s">
        <v>288</v>
      </c>
      <c r="F32" s="209">
        <v>-22221.203100006249</v>
      </c>
      <c r="G32" s="209"/>
      <c r="H32" s="209"/>
      <c r="I32" s="209"/>
      <c r="J32" s="209"/>
      <c r="K32" s="209"/>
    </row>
    <row r="33" spans="5:11">
      <c r="E33" t="s">
        <v>289</v>
      </c>
      <c r="F33" s="209">
        <v>81098.97117000437</v>
      </c>
      <c r="G33" s="209"/>
      <c r="H33" s="209"/>
      <c r="I33" s="209"/>
      <c r="J33" s="209"/>
      <c r="K33" s="209"/>
    </row>
    <row r="34" spans="5:11">
      <c r="E34" t="s">
        <v>290</v>
      </c>
      <c r="G34" s="209"/>
      <c r="H34" s="209"/>
      <c r="I34" s="209"/>
      <c r="J34" s="209"/>
      <c r="K34" s="209">
        <v>22221.203100006249</v>
      </c>
    </row>
    <row r="35" spans="5:11">
      <c r="E35" t="s">
        <v>269</v>
      </c>
      <c r="G35" s="209"/>
      <c r="H35" s="209"/>
      <c r="I35" s="209"/>
      <c r="J35" s="209"/>
      <c r="K35" s="209">
        <v>45584.112499999996</v>
      </c>
    </row>
    <row r="36" spans="5:11">
      <c r="E36" t="s">
        <v>291</v>
      </c>
      <c r="F36" s="209">
        <f>+SUM(F28:F35)</f>
        <v>-56977.905030008114</v>
      </c>
      <c r="G36" s="209">
        <f t="shared" ref="G36:K36" si="13">+SUM(G28:G35)</f>
        <v>-9412.2382634588721</v>
      </c>
      <c r="H36" s="209">
        <f t="shared" si="13"/>
        <v>41108.319796328709</v>
      </c>
      <c r="I36" s="209">
        <f t="shared" si="13"/>
        <v>47557.098551458832</v>
      </c>
      <c r="J36" s="209">
        <f t="shared" si="13"/>
        <v>54724.973074517642</v>
      </c>
      <c r="K36" s="209">
        <f t="shared" si="13"/>
        <v>130494.28419123296</v>
      </c>
    </row>
    <row r="37" spans="5:11">
      <c r="E37" t="s">
        <v>292</v>
      </c>
      <c r="F37" s="473">
        <v>0.25212833333333334</v>
      </c>
    </row>
    <row r="38" spans="5:11">
      <c r="E38" t="s">
        <v>293</v>
      </c>
      <c r="F38" s="473">
        <f>+IRR(F36:K36)</f>
        <v>0.47919020533384576</v>
      </c>
    </row>
    <row r="39" spans="5:11">
      <c r="E39" t="s">
        <v>96</v>
      </c>
      <c r="F39" s="209">
        <f>+NPV(F37,G36:K36)+F36</f>
        <v>50611.864188224354</v>
      </c>
    </row>
  </sheetData>
  <scenarios current="5" sqref="F39">
    <scenario name="170" locked="1" count="1" user="dell" comment="Creado por dell el 23/04/2012">
      <inputCells r="G9" val="170" numFmtId="2"/>
    </scenario>
    <scenario name="175" locked="1" count="1" user="dell" comment="Creado por dell el 23/04/2012">
      <inputCells r="G9" val="175" numFmtId="2"/>
    </scenario>
    <scenario name="180" locked="1" count="1" user="dell" comment="Creado por dell el 23/04/2012">
      <inputCells r="G9" val="180" numFmtId="2"/>
    </scenario>
    <scenario name="190" locked="1" count="1" user="dell" comment="Creado por dell el 23/04/2012">
      <inputCells r="G9" val="190" numFmtId="2"/>
    </scenario>
    <scenario name="195" locked="1" count="1" user="dell" comment="Creado por dell el 23/04/2012">
      <inputCells r="G9" val="195" numFmtId="2"/>
    </scenario>
    <scenario name="200" locked="1" count="1" user="dell" comment="Creado por dell el 23/04/2012">
      <inputCells r="G9" val="200" numFmtId="2"/>
    </scenario>
  </scenario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/>
  </sheetPr>
  <dimension ref="A1:M58"/>
  <sheetViews>
    <sheetView showGridLines="0" workbookViewId="0">
      <selection activeCell="K22" sqref="K22"/>
    </sheetView>
  </sheetViews>
  <sheetFormatPr baseColWidth="10" defaultRowHeight="15"/>
  <cols>
    <col min="1" max="1" width="28.85546875" customWidth="1"/>
    <col min="2" max="2" width="17.140625" customWidth="1"/>
    <col min="3" max="3" width="17" customWidth="1"/>
    <col min="4" max="4" width="15.42578125" customWidth="1"/>
    <col min="5" max="5" width="16.7109375" customWidth="1"/>
    <col min="6" max="6" width="15.5703125" customWidth="1"/>
    <col min="10" max="10" width="13.5703125" customWidth="1"/>
    <col min="12" max="12" width="13.7109375" customWidth="1"/>
    <col min="13" max="13" width="13.42578125" customWidth="1"/>
  </cols>
  <sheetData>
    <row r="1" spans="1:13">
      <c r="A1" s="22"/>
      <c r="B1" s="28"/>
      <c r="C1" s="28"/>
      <c r="D1" s="28"/>
      <c r="E1" s="28"/>
      <c r="F1" s="28"/>
      <c r="G1" s="22"/>
      <c r="H1" s="22"/>
      <c r="I1" s="22"/>
      <c r="J1" s="22"/>
      <c r="K1" s="22"/>
      <c r="L1" s="22"/>
      <c r="M1" s="22"/>
    </row>
    <row r="2" spans="1:13">
      <c r="A2" s="26"/>
      <c r="B2" s="32"/>
      <c r="C2" s="32"/>
      <c r="D2" s="32"/>
      <c r="E2" s="32"/>
      <c r="F2" s="32"/>
      <c r="G2" s="22"/>
      <c r="H2" s="22"/>
      <c r="I2" s="22"/>
      <c r="J2" s="22"/>
      <c r="K2" s="22"/>
      <c r="L2" s="22"/>
      <c r="M2" s="22"/>
    </row>
    <row r="3" spans="1:13">
      <c r="A3" s="30"/>
      <c r="B3" s="568" t="s">
        <v>297</v>
      </c>
      <c r="C3" s="568"/>
      <c r="D3" s="568"/>
      <c r="E3" s="568"/>
      <c r="F3" s="568"/>
      <c r="G3" s="568"/>
      <c r="H3" s="568"/>
      <c r="I3" s="568"/>
      <c r="J3" s="267"/>
      <c r="K3" s="267"/>
      <c r="L3" s="267"/>
      <c r="M3" s="267"/>
    </row>
    <row r="4" spans="1:13">
      <c r="A4" s="224" t="s">
        <v>22</v>
      </c>
      <c r="B4" s="224" t="s">
        <v>27</v>
      </c>
      <c r="C4" s="224" t="s">
        <v>28</v>
      </c>
      <c r="D4" s="224" t="s">
        <v>29</v>
      </c>
      <c r="E4" s="224" t="s">
        <v>30</v>
      </c>
      <c r="F4" s="224" t="s">
        <v>31</v>
      </c>
      <c r="G4" s="224" t="s">
        <v>32</v>
      </c>
      <c r="H4" s="224" t="s">
        <v>33</v>
      </c>
      <c r="I4" s="266" t="s">
        <v>34</v>
      </c>
      <c r="J4" s="9"/>
      <c r="K4" s="9"/>
      <c r="L4" s="9"/>
      <c r="M4" s="9"/>
    </row>
    <row r="5" spans="1:13">
      <c r="A5" s="10" t="s">
        <v>405</v>
      </c>
      <c r="B5" s="76">
        <f>1150</f>
        <v>1150</v>
      </c>
      <c r="C5" s="76">
        <f>1150</f>
        <v>1150</v>
      </c>
      <c r="D5" s="76">
        <f>1150</f>
        <v>1150</v>
      </c>
      <c r="E5" s="41"/>
      <c r="F5" s="37"/>
      <c r="G5" s="76">
        <f>1150</f>
        <v>1150</v>
      </c>
      <c r="H5" s="76">
        <f>1150</f>
        <v>1150</v>
      </c>
      <c r="I5" s="76">
        <f>1150</f>
        <v>1150</v>
      </c>
    </row>
    <row r="6" spans="1:13">
      <c r="A6" s="31" t="s">
        <v>36</v>
      </c>
      <c r="B6" s="42">
        <f>480</f>
        <v>480</v>
      </c>
      <c r="C6" s="42">
        <f>B6*2</f>
        <v>960</v>
      </c>
      <c r="D6" s="42">
        <f>B6*2</f>
        <v>960</v>
      </c>
      <c r="E6" s="42"/>
      <c r="F6" s="42"/>
      <c r="G6" s="42">
        <f>$B$6*2</f>
        <v>960</v>
      </c>
      <c r="H6" s="42">
        <f t="shared" ref="H6:I6" si="0">$B$6*2</f>
        <v>960</v>
      </c>
      <c r="I6" s="42">
        <f t="shared" si="0"/>
        <v>960</v>
      </c>
    </row>
    <row r="7" spans="1:13">
      <c r="A7" s="24" t="s">
        <v>35</v>
      </c>
      <c r="B7" s="39">
        <v>150</v>
      </c>
      <c r="C7" s="39"/>
      <c r="D7" s="39"/>
      <c r="E7" s="39"/>
      <c r="F7" s="39"/>
      <c r="G7" s="39"/>
      <c r="H7" s="39"/>
      <c r="I7" s="39"/>
    </row>
    <row r="8" spans="1:13">
      <c r="A8" s="225" t="s">
        <v>19</v>
      </c>
      <c r="C8" s="39"/>
      <c r="D8" s="40"/>
      <c r="E8" s="39"/>
      <c r="F8" s="40"/>
      <c r="G8" s="39"/>
      <c r="H8" s="39"/>
      <c r="I8" s="39"/>
    </row>
    <row r="9" spans="1:13">
      <c r="A9" s="43" t="s">
        <v>77</v>
      </c>
      <c r="B9" s="39">
        <v>230</v>
      </c>
      <c r="C9" s="36"/>
      <c r="D9" s="44"/>
      <c r="E9" s="44"/>
      <c r="F9" s="44"/>
      <c r="G9" s="44"/>
      <c r="H9" s="44"/>
      <c r="I9" s="44"/>
    </row>
    <row r="10" spans="1:13">
      <c r="A10" s="31" t="s">
        <v>83</v>
      </c>
      <c r="B10" s="36"/>
      <c r="C10" s="36"/>
      <c r="D10" s="44"/>
      <c r="E10" s="44"/>
      <c r="F10" s="44"/>
      <c r="G10" s="44"/>
      <c r="H10" s="44"/>
      <c r="I10" s="44">
        <v>90</v>
      </c>
    </row>
    <row r="11" spans="1:13">
      <c r="A11" s="258" t="s">
        <v>20</v>
      </c>
      <c r="B11" s="44"/>
      <c r="C11" s="44"/>
      <c r="D11" s="36"/>
      <c r="E11" s="44"/>
      <c r="F11" s="44"/>
      <c r="G11" s="44"/>
      <c r="H11" s="44"/>
      <c r="I11" s="44"/>
    </row>
    <row r="12" spans="1:13">
      <c r="A12" s="31" t="s">
        <v>78</v>
      </c>
      <c r="B12" s="77">
        <v>120</v>
      </c>
      <c r="C12" s="44"/>
      <c r="D12" s="36"/>
      <c r="E12" s="44"/>
      <c r="F12" s="44"/>
      <c r="G12" s="44"/>
      <c r="H12" s="44"/>
      <c r="I12" s="44"/>
    </row>
    <row r="13" spans="1:13">
      <c r="A13" s="74" t="s">
        <v>80</v>
      </c>
      <c r="B13" s="39">
        <f t="shared" ref="B13:I13" si="1">SUM(B5:B9)</f>
        <v>2010</v>
      </c>
      <c r="C13" s="39">
        <f t="shared" si="1"/>
        <v>2110</v>
      </c>
      <c r="D13" s="39">
        <f t="shared" si="1"/>
        <v>2110</v>
      </c>
      <c r="E13" s="39">
        <f t="shared" si="1"/>
        <v>0</v>
      </c>
      <c r="F13" s="39">
        <f t="shared" si="1"/>
        <v>0</v>
      </c>
      <c r="G13" s="39">
        <f t="shared" si="1"/>
        <v>2110</v>
      </c>
      <c r="H13" s="39">
        <f t="shared" si="1"/>
        <v>2110</v>
      </c>
      <c r="I13" s="39">
        <f t="shared" si="1"/>
        <v>2110</v>
      </c>
    </row>
    <row r="14" spans="1:13">
      <c r="A14" s="419" t="s">
        <v>81</v>
      </c>
      <c r="B14" s="39">
        <f>SUM(B13:I13)</f>
        <v>12560</v>
      </c>
      <c r="C14" s="34"/>
      <c r="D14" s="34"/>
      <c r="E14" s="34"/>
      <c r="F14" s="34"/>
      <c r="G14" s="34"/>
      <c r="H14" s="33"/>
      <c r="I14" s="34"/>
      <c r="J14" s="34"/>
      <c r="K14" s="34"/>
      <c r="L14" s="34"/>
      <c r="M14" s="34"/>
    </row>
    <row r="16" spans="1:13">
      <c r="A16" s="212"/>
    </row>
    <row r="18" spans="1:13">
      <c r="A18" s="30"/>
      <c r="B18" s="568" t="s">
        <v>364</v>
      </c>
      <c r="C18" s="568"/>
      <c r="D18" s="568"/>
      <c r="E18" s="568"/>
      <c r="F18" s="568"/>
      <c r="G18" s="568"/>
      <c r="H18" s="568"/>
      <c r="I18" s="568"/>
      <c r="J18" s="568"/>
      <c r="K18" s="568"/>
      <c r="L18" s="568"/>
      <c r="M18" s="568"/>
    </row>
    <row r="19" spans="1:13">
      <c r="A19" s="257" t="s">
        <v>22</v>
      </c>
      <c r="B19" s="224" t="s">
        <v>23</v>
      </c>
      <c r="C19" s="224" t="s">
        <v>24</v>
      </c>
      <c r="D19" s="224" t="s">
        <v>25</v>
      </c>
      <c r="E19" s="224" t="s">
        <v>26</v>
      </c>
      <c r="F19" s="224" t="s">
        <v>27</v>
      </c>
      <c r="G19" s="224" t="s">
        <v>28</v>
      </c>
      <c r="H19" s="224" t="s">
        <v>29</v>
      </c>
      <c r="I19" s="224" t="s">
        <v>30</v>
      </c>
      <c r="J19" s="224" t="s">
        <v>31</v>
      </c>
      <c r="K19" s="224" t="s">
        <v>32</v>
      </c>
      <c r="L19" s="224" t="s">
        <v>33</v>
      </c>
      <c r="M19" s="224" t="s">
        <v>34</v>
      </c>
    </row>
    <row r="20" spans="1:13">
      <c r="A20" s="45" t="s">
        <v>405</v>
      </c>
      <c r="B20" s="76"/>
      <c r="C20" s="76">
        <f>1150</f>
        <v>1150</v>
      </c>
      <c r="D20" s="41">
        <f>1150</f>
        <v>1150</v>
      </c>
      <c r="E20" s="37"/>
      <c r="F20" s="76">
        <f>1150</f>
        <v>1150</v>
      </c>
      <c r="G20" s="76">
        <f>1150</f>
        <v>1150</v>
      </c>
      <c r="H20" s="76"/>
      <c r="I20" s="41"/>
      <c r="J20" s="37"/>
      <c r="K20" s="76"/>
      <c r="L20" s="76">
        <f>1150</f>
        <v>1150</v>
      </c>
      <c r="M20" s="76"/>
    </row>
    <row r="21" spans="1:13">
      <c r="A21" s="31" t="s">
        <v>36</v>
      </c>
      <c r="B21" s="42">
        <f>480</f>
        <v>480</v>
      </c>
      <c r="C21" s="42">
        <f>$B$21*2</f>
        <v>960</v>
      </c>
      <c r="D21" s="75"/>
      <c r="E21" s="38"/>
      <c r="F21" s="42">
        <f>B21</f>
        <v>480</v>
      </c>
      <c r="G21" s="42">
        <f>$F$21*2</f>
        <v>960</v>
      </c>
      <c r="H21" s="42"/>
      <c r="I21" s="42"/>
      <c r="J21" s="38"/>
      <c r="K21" s="42">
        <f>F21</f>
        <v>480</v>
      </c>
      <c r="L21" s="42"/>
      <c r="M21" s="42"/>
    </row>
    <row r="22" spans="1:13">
      <c r="A22" s="24" t="s">
        <v>82</v>
      </c>
      <c r="B22" s="39">
        <v>70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  <row r="23" spans="1:13">
      <c r="A23" s="74" t="s">
        <v>80</v>
      </c>
      <c r="B23" s="39">
        <f t="shared" ref="B23:L23" si="2">SUM(B20:B22)</f>
        <v>550</v>
      </c>
      <c r="C23" s="39">
        <f t="shared" si="2"/>
        <v>2110</v>
      </c>
      <c r="D23" s="39">
        <f t="shared" si="2"/>
        <v>1150</v>
      </c>
      <c r="E23" s="39">
        <f t="shared" si="2"/>
        <v>0</v>
      </c>
      <c r="F23" s="39">
        <f t="shared" si="2"/>
        <v>1630</v>
      </c>
      <c r="G23" s="39">
        <f t="shared" si="2"/>
        <v>2110</v>
      </c>
      <c r="H23" s="39">
        <f t="shared" si="2"/>
        <v>0</v>
      </c>
      <c r="I23" s="39">
        <f t="shared" si="2"/>
        <v>0</v>
      </c>
      <c r="J23" s="39">
        <f t="shared" si="2"/>
        <v>0</v>
      </c>
      <c r="K23" s="39">
        <f t="shared" si="2"/>
        <v>480</v>
      </c>
      <c r="L23" s="39">
        <f t="shared" si="2"/>
        <v>1150</v>
      </c>
      <c r="M23" s="39">
        <v>0</v>
      </c>
    </row>
    <row r="24" spans="1:13">
      <c r="A24" s="419" t="s">
        <v>81</v>
      </c>
      <c r="B24" s="39">
        <f>SUM(B23:M23)</f>
        <v>9180</v>
      </c>
      <c r="C24" s="34"/>
      <c r="D24" s="34"/>
      <c r="E24" s="34"/>
      <c r="F24" s="34"/>
      <c r="G24" s="34"/>
      <c r="H24" s="33"/>
      <c r="I24" s="34"/>
      <c r="J24" s="34"/>
      <c r="K24" s="34"/>
      <c r="L24" s="34"/>
      <c r="M24" s="34"/>
    </row>
    <row r="31" spans="1:13">
      <c r="A31" s="299" t="s">
        <v>388</v>
      </c>
      <c r="B31" s="30"/>
      <c r="C31" s="226" t="s">
        <v>405</v>
      </c>
    </row>
    <row r="32" spans="1:13">
      <c r="A32" s="30"/>
      <c r="B32" s="30"/>
      <c r="C32" s="30" t="s">
        <v>76</v>
      </c>
    </row>
    <row r="33" spans="1:13">
      <c r="A33" s="300" t="s">
        <v>389</v>
      </c>
      <c r="B33" s="30"/>
      <c r="C33" s="30"/>
    </row>
    <row r="34" spans="1:13">
      <c r="A34" s="300" t="s">
        <v>390</v>
      </c>
      <c r="B34" s="30"/>
      <c r="C34" s="227" t="s">
        <v>79</v>
      </c>
      <c r="D34" s="227"/>
    </row>
    <row r="35" spans="1:13">
      <c r="A35" s="300" t="s">
        <v>391</v>
      </c>
      <c r="B35" s="30"/>
      <c r="C35" s="30" t="s">
        <v>470</v>
      </c>
      <c r="E35" t="s">
        <v>469</v>
      </c>
    </row>
    <row r="36" spans="1:13">
      <c r="A36" s="300" t="s">
        <v>71</v>
      </c>
      <c r="B36" s="30"/>
      <c r="C36" s="30"/>
      <c r="F36" s="34"/>
      <c r="G36" s="34"/>
      <c r="H36" s="33"/>
      <c r="I36" s="34"/>
      <c r="J36" s="34"/>
      <c r="K36" s="34"/>
      <c r="L36" s="34"/>
      <c r="M36" s="33"/>
    </row>
    <row r="37" spans="1:13">
      <c r="A37" s="30"/>
      <c r="B37" s="30"/>
      <c r="C37" s="30"/>
      <c r="G37" s="34"/>
      <c r="H37" s="33"/>
      <c r="I37" s="34"/>
      <c r="J37" s="34"/>
      <c r="K37" s="34"/>
      <c r="L37" s="34"/>
      <c r="M37" s="33"/>
    </row>
    <row r="38" spans="1:13">
      <c r="A38" s="226" t="s">
        <v>72</v>
      </c>
      <c r="B38" s="30"/>
      <c r="C38" s="30"/>
    </row>
    <row r="39" spans="1:13">
      <c r="A39" s="30" t="s">
        <v>70</v>
      </c>
      <c r="B39" s="30"/>
      <c r="C39" s="72" t="s">
        <v>75</v>
      </c>
      <c r="D39" s="30"/>
      <c r="E39" s="30"/>
      <c r="F39" s="30"/>
    </row>
    <row r="40" spans="1:13">
      <c r="A40" s="30"/>
      <c r="B40" s="30"/>
      <c r="C40" s="30" t="s">
        <v>37</v>
      </c>
      <c r="D40" s="30"/>
      <c r="E40" s="30"/>
      <c r="F40" s="30"/>
    </row>
    <row r="41" spans="1:13">
      <c r="A41" s="30" t="s">
        <v>73</v>
      </c>
      <c r="B41" s="30"/>
      <c r="C41" s="72" t="s">
        <v>38</v>
      </c>
      <c r="D41" s="30"/>
      <c r="E41" s="30"/>
      <c r="F41" s="30"/>
    </row>
    <row r="42" spans="1:13">
      <c r="A42" s="30"/>
      <c r="B42" s="30"/>
      <c r="C42" s="30" t="s">
        <v>94</v>
      </c>
      <c r="I42" s="73" t="s">
        <v>95</v>
      </c>
    </row>
    <row r="43" spans="1:13">
      <c r="A43" s="30" t="s">
        <v>74</v>
      </c>
      <c r="B43" s="30"/>
      <c r="C43" s="30"/>
    </row>
    <row r="44" spans="1:13">
      <c r="A44" s="30"/>
      <c r="B44" s="30"/>
      <c r="C44" s="30"/>
    </row>
    <row r="45" spans="1:13">
      <c r="A45" s="30" t="s">
        <v>71</v>
      </c>
      <c r="B45" s="30"/>
      <c r="C45" s="30"/>
    </row>
    <row r="46" spans="1:13">
      <c r="B46" s="30"/>
      <c r="C46" s="30"/>
    </row>
    <row r="47" spans="1:13">
      <c r="B47" s="30"/>
      <c r="C47" s="297"/>
    </row>
    <row r="48" spans="1:13">
      <c r="C48" s="298"/>
    </row>
    <row r="49" spans="3:3">
      <c r="C49" s="298"/>
    </row>
    <row r="50" spans="3:3">
      <c r="C50" s="297"/>
    </row>
    <row r="51" spans="3:3">
      <c r="C51" s="298"/>
    </row>
    <row r="52" spans="3:3">
      <c r="C52" s="298"/>
    </row>
    <row r="53" spans="3:3">
      <c r="C53" s="298"/>
    </row>
    <row r="54" spans="3:3">
      <c r="C54" s="298"/>
    </row>
    <row r="55" spans="3:3">
      <c r="C55" s="298"/>
    </row>
    <row r="56" spans="3:3">
      <c r="C56" s="298"/>
    </row>
    <row r="57" spans="3:3">
      <c r="C57" s="298"/>
    </row>
    <row r="58" spans="3:3">
      <c r="C58" s="298"/>
    </row>
  </sheetData>
  <mergeCells count="2">
    <mergeCell ref="B18:M18"/>
    <mergeCell ref="B3:I3"/>
  </mergeCells>
  <hyperlinks>
    <hyperlink ref="C41" r:id="rId1"/>
    <hyperlink ref="C39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B1:I178"/>
  <sheetViews>
    <sheetView showGridLines="0" topLeftCell="A34" workbookViewId="0">
      <selection activeCell="D24" sqref="D24"/>
    </sheetView>
  </sheetViews>
  <sheetFormatPr baseColWidth="10" defaultRowHeight="15"/>
  <cols>
    <col min="2" max="2" width="33" customWidth="1"/>
    <col min="3" max="3" width="15.85546875" customWidth="1"/>
    <col min="4" max="4" width="18.85546875" customWidth="1"/>
    <col min="5" max="5" width="17.42578125" customWidth="1"/>
    <col min="6" max="6" width="13.85546875" customWidth="1"/>
    <col min="7" max="7" width="15.140625" customWidth="1"/>
    <col min="8" max="8" width="22.28515625" customWidth="1"/>
    <col min="9" max="9" width="12" bestFit="1" customWidth="1"/>
  </cols>
  <sheetData>
    <row r="1" spans="2:7" s="30" customFormat="1" ht="15.75" thickBot="1"/>
    <row r="2" spans="2:7" ht="15.75" thickBot="1">
      <c r="B2" s="569" t="s">
        <v>409</v>
      </c>
      <c r="C2" s="570"/>
      <c r="D2" s="570"/>
      <c r="E2" s="570"/>
      <c r="F2" s="570"/>
      <c r="G2" s="571"/>
    </row>
    <row r="3" spans="2:7">
      <c r="B3" s="574" t="s">
        <v>39</v>
      </c>
      <c r="C3" s="574" t="s">
        <v>40</v>
      </c>
      <c r="D3" s="574" t="s">
        <v>84</v>
      </c>
      <c r="E3" s="572" t="s">
        <v>59</v>
      </c>
      <c r="F3" s="572" t="s">
        <v>41</v>
      </c>
      <c r="G3" s="572" t="s">
        <v>42</v>
      </c>
    </row>
    <row r="4" spans="2:7" ht="15.75" thickBot="1">
      <c r="B4" s="575"/>
      <c r="C4" s="575"/>
      <c r="D4" s="575"/>
      <c r="E4" s="573"/>
      <c r="F4" s="573"/>
      <c r="G4" s="573"/>
    </row>
    <row r="5" spans="2:7" ht="15" customHeight="1">
      <c r="B5" s="57" t="s">
        <v>43</v>
      </c>
      <c r="C5" s="58" t="s">
        <v>52</v>
      </c>
      <c r="D5" s="59">
        <v>669</v>
      </c>
      <c r="E5" s="58">
        <v>12</v>
      </c>
      <c r="F5" s="60">
        <f t="shared" ref="F5:F17" si="0">D5/E5</f>
        <v>55.75</v>
      </c>
      <c r="G5" s="61">
        <f t="shared" ref="G5:G17" si="1">D5-F5</f>
        <v>613.25</v>
      </c>
    </row>
    <row r="6" spans="2:7">
      <c r="B6" s="50" t="s">
        <v>258</v>
      </c>
      <c r="C6" s="45" t="s">
        <v>64</v>
      </c>
      <c r="D6" s="46">
        <v>2872.5</v>
      </c>
      <c r="E6" s="45">
        <v>12</v>
      </c>
      <c r="F6" s="47">
        <f t="shared" si="0"/>
        <v>239.375</v>
      </c>
      <c r="G6" s="49">
        <f t="shared" si="1"/>
        <v>2633.125</v>
      </c>
    </row>
    <row r="7" spans="2:7">
      <c r="B7" s="48" t="s">
        <v>47</v>
      </c>
      <c r="C7" s="45"/>
      <c r="D7" s="46">
        <f>158.16*4</f>
        <v>632.64</v>
      </c>
      <c r="E7" s="45">
        <v>8</v>
      </c>
      <c r="F7" s="47">
        <f t="shared" si="0"/>
        <v>79.08</v>
      </c>
      <c r="G7" s="49">
        <f t="shared" si="1"/>
        <v>553.55999999999995</v>
      </c>
    </row>
    <row r="8" spans="2:7">
      <c r="B8" s="48" t="s">
        <v>57</v>
      </c>
      <c r="C8" s="45" t="s">
        <v>58</v>
      </c>
      <c r="D8" s="46">
        <f>63.21+2</f>
        <v>65.210000000000008</v>
      </c>
      <c r="E8" s="45">
        <v>12</v>
      </c>
      <c r="F8" s="47">
        <f t="shared" si="0"/>
        <v>5.434166666666667</v>
      </c>
      <c r="G8" s="49">
        <f t="shared" si="1"/>
        <v>59.775833333333338</v>
      </c>
    </row>
    <row r="9" spans="2:7">
      <c r="B9" s="48" t="s">
        <v>49</v>
      </c>
      <c r="C9" s="45"/>
      <c r="D9" s="46">
        <v>109.94</v>
      </c>
      <c r="E9" s="45">
        <v>15</v>
      </c>
      <c r="F9" s="47">
        <f t="shared" si="0"/>
        <v>7.3293333333333335</v>
      </c>
      <c r="G9" s="49">
        <f t="shared" si="1"/>
        <v>102.61066666666666</v>
      </c>
    </row>
    <row r="10" spans="2:7">
      <c r="B10" s="48" t="s">
        <v>45</v>
      </c>
      <c r="C10" s="45" t="s">
        <v>55</v>
      </c>
      <c r="D10" s="46">
        <v>849</v>
      </c>
      <c r="E10" s="45">
        <v>15</v>
      </c>
      <c r="F10" s="47">
        <f t="shared" si="0"/>
        <v>56.6</v>
      </c>
      <c r="G10" s="49">
        <f t="shared" si="1"/>
        <v>792.4</v>
      </c>
    </row>
    <row r="11" spans="2:7">
      <c r="B11" s="48" t="s">
        <v>44</v>
      </c>
      <c r="C11" s="45" t="s">
        <v>56</v>
      </c>
      <c r="D11" s="46">
        <v>113.16</v>
      </c>
      <c r="E11" s="45">
        <v>10</v>
      </c>
      <c r="F11" s="47">
        <f t="shared" si="0"/>
        <v>11.315999999999999</v>
      </c>
      <c r="G11" s="49">
        <f t="shared" si="1"/>
        <v>101.84399999999999</v>
      </c>
    </row>
    <row r="12" spans="2:7">
      <c r="B12" s="48" t="s">
        <v>53</v>
      </c>
      <c r="C12" s="45" t="s">
        <v>54</v>
      </c>
      <c r="D12" s="46">
        <v>105.31</v>
      </c>
      <c r="E12" s="45">
        <v>12</v>
      </c>
      <c r="F12" s="47">
        <f t="shared" si="0"/>
        <v>8.7758333333333329</v>
      </c>
      <c r="G12" s="49">
        <f t="shared" si="1"/>
        <v>96.534166666666664</v>
      </c>
    </row>
    <row r="13" spans="2:7">
      <c r="B13" s="48" t="s">
        <v>51</v>
      </c>
      <c r="C13" s="45"/>
      <c r="D13" s="47">
        <v>804.25</v>
      </c>
      <c r="E13" s="45">
        <v>12</v>
      </c>
      <c r="F13" s="47">
        <f t="shared" si="0"/>
        <v>67.020833333333329</v>
      </c>
      <c r="G13" s="49">
        <f t="shared" si="1"/>
        <v>737.22916666666663</v>
      </c>
    </row>
    <row r="14" spans="2:7">
      <c r="B14" s="48" t="s">
        <v>175</v>
      </c>
      <c r="C14" s="45"/>
      <c r="D14" s="46">
        <v>1019</v>
      </c>
      <c r="E14" s="45">
        <v>15</v>
      </c>
      <c r="F14" s="47">
        <f t="shared" si="0"/>
        <v>67.933333333333337</v>
      </c>
      <c r="G14" s="49">
        <f t="shared" si="1"/>
        <v>951.06666666666661</v>
      </c>
    </row>
    <row r="15" spans="2:7">
      <c r="B15" s="48" t="s">
        <v>46</v>
      </c>
      <c r="C15" s="45"/>
      <c r="D15" s="46">
        <v>989</v>
      </c>
      <c r="E15" s="45">
        <v>15</v>
      </c>
      <c r="F15" s="47">
        <f t="shared" si="0"/>
        <v>65.933333333333337</v>
      </c>
      <c r="G15" s="49">
        <f t="shared" si="1"/>
        <v>923.06666666666661</v>
      </c>
    </row>
    <row r="16" spans="2:7">
      <c r="B16" s="48" t="s">
        <v>50</v>
      </c>
      <c r="C16" s="45" t="s">
        <v>98</v>
      </c>
      <c r="D16" s="46">
        <f>627.68*2</f>
        <v>1255.3599999999999</v>
      </c>
      <c r="E16" s="45">
        <v>15</v>
      </c>
      <c r="F16" s="47">
        <f t="shared" si="0"/>
        <v>83.690666666666658</v>
      </c>
      <c r="G16" s="49">
        <f t="shared" si="1"/>
        <v>1171.6693333333333</v>
      </c>
    </row>
    <row r="17" spans="2:9" ht="15.75" thickBot="1">
      <c r="B17" s="51" t="s">
        <v>48</v>
      </c>
      <c r="C17" s="52"/>
      <c r="D17" s="78">
        <v>88.52</v>
      </c>
      <c r="E17" s="52">
        <v>15</v>
      </c>
      <c r="F17" s="53">
        <f t="shared" si="0"/>
        <v>5.9013333333333327</v>
      </c>
      <c r="G17" s="54">
        <f t="shared" si="1"/>
        <v>82.61866666666667</v>
      </c>
    </row>
    <row r="18" spans="2:9" ht="16.5" thickTop="1" thickBot="1">
      <c r="B18" s="62" t="s">
        <v>60</v>
      </c>
      <c r="C18" s="55"/>
      <c r="D18" s="56">
        <f>SUM(D5:D17)</f>
        <v>9572.8900000000012</v>
      </c>
      <c r="E18" s="55"/>
      <c r="F18" s="56">
        <f>SUM(F5:F17)</f>
        <v>754.13983333333329</v>
      </c>
      <c r="G18" s="56">
        <f>SUM(G5:G17)</f>
        <v>8818.7501666666667</v>
      </c>
    </row>
    <row r="19" spans="2:9" s="30" customFormat="1" ht="15.75" thickTop="1"/>
    <row r="20" spans="2:9" ht="15.75" thickBot="1">
      <c r="B20" s="30"/>
      <c r="C20" s="30"/>
      <c r="D20" s="30"/>
      <c r="E20" s="30"/>
      <c r="F20" s="30"/>
      <c r="G20" s="30"/>
    </row>
    <row r="21" spans="2:9" ht="15.75" thickBot="1">
      <c r="B21" s="569" t="s">
        <v>97</v>
      </c>
      <c r="C21" s="570"/>
      <c r="D21" s="570"/>
      <c r="E21" s="570"/>
      <c r="F21" s="570"/>
      <c r="G21" s="571"/>
    </row>
    <row r="22" spans="2:9">
      <c r="B22" s="574" t="s">
        <v>39</v>
      </c>
      <c r="C22" s="574" t="s">
        <v>40</v>
      </c>
      <c r="D22" s="574" t="s">
        <v>84</v>
      </c>
      <c r="E22" s="572" t="s">
        <v>59</v>
      </c>
      <c r="F22" s="572" t="s">
        <v>41</v>
      </c>
      <c r="G22" s="572" t="s">
        <v>42</v>
      </c>
    </row>
    <row r="23" spans="2:9" ht="15.75" thickBot="1">
      <c r="B23" s="575"/>
      <c r="C23" s="575"/>
      <c r="D23" s="575"/>
      <c r="E23" s="573"/>
      <c r="F23" s="573"/>
      <c r="G23" s="573"/>
    </row>
    <row r="24" spans="2:9" ht="15.75" thickBot="1">
      <c r="B24" s="79" t="s">
        <v>96</v>
      </c>
      <c r="C24" s="31" t="s">
        <v>63</v>
      </c>
      <c r="D24" s="80">
        <f>37390*2</f>
        <v>74780</v>
      </c>
      <c r="E24" s="81">
        <v>10</v>
      </c>
      <c r="F24" s="82">
        <f>D24/E24</f>
        <v>7478</v>
      </c>
      <c r="G24" s="83">
        <f>D24-F24</f>
        <v>67302</v>
      </c>
    </row>
    <row r="25" spans="2:9" ht="15.75" thickBot="1">
      <c r="B25" s="84" t="s">
        <v>61</v>
      </c>
      <c r="C25" s="85"/>
      <c r="D25" s="86">
        <f>D24</f>
        <v>74780</v>
      </c>
      <c r="E25" s="85"/>
      <c r="F25" s="87">
        <f>F24</f>
        <v>7478</v>
      </c>
      <c r="G25" s="88">
        <f>G24</f>
        <v>67302</v>
      </c>
    </row>
    <row r="26" spans="2:9">
      <c r="B26" s="30"/>
      <c r="C26" s="30"/>
      <c r="D26" s="30"/>
      <c r="E26" s="30"/>
      <c r="F26" s="30"/>
      <c r="G26" s="30"/>
    </row>
    <row r="27" spans="2:9" ht="15.75" thickBot="1">
      <c r="B27" s="30"/>
      <c r="C27" s="30"/>
      <c r="D27" s="30"/>
      <c r="E27" s="30"/>
      <c r="F27" s="30"/>
      <c r="G27" s="30"/>
    </row>
    <row r="28" spans="2:9" ht="15.75" thickBot="1">
      <c r="B28" s="569" t="s">
        <v>408</v>
      </c>
      <c r="C28" s="570"/>
      <c r="D28" s="570"/>
      <c r="E28" s="570"/>
      <c r="F28" s="570"/>
      <c r="G28" s="571"/>
    </row>
    <row r="29" spans="2:9">
      <c r="B29" s="574" t="s">
        <v>39</v>
      </c>
      <c r="C29" s="574" t="s">
        <v>40</v>
      </c>
      <c r="D29" s="574" t="s">
        <v>84</v>
      </c>
      <c r="E29" s="572" t="s">
        <v>59</v>
      </c>
      <c r="F29" s="572" t="s">
        <v>41</v>
      </c>
      <c r="G29" s="572" t="s">
        <v>42</v>
      </c>
    </row>
    <row r="30" spans="2:9" ht="15.75" thickBot="1">
      <c r="B30" s="575"/>
      <c r="C30" s="575"/>
      <c r="D30" s="575"/>
      <c r="E30" s="573"/>
      <c r="F30" s="573"/>
      <c r="G30" s="573"/>
      <c r="I30" s="168"/>
    </row>
    <row r="31" spans="2:9">
      <c r="B31" s="89" t="s">
        <v>85</v>
      </c>
      <c r="C31" s="31" t="s">
        <v>86</v>
      </c>
      <c r="D31" s="90">
        <v>401.79</v>
      </c>
      <c r="E31" s="58">
        <v>5</v>
      </c>
      <c r="F31" s="60">
        <f>D31/E31</f>
        <v>80.358000000000004</v>
      </c>
      <c r="G31" s="63">
        <f>D31-E31</f>
        <v>396.79</v>
      </c>
    </row>
    <row r="32" spans="2:9" ht="15.75" thickBot="1">
      <c r="B32" s="91" t="s">
        <v>87</v>
      </c>
      <c r="C32" s="45" t="s">
        <v>88</v>
      </c>
      <c r="D32" s="90">
        <f>302.68*2</f>
        <v>605.36</v>
      </c>
      <c r="E32" s="45">
        <v>5</v>
      </c>
      <c r="F32" s="60">
        <f>D32/E32</f>
        <v>121.072</v>
      </c>
      <c r="G32" s="63">
        <f>D32-E32</f>
        <v>600.36</v>
      </c>
    </row>
    <row r="33" spans="2:9" ht="16.5" thickTop="1" thickBot="1">
      <c r="B33" s="62" t="s">
        <v>60</v>
      </c>
      <c r="C33" s="55"/>
      <c r="D33" s="56">
        <f>SUM(D31:D32)</f>
        <v>1007.1500000000001</v>
      </c>
      <c r="E33" s="55"/>
      <c r="F33" s="56">
        <f>SUM(F31:F32)</f>
        <v>201.43</v>
      </c>
      <c r="G33" s="92">
        <f>SUM(G31:G32)</f>
        <v>997.15000000000009</v>
      </c>
    </row>
    <row r="34" spans="2:9" ht="15.75" thickTop="1">
      <c r="B34" s="30"/>
      <c r="C34" s="30"/>
      <c r="D34" s="30"/>
      <c r="E34" s="30"/>
      <c r="F34" s="30"/>
      <c r="G34" s="30"/>
    </row>
    <row r="35" spans="2:9" ht="15.75" thickBot="1">
      <c r="B35" s="30"/>
      <c r="C35" s="30"/>
      <c r="D35" s="30"/>
      <c r="E35" s="30"/>
      <c r="F35" s="30"/>
      <c r="G35" s="30"/>
    </row>
    <row r="36" spans="2:9" ht="15.75" thickBot="1">
      <c r="B36" s="569" t="s">
        <v>407</v>
      </c>
      <c r="C36" s="570"/>
      <c r="D36" s="570"/>
      <c r="E36" s="570"/>
      <c r="F36" s="570"/>
      <c r="G36" s="571"/>
    </row>
    <row r="37" spans="2:9">
      <c r="B37" s="574" t="s">
        <v>39</v>
      </c>
      <c r="C37" s="574" t="s">
        <v>40</v>
      </c>
      <c r="D37" s="574" t="s">
        <v>84</v>
      </c>
      <c r="E37" s="572" t="s">
        <v>59</v>
      </c>
      <c r="F37" s="572" t="s">
        <v>41</v>
      </c>
      <c r="G37" s="572" t="s">
        <v>42</v>
      </c>
    </row>
    <row r="38" spans="2:9" ht="15.75" thickBot="1">
      <c r="B38" s="575"/>
      <c r="C38" s="575"/>
      <c r="D38" s="575"/>
      <c r="E38" s="573"/>
      <c r="F38" s="573"/>
      <c r="G38" s="573"/>
    </row>
    <row r="39" spans="2:9">
      <c r="B39" s="57" t="s">
        <v>89</v>
      </c>
      <c r="C39" s="107"/>
      <c r="D39" s="60">
        <v>300</v>
      </c>
      <c r="E39" s="58">
        <v>10</v>
      </c>
      <c r="F39" s="60">
        <f t="shared" ref="F39:F44" si="2">D39/E39</f>
        <v>30</v>
      </c>
      <c r="G39" s="63">
        <f t="shared" ref="G39:G44" si="3">D39-F39</f>
        <v>270</v>
      </c>
    </row>
    <row r="40" spans="2:9">
      <c r="B40" s="48" t="s">
        <v>90</v>
      </c>
      <c r="C40" s="45"/>
      <c r="D40" s="46">
        <v>1995</v>
      </c>
      <c r="E40" s="45">
        <v>10</v>
      </c>
      <c r="F40" s="47">
        <f t="shared" si="2"/>
        <v>199.5</v>
      </c>
      <c r="G40" s="64">
        <f t="shared" si="3"/>
        <v>1795.5</v>
      </c>
    </row>
    <row r="41" spans="2:9">
      <c r="B41" s="50" t="s">
        <v>91</v>
      </c>
      <c r="C41" s="75"/>
      <c r="D41" s="46">
        <v>622.5</v>
      </c>
      <c r="E41" s="45">
        <v>12</v>
      </c>
      <c r="F41" s="47">
        <f t="shared" si="2"/>
        <v>51.875</v>
      </c>
      <c r="G41" s="64">
        <f t="shared" si="3"/>
        <v>570.625</v>
      </c>
    </row>
    <row r="42" spans="2:9">
      <c r="B42" s="51" t="s">
        <v>92</v>
      </c>
      <c r="C42" s="75"/>
      <c r="D42" s="47">
        <v>800</v>
      </c>
      <c r="E42" s="45">
        <v>12</v>
      </c>
      <c r="F42" s="47">
        <f t="shared" si="2"/>
        <v>66.666666666666671</v>
      </c>
      <c r="G42" s="64">
        <f t="shared" si="3"/>
        <v>733.33333333333337</v>
      </c>
    </row>
    <row r="43" spans="2:9">
      <c r="B43" s="50" t="s">
        <v>93</v>
      </c>
      <c r="C43" s="45"/>
      <c r="D43" s="46">
        <v>700</v>
      </c>
      <c r="E43" s="45">
        <v>10</v>
      </c>
      <c r="F43" s="47">
        <f t="shared" si="2"/>
        <v>70</v>
      </c>
      <c r="G43" s="64">
        <f t="shared" si="3"/>
        <v>630</v>
      </c>
    </row>
    <row r="44" spans="2:9" ht="15.75" thickBot="1">
      <c r="B44" s="51" t="s">
        <v>62</v>
      </c>
      <c r="C44" s="52" t="s">
        <v>54</v>
      </c>
      <c r="D44" s="53">
        <v>129.26</v>
      </c>
      <c r="E44" s="52">
        <v>10</v>
      </c>
      <c r="F44" s="53">
        <f t="shared" si="2"/>
        <v>12.925999999999998</v>
      </c>
      <c r="G44" s="93">
        <f t="shared" si="3"/>
        <v>116.33399999999999</v>
      </c>
    </row>
    <row r="45" spans="2:9" ht="15.75" thickBot="1">
      <c r="B45" s="94" t="s">
        <v>9</v>
      </c>
      <c r="C45" s="95"/>
      <c r="D45" s="96">
        <f>SUM(D39:D44)</f>
        <v>4546.76</v>
      </c>
      <c r="E45" s="228"/>
      <c r="F45" s="229">
        <f>SUM(F39:F44)</f>
        <v>430.96766666666667</v>
      </c>
      <c r="G45" s="97">
        <f>SUM(G39:G44)</f>
        <v>4115.7923333333338</v>
      </c>
    </row>
    <row r="46" spans="2:9" s="30" customFormat="1" ht="15.75" thickBot="1">
      <c r="B46" s="109"/>
      <c r="C46" s="9"/>
      <c r="D46" s="310"/>
      <c r="E46" s="273"/>
      <c r="F46" s="310"/>
      <c r="G46" s="309"/>
    </row>
    <row r="47" spans="2:9" ht="15.75" thickBot="1">
      <c r="B47" s="35"/>
      <c r="C47" s="35"/>
      <c r="D47" s="35"/>
      <c r="F47" s="9"/>
      <c r="G47" s="35"/>
      <c r="H47" s="420" t="s">
        <v>302</v>
      </c>
      <c r="I47" s="315">
        <f>+F18+F25+F33+F45</f>
        <v>8864.5375000000004</v>
      </c>
    </row>
    <row r="48" spans="2:9" ht="15.75" thickBot="1">
      <c r="B48" s="35"/>
      <c r="C48" s="35"/>
      <c r="D48" s="35"/>
      <c r="E48" s="35"/>
      <c r="F48" s="35"/>
      <c r="G48" s="35"/>
    </row>
    <row r="49" spans="2:7" ht="15.75" thickBot="1">
      <c r="B49" s="576" t="s">
        <v>410</v>
      </c>
      <c r="C49" s="577"/>
      <c r="D49" s="577"/>
      <c r="E49" s="577"/>
      <c r="F49" s="578"/>
      <c r="G49" s="210"/>
    </row>
    <row r="50" spans="2:7">
      <c r="B50" s="162" t="s">
        <v>270</v>
      </c>
      <c r="C50" s="421" t="s">
        <v>271</v>
      </c>
      <c r="D50" s="421" t="s">
        <v>272</v>
      </c>
      <c r="E50" s="421" t="s">
        <v>273</v>
      </c>
      <c r="F50" s="422" t="s">
        <v>274</v>
      </c>
      <c r="G50" s="35"/>
    </row>
    <row r="51" spans="2:7">
      <c r="B51" s="57" t="s">
        <v>43</v>
      </c>
      <c r="C51" s="59">
        <v>669</v>
      </c>
      <c r="D51" s="58">
        <v>12</v>
      </c>
      <c r="E51" s="60">
        <f t="shared" ref="E51:E72" si="4">(C51/D51)*5</f>
        <v>278.75</v>
      </c>
      <c r="F51" s="61">
        <f>+C51-E51</f>
        <v>390.25</v>
      </c>
      <c r="G51" s="35"/>
    </row>
    <row r="52" spans="2:7">
      <c r="B52" s="50" t="s">
        <v>258</v>
      </c>
      <c r="C52" s="46">
        <v>2872.5</v>
      </c>
      <c r="D52" s="219">
        <v>12</v>
      </c>
      <c r="E52" s="47">
        <f t="shared" si="4"/>
        <v>1196.875</v>
      </c>
      <c r="F52" s="61">
        <f t="shared" ref="F52:F72" si="5">+C52-E52</f>
        <v>1675.625</v>
      </c>
      <c r="G52" s="35"/>
    </row>
    <row r="53" spans="2:7">
      <c r="B53" s="48" t="s">
        <v>47</v>
      </c>
      <c r="C53" s="46">
        <f>158.16*4</f>
        <v>632.64</v>
      </c>
      <c r="D53" s="219">
        <v>8</v>
      </c>
      <c r="E53" s="47">
        <f t="shared" si="4"/>
        <v>395.4</v>
      </c>
      <c r="F53" s="61">
        <f t="shared" si="5"/>
        <v>237.24</v>
      </c>
      <c r="G53" s="35"/>
    </row>
    <row r="54" spans="2:7">
      <c r="B54" s="48" t="s">
        <v>57</v>
      </c>
      <c r="C54" s="46">
        <f>63.21+2</f>
        <v>65.210000000000008</v>
      </c>
      <c r="D54" s="219">
        <v>12</v>
      </c>
      <c r="E54" s="47">
        <f t="shared" si="4"/>
        <v>27.170833333333334</v>
      </c>
      <c r="F54" s="61">
        <f t="shared" si="5"/>
        <v>38.039166666666674</v>
      </c>
      <c r="G54" s="35"/>
    </row>
    <row r="55" spans="2:7">
      <c r="B55" s="48" t="s">
        <v>49</v>
      </c>
      <c r="C55" s="46">
        <v>109.94</v>
      </c>
      <c r="D55" s="219">
        <v>15</v>
      </c>
      <c r="E55" s="47">
        <f t="shared" si="4"/>
        <v>36.646666666666668</v>
      </c>
      <c r="F55" s="61">
        <f t="shared" si="5"/>
        <v>73.293333333333322</v>
      </c>
      <c r="G55" s="35"/>
    </row>
    <row r="56" spans="2:7">
      <c r="B56" s="48" t="s">
        <v>45</v>
      </c>
      <c r="C56" s="46">
        <v>849</v>
      </c>
      <c r="D56" s="219">
        <v>15</v>
      </c>
      <c r="E56" s="47">
        <f t="shared" si="4"/>
        <v>283</v>
      </c>
      <c r="F56" s="61">
        <f t="shared" si="5"/>
        <v>566</v>
      </c>
      <c r="G56" s="35"/>
    </row>
    <row r="57" spans="2:7">
      <c r="B57" s="48" t="s">
        <v>44</v>
      </c>
      <c r="C57" s="46">
        <v>113.16</v>
      </c>
      <c r="D57" s="219">
        <v>10</v>
      </c>
      <c r="E57" s="47">
        <f t="shared" si="4"/>
        <v>56.58</v>
      </c>
      <c r="F57" s="61">
        <f t="shared" si="5"/>
        <v>56.58</v>
      </c>
      <c r="G57" s="35"/>
    </row>
    <row r="58" spans="2:7">
      <c r="B58" s="48" t="s">
        <v>53</v>
      </c>
      <c r="C58" s="46">
        <v>105.31</v>
      </c>
      <c r="D58" s="219">
        <v>12</v>
      </c>
      <c r="E58" s="47">
        <f t="shared" si="4"/>
        <v>43.879166666666663</v>
      </c>
      <c r="F58" s="61">
        <f t="shared" si="5"/>
        <v>61.430833333333339</v>
      </c>
      <c r="G58" s="35"/>
    </row>
    <row r="59" spans="2:7">
      <c r="B59" s="48" t="s">
        <v>51</v>
      </c>
      <c r="C59" s="47">
        <v>804.25</v>
      </c>
      <c r="D59" s="219">
        <v>12</v>
      </c>
      <c r="E59" s="47">
        <f t="shared" si="4"/>
        <v>335.10416666666663</v>
      </c>
      <c r="F59" s="61">
        <f t="shared" si="5"/>
        <v>469.14583333333337</v>
      </c>
      <c r="G59" s="35"/>
    </row>
    <row r="60" spans="2:7">
      <c r="B60" s="48" t="s">
        <v>175</v>
      </c>
      <c r="C60" s="46">
        <v>1019</v>
      </c>
      <c r="D60" s="219">
        <v>15</v>
      </c>
      <c r="E60" s="47">
        <f t="shared" si="4"/>
        <v>339.66666666666669</v>
      </c>
      <c r="F60" s="61">
        <f t="shared" si="5"/>
        <v>679.33333333333326</v>
      </c>
      <c r="G60" s="35"/>
    </row>
    <row r="61" spans="2:7">
      <c r="B61" s="48" t="s">
        <v>46</v>
      </c>
      <c r="C61" s="46">
        <v>989</v>
      </c>
      <c r="D61" s="219">
        <v>15</v>
      </c>
      <c r="E61" s="47">
        <f t="shared" si="4"/>
        <v>329.66666666666669</v>
      </c>
      <c r="F61" s="61">
        <f t="shared" si="5"/>
        <v>659.33333333333326</v>
      </c>
      <c r="G61" s="35"/>
    </row>
    <row r="62" spans="2:7">
      <c r="B62" s="48" t="s">
        <v>50</v>
      </c>
      <c r="C62" s="46">
        <f>627.68*2</f>
        <v>1255.3599999999999</v>
      </c>
      <c r="D62" s="219">
        <v>15</v>
      </c>
      <c r="E62" s="47">
        <f t="shared" si="4"/>
        <v>418.45333333333326</v>
      </c>
      <c r="F62" s="61">
        <f t="shared" si="5"/>
        <v>836.90666666666664</v>
      </c>
      <c r="G62" s="35"/>
    </row>
    <row r="63" spans="2:7">
      <c r="B63" s="48" t="s">
        <v>48</v>
      </c>
      <c r="C63" s="46">
        <v>88.52</v>
      </c>
      <c r="D63" s="219">
        <v>15</v>
      </c>
      <c r="E63" s="47">
        <f t="shared" si="4"/>
        <v>29.506666666666664</v>
      </c>
      <c r="F63" s="61">
        <f t="shared" si="5"/>
        <v>59.013333333333335</v>
      </c>
      <c r="G63" s="35"/>
    </row>
    <row r="64" spans="2:7">
      <c r="B64" s="48" t="s">
        <v>96</v>
      </c>
      <c r="C64" s="211">
        <f>37390*2</f>
        <v>74780</v>
      </c>
      <c r="D64" s="219">
        <v>10</v>
      </c>
      <c r="E64" s="47">
        <f t="shared" si="4"/>
        <v>37390</v>
      </c>
      <c r="F64" s="61">
        <f t="shared" si="5"/>
        <v>37390</v>
      </c>
      <c r="G64" s="35"/>
    </row>
    <row r="65" spans="2:7">
      <c r="B65" s="89" t="s">
        <v>85</v>
      </c>
      <c r="C65" s="90">
        <v>401.79</v>
      </c>
      <c r="D65" s="219">
        <v>5</v>
      </c>
      <c r="E65" s="47">
        <f t="shared" si="4"/>
        <v>401.79</v>
      </c>
      <c r="F65" s="61">
        <f t="shared" si="5"/>
        <v>0</v>
      </c>
      <c r="G65" s="35"/>
    </row>
    <row r="66" spans="2:7">
      <c r="B66" s="91" t="s">
        <v>87</v>
      </c>
      <c r="C66" s="90">
        <f>302.68*2</f>
        <v>605.36</v>
      </c>
      <c r="D66" s="219">
        <v>5</v>
      </c>
      <c r="E66" s="60">
        <f t="shared" si="4"/>
        <v>605.36</v>
      </c>
      <c r="F66" s="61">
        <f t="shared" si="5"/>
        <v>0</v>
      </c>
      <c r="G66" s="35"/>
    </row>
    <row r="67" spans="2:7">
      <c r="B67" s="57" t="s">
        <v>89</v>
      </c>
      <c r="C67" s="60">
        <v>300</v>
      </c>
      <c r="D67" s="58">
        <v>10</v>
      </c>
      <c r="E67" s="60">
        <f t="shared" si="4"/>
        <v>150</v>
      </c>
      <c r="F67" s="61">
        <f t="shared" si="5"/>
        <v>150</v>
      </c>
      <c r="G67" s="35"/>
    </row>
    <row r="68" spans="2:7">
      <c r="B68" s="48" t="s">
        <v>90</v>
      </c>
      <c r="C68" s="46">
        <v>1995</v>
      </c>
      <c r="D68" s="219">
        <v>10</v>
      </c>
      <c r="E68" s="47">
        <f t="shared" si="4"/>
        <v>997.5</v>
      </c>
      <c r="F68" s="61">
        <f t="shared" si="5"/>
        <v>997.5</v>
      </c>
      <c r="G68" s="35"/>
    </row>
    <row r="69" spans="2:7">
      <c r="B69" s="50" t="s">
        <v>91</v>
      </c>
      <c r="C69" s="46">
        <v>622.5</v>
      </c>
      <c r="D69" s="219">
        <v>12</v>
      </c>
      <c r="E69" s="47">
        <f t="shared" si="4"/>
        <v>259.375</v>
      </c>
      <c r="F69" s="61">
        <f t="shared" si="5"/>
        <v>363.125</v>
      </c>
      <c r="G69" s="35"/>
    </row>
    <row r="70" spans="2:7">
      <c r="B70" s="51" t="s">
        <v>92</v>
      </c>
      <c r="C70" s="47">
        <v>800</v>
      </c>
      <c r="D70" s="219">
        <v>12</v>
      </c>
      <c r="E70" s="47">
        <f t="shared" si="4"/>
        <v>333.33333333333337</v>
      </c>
      <c r="F70" s="61">
        <f t="shared" si="5"/>
        <v>466.66666666666663</v>
      </c>
      <c r="G70" s="35"/>
    </row>
    <row r="71" spans="2:7">
      <c r="B71" s="50" t="s">
        <v>93</v>
      </c>
      <c r="C71" s="46">
        <v>700</v>
      </c>
      <c r="D71" s="219">
        <v>10</v>
      </c>
      <c r="E71" s="47">
        <f t="shared" si="4"/>
        <v>350</v>
      </c>
      <c r="F71" s="61">
        <f t="shared" si="5"/>
        <v>350</v>
      </c>
      <c r="G71" s="35"/>
    </row>
    <row r="72" spans="2:7" ht="15.75" thickBot="1">
      <c r="B72" s="272" t="s">
        <v>62</v>
      </c>
      <c r="C72" s="316">
        <v>129.26</v>
      </c>
      <c r="D72" s="287">
        <v>10</v>
      </c>
      <c r="E72" s="316">
        <f t="shared" si="4"/>
        <v>64.63</v>
      </c>
      <c r="F72" s="317">
        <f t="shared" si="5"/>
        <v>64.63</v>
      </c>
      <c r="G72" s="35"/>
    </row>
    <row r="73" spans="2:7" ht="15.75" thickBot="1">
      <c r="B73" s="35"/>
      <c r="C73" s="35"/>
      <c r="D73" s="569" t="s">
        <v>275</v>
      </c>
      <c r="E73" s="571"/>
      <c r="F73" s="319">
        <f>SUM(F51:F72)</f>
        <v>45584.112499999996</v>
      </c>
      <c r="G73" s="35"/>
    </row>
    <row r="74" spans="2:7">
      <c r="B74" s="35"/>
      <c r="C74" s="35"/>
      <c r="D74" s="35"/>
      <c r="E74" s="35"/>
      <c r="F74" s="35"/>
      <c r="G74" s="35"/>
    </row>
    <row r="75" spans="2:7">
      <c r="B75" s="35"/>
      <c r="C75" s="35"/>
      <c r="D75" s="35"/>
      <c r="E75" s="35"/>
      <c r="F75" s="35"/>
      <c r="G75" s="35"/>
    </row>
    <row r="76" spans="2:7">
      <c r="B76" s="35"/>
      <c r="C76" s="35"/>
      <c r="D76" s="35"/>
      <c r="E76" s="35"/>
      <c r="F76" s="35"/>
      <c r="G76" s="35"/>
    </row>
    <row r="77" spans="2:7">
      <c r="B77" s="35"/>
      <c r="C77" s="35"/>
      <c r="D77" s="35"/>
      <c r="E77" s="35"/>
      <c r="F77" s="35"/>
      <c r="G77" s="35"/>
    </row>
    <row r="78" spans="2:7">
      <c r="B78" s="35"/>
      <c r="C78" s="35"/>
      <c r="D78" s="35"/>
      <c r="E78" s="35"/>
      <c r="F78" s="35"/>
      <c r="G78" s="35"/>
    </row>
    <row r="79" spans="2:7">
      <c r="B79" s="35"/>
      <c r="C79" s="35"/>
      <c r="D79" s="35"/>
      <c r="E79" s="35"/>
      <c r="F79" s="35"/>
      <c r="G79" s="35"/>
    </row>
    <row r="80" spans="2:7">
      <c r="B80" s="35"/>
      <c r="C80" s="35"/>
      <c r="D80" s="35"/>
      <c r="E80" s="35"/>
      <c r="F80" s="35"/>
      <c r="G80" s="35"/>
    </row>
    <row r="81" spans="2:7">
      <c r="B81" s="35"/>
      <c r="C81" s="35"/>
      <c r="D81" s="35"/>
      <c r="E81" s="35"/>
      <c r="F81" s="35"/>
      <c r="G81" s="35"/>
    </row>
    <row r="82" spans="2:7">
      <c r="B82" s="35"/>
      <c r="C82" s="35"/>
      <c r="D82" s="35"/>
      <c r="E82" s="35"/>
      <c r="F82" s="35"/>
      <c r="G82" s="35"/>
    </row>
    <row r="83" spans="2:7">
      <c r="B83" s="35"/>
      <c r="C83" s="35"/>
      <c r="D83" s="35"/>
      <c r="E83" s="35"/>
      <c r="F83" s="35"/>
      <c r="G83" s="35"/>
    </row>
    <row r="84" spans="2:7">
      <c r="B84" s="35"/>
      <c r="C84" s="35"/>
      <c r="D84" s="35"/>
      <c r="E84" s="35"/>
      <c r="F84" s="35"/>
      <c r="G84" s="35"/>
    </row>
    <row r="85" spans="2:7">
      <c r="B85" s="35"/>
      <c r="C85" s="35"/>
      <c r="D85" s="35"/>
      <c r="E85" s="35"/>
      <c r="F85" s="35"/>
      <c r="G85" s="35"/>
    </row>
    <row r="86" spans="2:7">
      <c r="B86" s="35"/>
      <c r="C86" s="35"/>
      <c r="D86" s="35"/>
      <c r="E86" s="35"/>
      <c r="F86" s="35"/>
      <c r="G86" s="35"/>
    </row>
    <row r="87" spans="2:7">
      <c r="B87" s="35"/>
      <c r="C87" s="35"/>
      <c r="D87" s="35"/>
      <c r="E87" s="35"/>
      <c r="F87" s="35"/>
      <c r="G87" s="35"/>
    </row>
    <row r="88" spans="2:7">
      <c r="B88" s="35"/>
      <c r="C88" s="35"/>
      <c r="D88" s="35"/>
      <c r="E88" s="35"/>
      <c r="F88" s="35"/>
      <c r="G88" s="35"/>
    </row>
    <row r="89" spans="2:7">
      <c r="B89" s="35"/>
      <c r="C89" s="35"/>
      <c r="D89" s="35"/>
      <c r="E89" s="35"/>
      <c r="F89" s="35"/>
      <c r="G89" s="35"/>
    </row>
    <row r="90" spans="2:7">
      <c r="B90" s="35"/>
      <c r="C90" s="35"/>
      <c r="D90" s="35"/>
      <c r="E90" s="35"/>
      <c r="F90" s="35"/>
      <c r="G90" s="35"/>
    </row>
    <row r="91" spans="2:7">
      <c r="B91" s="35"/>
      <c r="C91" s="35"/>
      <c r="D91" s="35"/>
      <c r="E91" s="35"/>
      <c r="F91" s="35"/>
      <c r="G91" s="35"/>
    </row>
    <row r="92" spans="2:7">
      <c r="B92" s="35"/>
      <c r="C92" s="35"/>
      <c r="D92" s="35"/>
      <c r="E92" s="35"/>
      <c r="F92" s="35"/>
      <c r="G92" s="35"/>
    </row>
    <row r="93" spans="2:7">
      <c r="B93" s="35"/>
      <c r="C93" s="35"/>
      <c r="D93" s="35"/>
      <c r="E93" s="35"/>
      <c r="F93" s="35"/>
      <c r="G93" s="35"/>
    </row>
    <row r="94" spans="2:7">
      <c r="B94" s="35"/>
      <c r="C94" s="35"/>
      <c r="D94" s="35"/>
      <c r="E94" s="35"/>
      <c r="F94" s="35"/>
      <c r="G94" s="35"/>
    </row>
    <row r="95" spans="2:7">
      <c r="B95" s="35"/>
      <c r="C95" s="35"/>
      <c r="D95" s="35"/>
      <c r="E95" s="35"/>
      <c r="F95" s="35"/>
      <c r="G95" s="35"/>
    </row>
    <row r="96" spans="2:7">
      <c r="B96" s="35"/>
      <c r="C96" s="35"/>
      <c r="D96" s="35"/>
      <c r="E96" s="35"/>
      <c r="F96" s="35"/>
      <c r="G96" s="35"/>
    </row>
    <row r="97" spans="2:7">
      <c r="B97" s="35"/>
      <c r="C97" s="35"/>
      <c r="D97" s="35"/>
      <c r="E97" s="35"/>
      <c r="F97" s="35"/>
      <c r="G97" s="35"/>
    </row>
    <row r="98" spans="2:7">
      <c r="B98" s="35"/>
      <c r="C98" s="35"/>
      <c r="D98" s="35"/>
      <c r="E98" s="35"/>
      <c r="F98" s="35"/>
      <c r="G98" s="35"/>
    </row>
    <row r="99" spans="2:7">
      <c r="B99" s="35"/>
      <c r="C99" s="35"/>
      <c r="D99" s="35"/>
      <c r="E99" s="35"/>
      <c r="F99" s="35"/>
      <c r="G99" s="35"/>
    </row>
    <row r="100" spans="2:7">
      <c r="B100" s="35"/>
      <c r="C100" s="35"/>
      <c r="D100" s="35"/>
      <c r="E100" s="35"/>
      <c r="F100" s="35"/>
      <c r="G100" s="35"/>
    </row>
    <row r="101" spans="2:7">
      <c r="B101" s="35"/>
      <c r="C101" s="35"/>
      <c r="D101" s="35"/>
      <c r="E101" s="35"/>
      <c r="F101" s="35"/>
      <c r="G101" s="35"/>
    </row>
    <row r="102" spans="2:7">
      <c r="B102" s="35"/>
      <c r="C102" s="35"/>
      <c r="D102" s="35"/>
      <c r="E102" s="35"/>
      <c r="F102" s="35"/>
      <c r="G102" s="35"/>
    </row>
    <row r="103" spans="2:7">
      <c r="B103" s="35"/>
      <c r="C103" s="35"/>
      <c r="D103" s="35"/>
      <c r="E103" s="35"/>
      <c r="F103" s="35"/>
      <c r="G103" s="35"/>
    </row>
    <row r="104" spans="2:7">
      <c r="B104" s="35"/>
      <c r="C104" s="35"/>
      <c r="D104" s="35"/>
      <c r="E104" s="35"/>
      <c r="F104" s="35"/>
      <c r="G104" s="35"/>
    </row>
    <row r="105" spans="2:7">
      <c r="B105" s="35"/>
      <c r="C105" s="35"/>
      <c r="D105" s="35"/>
      <c r="E105" s="35"/>
      <c r="F105" s="35"/>
      <c r="G105" s="35"/>
    </row>
    <row r="106" spans="2:7">
      <c r="B106" s="35"/>
      <c r="C106" s="35"/>
      <c r="D106" s="35"/>
      <c r="E106" s="35"/>
      <c r="F106" s="35"/>
      <c r="G106" s="35"/>
    </row>
    <row r="107" spans="2:7">
      <c r="B107" s="35"/>
      <c r="C107" s="35"/>
      <c r="D107" s="35"/>
      <c r="E107" s="35"/>
      <c r="F107" s="35"/>
      <c r="G107" s="35"/>
    </row>
    <row r="108" spans="2:7">
      <c r="B108" s="35"/>
      <c r="C108" s="35"/>
      <c r="D108" s="35"/>
      <c r="E108" s="35"/>
      <c r="F108" s="35"/>
      <c r="G108" s="35"/>
    </row>
    <row r="109" spans="2:7">
      <c r="B109" s="35"/>
      <c r="C109" s="35"/>
      <c r="D109" s="35"/>
      <c r="E109" s="35"/>
      <c r="F109" s="35"/>
      <c r="G109" s="35"/>
    </row>
    <row r="110" spans="2:7">
      <c r="B110" s="35"/>
      <c r="C110" s="35"/>
      <c r="D110" s="35"/>
      <c r="E110" s="35"/>
      <c r="F110" s="35"/>
      <c r="G110" s="35"/>
    </row>
    <row r="111" spans="2:7">
      <c r="B111" s="35"/>
      <c r="C111" s="35"/>
      <c r="D111" s="35"/>
      <c r="E111" s="35"/>
      <c r="F111" s="35"/>
      <c r="G111" s="35"/>
    </row>
    <row r="112" spans="2:7">
      <c r="B112" s="35"/>
      <c r="C112" s="35"/>
      <c r="D112" s="35"/>
      <c r="E112" s="35"/>
      <c r="F112" s="35"/>
      <c r="G112" s="35"/>
    </row>
    <row r="113" spans="2:7">
      <c r="B113" s="35"/>
      <c r="C113" s="35"/>
      <c r="D113" s="35"/>
      <c r="E113" s="35"/>
      <c r="F113" s="35"/>
      <c r="G113" s="35"/>
    </row>
    <row r="114" spans="2:7">
      <c r="B114" s="35"/>
      <c r="C114" s="35"/>
      <c r="D114" s="35"/>
      <c r="E114" s="35"/>
      <c r="F114" s="35"/>
      <c r="G114" s="35"/>
    </row>
    <row r="115" spans="2:7">
      <c r="B115" s="35"/>
      <c r="C115" s="35"/>
      <c r="D115" s="35"/>
      <c r="E115" s="35"/>
      <c r="F115" s="35"/>
      <c r="G115" s="35"/>
    </row>
    <row r="116" spans="2:7">
      <c r="B116" s="35"/>
      <c r="C116" s="35"/>
      <c r="D116" s="35"/>
      <c r="E116" s="35"/>
      <c r="F116" s="35"/>
      <c r="G116" s="35"/>
    </row>
    <row r="117" spans="2:7">
      <c r="B117" s="35"/>
      <c r="C117" s="35"/>
      <c r="D117" s="35"/>
      <c r="E117" s="35"/>
      <c r="F117" s="35"/>
      <c r="G117" s="35"/>
    </row>
    <row r="118" spans="2:7">
      <c r="B118" s="35"/>
      <c r="C118" s="35"/>
      <c r="D118" s="35"/>
      <c r="E118" s="35"/>
      <c r="F118" s="35"/>
      <c r="G118" s="35"/>
    </row>
    <row r="119" spans="2:7">
      <c r="B119" s="35"/>
      <c r="C119" s="35"/>
      <c r="D119" s="35"/>
      <c r="E119" s="35"/>
      <c r="F119" s="35"/>
      <c r="G119" s="35"/>
    </row>
    <row r="120" spans="2:7">
      <c r="B120" s="35"/>
      <c r="C120" s="35"/>
      <c r="D120" s="35"/>
      <c r="E120" s="35"/>
      <c r="F120" s="35"/>
      <c r="G120" s="35"/>
    </row>
    <row r="121" spans="2:7">
      <c r="B121" s="35"/>
      <c r="C121" s="35"/>
      <c r="D121" s="35"/>
      <c r="E121" s="35"/>
      <c r="F121" s="35"/>
      <c r="G121" s="35"/>
    </row>
    <row r="122" spans="2:7">
      <c r="B122" s="35"/>
      <c r="C122" s="35"/>
      <c r="D122" s="35"/>
      <c r="E122" s="35"/>
      <c r="F122" s="35"/>
      <c r="G122" s="35"/>
    </row>
    <row r="123" spans="2:7">
      <c r="B123" s="35"/>
      <c r="C123" s="35"/>
      <c r="D123" s="35"/>
      <c r="E123" s="35"/>
      <c r="F123" s="35"/>
      <c r="G123" s="35"/>
    </row>
    <row r="124" spans="2:7">
      <c r="B124" s="35"/>
      <c r="C124" s="35"/>
      <c r="D124" s="35"/>
      <c r="E124" s="35"/>
      <c r="F124" s="35"/>
      <c r="G124" s="35"/>
    </row>
    <row r="125" spans="2:7">
      <c r="B125" s="35"/>
      <c r="C125" s="35"/>
      <c r="D125" s="35"/>
      <c r="E125" s="35"/>
      <c r="F125" s="35"/>
      <c r="G125" s="35"/>
    </row>
    <row r="126" spans="2:7">
      <c r="B126" s="35"/>
      <c r="C126" s="35"/>
      <c r="D126" s="35"/>
      <c r="E126" s="35"/>
      <c r="F126" s="35"/>
      <c r="G126" s="35"/>
    </row>
    <row r="127" spans="2:7">
      <c r="B127" s="35"/>
      <c r="C127" s="35"/>
      <c r="D127" s="35"/>
      <c r="E127" s="35"/>
      <c r="F127" s="35"/>
      <c r="G127" s="35"/>
    </row>
    <row r="128" spans="2:7">
      <c r="B128" s="35"/>
      <c r="C128" s="35"/>
      <c r="D128" s="35"/>
      <c r="E128" s="35"/>
      <c r="F128" s="35"/>
      <c r="G128" s="35"/>
    </row>
    <row r="129" spans="2:7">
      <c r="B129" s="35"/>
      <c r="C129" s="35"/>
      <c r="D129" s="35"/>
      <c r="E129" s="35"/>
      <c r="F129" s="35"/>
      <c r="G129" s="35"/>
    </row>
    <row r="130" spans="2:7">
      <c r="B130" s="35"/>
      <c r="C130" s="35"/>
      <c r="D130" s="35"/>
      <c r="E130" s="35"/>
      <c r="F130" s="35"/>
      <c r="G130" s="35"/>
    </row>
    <row r="131" spans="2:7">
      <c r="B131" s="35"/>
      <c r="C131" s="35"/>
      <c r="D131" s="35"/>
      <c r="E131" s="35"/>
      <c r="F131" s="35"/>
      <c r="G131" s="35"/>
    </row>
    <row r="132" spans="2:7">
      <c r="B132" s="35"/>
      <c r="C132" s="35"/>
      <c r="D132" s="35"/>
      <c r="E132" s="35"/>
      <c r="F132" s="35"/>
      <c r="G132" s="35"/>
    </row>
    <row r="133" spans="2:7">
      <c r="B133" s="35"/>
      <c r="C133" s="35"/>
      <c r="D133" s="35"/>
      <c r="E133" s="35"/>
      <c r="F133" s="35"/>
      <c r="G133" s="35"/>
    </row>
    <row r="134" spans="2:7">
      <c r="B134" s="35"/>
      <c r="C134" s="35"/>
      <c r="D134" s="35"/>
      <c r="E134" s="35"/>
      <c r="F134" s="35"/>
      <c r="G134" s="35"/>
    </row>
    <row r="135" spans="2:7">
      <c r="B135" s="35"/>
      <c r="C135" s="35"/>
      <c r="D135" s="35"/>
      <c r="E135" s="35"/>
      <c r="F135" s="35"/>
      <c r="G135" s="35"/>
    </row>
    <row r="136" spans="2:7">
      <c r="B136" s="35"/>
      <c r="C136" s="35"/>
      <c r="D136" s="35"/>
      <c r="E136" s="35"/>
      <c r="F136" s="35"/>
      <c r="G136" s="35"/>
    </row>
    <row r="137" spans="2:7">
      <c r="B137" s="35"/>
      <c r="C137" s="35"/>
      <c r="D137" s="35"/>
      <c r="E137" s="35"/>
      <c r="F137" s="35"/>
      <c r="G137" s="35"/>
    </row>
    <row r="138" spans="2:7">
      <c r="B138" s="35"/>
      <c r="C138" s="35"/>
      <c r="D138" s="35"/>
      <c r="E138" s="35"/>
      <c r="F138" s="35"/>
      <c r="G138" s="35"/>
    </row>
    <row r="139" spans="2:7">
      <c r="B139" s="35"/>
      <c r="C139" s="35"/>
      <c r="D139" s="35"/>
      <c r="E139" s="35"/>
      <c r="F139" s="35"/>
      <c r="G139" s="35"/>
    </row>
    <row r="140" spans="2:7">
      <c r="B140" s="35"/>
      <c r="C140" s="35"/>
      <c r="D140" s="35"/>
      <c r="E140" s="35"/>
      <c r="F140" s="35"/>
      <c r="G140" s="35"/>
    </row>
    <row r="141" spans="2:7">
      <c r="B141" s="35"/>
      <c r="C141" s="35"/>
      <c r="D141" s="35"/>
      <c r="E141" s="35"/>
      <c r="F141" s="35"/>
      <c r="G141" s="35"/>
    </row>
    <row r="142" spans="2:7">
      <c r="B142" s="35"/>
      <c r="C142" s="35"/>
      <c r="D142" s="35"/>
      <c r="E142" s="35"/>
      <c r="F142" s="35"/>
      <c r="G142" s="35"/>
    </row>
    <row r="143" spans="2:7">
      <c r="B143" s="35"/>
      <c r="C143" s="35"/>
      <c r="D143" s="35"/>
      <c r="E143" s="35"/>
      <c r="F143" s="35"/>
      <c r="G143" s="35"/>
    </row>
    <row r="144" spans="2:7">
      <c r="B144" s="35"/>
      <c r="C144" s="35"/>
      <c r="D144" s="35"/>
      <c r="E144" s="35"/>
      <c r="F144" s="35"/>
      <c r="G144" s="35"/>
    </row>
    <row r="145" spans="2:7">
      <c r="B145" s="35"/>
      <c r="C145" s="35"/>
      <c r="D145" s="35"/>
      <c r="E145" s="35"/>
      <c r="F145" s="35"/>
      <c r="G145" s="35"/>
    </row>
    <row r="146" spans="2:7">
      <c r="B146" s="35"/>
      <c r="C146" s="35"/>
      <c r="D146" s="35"/>
      <c r="E146" s="35"/>
      <c r="F146" s="35"/>
      <c r="G146" s="35"/>
    </row>
    <row r="147" spans="2:7">
      <c r="B147" s="35"/>
      <c r="C147" s="35"/>
      <c r="D147" s="35"/>
      <c r="E147" s="35"/>
      <c r="F147" s="35"/>
      <c r="G147" s="35"/>
    </row>
    <row r="148" spans="2:7">
      <c r="B148" s="35"/>
      <c r="C148" s="35"/>
      <c r="D148" s="35"/>
      <c r="E148" s="35"/>
      <c r="F148" s="35"/>
      <c r="G148" s="35"/>
    </row>
    <row r="149" spans="2:7">
      <c r="B149" s="35"/>
      <c r="C149" s="35"/>
      <c r="D149" s="35"/>
      <c r="E149" s="35"/>
      <c r="F149" s="35"/>
      <c r="G149" s="35"/>
    </row>
    <row r="150" spans="2:7">
      <c r="B150" s="35"/>
      <c r="C150" s="35"/>
      <c r="D150" s="35"/>
      <c r="E150" s="35"/>
      <c r="F150" s="35"/>
      <c r="G150" s="35"/>
    </row>
    <row r="151" spans="2:7">
      <c r="B151" s="35"/>
      <c r="C151" s="35"/>
      <c r="D151" s="35"/>
      <c r="E151" s="35"/>
      <c r="F151" s="35"/>
      <c r="G151" s="35"/>
    </row>
    <row r="152" spans="2:7">
      <c r="B152" s="35"/>
      <c r="C152" s="35"/>
      <c r="D152" s="35"/>
      <c r="E152" s="35"/>
      <c r="F152" s="35"/>
      <c r="G152" s="35"/>
    </row>
    <row r="153" spans="2:7">
      <c r="B153" s="35"/>
      <c r="C153" s="35"/>
      <c r="D153" s="35"/>
      <c r="E153" s="35"/>
      <c r="F153" s="35"/>
      <c r="G153" s="35"/>
    </row>
    <row r="154" spans="2:7">
      <c r="B154" s="35"/>
      <c r="C154" s="35"/>
      <c r="D154" s="35"/>
      <c r="E154" s="35"/>
      <c r="F154" s="35"/>
      <c r="G154" s="35"/>
    </row>
    <row r="155" spans="2:7">
      <c r="B155" s="35"/>
      <c r="C155" s="35"/>
      <c r="D155" s="35"/>
      <c r="E155" s="35"/>
      <c r="F155" s="35"/>
      <c r="G155" s="35"/>
    </row>
    <row r="156" spans="2:7">
      <c r="B156" s="35"/>
      <c r="C156" s="35"/>
      <c r="D156" s="35"/>
      <c r="E156" s="35"/>
      <c r="F156" s="35"/>
      <c r="G156" s="35"/>
    </row>
    <row r="157" spans="2:7">
      <c r="B157" s="35"/>
      <c r="C157" s="35"/>
      <c r="D157" s="35"/>
      <c r="E157" s="35"/>
      <c r="F157" s="35"/>
      <c r="G157" s="35"/>
    </row>
    <row r="158" spans="2:7">
      <c r="B158" s="35"/>
      <c r="C158" s="35"/>
      <c r="D158" s="35"/>
      <c r="E158" s="35"/>
      <c r="F158" s="35"/>
      <c r="G158" s="35"/>
    </row>
    <row r="159" spans="2:7">
      <c r="B159" s="35"/>
      <c r="C159" s="35"/>
      <c r="D159" s="35"/>
      <c r="E159" s="35"/>
      <c r="F159" s="35"/>
      <c r="G159" s="35"/>
    </row>
    <row r="160" spans="2:7">
      <c r="B160" s="35"/>
      <c r="C160" s="35"/>
      <c r="D160" s="35"/>
      <c r="E160" s="35"/>
      <c r="F160" s="35"/>
      <c r="G160" s="35"/>
    </row>
    <row r="161" spans="2:7">
      <c r="B161" s="35"/>
      <c r="C161" s="35"/>
      <c r="D161" s="35"/>
      <c r="E161" s="35"/>
      <c r="F161" s="35"/>
      <c r="G161" s="35"/>
    </row>
    <row r="162" spans="2:7">
      <c r="B162" s="35"/>
      <c r="C162" s="35"/>
      <c r="D162" s="35"/>
      <c r="E162" s="35"/>
      <c r="F162" s="35"/>
      <c r="G162" s="35"/>
    </row>
    <row r="163" spans="2:7">
      <c r="B163" s="35"/>
      <c r="C163" s="35"/>
      <c r="D163" s="35"/>
      <c r="E163" s="35"/>
      <c r="F163" s="35"/>
      <c r="G163" s="35"/>
    </row>
    <row r="164" spans="2:7">
      <c r="B164" s="35"/>
      <c r="C164" s="35"/>
      <c r="D164" s="35"/>
      <c r="E164" s="35"/>
      <c r="F164" s="35"/>
      <c r="G164" s="35"/>
    </row>
    <row r="165" spans="2:7">
      <c r="B165" s="35"/>
      <c r="C165" s="35"/>
      <c r="D165" s="35"/>
      <c r="E165" s="35"/>
      <c r="F165" s="35"/>
      <c r="G165" s="35"/>
    </row>
    <row r="166" spans="2:7">
      <c r="B166" s="35"/>
      <c r="C166" s="35"/>
      <c r="D166" s="35"/>
      <c r="E166" s="35"/>
      <c r="F166" s="35"/>
      <c r="G166" s="35"/>
    </row>
    <row r="167" spans="2:7">
      <c r="B167" s="35"/>
      <c r="C167" s="35"/>
      <c r="D167" s="35"/>
      <c r="E167" s="35"/>
      <c r="F167" s="35"/>
      <c r="G167" s="35"/>
    </row>
    <row r="168" spans="2:7">
      <c r="B168" s="35"/>
      <c r="C168" s="35"/>
      <c r="D168" s="35"/>
      <c r="E168" s="35"/>
      <c r="F168" s="35"/>
      <c r="G168" s="35"/>
    </row>
    <row r="169" spans="2:7">
      <c r="B169" s="35"/>
      <c r="C169" s="35"/>
      <c r="D169" s="35"/>
      <c r="E169" s="35"/>
      <c r="F169" s="35"/>
      <c r="G169" s="35"/>
    </row>
    <row r="170" spans="2:7">
      <c r="B170" s="35"/>
      <c r="C170" s="35"/>
      <c r="D170" s="35"/>
      <c r="E170" s="35"/>
      <c r="F170" s="35"/>
      <c r="G170" s="35"/>
    </row>
    <row r="171" spans="2:7">
      <c r="B171" s="35"/>
      <c r="C171" s="35"/>
      <c r="D171" s="35"/>
      <c r="E171" s="35"/>
      <c r="F171" s="35"/>
      <c r="G171" s="35"/>
    </row>
    <row r="172" spans="2:7">
      <c r="B172" s="35"/>
      <c r="C172" s="35"/>
      <c r="D172" s="35"/>
      <c r="E172" s="35"/>
      <c r="F172" s="35"/>
      <c r="G172" s="35"/>
    </row>
    <row r="173" spans="2:7">
      <c r="B173" s="35"/>
      <c r="C173" s="35"/>
      <c r="D173" s="35"/>
      <c r="E173" s="35"/>
      <c r="F173" s="35"/>
      <c r="G173" s="35"/>
    </row>
    <row r="174" spans="2:7">
      <c r="B174" s="35"/>
      <c r="C174" s="35"/>
      <c r="D174" s="35"/>
      <c r="E174" s="35"/>
      <c r="F174" s="35"/>
      <c r="G174" s="35"/>
    </row>
    <row r="175" spans="2:7">
      <c r="B175" s="35"/>
      <c r="C175" s="35"/>
      <c r="D175" s="35"/>
      <c r="E175" s="35"/>
      <c r="F175" s="35"/>
      <c r="G175" s="35"/>
    </row>
    <row r="176" spans="2:7">
      <c r="B176" s="35"/>
      <c r="C176" s="35"/>
      <c r="D176" s="35"/>
      <c r="E176" s="35"/>
      <c r="F176" s="35"/>
      <c r="G176" s="35"/>
    </row>
    <row r="177" spans="2:7">
      <c r="B177" s="35"/>
      <c r="C177" s="35"/>
      <c r="D177" s="35"/>
      <c r="E177" s="35"/>
      <c r="F177" s="35"/>
      <c r="G177" s="35"/>
    </row>
    <row r="178" spans="2:7">
      <c r="B178" s="35"/>
      <c r="C178" s="35"/>
      <c r="D178" s="35"/>
      <c r="E178" s="35"/>
      <c r="F178" s="35"/>
      <c r="G178" s="35"/>
    </row>
  </sheetData>
  <mergeCells count="30">
    <mergeCell ref="B2:G2"/>
    <mergeCell ref="B49:F49"/>
    <mergeCell ref="D73:E73"/>
    <mergeCell ref="G29:G30"/>
    <mergeCell ref="B37:B38"/>
    <mergeCell ref="C37:C38"/>
    <mergeCell ref="D37:D38"/>
    <mergeCell ref="E37:E38"/>
    <mergeCell ref="F37:F38"/>
    <mergeCell ref="G37:G38"/>
    <mergeCell ref="B29:B30"/>
    <mergeCell ref="C29:C30"/>
    <mergeCell ref="D29:D30"/>
    <mergeCell ref="E29:E30"/>
    <mergeCell ref="F29:F30"/>
    <mergeCell ref="B36:G36"/>
    <mergeCell ref="B28:G28"/>
    <mergeCell ref="B21:G21"/>
    <mergeCell ref="G3:G4"/>
    <mergeCell ref="B22:B23"/>
    <mergeCell ref="C22:C23"/>
    <mergeCell ref="D22:D23"/>
    <mergeCell ref="E22:E23"/>
    <mergeCell ref="F22:F23"/>
    <mergeCell ref="G22:G23"/>
    <mergeCell ref="B3:B4"/>
    <mergeCell ref="C3:C4"/>
    <mergeCell ref="D3:D4"/>
    <mergeCell ref="E3:E4"/>
    <mergeCell ref="F3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C00FF"/>
  </sheetPr>
  <dimension ref="B2:J73"/>
  <sheetViews>
    <sheetView topLeftCell="A44" workbookViewId="0">
      <selection activeCell="B39" sqref="B39:E42"/>
    </sheetView>
  </sheetViews>
  <sheetFormatPr baseColWidth="10" defaultRowHeight="15"/>
  <cols>
    <col min="2" max="2" width="38.85546875" bestFit="1" customWidth="1"/>
    <col min="3" max="3" width="11.85546875" customWidth="1"/>
    <col min="4" max="4" width="15.85546875" customWidth="1"/>
    <col min="5" max="5" width="17.28515625" customWidth="1"/>
    <col min="6" max="6" width="15.85546875" customWidth="1"/>
    <col min="7" max="7" width="35.28515625" bestFit="1" customWidth="1"/>
    <col min="8" max="8" width="15.42578125" customWidth="1"/>
    <col min="9" max="9" width="12.42578125" bestFit="1" customWidth="1"/>
    <col min="10" max="10" width="13" bestFit="1" customWidth="1"/>
  </cols>
  <sheetData>
    <row r="2" spans="2:8" ht="15.75" thickBot="1"/>
    <row r="3" spans="2:8" ht="15.75" thickBot="1">
      <c r="B3" s="576" t="s">
        <v>407</v>
      </c>
      <c r="C3" s="577"/>
      <c r="D3" s="577"/>
      <c r="E3" s="578"/>
      <c r="F3" s="180"/>
      <c r="G3" s="180"/>
    </row>
    <row r="4" spans="2:8" ht="15.75" thickBot="1">
      <c r="B4" s="230" t="s">
        <v>99</v>
      </c>
      <c r="C4" s="230" t="s">
        <v>202</v>
      </c>
      <c r="D4" s="230" t="s">
        <v>100</v>
      </c>
      <c r="E4" s="230" t="s">
        <v>80</v>
      </c>
    </row>
    <row r="5" spans="2:8">
      <c r="B5" s="57" t="s">
        <v>90</v>
      </c>
      <c r="C5" s="318">
        <v>4</v>
      </c>
      <c r="D5" s="136">
        <v>498.75</v>
      </c>
      <c r="E5" s="137">
        <f t="shared" ref="E5:E11" si="0">+C5*D5</f>
        <v>1995</v>
      </c>
    </row>
    <row r="6" spans="2:8">
      <c r="B6" s="50" t="s">
        <v>93</v>
      </c>
      <c r="C6" s="219">
        <v>4</v>
      </c>
      <c r="D6" s="114">
        <v>150</v>
      </c>
      <c r="E6" s="134">
        <f t="shared" si="0"/>
        <v>600</v>
      </c>
    </row>
    <row r="7" spans="2:8">
      <c r="B7" s="50" t="s">
        <v>91</v>
      </c>
      <c r="C7" s="219">
        <v>1</v>
      </c>
      <c r="D7" s="46">
        <v>311.25</v>
      </c>
      <c r="E7" s="134">
        <f t="shared" si="0"/>
        <v>311.25</v>
      </c>
    </row>
    <row r="8" spans="2:8">
      <c r="B8" s="48" t="s">
        <v>89</v>
      </c>
      <c r="C8" s="160">
        <v>3</v>
      </c>
      <c r="D8" s="90">
        <v>100</v>
      </c>
      <c r="E8" s="134">
        <f t="shared" si="0"/>
        <v>300</v>
      </c>
    </row>
    <row r="9" spans="2:8">
      <c r="B9" s="48" t="s">
        <v>172</v>
      </c>
      <c r="C9" s="160">
        <v>1</v>
      </c>
      <c r="D9" s="90">
        <v>16.14</v>
      </c>
      <c r="E9" s="134">
        <f t="shared" si="0"/>
        <v>16.14</v>
      </c>
    </row>
    <row r="10" spans="2:8">
      <c r="B10" s="48" t="s">
        <v>173</v>
      </c>
      <c r="C10" s="160">
        <v>1</v>
      </c>
      <c r="D10" s="90">
        <v>113.12</v>
      </c>
      <c r="E10" s="134">
        <f t="shared" si="0"/>
        <v>113.12</v>
      </c>
    </row>
    <row r="11" spans="2:8" ht="15.75" thickBot="1">
      <c r="B11" s="51" t="s">
        <v>92</v>
      </c>
      <c r="C11" s="416">
        <v>1</v>
      </c>
      <c r="D11" s="138">
        <v>400</v>
      </c>
      <c r="E11" s="141">
        <f t="shared" si="0"/>
        <v>400</v>
      </c>
    </row>
    <row r="12" spans="2:8" ht="15.75" thickBot="1">
      <c r="B12" s="569" t="s">
        <v>9</v>
      </c>
      <c r="C12" s="570"/>
      <c r="D12" s="571"/>
      <c r="E12" s="142">
        <f>+SUM(E5:E11)</f>
        <v>3735.5099999999998</v>
      </c>
    </row>
    <row r="13" spans="2:8">
      <c r="B13" s="30"/>
      <c r="C13" s="30"/>
      <c r="D13" s="30"/>
      <c r="E13" s="30"/>
    </row>
    <row r="14" spans="2:8" ht="15.75" thickBot="1">
      <c r="B14" s="30"/>
      <c r="C14" s="30"/>
      <c r="D14" s="30"/>
      <c r="E14" s="30"/>
    </row>
    <row r="15" spans="2:8" ht="15.75" thickBot="1">
      <c r="B15" s="576" t="s">
        <v>452</v>
      </c>
      <c r="C15" s="577"/>
      <c r="D15" s="577"/>
      <c r="E15" s="578"/>
      <c r="F15" s="180"/>
      <c r="G15" s="233" t="s">
        <v>451</v>
      </c>
      <c r="H15" s="222" t="s">
        <v>192</v>
      </c>
    </row>
    <row r="16" spans="2:8" ht="15.75" thickBot="1">
      <c r="B16" s="230" t="s">
        <v>99</v>
      </c>
      <c r="C16" s="230" t="s">
        <v>202</v>
      </c>
      <c r="D16" s="230" t="s">
        <v>100</v>
      </c>
      <c r="E16" s="230" t="s">
        <v>80</v>
      </c>
      <c r="G16" s="437" t="s">
        <v>450</v>
      </c>
      <c r="H16" s="61">
        <f>+F62</f>
        <v>3559.7</v>
      </c>
    </row>
    <row r="17" spans="2:8">
      <c r="B17" s="57" t="s">
        <v>43</v>
      </c>
      <c r="C17" s="318">
        <v>1</v>
      </c>
      <c r="D17" s="136">
        <v>669</v>
      </c>
      <c r="E17" s="137">
        <f t="shared" ref="E17:E29" si="1">+C17*D17</f>
        <v>669</v>
      </c>
      <c r="G17" s="434" t="s">
        <v>449</v>
      </c>
      <c r="H17" s="49">
        <f>+E37</f>
        <v>2212.52</v>
      </c>
    </row>
    <row r="18" spans="2:8">
      <c r="B18" s="48" t="s">
        <v>174</v>
      </c>
      <c r="C18" s="160">
        <v>1</v>
      </c>
      <c r="D18" s="90">
        <v>105.31</v>
      </c>
      <c r="E18" s="134">
        <f t="shared" si="1"/>
        <v>105.31</v>
      </c>
      <c r="G18" s="434" t="s">
        <v>407</v>
      </c>
      <c r="H18" s="49">
        <f>+E12</f>
        <v>3735.5099999999998</v>
      </c>
    </row>
    <row r="19" spans="2:8">
      <c r="B19" s="48" t="s">
        <v>44</v>
      </c>
      <c r="C19" s="160">
        <v>2</v>
      </c>
      <c r="D19" s="90">
        <v>56.58</v>
      </c>
      <c r="E19" s="134">
        <f t="shared" si="1"/>
        <v>113.16</v>
      </c>
      <c r="G19" s="439" t="s">
        <v>452</v>
      </c>
      <c r="H19" s="49">
        <f>+E30</f>
        <v>8196.74</v>
      </c>
    </row>
    <row r="20" spans="2:8" ht="15.75" thickBot="1">
      <c r="B20" s="48" t="s">
        <v>175</v>
      </c>
      <c r="C20" s="160">
        <v>1</v>
      </c>
      <c r="D20" s="90">
        <v>1019</v>
      </c>
      <c r="E20" s="134">
        <f t="shared" si="1"/>
        <v>1019</v>
      </c>
      <c r="G20" s="435" t="s">
        <v>420</v>
      </c>
      <c r="H20" s="54">
        <f>+E42</f>
        <v>74780</v>
      </c>
    </row>
    <row r="21" spans="2:8" ht="15.75" thickBot="1">
      <c r="B21" s="48" t="s">
        <v>45</v>
      </c>
      <c r="C21" s="160">
        <v>1</v>
      </c>
      <c r="D21" s="90">
        <v>849</v>
      </c>
      <c r="E21" s="134">
        <f t="shared" si="1"/>
        <v>849</v>
      </c>
      <c r="G21" s="438" t="s">
        <v>9</v>
      </c>
      <c r="H21" s="436">
        <f>+SUM(H16:H20)</f>
        <v>92484.47</v>
      </c>
    </row>
    <row r="22" spans="2:8">
      <c r="B22" s="48" t="s">
        <v>46</v>
      </c>
      <c r="C22" s="160">
        <v>1</v>
      </c>
      <c r="D22" s="90">
        <v>989</v>
      </c>
      <c r="E22" s="134">
        <f t="shared" si="1"/>
        <v>989</v>
      </c>
    </row>
    <row r="23" spans="2:8">
      <c r="B23" s="48" t="s">
        <v>47</v>
      </c>
      <c r="C23" s="160">
        <v>3</v>
      </c>
      <c r="D23" s="90">
        <v>158.16</v>
      </c>
      <c r="E23" s="134">
        <f t="shared" si="1"/>
        <v>474.48</v>
      </c>
    </row>
    <row r="24" spans="2:8">
      <c r="B24" s="48" t="s">
        <v>48</v>
      </c>
      <c r="C24" s="160">
        <v>2</v>
      </c>
      <c r="D24" s="90">
        <v>44.26</v>
      </c>
      <c r="E24" s="134">
        <f t="shared" si="1"/>
        <v>88.52</v>
      </c>
    </row>
    <row r="25" spans="2:8">
      <c r="B25" s="48" t="s">
        <v>49</v>
      </c>
      <c r="C25" s="160">
        <v>2</v>
      </c>
      <c r="D25" s="90">
        <v>54.97</v>
      </c>
      <c r="E25" s="134">
        <f t="shared" si="1"/>
        <v>109.94</v>
      </c>
    </row>
    <row r="26" spans="2:8">
      <c r="B26" s="48" t="s">
        <v>258</v>
      </c>
      <c r="C26" s="160">
        <v>4</v>
      </c>
      <c r="D26" s="46">
        <v>478.75</v>
      </c>
      <c r="E26" s="134">
        <f t="shared" si="1"/>
        <v>1915</v>
      </c>
    </row>
    <row r="27" spans="2:8">
      <c r="B27" s="48" t="s">
        <v>50</v>
      </c>
      <c r="C27" s="160">
        <v>2</v>
      </c>
      <c r="D27" s="90">
        <v>627.67999999999995</v>
      </c>
      <c r="E27" s="134">
        <f t="shared" si="1"/>
        <v>1255.3599999999999</v>
      </c>
      <c r="G27" s="168"/>
    </row>
    <row r="28" spans="2:8">
      <c r="B28" s="48" t="s">
        <v>176</v>
      </c>
      <c r="C28" s="160">
        <v>2</v>
      </c>
      <c r="D28" s="90">
        <v>63.21</v>
      </c>
      <c r="E28" s="134">
        <f t="shared" si="1"/>
        <v>126.42</v>
      </c>
    </row>
    <row r="29" spans="2:8" ht="15.75" thickBot="1">
      <c r="B29" s="51" t="s">
        <v>51</v>
      </c>
      <c r="C29" s="416">
        <v>3</v>
      </c>
      <c r="D29" s="138">
        <v>160.85</v>
      </c>
      <c r="E29" s="141">
        <f t="shared" si="1"/>
        <v>482.54999999999995</v>
      </c>
    </row>
    <row r="30" spans="2:8" ht="15.75" thickBot="1">
      <c r="B30" s="579" t="s">
        <v>9</v>
      </c>
      <c r="C30" s="579"/>
      <c r="D30" s="579"/>
      <c r="E30" s="140">
        <f>+SUM(E17:E29)</f>
        <v>8196.74</v>
      </c>
    </row>
    <row r="31" spans="2:8">
      <c r="B31" s="30"/>
      <c r="C31" s="30"/>
      <c r="D31" s="30"/>
      <c r="E31" s="30"/>
    </row>
    <row r="32" spans="2:8" ht="15.75" thickBot="1">
      <c r="B32" s="30"/>
      <c r="C32" s="30"/>
      <c r="D32" s="30"/>
      <c r="E32" s="30"/>
    </row>
    <row r="33" spans="2:10" ht="15.75" thickBot="1">
      <c r="B33" s="576" t="s">
        <v>408</v>
      </c>
      <c r="C33" s="577"/>
      <c r="D33" s="577"/>
      <c r="E33" s="578"/>
    </row>
    <row r="34" spans="2:10" ht="15.75" thickBot="1">
      <c r="B34" s="230" t="s">
        <v>99</v>
      </c>
      <c r="C34" s="230" t="s">
        <v>202</v>
      </c>
      <c r="D34" s="230" t="s">
        <v>100</v>
      </c>
      <c r="E34" s="230" t="s">
        <v>80</v>
      </c>
      <c r="G34" s="224" t="s">
        <v>181</v>
      </c>
      <c r="H34" s="224" t="s">
        <v>178</v>
      </c>
      <c r="I34" s="224" t="s">
        <v>182</v>
      </c>
      <c r="J34" s="224" t="s">
        <v>84</v>
      </c>
    </row>
    <row r="35" spans="2:10">
      <c r="B35" s="57" t="s">
        <v>177</v>
      </c>
      <c r="C35" s="318">
        <v>4</v>
      </c>
      <c r="D35" s="136">
        <v>401.79</v>
      </c>
      <c r="E35" s="137">
        <f>+C35*D35</f>
        <v>1607.16</v>
      </c>
      <c r="G35" s="45" t="s">
        <v>184</v>
      </c>
      <c r="H35" s="45"/>
      <c r="I35" s="45"/>
      <c r="J35" s="45"/>
    </row>
    <row r="36" spans="2:10" ht="15.75" thickBot="1">
      <c r="B36" s="51" t="s">
        <v>188</v>
      </c>
      <c r="C36" s="416">
        <v>2</v>
      </c>
      <c r="D36" s="138">
        <v>302.68</v>
      </c>
      <c r="E36" s="141">
        <f>+C36*D36</f>
        <v>605.36</v>
      </c>
      <c r="G36" s="75" t="s">
        <v>185</v>
      </c>
      <c r="H36" s="45">
        <v>1</v>
      </c>
      <c r="I36" s="121">
        <v>50</v>
      </c>
      <c r="J36" s="121">
        <f>I36*H36</f>
        <v>50</v>
      </c>
    </row>
    <row r="37" spans="2:10" ht="15.75" thickBot="1">
      <c r="B37" s="579" t="s">
        <v>9</v>
      </c>
      <c r="C37" s="579"/>
      <c r="D37" s="579"/>
      <c r="E37" s="142">
        <f>+E35+E36</f>
        <v>2212.52</v>
      </c>
      <c r="G37" s="75" t="s">
        <v>186</v>
      </c>
      <c r="H37" s="45">
        <v>1</v>
      </c>
      <c r="I37" s="121">
        <v>60</v>
      </c>
      <c r="J37" s="121">
        <f>I37*H37</f>
        <v>60</v>
      </c>
    </row>
    <row r="38" spans="2:10" ht="15.75" thickBot="1">
      <c r="G38" s="156" t="s">
        <v>9</v>
      </c>
      <c r="H38" s="106"/>
      <c r="I38" s="106"/>
      <c r="J38" s="123">
        <f>SUM(J36:J37)</f>
        <v>110</v>
      </c>
    </row>
    <row r="39" spans="2:10" s="30" customFormat="1" ht="15.75" thickBot="1">
      <c r="B39" s="576" t="s">
        <v>420</v>
      </c>
      <c r="C39" s="577"/>
      <c r="D39" s="577"/>
      <c r="E39" s="578"/>
      <c r="G39" s="109"/>
      <c r="H39" s="372"/>
      <c r="I39" s="372"/>
      <c r="J39" s="206"/>
    </row>
    <row r="40" spans="2:10" s="30" customFormat="1" ht="15.75" thickBot="1">
      <c r="B40" s="230" t="s">
        <v>415</v>
      </c>
      <c r="C40" s="230" t="s">
        <v>202</v>
      </c>
      <c r="D40" s="230" t="s">
        <v>100</v>
      </c>
      <c r="E40" s="326" t="s">
        <v>80</v>
      </c>
      <c r="G40" s="109"/>
      <c r="H40" s="144"/>
      <c r="I40" s="144"/>
      <c r="J40" s="206"/>
    </row>
    <row r="41" spans="2:10" ht="15.75" thickBot="1">
      <c r="B41" s="377" t="s">
        <v>225</v>
      </c>
      <c r="C41" s="81">
        <v>2</v>
      </c>
      <c r="D41" s="138">
        <v>37390</v>
      </c>
      <c r="E41" s="138">
        <f>+D41*C41</f>
        <v>74780</v>
      </c>
      <c r="G41" s="30"/>
      <c r="H41" s="119"/>
      <c r="I41" s="117"/>
      <c r="J41" s="118"/>
    </row>
    <row r="42" spans="2:10" ht="15.75" thickBot="1">
      <c r="B42" s="569" t="s">
        <v>9</v>
      </c>
      <c r="C42" s="570"/>
      <c r="D42" s="571"/>
      <c r="E42" s="379">
        <f>SUM(E41)</f>
        <v>74780</v>
      </c>
      <c r="F42" s="378"/>
      <c r="G42" s="108"/>
      <c r="H42" s="154"/>
      <c r="I42" s="115"/>
      <c r="J42" s="155"/>
    </row>
    <row r="43" spans="2:10">
      <c r="G43" s="168"/>
    </row>
    <row r="44" spans="2:10" ht="15.75" thickBot="1"/>
    <row r="45" spans="2:10" ht="15.75" thickBot="1">
      <c r="B45" s="576" t="s">
        <v>411</v>
      </c>
      <c r="C45" s="577"/>
      <c r="D45" s="577"/>
      <c r="E45" s="577"/>
      <c r="F45" s="578"/>
    </row>
    <row r="46" spans="2:10" ht="15.75" thickBot="1">
      <c r="B46" s="320" t="s">
        <v>415</v>
      </c>
      <c r="C46" s="320" t="s">
        <v>202</v>
      </c>
      <c r="D46" s="320" t="s">
        <v>227</v>
      </c>
      <c r="E46" s="320" t="s">
        <v>228</v>
      </c>
      <c r="F46" s="321" t="s">
        <v>229</v>
      </c>
    </row>
    <row r="47" spans="2:10">
      <c r="B47" s="57" t="s">
        <v>230</v>
      </c>
      <c r="C47" s="130">
        <v>2</v>
      </c>
      <c r="D47" s="138">
        <v>4</v>
      </c>
      <c r="E47" s="138">
        <f t="shared" ref="E47:E56" si="2">D47*C47</f>
        <v>8</v>
      </c>
      <c r="F47" s="138">
        <f>E47*12</f>
        <v>96</v>
      </c>
    </row>
    <row r="48" spans="2:10">
      <c r="B48" s="48" t="s">
        <v>231</v>
      </c>
      <c r="C48" s="112">
        <v>4</v>
      </c>
      <c r="D48" s="138">
        <v>50</v>
      </c>
      <c r="E48" s="138">
        <f t="shared" si="2"/>
        <v>200</v>
      </c>
      <c r="F48" s="138">
        <f>E48*12</f>
        <v>2400</v>
      </c>
    </row>
    <row r="49" spans="2:6">
      <c r="B49" s="48" t="s">
        <v>232</v>
      </c>
      <c r="C49" s="112">
        <v>20</v>
      </c>
      <c r="D49" s="138">
        <v>0.3</v>
      </c>
      <c r="E49" s="138">
        <f t="shared" si="2"/>
        <v>6</v>
      </c>
      <c r="F49" s="138">
        <f>E49*12</f>
        <v>72</v>
      </c>
    </row>
    <row r="50" spans="2:6">
      <c r="B50" s="48" t="s">
        <v>233</v>
      </c>
      <c r="C50" s="112">
        <v>20</v>
      </c>
      <c r="D50" s="138">
        <v>0.25</v>
      </c>
      <c r="E50" s="138">
        <f t="shared" si="2"/>
        <v>5</v>
      </c>
      <c r="F50" s="138">
        <f>E50*12</f>
        <v>60</v>
      </c>
    </row>
    <row r="51" spans="2:6">
      <c r="B51" s="48" t="s">
        <v>234</v>
      </c>
      <c r="C51" s="112">
        <v>2</v>
      </c>
      <c r="D51" s="138">
        <v>15</v>
      </c>
      <c r="E51" s="138"/>
      <c r="F51" s="138">
        <f>D51*C51</f>
        <v>30</v>
      </c>
    </row>
    <row r="52" spans="2:6">
      <c r="B52" s="48" t="s">
        <v>235</v>
      </c>
      <c r="C52" s="112">
        <v>20</v>
      </c>
      <c r="D52" s="138">
        <v>0.1</v>
      </c>
      <c r="E52" s="138">
        <f t="shared" si="2"/>
        <v>2</v>
      </c>
      <c r="F52" s="138">
        <f>E52*12</f>
        <v>24</v>
      </c>
    </row>
    <row r="53" spans="2:6">
      <c r="B53" s="48" t="s">
        <v>236</v>
      </c>
      <c r="C53" s="112">
        <v>4</v>
      </c>
      <c r="D53" s="138">
        <v>2.4</v>
      </c>
      <c r="E53" s="138"/>
      <c r="F53" s="138">
        <f>D53*C53</f>
        <v>9.6</v>
      </c>
    </row>
    <row r="54" spans="2:6">
      <c r="B54" s="48" t="s">
        <v>237</v>
      </c>
      <c r="C54" s="112">
        <v>2</v>
      </c>
      <c r="D54" s="138">
        <v>0.6</v>
      </c>
      <c r="E54" s="138">
        <f t="shared" si="2"/>
        <v>1.2</v>
      </c>
      <c r="F54" s="138">
        <f>E54*12</f>
        <v>14.399999999999999</v>
      </c>
    </row>
    <row r="55" spans="2:6">
      <c r="B55" s="48" t="s">
        <v>238</v>
      </c>
      <c r="C55" s="112">
        <v>4</v>
      </c>
      <c r="D55" s="138">
        <v>1.5</v>
      </c>
      <c r="E55" s="138"/>
      <c r="F55" s="138">
        <f>D55*C55</f>
        <v>6</v>
      </c>
    </row>
    <row r="56" spans="2:6">
      <c r="B56" s="48" t="s">
        <v>239</v>
      </c>
      <c r="C56" s="112">
        <v>1</v>
      </c>
      <c r="D56" s="138">
        <v>4</v>
      </c>
      <c r="E56" s="138">
        <f t="shared" si="2"/>
        <v>4</v>
      </c>
      <c r="F56" s="138">
        <f>E56*12</f>
        <v>48</v>
      </c>
    </row>
    <row r="57" spans="2:6">
      <c r="B57" s="48" t="s">
        <v>240</v>
      </c>
      <c r="C57" s="112">
        <v>4</v>
      </c>
      <c r="D57" s="138">
        <v>2</v>
      </c>
      <c r="E57" s="138"/>
      <c r="F57" s="138">
        <f>D57*C57</f>
        <v>8</v>
      </c>
    </row>
    <row r="58" spans="2:6">
      <c r="B58" s="48" t="s">
        <v>241</v>
      </c>
      <c r="C58" s="112">
        <v>4</v>
      </c>
      <c r="D58" s="138">
        <v>0.4</v>
      </c>
      <c r="E58" s="138">
        <f>D58*C58</f>
        <v>1.6</v>
      </c>
      <c r="F58" s="138">
        <f>E58*12</f>
        <v>19.200000000000003</v>
      </c>
    </row>
    <row r="59" spans="2:6">
      <c r="B59" s="48" t="s">
        <v>242</v>
      </c>
      <c r="C59" s="112">
        <v>15</v>
      </c>
      <c r="D59" s="138">
        <v>4</v>
      </c>
      <c r="E59" s="138">
        <f>D59*C59</f>
        <v>60</v>
      </c>
      <c r="F59" s="138">
        <f>E59*12</f>
        <v>720</v>
      </c>
    </row>
    <row r="60" spans="2:6">
      <c r="B60" s="48" t="s">
        <v>243</v>
      </c>
      <c r="C60" s="112">
        <v>1</v>
      </c>
      <c r="D60" s="138">
        <v>2.5</v>
      </c>
      <c r="E60" s="138"/>
      <c r="F60" s="138">
        <f>D60*C60</f>
        <v>2.5</v>
      </c>
    </row>
    <row r="61" spans="2:6" ht="15.75" thickBot="1">
      <c r="B61" s="51" t="s">
        <v>244</v>
      </c>
      <c r="C61" s="131">
        <v>1</v>
      </c>
      <c r="D61" s="138">
        <v>50</v>
      </c>
      <c r="E61" s="138"/>
      <c r="F61" s="138">
        <f>D61*C61</f>
        <v>50</v>
      </c>
    </row>
    <row r="62" spans="2:6" ht="15.75" thickBot="1">
      <c r="B62" s="582" t="s">
        <v>80</v>
      </c>
      <c r="C62" s="583"/>
      <c r="D62" s="138"/>
      <c r="E62" s="90">
        <f>SUM(E47:E61)</f>
        <v>287.79999999999995</v>
      </c>
      <c r="F62" s="90">
        <f>SUM(F47:F61)</f>
        <v>3559.7</v>
      </c>
    </row>
    <row r="63" spans="2:6" s="30" customFormat="1">
      <c r="B63" s="109"/>
      <c r="C63" s="109"/>
      <c r="D63" s="108"/>
      <c r="E63" s="108"/>
      <c r="F63" s="108"/>
    </row>
    <row r="64" spans="2:6" s="30" customFormat="1" ht="15.75" thickBot="1">
      <c r="B64" s="323" t="s">
        <v>419</v>
      </c>
      <c r="C64" s="279"/>
      <c r="D64" s="279"/>
      <c r="E64" s="324">
        <f>+E30+E37+E41+F62+E12</f>
        <v>92484.469999999987</v>
      </c>
      <c r="F64" s="108"/>
    </row>
    <row r="65" spans="2:3" ht="15.75" thickBot="1"/>
    <row r="66" spans="2:3" ht="15.75" thickBot="1">
      <c r="B66" s="576" t="s">
        <v>412</v>
      </c>
      <c r="C66" s="578"/>
    </row>
    <row r="67" spans="2:3" ht="15.75" thickBot="1">
      <c r="B67" s="580" t="s">
        <v>413</v>
      </c>
      <c r="C67" s="581"/>
    </row>
    <row r="68" spans="2:3">
      <c r="B68" s="57" t="s">
        <v>245</v>
      </c>
      <c r="C68" s="121">
        <v>250</v>
      </c>
    </row>
    <row r="69" spans="2:3">
      <c r="B69" s="48" t="s">
        <v>246</v>
      </c>
      <c r="C69" s="121">
        <v>100</v>
      </c>
    </row>
    <row r="70" spans="2:3">
      <c r="B70" s="48" t="s">
        <v>247</v>
      </c>
      <c r="C70" s="123">
        <v>200</v>
      </c>
    </row>
    <row r="71" spans="2:3">
      <c r="B71" s="48" t="s">
        <v>248</v>
      </c>
      <c r="C71" s="121">
        <v>0</v>
      </c>
    </row>
    <row r="72" spans="2:3" ht="15.75" thickBot="1">
      <c r="B72" s="51" t="s">
        <v>249</v>
      </c>
      <c r="C72" s="121">
        <v>100</v>
      </c>
    </row>
    <row r="73" spans="2:3" ht="15.75" thickBot="1">
      <c r="B73" s="322" t="s">
        <v>80</v>
      </c>
      <c r="C73" s="123">
        <f>+SUM(C68:C72)</f>
        <v>650</v>
      </c>
    </row>
  </sheetData>
  <mergeCells count="12">
    <mergeCell ref="B12:D12"/>
    <mergeCell ref="B30:D30"/>
    <mergeCell ref="B37:D37"/>
    <mergeCell ref="B67:C67"/>
    <mergeCell ref="B3:E3"/>
    <mergeCell ref="B15:E15"/>
    <mergeCell ref="B33:E33"/>
    <mergeCell ref="B45:F45"/>
    <mergeCell ref="B66:C66"/>
    <mergeCell ref="B62:C62"/>
    <mergeCell ref="B42:D42"/>
    <mergeCell ref="B39:E3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B2:H120"/>
  <sheetViews>
    <sheetView showGridLines="0" topLeftCell="A82" workbookViewId="0">
      <selection activeCell="H106" sqref="H106"/>
    </sheetView>
  </sheetViews>
  <sheetFormatPr baseColWidth="10" defaultRowHeight="15"/>
  <cols>
    <col min="2" max="2" width="51" bestFit="1" customWidth="1"/>
    <col min="7" max="7" width="24.7109375" customWidth="1"/>
    <col min="9" max="9" width="14.28515625" customWidth="1"/>
    <col min="10" max="10" width="12.5703125" customWidth="1"/>
  </cols>
  <sheetData>
    <row r="2" spans="2:8">
      <c r="B2" s="30"/>
      <c r="C2" s="30"/>
      <c r="D2" s="30"/>
      <c r="E2" s="30"/>
    </row>
    <row r="3" spans="2:8">
      <c r="B3" s="30"/>
      <c r="C3" s="30"/>
      <c r="D3" s="30"/>
      <c r="E3" s="30"/>
    </row>
    <row r="4" spans="2:8" ht="15.75" thickBot="1">
      <c r="B4" s="109"/>
      <c r="C4" s="108"/>
      <c r="D4" s="108"/>
      <c r="E4" s="108"/>
    </row>
    <row r="5" spans="2:8" ht="15.75" thickBot="1">
      <c r="B5" s="576" t="s">
        <v>414</v>
      </c>
      <c r="C5" s="577"/>
      <c r="D5" s="577"/>
      <c r="E5" s="578"/>
    </row>
    <row r="6" spans="2:8" ht="15.75" thickBot="1">
      <c r="B6" s="230" t="s">
        <v>415</v>
      </c>
      <c r="C6" s="230" t="s">
        <v>202</v>
      </c>
      <c r="D6" s="230" t="s">
        <v>100</v>
      </c>
      <c r="E6" s="230" t="s">
        <v>80</v>
      </c>
      <c r="F6" s="295"/>
      <c r="G6" s="295"/>
      <c r="H6" s="9"/>
    </row>
    <row r="7" spans="2:8">
      <c r="B7" s="57" t="s">
        <v>101</v>
      </c>
      <c r="C7" s="130">
        <v>10</v>
      </c>
      <c r="D7" s="113">
        <v>19.989999999999998</v>
      </c>
      <c r="E7" s="125">
        <f>+C7*D7</f>
        <v>199.89999999999998</v>
      </c>
    </row>
    <row r="8" spans="2:8">
      <c r="B8" s="50" t="s">
        <v>102</v>
      </c>
      <c r="C8" s="75">
        <v>2</v>
      </c>
      <c r="D8" s="110">
        <v>199.65</v>
      </c>
      <c r="E8" s="124">
        <f>+C8*D8</f>
        <v>399.3</v>
      </c>
    </row>
    <row r="9" spans="2:8">
      <c r="B9" s="50" t="s">
        <v>103</v>
      </c>
      <c r="C9" s="75">
        <v>4</v>
      </c>
      <c r="D9" s="110">
        <v>69.08</v>
      </c>
      <c r="E9" s="124">
        <f t="shared" ref="E9:E21" si="0">C9*D9</f>
        <v>276.32</v>
      </c>
    </row>
    <row r="10" spans="2:8">
      <c r="B10" s="50" t="s">
        <v>374</v>
      </c>
      <c r="C10" s="75">
        <v>4</v>
      </c>
      <c r="D10" s="110">
        <v>74.08</v>
      </c>
      <c r="E10" s="124">
        <f t="shared" si="0"/>
        <v>296.32</v>
      </c>
    </row>
    <row r="11" spans="2:8">
      <c r="B11" s="50" t="s">
        <v>190</v>
      </c>
      <c r="C11" s="75">
        <v>8</v>
      </c>
      <c r="D11" s="110">
        <v>13.04</v>
      </c>
      <c r="E11" s="124">
        <f t="shared" si="0"/>
        <v>104.32</v>
      </c>
    </row>
    <row r="12" spans="2:8" s="30" customFormat="1">
      <c r="B12" s="50" t="s">
        <v>361</v>
      </c>
      <c r="C12" s="75">
        <v>10</v>
      </c>
      <c r="D12" s="110">
        <v>17.36</v>
      </c>
      <c r="E12" s="124">
        <f t="shared" si="0"/>
        <v>173.6</v>
      </c>
    </row>
    <row r="13" spans="2:8" s="30" customFormat="1">
      <c r="B13" s="50" t="s">
        <v>362</v>
      </c>
      <c r="C13" s="75">
        <v>10</v>
      </c>
      <c r="D13" s="110">
        <v>23.13</v>
      </c>
      <c r="E13" s="124">
        <f t="shared" si="0"/>
        <v>231.29999999999998</v>
      </c>
    </row>
    <row r="14" spans="2:8">
      <c r="B14" s="50" t="s">
        <v>104</v>
      </c>
      <c r="C14" s="75">
        <v>2</v>
      </c>
      <c r="D14" s="110">
        <v>500.6</v>
      </c>
      <c r="E14" s="124">
        <f t="shared" si="0"/>
        <v>1001.2</v>
      </c>
    </row>
    <row r="15" spans="2:8">
      <c r="B15" s="48" t="s">
        <v>105</v>
      </c>
      <c r="C15" s="112">
        <v>2</v>
      </c>
      <c r="D15" s="113">
        <v>36.99</v>
      </c>
      <c r="E15" s="124">
        <f t="shared" si="0"/>
        <v>73.98</v>
      </c>
    </row>
    <row r="16" spans="2:8">
      <c r="B16" s="48" t="s">
        <v>106</v>
      </c>
      <c r="C16" s="112">
        <v>2</v>
      </c>
      <c r="D16" s="113">
        <v>15.2</v>
      </c>
      <c r="E16" s="124">
        <f t="shared" si="0"/>
        <v>30.4</v>
      </c>
    </row>
    <row r="17" spans="2:8">
      <c r="B17" s="48" t="s">
        <v>107</v>
      </c>
      <c r="C17" s="112">
        <v>3</v>
      </c>
      <c r="D17" s="113">
        <v>70.989999999999995</v>
      </c>
      <c r="E17" s="129">
        <f t="shared" si="0"/>
        <v>212.96999999999997</v>
      </c>
    </row>
    <row r="18" spans="2:8">
      <c r="B18" s="48" t="s">
        <v>108</v>
      </c>
      <c r="C18" s="112">
        <v>4</v>
      </c>
      <c r="D18" s="113">
        <v>52.3</v>
      </c>
      <c r="E18" s="129">
        <f t="shared" si="0"/>
        <v>209.2</v>
      </c>
    </row>
    <row r="19" spans="2:8">
      <c r="B19" s="48" t="s">
        <v>109</v>
      </c>
      <c r="C19" s="112">
        <v>4</v>
      </c>
      <c r="D19" s="113">
        <v>23.52</v>
      </c>
      <c r="E19" s="129">
        <f t="shared" si="0"/>
        <v>94.08</v>
      </c>
    </row>
    <row r="20" spans="2:8">
      <c r="B20" s="48" t="s">
        <v>110</v>
      </c>
      <c r="C20" s="112">
        <v>6</v>
      </c>
      <c r="D20" s="113">
        <v>7.2</v>
      </c>
      <c r="E20" s="129">
        <f t="shared" si="0"/>
        <v>43.2</v>
      </c>
    </row>
    <row r="21" spans="2:8" ht="15.75" thickBot="1">
      <c r="B21" s="51" t="s">
        <v>111</v>
      </c>
      <c r="C21" s="131">
        <v>4</v>
      </c>
      <c r="D21" s="132">
        <v>22.99</v>
      </c>
      <c r="E21" s="133">
        <f t="shared" si="0"/>
        <v>91.96</v>
      </c>
    </row>
    <row r="22" spans="2:8" ht="15.75" thickBot="1">
      <c r="B22" s="586" t="s">
        <v>9</v>
      </c>
      <c r="C22" s="586"/>
      <c r="D22" s="586"/>
      <c r="E22" s="128">
        <f>+SUM(E7:E21)</f>
        <v>3438.0499999999993</v>
      </c>
    </row>
    <row r="23" spans="2:8" s="30" customFormat="1" ht="15.75" thickBot="1">
      <c r="B23" s="122"/>
      <c r="C23" s="122"/>
      <c r="D23" s="122"/>
      <c r="E23" s="373"/>
    </row>
    <row r="24" spans="2:8" ht="15.75" thickBot="1">
      <c r="B24" s="576" t="s">
        <v>421</v>
      </c>
      <c r="C24" s="577"/>
      <c r="D24" s="577"/>
      <c r="E24" s="578"/>
    </row>
    <row r="25" spans="2:8" ht="15.75" thickBot="1">
      <c r="B25" s="230" t="s">
        <v>99</v>
      </c>
      <c r="C25" s="230" t="s">
        <v>202</v>
      </c>
      <c r="D25" s="230" t="s">
        <v>100</v>
      </c>
      <c r="E25" s="230" t="s">
        <v>80</v>
      </c>
    </row>
    <row r="26" spans="2:8" ht="15.75" thickBot="1">
      <c r="B26" s="271" t="s">
        <v>112</v>
      </c>
      <c r="C26" s="374">
        <v>6</v>
      </c>
      <c r="D26" s="375">
        <v>124.9</v>
      </c>
      <c r="E26" s="376">
        <f>+C26*D26</f>
        <v>749.40000000000009</v>
      </c>
    </row>
    <row r="27" spans="2:8" ht="15.75" thickBot="1">
      <c r="B27" s="50" t="s">
        <v>113</v>
      </c>
      <c r="C27" s="75">
        <v>12</v>
      </c>
      <c r="D27" s="46">
        <v>59.99</v>
      </c>
      <c r="E27" s="134">
        <f t="shared" ref="E27:E34" si="1">+C27*D27</f>
        <v>719.88</v>
      </c>
      <c r="G27" s="584" t="s">
        <v>458</v>
      </c>
      <c r="H27" s="585"/>
    </row>
    <row r="28" spans="2:8">
      <c r="B28" s="50" t="s">
        <v>114</v>
      </c>
      <c r="C28" s="75">
        <v>6</v>
      </c>
      <c r="D28" s="46">
        <v>69.989999999999995</v>
      </c>
      <c r="E28" s="134">
        <f t="shared" si="1"/>
        <v>419.93999999999994</v>
      </c>
      <c r="G28" s="450" t="s">
        <v>454</v>
      </c>
      <c r="H28" s="451">
        <f>+E22</f>
        <v>3438.0499999999993</v>
      </c>
    </row>
    <row r="29" spans="2:8">
      <c r="B29" s="50" t="s">
        <v>359</v>
      </c>
      <c r="C29" s="75">
        <v>2</v>
      </c>
      <c r="D29" s="46">
        <v>130.65</v>
      </c>
      <c r="E29" s="134">
        <f t="shared" si="1"/>
        <v>261.3</v>
      </c>
      <c r="G29" s="439" t="s">
        <v>455</v>
      </c>
      <c r="H29" s="452">
        <f>+E35</f>
        <v>4004.1800000000003</v>
      </c>
    </row>
    <row r="30" spans="2:8">
      <c r="B30" s="48" t="s">
        <v>115</v>
      </c>
      <c r="C30" s="112">
        <v>3</v>
      </c>
      <c r="D30" s="90">
        <v>30.7</v>
      </c>
      <c r="E30" s="135">
        <f t="shared" si="1"/>
        <v>92.1</v>
      </c>
      <c r="G30" s="439" t="s">
        <v>456</v>
      </c>
      <c r="H30" s="452">
        <f>+E58</f>
        <v>1353.2699999999998</v>
      </c>
    </row>
    <row r="31" spans="2:8">
      <c r="B31" s="48" t="s">
        <v>116</v>
      </c>
      <c r="C31" s="112">
        <v>4</v>
      </c>
      <c r="D31" s="90">
        <v>69.989999999999995</v>
      </c>
      <c r="E31" s="135">
        <f t="shared" si="1"/>
        <v>279.95999999999998</v>
      </c>
      <c r="G31" s="439" t="s">
        <v>457</v>
      </c>
      <c r="H31" s="452">
        <f>+E87</f>
        <v>1743.6500000000003</v>
      </c>
    </row>
    <row r="32" spans="2:8" ht="15.75" thickBot="1">
      <c r="B32" s="50" t="s">
        <v>369</v>
      </c>
      <c r="C32" s="112">
        <v>32</v>
      </c>
      <c r="D32" s="90">
        <v>20</v>
      </c>
      <c r="E32" s="135">
        <f t="shared" si="1"/>
        <v>640</v>
      </c>
      <c r="G32" s="453" t="s">
        <v>9</v>
      </c>
      <c r="H32" s="454">
        <f>SUM(H28:H31)</f>
        <v>10539.15</v>
      </c>
    </row>
    <row r="33" spans="2:7">
      <c r="B33" s="50" t="s">
        <v>171</v>
      </c>
      <c r="C33" s="75">
        <v>4</v>
      </c>
      <c r="D33" s="46">
        <v>80</v>
      </c>
      <c r="E33" s="134">
        <f>+C33*D33</f>
        <v>320</v>
      </c>
    </row>
    <row r="34" spans="2:7" ht="15.75" thickBot="1">
      <c r="B34" s="51" t="s">
        <v>360</v>
      </c>
      <c r="C34" s="127">
        <v>4</v>
      </c>
      <c r="D34" s="138">
        <v>130.4</v>
      </c>
      <c r="E34" s="139">
        <f t="shared" si="1"/>
        <v>521.6</v>
      </c>
    </row>
    <row r="35" spans="2:7" ht="15.75" thickBot="1">
      <c r="B35" s="579" t="s">
        <v>9</v>
      </c>
      <c r="C35" s="579"/>
      <c r="D35" s="579"/>
      <c r="E35" s="140">
        <f>+SUM(E26:E34)</f>
        <v>4004.1800000000003</v>
      </c>
    </row>
    <row r="36" spans="2:7" ht="15.75" thickBot="1"/>
    <row r="37" spans="2:7" ht="15.75" thickBot="1">
      <c r="B37" s="576" t="s">
        <v>417</v>
      </c>
      <c r="C37" s="577"/>
      <c r="D37" s="577"/>
      <c r="E37" s="578"/>
    </row>
    <row r="38" spans="2:7" ht="15.75" thickBot="1">
      <c r="B38" s="230" t="s">
        <v>99</v>
      </c>
      <c r="C38" s="230" t="s">
        <v>202</v>
      </c>
      <c r="D38" s="230" t="s">
        <v>100</v>
      </c>
      <c r="E38" s="230" t="s">
        <v>80</v>
      </c>
    </row>
    <row r="39" spans="2:7">
      <c r="B39" s="57" t="s">
        <v>118</v>
      </c>
      <c r="C39" s="130">
        <v>4</v>
      </c>
      <c r="D39" s="136">
        <v>17.72</v>
      </c>
      <c r="E39" s="137">
        <f>+C39*D39</f>
        <v>70.88</v>
      </c>
    </row>
    <row r="40" spans="2:7">
      <c r="B40" s="50" t="s">
        <v>119</v>
      </c>
      <c r="C40" s="75">
        <v>5</v>
      </c>
      <c r="D40" s="114">
        <v>30</v>
      </c>
      <c r="E40" s="134">
        <f t="shared" ref="E40:E57" si="2">+C40*D40</f>
        <v>150</v>
      </c>
    </row>
    <row r="41" spans="2:7" s="30" customFormat="1">
      <c r="B41" s="50" t="s">
        <v>120</v>
      </c>
      <c r="C41" s="75">
        <v>3</v>
      </c>
      <c r="D41" s="46">
        <v>30.46</v>
      </c>
      <c r="E41" s="134">
        <f t="shared" si="2"/>
        <v>91.38</v>
      </c>
    </row>
    <row r="42" spans="2:7">
      <c r="B42" s="50" t="s">
        <v>121</v>
      </c>
      <c r="C42" s="75">
        <v>4</v>
      </c>
      <c r="D42" s="46">
        <v>11.13</v>
      </c>
      <c r="E42" s="134">
        <f t="shared" si="2"/>
        <v>44.52</v>
      </c>
    </row>
    <row r="43" spans="2:7">
      <c r="B43" s="50" t="s">
        <v>122</v>
      </c>
      <c r="C43" s="75">
        <v>3</v>
      </c>
      <c r="D43" s="46">
        <v>25.9</v>
      </c>
      <c r="E43" s="134">
        <f t="shared" si="2"/>
        <v>77.699999999999989</v>
      </c>
    </row>
    <row r="44" spans="2:7">
      <c r="B44" s="48" t="s">
        <v>123</v>
      </c>
      <c r="C44" s="112">
        <v>5</v>
      </c>
      <c r="D44" s="90">
        <v>29.99</v>
      </c>
      <c r="E44" s="134">
        <f t="shared" si="2"/>
        <v>149.94999999999999</v>
      </c>
    </row>
    <row r="45" spans="2:7">
      <c r="B45" s="48" t="s">
        <v>124</v>
      </c>
      <c r="C45" s="112">
        <v>7</v>
      </c>
      <c r="D45" s="90">
        <v>8.9499999999999993</v>
      </c>
      <c r="E45" s="134">
        <f t="shared" si="2"/>
        <v>62.649999999999991</v>
      </c>
    </row>
    <row r="46" spans="2:7">
      <c r="B46" s="48" t="s">
        <v>125</v>
      </c>
      <c r="C46" s="112">
        <v>5</v>
      </c>
      <c r="D46" s="90">
        <v>49.11</v>
      </c>
      <c r="E46" s="135">
        <f t="shared" si="2"/>
        <v>245.55</v>
      </c>
    </row>
    <row r="47" spans="2:7">
      <c r="B47" s="48" t="s">
        <v>126</v>
      </c>
      <c r="C47" s="112">
        <v>5</v>
      </c>
      <c r="D47" s="90">
        <v>2.2400000000000002</v>
      </c>
      <c r="E47" s="135">
        <f t="shared" si="2"/>
        <v>11.200000000000001</v>
      </c>
    </row>
    <row r="48" spans="2:7">
      <c r="B48" s="48" t="s">
        <v>127</v>
      </c>
      <c r="C48" s="112">
        <v>6</v>
      </c>
      <c r="D48" s="90">
        <v>1.79</v>
      </c>
      <c r="E48" s="135">
        <f t="shared" si="2"/>
        <v>10.74</v>
      </c>
      <c r="G48" s="178"/>
    </row>
    <row r="49" spans="2:5">
      <c r="B49" s="48" t="s">
        <v>128</v>
      </c>
      <c r="C49" s="112">
        <v>2</v>
      </c>
      <c r="D49" s="90">
        <v>32</v>
      </c>
      <c r="E49" s="135">
        <f t="shared" si="2"/>
        <v>64</v>
      </c>
    </row>
    <row r="50" spans="2:5">
      <c r="B50" s="48" t="s">
        <v>129</v>
      </c>
      <c r="C50" s="112">
        <v>4</v>
      </c>
      <c r="D50" s="90">
        <v>9.7100000000000009</v>
      </c>
      <c r="E50" s="135">
        <f t="shared" si="2"/>
        <v>38.840000000000003</v>
      </c>
    </row>
    <row r="51" spans="2:5">
      <c r="B51" s="48" t="s">
        <v>130</v>
      </c>
      <c r="C51" s="112">
        <v>4</v>
      </c>
      <c r="D51" s="90">
        <v>8.9600000000000009</v>
      </c>
      <c r="E51" s="135">
        <f t="shared" si="2"/>
        <v>35.840000000000003</v>
      </c>
    </row>
    <row r="52" spans="2:5">
      <c r="B52" s="48" t="s">
        <v>131</v>
      </c>
      <c r="C52" s="112">
        <v>6</v>
      </c>
      <c r="D52" s="90">
        <v>8.31</v>
      </c>
      <c r="E52" s="135">
        <f t="shared" si="2"/>
        <v>49.86</v>
      </c>
    </row>
    <row r="53" spans="2:5">
      <c r="B53" s="48" t="s">
        <v>132</v>
      </c>
      <c r="C53" s="112">
        <v>6</v>
      </c>
      <c r="D53" s="90">
        <v>2.8</v>
      </c>
      <c r="E53" s="135">
        <f t="shared" si="2"/>
        <v>16.799999999999997</v>
      </c>
    </row>
    <row r="54" spans="2:5">
      <c r="B54" s="48" t="s">
        <v>133</v>
      </c>
      <c r="C54" s="112">
        <v>10</v>
      </c>
      <c r="D54" s="90">
        <v>6.72</v>
      </c>
      <c r="E54" s="135">
        <f t="shared" si="2"/>
        <v>67.2</v>
      </c>
    </row>
    <row r="55" spans="2:5">
      <c r="B55" s="48" t="s">
        <v>134</v>
      </c>
      <c r="C55" s="112">
        <v>4</v>
      </c>
      <c r="D55" s="90">
        <v>23.15</v>
      </c>
      <c r="E55" s="135">
        <f t="shared" si="2"/>
        <v>92.6</v>
      </c>
    </row>
    <row r="56" spans="2:5">
      <c r="B56" s="48" t="s">
        <v>135</v>
      </c>
      <c r="C56" s="112">
        <v>6</v>
      </c>
      <c r="D56" s="90">
        <v>8.74</v>
      </c>
      <c r="E56" s="135">
        <f t="shared" si="2"/>
        <v>52.44</v>
      </c>
    </row>
    <row r="57" spans="2:5" ht="15.75" thickBot="1">
      <c r="B57" s="126" t="s">
        <v>136</v>
      </c>
      <c r="C57" s="127">
        <v>6</v>
      </c>
      <c r="D57" s="99">
        <v>3.52</v>
      </c>
      <c r="E57" s="141">
        <f t="shared" si="2"/>
        <v>21.12</v>
      </c>
    </row>
    <row r="58" spans="2:5" ht="15.75" thickBot="1">
      <c r="B58" s="579" t="s">
        <v>9</v>
      </c>
      <c r="C58" s="579"/>
      <c r="D58" s="579"/>
      <c r="E58" s="140">
        <f>+SUM(E39:E57)</f>
        <v>1353.2699999999998</v>
      </c>
    </row>
    <row r="59" spans="2:5" ht="15.75" thickBot="1"/>
    <row r="60" spans="2:5" ht="15.75" thickBot="1">
      <c r="B60" s="576" t="s">
        <v>416</v>
      </c>
      <c r="C60" s="577"/>
      <c r="D60" s="577"/>
      <c r="E60" s="578"/>
    </row>
    <row r="61" spans="2:5" ht="15.75" thickBot="1">
      <c r="B61" s="230" t="s">
        <v>99</v>
      </c>
      <c r="C61" s="230" t="s">
        <v>202</v>
      </c>
      <c r="D61" s="230" t="s">
        <v>100</v>
      </c>
      <c r="E61" s="230" t="s">
        <v>80</v>
      </c>
    </row>
    <row r="62" spans="2:5">
      <c r="B62" s="57" t="s">
        <v>137</v>
      </c>
      <c r="C62" s="130">
        <v>3</v>
      </c>
      <c r="D62" s="136">
        <v>3.3</v>
      </c>
      <c r="E62" s="137">
        <f>+C62*D62</f>
        <v>9.8999999999999986</v>
      </c>
    </row>
    <row r="63" spans="2:5">
      <c r="B63" s="50" t="s">
        <v>189</v>
      </c>
      <c r="C63" s="75">
        <v>1</v>
      </c>
      <c r="D63" s="114">
        <v>6.2</v>
      </c>
      <c r="E63" s="134">
        <f t="shared" ref="E63:E86" si="3">+C63*D63</f>
        <v>6.2</v>
      </c>
    </row>
    <row r="64" spans="2:5">
      <c r="B64" s="50" t="s">
        <v>138</v>
      </c>
      <c r="C64" s="75">
        <v>6</v>
      </c>
      <c r="D64" s="46">
        <v>9.99</v>
      </c>
      <c r="E64" s="134">
        <f t="shared" si="3"/>
        <v>59.94</v>
      </c>
    </row>
    <row r="65" spans="2:8">
      <c r="B65" s="50" t="s">
        <v>139</v>
      </c>
      <c r="C65" s="75">
        <v>8</v>
      </c>
      <c r="D65" s="46">
        <v>2.98</v>
      </c>
      <c r="E65" s="134">
        <f t="shared" si="3"/>
        <v>23.84</v>
      </c>
    </row>
    <row r="66" spans="2:8">
      <c r="B66" s="50" t="s">
        <v>140</v>
      </c>
      <c r="C66" s="75">
        <v>2</v>
      </c>
      <c r="D66" s="46">
        <v>0.32</v>
      </c>
      <c r="E66" s="134">
        <f t="shared" si="3"/>
        <v>0.64</v>
      </c>
      <c r="G66" s="302" t="s">
        <v>356</v>
      </c>
      <c r="H66" s="301">
        <v>50</v>
      </c>
    </row>
    <row r="67" spans="2:8">
      <c r="B67" s="50" t="s">
        <v>141</v>
      </c>
      <c r="C67" s="75">
        <v>2</v>
      </c>
      <c r="D67" s="46">
        <v>15</v>
      </c>
      <c r="E67" s="134">
        <f t="shared" si="3"/>
        <v>30</v>
      </c>
      <c r="G67" s="301" t="s">
        <v>406</v>
      </c>
      <c r="H67" s="301">
        <v>6</v>
      </c>
    </row>
    <row r="68" spans="2:8">
      <c r="B68" s="50" t="s">
        <v>142</v>
      </c>
      <c r="C68" s="75">
        <v>2</v>
      </c>
      <c r="D68" s="46">
        <v>5.85</v>
      </c>
      <c r="E68" s="134">
        <f t="shared" si="3"/>
        <v>11.7</v>
      </c>
      <c r="G68" s="301" t="s">
        <v>357</v>
      </c>
      <c r="H68" s="301">
        <f>+H66-H67-H69</f>
        <v>12</v>
      </c>
    </row>
    <row r="69" spans="2:8">
      <c r="B69" s="50" t="s">
        <v>143</v>
      </c>
      <c r="C69" s="75">
        <v>2</v>
      </c>
      <c r="D69" s="46">
        <v>22</v>
      </c>
      <c r="E69" s="134">
        <f t="shared" si="3"/>
        <v>44</v>
      </c>
      <c r="G69" s="301" t="s">
        <v>358</v>
      </c>
      <c r="H69" s="301">
        <v>32</v>
      </c>
    </row>
    <row r="70" spans="2:8">
      <c r="B70" s="50" t="s">
        <v>144</v>
      </c>
      <c r="C70" s="75">
        <v>50</v>
      </c>
      <c r="D70" s="46">
        <v>10.5</v>
      </c>
      <c r="E70" s="134">
        <f t="shared" si="3"/>
        <v>525</v>
      </c>
    </row>
    <row r="71" spans="2:8">
      <c r="B71" s="50" t="s">
        <v>145</v>
      </c>
      <c r="C71" s="75">
        <v>2</v>
      </c>
      <c r="D71" s="46">
        <v>22</v>
      </c>
      <c r="E71" s="134">
        <f t="shared" si="3"/>
        <v>44</v>
      </c>
      <c r="G71" s="168"/>
    </row>
    <row r="72" spans="2:8">
      <c r="B72" s="50" t="s">
        <v>146</v>
      </c>
      <c r="C72" s="75">
        <v>80</v>
      </c>
      <c r="D72" s="46">
        <v>2.62</v>
      </c>
      <c r="E72" s="134">
        <f t="shared" si="3"/>
        <v>209.60000000000002</v>
      </c>
    </row>
    <row r="73" spans="2:8">
      <c r="B73" s="50" t="s">
        <v>147</v>
      </c>
      <c r="C73" s="75">
        <v>2</v>
      </c>
      <c r="D73" s="46">
        <v>80</v>
      </c>
      <c r="E73" s="134">
        <f t="shared" si="3"/>
        <v>160</v>
      </c>
    </row>
    <row r="74" spans="2:8">
      <c r="B74" s="48" t="s">
        <v>148</v>
      </c>
      <c r="C74" s="112">
        <v>4</v>
      </c>
      <c r="D74" s="90">
        <v>5.85</v>
      </c>
      <c r="E74" s="134">
        <f t="shared" si="3"/>
        <v>23.4</v>
      </c>
    </row>
    <row r="75" spans="2:8">
      <c r="B75" s="48" t="s">
        <v>149</v>
      </c>
      <c r="C75" s="112">
        <v>48</v>
      </c>
      <c r="D75" s="90">
        <v>2.25</v>
      </c>
      <c r="E75" s="134">
        <f t="shared" si="3"/>
        <v>108</v>
      </c>
    </row>
    <row r="76" spans="2:8">
      <c r="B76" s="48" t="s">
        <v>187</v>
      </c>
      <c r="C76" s="112">
        <v>5</v>
      </c>
      <c r="D76" s="90">
        <v>1.21</v>
      </c>
      <c r="E76" s="134">
        <f t="shared" si="3"/>
        <v>6.05</v>
      </c>
    </row>
    <row r="77" spans="2:8">
      <c r="B77" s="48" t="s">
        <v>150</v>
      </c>
      <c r="C77" s="112">
        <v>1</v>
      </c>
      <c r="D77" s="90">
        <v>78</v>
      </c>
      <c r="E77" s="134">
        <f t="shared" si="3"/>
        <v>78</v>
      </c>
    </row>
    <row r="78" spans="2:8">
      <c r="B78" s="48" t="s">
        <v>151</v>
      </c>
      <c r="C78" s="112">
        <v>6</v>
      </c>
      <c r="D78" s="90">
        <v>8</v>
      </c>
      <c r="E78" s="134">
        <f t="shared" si="3"/>
        <v>48</v>
      </c>
    </row>
    <row r="79" spans="2:8">
      <c r="B79" s="48" t="s">
        <v>152</v>
      </c>
      <c r="C79" s="112">
        <v>2</v>
      </c>
      <c r="D79" s="90">
        <v>4.5</v>
      </c>
      <c r="E79" s="134">
        <f t="shared" si="3"/>
        <v>9</v>
      </c>
    </row>
    <row r="80" spans="2:8">
      <c r="B80" s="48" t="s">
        <v>153</v>
      </c>
      <c r="C80" s="112">
        <v>12</v>
      </c>
      <c r="D80" s="90">
        <v>1.6</v>
      </c>
      <c r="E80" s="134">
        <f t="shared" si="3"/>
        <v>19.200000000000003</v>
      </c>
    </row>
    <row r="81" spans="2:5">
      <c r="B81" s="48" t="s">
        <v>154</v>
      </c>
      <c r="C81" s="112">
        <v>3</v>
      </c>
      <c r="D81" s="90">
        <v>2.35</v>
      </c>
      <c r="E81" s="134">
        <f t="shared" si="3"/>
        <v>7.0500000000000007</v>
      </c>
    </row>
    <row r="82" spans="2:5">
      <c r="B82" s="48" t="s">
        <v>155</v>
      </c>
      <c r="C82" s="112">
        <v>3</v>
      </c>
      <c r="D82" s="90">
        <v>10.81</v>
      </c>
      <c r="E82" s="134">
        <f t="shared" si="3"/>
        <v>32.43</v>
      </c>
    </row>
    <row r="83" spans="2:5">
      <c r="B83" s="48" t="s">
        <v>156</v>
      </c>
      <c r="C83" s="112">
        <v>12</v>
      </c>
      <c r="D83" s="90">
        <v>2.5</v>
      </c>
      <c r="E83" s="134">
        <f t="shared" si="3"/>
        <v>30</v>
      </c>
    </row>
    <row r="84" spans="2:5">
      <c r="B84" s="48" t="s">
        <v>157</v>
      </c>
      <c r="C84" s="112">
        <v>9</v>
      </c>
      <c r="D84" s="90">
        <v>18</v>
      </c>
      <c r="E84" s="134">
        <f t="shared" si="3"/>
        <v>162</v>
      </c>
    </row>
    <row r="85" spans="2:5">
      <c r="B85" s="48" t="s">
        <v>158</v>
      </c>
      <c r="C85" s="112">
        <v>10</v>
      </c>
      <c r="D85" s="90">
        <v>7.5</v>
      </c>
      <c r="E85" s="134">
        <f t="shared" si="3"/>
        <v>75</v>
      </c>
    </row>
    <row r="86" spans="2:5" ht="15.75" thickBot="1">
      <c r="B86" s="51" t="s">
        <v>372</v>
      </c>
      <c r="C86" s="131">
        <v>6</v>
      </c>
      <c r="D86" s="138">
        <v>3.45</v>
      </c>
      <c r="E86" s="141">
        <f t="shared" si="3"/>
        <v>20.700000000000003</v>
      </c>
    </row>
    <row r="87" spans="2:5" ht="15.75" thickBot="1">
      <c r="B87" s="579" t="s">
        <v>9</v>
      </c>
      <c r="C87" s="579"/>
      <c r="D87" s="579"/>
      <c r="E87" s="142">
        <f>+SUM(E62:E86)</f>
        <v>1743.6500000000003</v>
      </c>
    </row>
    <row r="89" spans="2:5" ht="15.75" thickBot="1"/>
    <row r="90" spans="2:5" ht="15.75" thickBot="1">
      <c r="B90" s="576" t="s">
        <v>418</v>
      </c>
      <c r="C90" s="577"/>
      <c r="D90" s="577"/>
      <c r="E90" s="578"/>
    </row>
    <row r="91" spans="2:5" ht="15.75" thickBot="1">
      <c r="B91" s="230" t="s">
        <v>99</v>
      </c>
      <c r="C91" s="230" t="s">
        <v>202</v>
      </c>
      <c r="D91" s="230" t="s">
        <v>100</v>
      </c>
      <c r="E91" s="230" t="s">
        <v>80</v>
      </c>
    </row>
    <row r="92" spans="2:5">
      <c r="B92" s="57" t="s">
        <v>159</v>
      </c>
      <c r="C92" s="130">
        <v>4</v>
      </c>
      <c r="D92" s="136">
        <v>3.94</v>
      </c>
      <c r="E92" s="137">
        <f t="shared" ref="E92:E103" si="4">+C92*D92</f>
        <v>15.76</v>
      </c>
    </row>
    <row r="93" spans="2:5">
      <c r="B93" s="50" t="s">
        <v>160</v>
      </c>
      <c r="C93" s="75">
        <v>10</v>
      </c>
      <c r="D93" s="114">
        <v>3.44</v>
      </c>
      <c r="E93" s="134">
        <f t="shared" si="4"/>
        <v>34.4</v>
      </c>
    </row>
    <row r="94" spans="2:5">
      <c r="B94" s="50" t="s">
        <v>161</v>
      </c>
      <c r="C94" s="75">
        <v>40</v>
      </c>
      <c r="D94" s="46">
        <v>0.99</v>
      </c>
      <c r="E94" s="134">
        <f t="shared" si="4"/>
        <v>39.6</v>
      </c>
    </row>
    <row r="95" spans="2:5">
      <c r="B95" s="50" t="s">
        <v>162</v>
      </c>
      <c r="C95" s="75">
        <v>40</v>
      </c>
      <c r="D95" s="46">
        <v>3.99</v>
      </c>
      <c r="E95" s="134">
        <f t="shared" si="4"/>
        <v>159.60000000000002</v>
      </c>
    </row>
    <row r="96" spans="2:5">
      <c r="B96" s="50" t="s">
        <v>163</v>
      </c>
      <c r="C96" s="75">
        <v>6</v>
      </c>
      <c r="D96" s="46">
        <v>12.68</v>
      </c>
      <c r="E96" s="134">
        <f t="shared" si="4"/>
        <v>76.08</v>
      </c>
    </row>
    <row r="97" spans="2:7">
      <c r="B97" s="48" t="s">
        <v>164</v>
      </c>
      <c r="C97" s="112">
        <v>2</v>
      </c>
      <c r="D97" s="90">
        <v>219.99</v>
      </c>
      <c r="E97" s="134">
        <f t="shared" si="4"/>
        <v>439.98</v>
      </c>
    </row>
    <row r="98" spans="2:7">
      <c r="B98" s="48" t="s">
        <v>165</v>
      </c>
      <c r="C98" s="112">
        <v>4</v>
      </c>
      <c r="D98" s="90">
        <v>11.8</v>
      </c>
      <c r="E98" s="134">
        <f t="shared" si="4"/>
        <v>47.2</v>
      </c>
    </row>
    <row r="99" spans="2:7">
      <c r="B99" s="48" t="s">
        <v>166</v>
      </c>
      <c r="C99" s="75">
        <v>4</v>
      </c>
      <c r="D99" s="46">
        <v>23</v>
      </c>
      <c r="E99" s="134">
        <f t="shared" si="4"/>
        <v>92</v>
      </c>
    </row>
    <row r="100" spans="2:7">
      <c r="B100" s="48" t="s">
        <v>373</v>
      </c>
      <c r="C100" s="75">
        <v>10</v>
      </c>
      <c r="D100" s="46">
        <v>3.5</v>
      </c>
      <c r="E100" s="134">
        <f t="shared" si="4"/>
        <v>35</v>
      </c>
    </row>
    <row r="101" spans="2:7">
      <c r="B101" s="48" t="s">
        <v>168</v>
      </c>
      <c r="C101" s="75">
        <v>1</v>
      </c>
      <c r="D101" s="46">
        <v>200</v>
      </c>
      <c r="E101" s="134">
        <f t="shared" si="4"/>
        <v>200</v>
      </c>
    </row>
    <row r="102" spans="2:7">
      <c r="B102" s="48" t="s">
        <v>169</v>
      </c>
      <c r="C102" s="75">
        <v>5</v>
      </c>
      <c r="D102" s="46">
        <v>22.8</v>
      </c>
      <c r="E102" s="134">
        <f t="shared" si="4"/>
        <v>114</v>
      </c>
    </row>
    <row r="103" spans="2:7" ht="15.75" thickBot="1">
      <c r="B103" s="51" t="s">
        <v>170</v>
      </c>
      <c r="C103" s="127">
        <v>1</v>
      </c>
      <c r="D103" s="99">
        <v>120</v>
      </c>
      <c r="E103" s="141">
        <f t="shared" si="4"/>
        <v>120</v>
      </c>
      <c r="G103" s="261" t="s">
        <v>363</v>
      </c>
    </row>
    <row r="104" spans="2:7" ht="15.75" thickBot="1">
      <c r="B104" s="579" t="s">
        <v>9</v>
      </c>
      <c r="C104" s="579"/>
      <c r="D104" s="579"/>
      <c r="E104" s="140">
        <f>+SUM(E92:E103)</f>
        <v>1373.6200000000001</v>
      </c>
      <c r="G104" s="260">
        <f xml:space="preserve"> SUM(E22,E35,E87,E104,E58)</f>
        <v>11912.77</v>
      </c>
    </row>
    <row r="118" spans="2:5">
      <c r="B118" s="30"/>
      <c r="C118" s="30"/>
      <c r="D118" s="30"/>
      <c r="E118" s="30"/>
    </row>
    <row r="119" spans="2:5">
      <c r="B119" s="30"/>
      <c r="C119" s="30"/>
      <c r="D119" s="30"/>
      <c r="E119" s="178"/>
    </row>
    <row r="120" spans="2:5">
      <c r="E120" s="209"/>
    </row>
  </sheetData>
  <mergeCells count="11">
    <mergeCell ref="B90:E90"/>
    <mergeCell ref="B104:D104"/>
    <mergeCell ref="B22:D22"/>
    <mergeCell ref="B35:D35"/>
    <mergeCell ref="B58:D58"/>
    <mergeCell ref="B87:D87"/>
    <mergeCell ref="G27:H27"/>
    <mergeCell ref="B5:E5"/>
    <mergeCell ref="B60:E60"/>
    <mergeCell ref="B24:E24"/>
    <mergeCell ref="B37:E3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B3:H107"/>
  <sheetViews>
    <sheetView zoomScale="115" zoomScaleNormal="115" workbookViewId="0">
      <selection activeCell="I15" sqref="I15"/>
    </sheetView>
  </sheetViews>
  <sheetFormatPr baseColWidth="10" defaultRowHeight="15"/>
  <cols>
    <col min="2" max="2" width="44.85546875" bestFit="1" customWidth="1"/>
    <col min="4" max="4" width="16.7109375" customWidth="1"/>
    <col min="5" max="5" width="9.7109375" customWidth="1"/>
    <col min="8" max="8" width="12.140625" bestFit="1" customWidth="1"/>
  </cols>
  <sheetData>
    <row r="3" spans="2:8" ht="15.75" thickBot="1"/>
    <row r="4" spans="2:8" ht="15" customHeight="1">
      <c r="B4" s="601" t="s">
        <v>99</v>
      </c>
      <c r="C4" s="603" t="s">
        <v>80</v>
      </c>
      <c r="D4" s="605" t="s">
        <v>375</v>
      </c>
      <c r="E4" s="587" t="s">
        <v>376</v>
      </c>
      <c r="G4" s="591" t="s">
        <v>377</v>
      </c>
      <c r="H4" s="592"/>
    </row>
    <row r="5" spans="2:8" s="30" customFormat="1" ht="15.75" thickBot="1">
      <c r="B5" s="602"/>
      <c r="C5" s="604"/>
      <c r="D5" s="606"/>
      <c r="E5" s="588"/>
      <c r="G5" s="50" t="s">
        <v>381</v>
      </c>
      <c r="H5" s="124">
        <f>+(E73+E71)*2</f>
        <v>536.70000000000005</v>
      </c>
    </row>
    <row r="6" spans="2:8">
      <c r="B6" s="276" t="s">
        <v>101</v>
      </c>
      <c r="C6" s="280">
        <v>239.88</v>
      </c>
      <c r="D6" s="281">
        <v>6</v>
      </c>
      <c r="E6" s="282">
        <f>+C6/D6</f>
        <v>39.979999999999997</v>
      </c>
      <c r="G6" s="50" t="s">
        <v>382</v>
      </c>
      <c r="H6" s="124">
        <f>+C46+C47+C75</f>
        <v>474.59999999999997</v>
      </c>
    </row>
    <row r="7" spans="2:8">
      <c r="B7" s="274" t="s">
        <v>102</v>
      </c>
      <c r="C7" s="283">
        <v>399.3</v>
      </c>
      <c r="D7" s="219">
        <v>36</v>
      </c>
      <c r="E7" s="284">
        <f t="shared" ref="E7:E20" si="0">+C7/D7</f>
        <v>11.091666666666667</v>
      </c>
      <c r="G7" s="50" t="s">
        <v>378</v>
      </c>
      <c r="H7" s="124">
        <f>+C6+C14+C15+C16+C17+C19+C41+C42+C44+C45+C49+C50+C52+C53+C56+C58+C59+C78+C79+C99</f>
        <v>1818</v>
      </c>
    </row>
    <row r="8" spans="2:8">
      <c r="B8" s="274" t="s">
        <v>103</v>
      </c>
      <c r="C8" s="283">
        <v>276.32</v>
      </c>
      <c r="D8" s="219">
        <v>24</v>
      </c>
      <c r="E8" s="284">
        <f t="shared" si="0"/>
        <v>11.513333333333334</v>
      </c>
      <c r="G8" s="50" t="s">
        <v>379</v>
      </c>
      <c r="H8" s="124">
        <f>+C10+C11+C12+C20+C54+C55+C57+C69+C84+C85</f>
        <v>858.99999999999989</v>
      </c>
    </row>
    <row r="9" spans="2:8">
      <c r="B9" s="274" t="s">
        <v>374</v>
      </c>
      <c r="C9" s="283">
        <v>296.32</v>
      </c>
      <c r="D9" s="219">
        <v>24</v>
      </c>
      <c r="E9" s="284">
        <f t="shared" si="0"/>
        <v>12.346666666666666</v>
      </c>
      <c r="G9" s="50" t="s">
        <v>380</v>
      </c>
      <c r="H9" s="124">
        <f>+C88</f>
        <v>75</v>
      </c>
    </row>
    <row r="10" spans="2:8">
      <c r="B10" s="274" t="s">
        <v>190</v>
      </c>
      <c r="C10" s="283">
        <v>130.39999999999998</v>
      </c>
      <c r="D10" s="219">
        <v>8</v>
      </c>
      <c r="E10" s="284">
        <f t="shared" si="0"/>
        <v>16.299999999999997</v>
      </c>
      <c r="G10" s="50" t="s">
        <v>383</v>
      </c>
      <c r="H10" s="124">
        <f>+C43+C81+C83+C86+C87+C89+C95+C96+C97+C98+C102+C106</f>
        <v>886.64</v>
      </c>
    </row>
    <row r="11" spans="2:8">
      <c r="B11" s="274" t="s">
        <v>361</v>
      </c>
      <c r="C11" s="283">
        <v>173.6</v>
      </c>
      <c r="D11" s="219">
        <v>8</v>
      </c>
      <c r="E11" s="284">
        <f t="shared" si="0"/>
        <v>21.7</v>
      </c>
      <c r="G11" s="50" t="s">
        <v>384</v>
      </c>
      <c r="H11" s="124">
        <f>+C8+C9+C13+C18+C48+C51+C65+C68+C82+C101+C103</f>
        <v>2402.4500000000003</v>
      </c>
    </row>
    <row r="12" spans="2:8">
      <c r="B12" s="274" t="s">
        <v>362</v>
      </c>
      <c r="C12" s="283">
        <v>231.29999999999998</v>
      </c>
      <c r="D12" s="219">
        <v>8</v>
      </c>
      <c r="E12" s="284">
        <f t="shared" si="0"/>
        <v>28.912499999999998</v>
      </c>
      <c r="G12" s="50" t="s">
        <v>385</v>
      </c>
      <c r="H12" s="124">
        <f>+C7+C28+C31+C66+C67+C80+C105</f>
        <v>1715.3</v>
      </c>
    </row>
    <row r="13" spans="2:8">
      <c r="B13" s="274" t="s">
        <v>104</v>
      </c>
      <c r="C13" s="283">
        <v>1224.52</v>
      </c>
      <c r="D13" s="219">
        <v>24</v>
      </c>
      <c r="E13" s="284">
        <f t="shared" si="0"/>
        <v>51.021666666666668</v>
      </c>
      <c r="G13" s="50" t="s">
        <v>386</v>
      </c>
      <c r="H13" s="124">
        <f>+C27+C30+C32+C77+C104</f>
        <v>1766.9600000000003</v>
      </c>
    </row>
    <row r="14" spans="2:8" ht="15.75" thickBot="1">
      <c r="B14" s="277" t="s">
        <v>105</v>
      </c>
      <c r="C14" s="283">
        <v>99.98</v>
      </c>
      <c r="D14" s="219">
        <v>6</v>
      </c>
      <c r="E14" s="284">
        <f t="shared" si="0"/>
        <v>16.663333333333334</v>
      </c>
      <c r="G14" s="270" t="s">
        <v>387</v>
      </c>
      <c r="H14" s="275">
        <f>+C26+C29+C33+C34+C35+C70+C72+C74+C100+C76</f>
        <v>4304.9400000000005</v>
      </c>
    </row>
    <row r="15" spans="2:8" ht="15.75" thickBot="1">
      <c r="B15" s="277" t="s">
        <v>106</v>
      </c>
      <c r="C15" s="283">
        <v>40.4</v>
      </c>
      <c r="D15" s="219">
        <v>6</v>
      </c>
      <c r="E15" s="284">
        <f t="shared" si="0"/>
        <v>6.7333333333333334</v>
      </c>
      <c r="G15" s="423" t="s">
        <v>9</v>
      </c>
      <c r="H15" s="128">
        <f>SUM(H5:H14)</f>
        <v>14839.590000000002</v>
      </c>
    </row>
    <row r="16" spans="2:8">
      <c r="B16" s="277" t="s">
        <v>107</v>
      </c>
      <c r="C16" s="285">
        <v>269.96999999999997</v>
      </c>
      <c r="D16" s="219">
        <v>6</v>
      </c>
      <c r="E16" s="284">
        <f t="shared" si="0"/>
        <v>44.994999999999997</v>
      </c>
    </row>
    <row r="17" spans="2:5">
      <c r="B17" s="277" t="s">
        <v>108</v>
      </c>
      <c r="C17" s="285">
        <v>286.76</v>
      </c>
      <c r="D17" s="219">
        <v>6</v>
      </c>
      <c r="E17" s="284">
        <f t="shared" si="0"/>
        <v>47.793333333333329</v>
      </c>
    </row>
    <row r="18" spans="2:5">
      <c r="B18" s="277" t="s">
        <v>109</v>
      </c>
      <c r="C18" s="285">
        <v>94.08</v>
      </c>
      <c r="D18" s="219">
        <v>24</v>
      </c>
      <c r="E18" s="284">
        <f t="shared" si="0"/>
        <v>3.92</v>
      </c>
    </row>
    <row r="19" spans="2:5">
      <c r="B19" s="277" t="s">
        <v>110</v>
      </c>
      <c r="C19" s="285">
        <v>43.2</v>
      </c>
      <c r="D19" s="219">
        <v>6</v>
      </c>
      <c r="E19" s="284">
        <f t="shared" si="0"/>
        <v>7.2</v>
      </c>
    </row>
    <row r="20" spans="2:5" ht="15.75" thickBot="1">
      <c r="B20" s="278" t="s">
        <v>111</v>
      </c>
      <c r="C20" s="286">
        <v>91.96</v>
      </c>
      <c r="D20" s="287">
        <v>8</v>
      </c>
      <c r="E20" s="288">
        <f t="shared" si="0"/>
        <v>11.494999999999999</v>
      </c>
    </row>
    <row r="21" spans="2:5" ht="15.75" thickBot="1">
      <c r="B21" s="330" t="s">
        <v>9</v>
      </c>
      <c r="C21" s="303">
        <f>SUM(C6:C20)</f>
        <v>3897.9899999999989</v>
      </c>
      <c r="D21" s="7"/>
      <c r="E21" s="289">
        <f>SUM(E6:E20)</f>
        <v>331.66583333333335</v>
      </c>
    </row>
    <row r="23" spans="2:5" ht="15.75" thickBot="1"/>
    <row r="24" spans="2:5" ht="15" customHeight="1">
      <c r="B24" s="601" t="s">
        <v>99</v>
      </c>
      <c r="C24" s="595" t="s">
        <v>80</v>
      </c>
      <c r="D24" s="599" t="s">
        <v>375</v>
      </c>
      <c r="E24" s="587" t="s">
        <v>376</v>
      </c>
    </row>
    <row r="25" spans="2:5" s="30" customFormat="1" ht="15.75" thickBot="1">
      <c r="B25" s="602"/>
      <c r="C25" s="596"/>
      <c r="D25" s="600"/>
      <c r="E25" s="588"/>
    </row>
    <row r="26" spans="2:5">
      <c r="B26" s="325" t="s">
        <v>112</v>
      </c>
      <c r="C26" s="327">
        <v>807</v>
      </c>
      <c r="D26" s="58">
        <v>60</v>
      </c>
      <c r="E26" s="282">
        <f>+C26/D26</f>
        <v>13.45</v>
      </c>
    </row>
    <row r="27" spans="2:5">
      <c r="B27" s="50" t="s">
        <v>113</v>
      </c>
      <c r="C27" s="283">
        <v>719.88</v>
      </c>
      <c r="D27" s="219">
        <v>48</v>
      </c>
      <c r="E27" s="284">
        <f t="shared" ref="E27:E59" si="1">+C27/D27</f>
        <v>14.9975</v>
      </c>
    </row>
    <row r="28" spans="2:5">
      <c r="B28" s="50" t="s">
        <v>114</v>
      </c>
      <c r="C28" s="283">
        <v>419.93999999999994</v>
      </c>
      <c r="D28" s="219">
        <v>36</v>
      </c>
      <c r="E28" s="284">
        <f t="shared" si="1"/>
        <v>11.664999999999999</v>
      </c>
    </row>
    <row r="29" spans="2:5">
      <c r="B29" s="50" t="s">
        <v>359</v>
      </c>
      <c r="C29" s="283">
        <v>799.96</v>
      </c>
      <c r="D29" s="160">
        <v>60</v>
      </c>
      <c r="E29" s="284">
        <f t="shared" si="1"/>
        <v>13.332666666666666</v>
      </c>
    </row>
    <row r="30" spans="2:5">
      <c r="B30" s="50" t="s">
        <v>115</v>
      </c>
      <c r="C30" s="283">
        <v>576.48</v>
      </c>
      <c r="D30" s="160">
        <v>48</v>
      </c>
      <c r="E30" s="284">
        <f t="shared" si="1"/>
        <v>12.01</v>
      </c>
    </row>
    <row r="31" spans="2:5">
      <c r="B31" s="50" t="s">
        <v>116</v>
      </c>
      <c r="C31" s="283">
        <v>559.91999999999996</v>
      </c>
      <c r="D31" s="160">
        <v>36</v>
      </c>
      <c r="E31" s="284">
        <f t="shared" si="1"/>
        <v>15.553333333333333</v>
      </c>
    </row>
    <row r="32" spans="2:5">
      <c r="B32" s="50" t="s">
        <v>117</v>
      </c>
      <c r="C32" s="283">
        <v>97.199999999999989</v>
      </c>
      <c r="D32" s="160">
        <v>48</v>
      </c>
      <c r="E32" s="284">
        <f t="shared" si="1"/>
        <v>2.0249999999999999</v>
      </c>
    </row>
    <row r="33" spans="2:5">
      <c r="B33" s="50" t="s">
        <v>368</v>
      </c>
      <c r="C33" s="283">
        <v>800</v>
      </c>
      <c r="D33" s="160">
        <v>60</v>
      </c>
      <c r="E33" s="284">
        <f t="shared" si="1"/>
        <v>13.333333333333334</v>
      </c>
    </row>
    <row r="34" spans="2:5">
      <c r="B34" s="50" t="s">
        <v>171</v>
      </c>
      <c r="C34" s="283">
        <v>400</v>
      </c>
      <c r="D34" s="160">
        <v>60</v>
      </c>
      <c r="E34" s="284">
        <f t="shared" si="1"/>
        <v>6.666666666666667</v>
      </c>
    </row>
    <row r="35" spans="2:5" ht="15.75" thickBot="1">
      <c r="B35" s="270" t="s">
        <v>360</v>
      </c>
      <c r="C35" s="292">
        <v>660</v>
      </c>
      <c r="D35" s="328">
        <v>60</v>
      </c>
      <c r="E35" s="288">
        <f t="shared" si="1"/>
        <v>11</v>
      </c>
    </row>
    <row r="36" spans="2:5" ht="15.75" thickBot="1">
      <c r="B36" s="322" t="s">
        <v>9</v>
      </c>
      <c r="C36" s="329">
        <v>5840.38</v>
      </c>
      <c r="D36" s="7"/>
      <c r="E36" s="327">
        <f>SUM(E26:E35)</f>
        <v>114.0335</v>
      </c>
    </row>
    <row r="37" spans="2:5" s="30" customFormat="1">
      <c r="C37" s="111"/>
      <c r="D37" s="9"/>
      <c r="E37" s="111"/>
    </row>
    <row r="38" spans="2:5" ht="15.75" thickBot="1">
      <c r="E38" s="111"/>
    </row>
    <row r="39" spans="2:5" ht="15" customHeight="1">
      <c r="B39" s="593" t="s">
        <v>99</v>
      </c>
      <c r="C39" s="595" t="s">
        <v>80</v>
      </c>
      <c r="D39" s="599" t="s">
        <v>375</v>
      </c>
      <c r="E39" s="587" t="s">
        <v>376</v>
      </c>
    </row>
    <row r="40" spans="2:5" s="30" customFormat="1" ht="15.75" thickBot="1">
      <c r="B40" s="594"/>
      <c r="C40" s="596"/>
      <c r="D40" s="600"/>
      <c r="E40" s="588"/>
    </row>
    <row r="41" spans="2:5">
      <c r="B41" s="268" t="s">
        <v>118</v>
      </c>
      <c r="C41" s="280">
        <v>70.88</v>
      </c>
      <c r="D41" s="291">
        <v>6</v>
      </c>
      <c r="E41" s="282">
        <f>+C41/D41</f>
        <v>11.813333333333333</v>
      </c>
    </row>
    <row r="42" spans="2:5">
      <c r="B42" s="50" t="s">
        <v>119</v>
      </c>
      <c r="C42" s="283">
        <v>205.10000000000002</v>
      </c>
      <c r="D42" s="68">
        <v>6</v>
      </c>
      <c r="E42" s="284">
        <f t="shared" si="1"/>
        <v>34.183333333333337</v>
      </c>
    </row>
    <row r="43" spans="2:5">
      <c r="B43" s="50" t="s">
        <v>120</v>
      </c>
      <c r="C43" s="283">
        <v>91.38</v>
      </c>
      <c r="D43" s="68">
        <v>12</v>
      </c>
      <c r="E43" s="284">
        <f t="shared" si="1"/>
        <v>7.6149999999999993</v>
      </c>
    </row>
    <row r="44" spans="2:5">
      <c r="B44" s="50" t="s">
        <v>121</v>
      </c>
      <c r="C44" s="283">
        <v>44.52</v>
      </c>
      <c r="D44" s="68">
        <v>6</v>
      </c>
      <c r="E44" s="284">
        <f t="shared" si="1"/>
        <v>7.4200000000000008</v>
      </c>
    </row>
    <row r="45" spans="2:5">
      <c r="B45" s="50" t="s">
        <v>122</v>
      </c>
      <c r="C45" s="283">
        <v>77.699999999999989</v>
      </c>
      <c r="D45" s="68">
        <v>6</v>
      </c>
      <c r="E45" s="284">
        <f t="shared" si="1"/>
        <v>12.949999999999998</v>
      </c>
    </row>
    <row r="46" spans="2:5">
      <c r="B46" s="50" t="s">
        <v>123</v>
      </c>
      <c r="C46" s="283">
        <v>149.94999999999999</v>
      </c>
      <c r="D46" s="68">
        <v>3</v>
      </c>
      <c r="E46" s="284">
        <f t="shared" si="1"/>
        <v>49.983333333333327</v>
      </c>
    </row>
    <row r="47" spans="2:5">
      <c r="B47" s="50" t="s">
        <v>124</v>
      </c>
      <c r="C47" s="283">
        <v>62.649999999999991</v>
      </c>
      <c r="D47" s="68">
        <v>3</v>
      </c>
      <c r="E47" s="284">
        <f t="shared" si="1"/>
        <v>20.883333333333329</v>
      </c>
    </row>
    <row r="48" spans="2:5">
      <c r="B48" s="50" t="s">
        <v>125</v>
      </c>
      <c r="C48" s="283">
        <v>245.55</v>
      </c>
      <c r="D48" s="68">
        <v>24</v>
      </c>
      <c r="E48" s="284">
        <f t="shared" si="1"/>
        <v>10.231250000000001</v>
      </c>
    </row>
    <row r="49" spans="2:8">
      <c r="B49" s="50" t="s">
        <v>126</v>
      </c>
      <c r="C49" s="283">
        <v>11.200000000000001</v>
      </c>
      <c r="D49" s="68">
        <v>6</v>
      </c>
      <c r="E49" s="284">
        <f t="shared" si="1"/>
        <v>1.8666666666666669</v>
      </c>
    </row>
    <row r="50" spans="2:8">
      <c r="B50" s="50" t="s">
        <v>127</v>
      </c>
      <c r="C50" s="283">
        <v>10.74</v>
      </c>
      <c r="D50" s="68">
        <v>6</v>
      </c>
      <c r="E50" s="290">
        <f t="shared" si="1"/>
        <v>1.79</v>
      </c>
    </row>
    <row r="51" spans="2:8">
      <c r="B51" s="50" t="s">
        <v>128</v>
      </c>
      <c r="C51" s="283">
        <v>100</v>
      </c>
      <c r="D51" s="68">
        <v>24</v>
      </c>
      <c r="E51" s="284">
        <f t="shared" si="1"/>
        <v>4.166666666666667</v>
      </c>
    </row>
    <row r="52" spans="2:8">
      <c r="B52" s="50" t="s">
        <v>370</v>
      </c>
      <c r="C52" s="283">
        <v>38.840000000000003</v>
      </c>
      <c r="D52" s="68">
        <v>6</v>
      </c>
      <c r="E52" s="284">
        <f t="shared" si="1"/>
        <v>6.4733333333333336</v>
      </c>
    </row>
    <row r="53" spans="2:8">
      <c r="B53" s="50" t="s">
        <v>130</v>
      </c>
      <c r="C53" s="283">
        <v>35.840000000000003</v>
      </c>
      <c r="D53" s="68">
        <v>6</v>
      </c>
      <c r="E53" s="284">
        <f t="shared" si="1"/>
        <v>5.9733333333333336</v>
      </c>
      <c r="H53" s="178"/>
    </row>
    <row r="54" spans="2:8">
      <c r="B54" s="50" t="s">
        <v>131</v>
      </c>
      <c r="C54" s="283">
        <v>49.86</v>
      </c>
      <c r="D54" s="68">
        <v>8</v>
      </c>
      <c r="E54" s="284">
        <f t="shared" si="1"/>
        <v>6.2324999999999999</v>
      </c>
    </row>
    <row r="55" spans="2:8">
      <c r="B55" s="50" t="s">
        <v>132</v>
      </c>
      <c r="C55" s="283">
        <v>16.799999999999997</v>
      </c>
      <c r="D55" s="68">
        <v>8</v>
      </c>
      <c r="E55" s="290">
        <f t="shared" si="1"/>
        <v>2.0999999999999996</v>
      </c>
    </row>
    <row r="56" spans="2:8">
      <c r="B56" s="50" t="s">
        <v>133</v>
      </c>
      <c r="C56" s="283">
        <v>67.2</v>
      </c>
      <c r="D56" s="68">
        <v>6</v>
      </c>
      <c r="E56" s="284">
        <f t="shared" si="1"/>
        <v>11.200000000000001</v>
      </c>
      <c r="H56" s="178"/>
    </row>
    <row r="57" spans="2:8">
      <c r="B57" s="50" t="s">
        <v>134</v>
      </c>
      <c r="C57" s="283">
        <v>124.96</v>
      </c>
      <c r="D57" s="68">
        <v>8</v>
      </c>
      <c r="E57" s="284">
        <f t="shared" si="1"/>
        <v>15.62</v>
      </c>
    </row>
    <row r="58" spans="2:8">
      <c r="B58" s="50" t="s">
        <v>135</v>
      </c>
      <c r="C58" s="283">
        <v>52.44</v>
      </c>
      <c r="D58" s="68">
        <v>6</v>
      </c>
      <c r="E58" s="284">
        <f t="shared" si="1"/>
        <v>8.74</v>
      </c>
    </row>
    <row r="59" spans="2:8" ht="15.75" thickBot="1">
      <c r="B59" s="270" t="s">
        <v>136</v>
      </c>
      <c r="C59" s="292">
        <v>21.12</v>
      </c>
      <c r="D59" s="293">
        <v>6</v>
      </c>
      <c r="E59" s="284">
        <f t="shared" si="1"/>
        <v>3.52</v>
      </c>
    </row>
    <row r="60" spans="2:8" ht="15.75" thickBot="1">
      <c r="B60" s="331" t="s">
        <v>9</v>
      </c>
      <c r="C60" s="304">
        <v>1503.5799999999997</v>
      </c>
      <c r="D60" s="218"/>
      <c r="E60" s="294">
        <f>SUM(E41:E59)</f>
        <v>222.76208333333329</v>
      </c>
    </row>
    <row r="62" spans="2:8" ht="15.75" thickBot="1"/>
    <row r="63" spans="2:8" ht="15" customHeight="1">
      <c r="B63" s="593" t="s">
        <v>99</v>
      </c>
      <c r="C63" s="595" t="s">
        <v>80</v>
      </c>
      <c r="D63" s="597" t="s">
        <v>375</v>
      </c>
      <c r="E63" s="589" t="s">
        <v>376</v>
      </c>
    </row>
    <row r="64" spans="2:8" ht="15.75" thickBot="1">
      <c r="B64" s="594"/>
      <c r="C64" s="596"/>
      <c r="D64" s="598"/>
      <c r="E64" s="590"/>
    </row>
    <row r="65" spans="2:7">
      <c r="B65" s="271" t="s">
        <v>137</v>
      </c>
      <c r="C65" s="280">
        <v>9.8999999999999986</v>
      </c>
      <c r="D65" s="291">
        <v>24</v>
      </c>
      <c r="E65" s="282">
        <f>+C65/D65</f>
        <v>0.41249999999999992</v>
      </c>
    </row>
    <row r="66" spans="2:7">
      <c r="B66" s="50" t="s">
        <v>189</v>
      </c>
      <c r="C66" s="283">
        <v>6.2</v>
      </c>
      <c r="D66" s="68">
        <v>36</v>
      </c>
      <c r="E66" s="284">
        <f t="shared" ref="E66:E89" si="2">+C66/D66</f>
        <v>0.17222222222222222</v>
      </c>
    </row>
    <row r="67" spans="2:7">
      <c r="B67" s="50" t="s">
        <v>138</v>
      </c>
      <c r="C67" s="283">
        <v>59.94</v>
      </c>
      <c r="D67" s="68">
        <v>36</v>
      </c>
      <c r="E67" s="284">
        <f t="shared" si="2"/>
        <v>1.665</v>
      </c>
      <c r="G67" s="178"/>
    </row>
    <row r="68" spans="2:7">
      <c r="B68" s="50" t="s">
        <v>139</v>
      </c>
      <c r="C68" s="283">
        <v>29.8</v>
      </c>
      <c r="D68" s="68">
        <v>24</v>
      </c>
      <c r="E68" s="284">
        <f t="shared" si="2"/>
        <v>1.2416666666666667</v>
      </c>
    </row>
    <row r="69" spans="2:7">
      <c r="B69" s="50" t="s">
        <v>140</v>
      </c>
      <c r="C69" s="283">
        <v>0.64</v>
      </c>
      <c r="D69" s="68">
        <v>8</v>
      </c>
      <c r="E69" s="284">
        <f t="shared" si="2"/>
        <v>0.08</v>
      </c>
    </row>
    <row r="70" spans="2:7">
      <c r="B70" s="50" t="s">
        <v>141</v>
      </c>
      <c r="C70" s="283">
        <v>30</v>
      </c>
      <c r="D70" s="68">
        <v>60</v>
      </c>
      <c r="E70" s="284">
        <f t="shared" si="2"/>
        <v>0.5</v>
      </c>
    </row>
    <row r="71" spans="2:7">
      <c r="B71" s="50" t="s">
        <v>142</v>
      </c>
      <c r="C71" s="283">
        <v>11.7</v>
      </c>
      <c r="D71" s="68">
        <v>2</v>
      </c>
      <c r="E71" s="284">
        <f t="shared" si="2"/>
        <v>5.85</v>
      </c>
    </row>
    <row r="72" spans="2:7">
      <c r="B72" s="50" t="s">
        <v>143</v>
      </c>
      <c r="C72" s="283">
        <v>44</v>
      </c>
      <c r="D72" s="68">
        <v>60</v>
      </c>
      <c r="E72" s="284">
        <f t="shared" si="2"/>
        <v>0.73333333333333328</v>
      </c>
    </row>
    <row r="73" spans="2:7">
      <c r="B73" s="50" t="s">
        <v>144</v>
      </c>
      <c r="C73" s="283">
        <v>525</v>
      </c>
      <c r="D73" s="68">
        <v>2</v>
      </c>
      <c r="E73" s="284">
        <f t="shared" si="2"/>
        <v>262.5</v>
      </c>
    </row>
    <row r="74" spans="2:7">
      <c r="B74" s="50" t="s">
        <v>145</v>
      </c>
      <c r="C74" s="283">
        <v>44</v>
      </c>
      <c r="D74" s="68">
        <v>60</v>
      </c>
      <c r="E74" s="290">
        <f t="shared" si="2"/>
        <v>0.73333333333333328</v>
      </c>
    </row>
    <row r="75" spans="2:7">
      <c r="B75" s="50" t="s">
        <v>146</v>
      </c>
      <c r="C75" s="283">
        <v>262</v>
      </c>
      <c r="D75" s="68">
        <v>3</v>
      </c>
      <c r="E75" s="284">
        <f t="shared" si="2"/>
        <v>87.333333333333329</v>
      </c>
    </row>
    <row r="76" spans="2:7">
      <c r="B76" s="50" t="s">
        <v>147</v>
      </c>
      <c r="C76" s="283">
        <v>160</v>
      </c>
      <c r="D76" s="68">
        <v>60</v>
      </c>
      <c r="E76" s="284">
        <f t="shared" si="2"/>
        <v>2.6666666666666665</v>
      </c>
    </row>
    <row r="77" spans="2:7">
      <c r="B77" s="48" t="s">
        <v>148</v>
      </c>
      <c r="C77" s="283">
        <v>23.4</v>
      </c>
      <c r="D77" s="68">
        <v>48</v>
      </c>
      <c r="E77" s="290">
        <f t="shared" si="2"/>
        <v>0.48749999999999999</v>
      </c>
    </row>
    <row r="78" spans="2:7">
      <c r="B78" s="48" t="s">
        <v>149</v>
      </c>
      <c r="C78" s="283">
        <v>108</v>
      </c>
      <c r="D78" s="68">
        <v>6</v>
      </c>
      <c r="E78" s="284">
        <f t="shared" si="2"/>
        <v>18</v>
      </c>
    </row>
    <row r="79" spans="2:7">
      <c r="B79" s="48" t="s">
        <v>187</v>
      </c>
      <c r="C79" s="283">
        <v>18.149999999999999</v>
      </c>
      <c r="D79" s="68">
        <v>6</v>
      </c>
      <c r="E79" s="284">
        <f t="shared" si="2"/>
        <v>3.0249999999999999</v>
      </c>
    </row>
    <row r="80" spans="2:7">
      <c r="B80" s="48" t="s">
        <v>150</v>
      </c>
      <c r="C80" s="283">
        <v>156</v>
      </c>
      <c r="D80" s="68">
        <v>36</v>
      </c>
      <c r="E80" s="290">
        <f t="shared" si="2"/>
        <v>4.333333333333333</v>
      </c>
    </row>
    <row r="81" spans="2:5">
      <c r="B81" s="48" t="s">
        <v>151</v>
      </c>
      <c r="C81" s="283">
        <v>48</v>
      </c>
      <c r="D81" s="68">
        <v>12</v>
      </c>
      <c r="E81" s="284">
        <f t="shared" si="2"/>
        <v>4</v>
      </c>
    </row>
    <row r="82" spans="2:5">
      <c r="B82" s="48" t="s">
        <v>152</v>
      </c>
      <c r="C82" s="283">
        <v>9</v>
      </c>
      <c r="D82" s="68">
        <v>24</v>
      </c>
      <c r="E82" s="284">
        <f t="shared" si="2"/>
        <v>0.375</v>
      </c>
    </row>
    <row r="83" spans="2:5">
      <c r="B83" s="48" t="s">
        <v>153</v>
      </c>
      <c r="C83" s="283">
        <v>19.200000000000003</v>
      </c>
      <c r="D83" s="68">
        <v>12</v>
      </c>
      <c r="E83" s="290">
        <f t="shared" si="2"/>
        <v>1.6000000000000003</v>
      </c>
    </row>
    <row r="84" spans="2:5">
      <c r="B84" s="48" t="s">
        <v>154</v>
      </c>
      <c r="C84" s="283">
        <v>7.0500000000000007</v>
      </c>
      <c r="D84" s="68">
        <v>8</v>
      </c>
      <c r="E84" s="284">
        <f t="shared" si="2"/>
        <v>0.88125000000000009</v>
      </c>
    </row>
    <row r="85" spans="2:5">
      <c r="B85" s="48" t="s">
        <v>155</v>
      </c>
      <c r="C85" s="283">
        <v>32.43</v>
      </c>
      <c r="D85" s="68">
        <v>8</v>
      </c>
      <c r="E85" s="284">
        <f t="shared" si="2"/>
        <v>4.05375</v>
      </c>
    </row>
    <row r="86" spans="2:5">
      <c r="B86" s="48" t="s">
        <v>156</v>
      </c>
      <c r="C86" s="283">
        <v>30</v>
      </c>
      <c r="D86" s="68">
        <v>12</v>
      </c>
      <c r="E86" s="290">
        <f t="shared" si="2"/>
        <v>2.5</v>
      </c>
    </row>
    <row r="87" spans="2:5">
      <c r="B87" s="48" t="s">
        <v>157</v>
      </c>
      <c r="C87" s="283">
        <v>216</v>
      </c>
      <c r="D87" s="68">
        <v>12</v>
      </c>
      <c r="E87" s="284">
        <f t="shared" si="2"/>
        <v>18</v>
      </c>
    </row>
    <row r="88" spans="2:5">
      <c r="B88" s="48" t="s">
        <v>158</v>
      </c>
      <c r="C88" s="283">
        <v>75</v>
      </c>
      <c r="D88" s="68">
        <v>10</v>
      </c>
      <c r="E88" s="284">
        <f t="shared" si="2"/>
        <v>7.5</v>
      </c>
    </row>
    <row r="89" spans="2:5" ht="15.75" thickBot="1">
      <c r="B89" s="272" t="s">
        <v>371</v>
      </c>
      <c r="C89" s="292">
        <v>20.700000000000003</v>
      </c>
      <c r="D89" s="293">
        <v>12</v>
      </c>
      <c r="E89" s="290">
        <f t="shared" si="2"/>
        <v>1.7250000000000003</v>
      </c>
    </row>
    <row r="90" spans="2:5" ht="15.75" thickBot="1">
      <c r="B90" s="296" t="s">
        <v>9</v>
      </c>
      <c r="C90" s="304">
        <f>SUM(C65:C89)</f>
        <v>1946.1100000000001</v>
      </c>
      <c r="D90" s="218"/>
      <c r="E90" s="294">
        <f>SUM(E65:E89)</f>
        <v>430.36888888888893</v>
      </c>
    </row>
    <row r="91" spans="2:5" s="30" customFormat="1"/>
    <row r="92" spans="2:5" ht="15.75" thickBot="1"/>
    <row r="93" spans="2:5" ht="15" customHeight="1">
      <c r="B93" s="593" t="s">
        <v>99</v>
      </c>
      <c r="C93" s="595" t="s">
        <v>80</v>
      </c>
      <c r="D93" s="597" t="s">
        <v>375</v>
      </c>
      <c r="E93" s="589" t="s">
        <v>376</v>
      </c>
    </row>
    <row r="94" spans="2:5" ht="15.75" thickBot="1">
      <c r="B94" s="594"/>
      <c r="C94" s="596"/>
      <c r="D94" s="598"/>
      <c r="E94" s="590"/>
    </row>
    <row r="95" spans="2:5">
      <c r="B95" s="271" t="s">
        <v>159</v>
      </c>
      <c r="C95" s="280">
        <v>15.76</v>
      </c>
      <c r="D95" s="291">
        <v>12</v>
      </c>
      <c r="E95" s="282">
        <f>+C95/D95</f>
        <v>1.3133333333333332</v>
      </c>
    </row>
    <row r="96" spans="2:5">
      <c r="B96" s="50" t="s">
        <v>160</v>
      </c>
      <c r="C96" s="283">
        <v>34.4</v>
      </c>
      <c r="D96" s="68">
        <v>12</v>
      </c>
      <c r="E96" s="284">
        <f t="shared" ref="E96:E106" si="3">+C96/D96</f>
        <v>2.8666666666666667</v>
      </c>
    </row>
    <row r="97" spans="2:5">
      <c r="B97" s="50" t="s">
        <v>161</v>
      </c>
      <c r="C97" s="283">
        <v>39.6</v>
      </c>
      <c r="D97" s="68">
        <v>12</v>
      </c>
      <c r="E97" s="284">
        <f t="shared" si="3"/>
        <v>3.3000000000000003</v>
      </c>
    </row>
    <row r="98" spans="2:5">
      <c r="B98" s="50" t="s">
        <v>162</v>
      </c>
      <c r="C98" s="283">
        <v>159.60000000000002</v>
      </c>
      <c r="D98" s="68">
        <v>12</v>
      </c>
      <c r="E98" s="284">
        <f t="shared" si="3"/>
        <v>13.300000000000002</v>
      </c>
    </row>
    <row r="99" spans="2:5">
      <c r="B99" s="50" t="s">
        <v>163</v>
      </c>
      <c r="C99" s="283">
        <v>76.08</v>
      </c>
      <c r="D99" s="68">
        <v>6</v>
      </c>
      <c r="E99" s="284">
        <f t="shared" si="3"/>
        <v>12.68</v>
      </c>
    </row>
    <row r="100" spans="2:5">
      <c r="B100" s="48" t="s">
        <v>164</v>
      </c>
      <c r="C100" s="283">
        <v>559.98</v>
      </c>
      <c r="D100" s="68">
        <v>60</v>
      </c>
      <c r="E100" s="284">
        <f t="shared" si="3"/>
        <v>9.3330000000000002</v>
      </c>
    </row>
    <row r="101" spans="2:5">
      <c r="B101" s="48" t="s">
        <v>165</v>
      </c>
      <c r="C101" s="283">
        <v>81.960000000000008</v>
      </c>
      <c r="D101" s="68">
        <v>24</v>
      </c>
      <c r="E101" s="284">
        <f t="shared" si="3"/>
        <v>3.4150000000000005</v>
      </c>
    </row>
    <row r="102" spans="2:5">
      <c r="B102" s="48" t="s">
        <v>166</v>
      </c>
      <c r="C102" s="283">
        <v>92</v>
      </c>
      <c r="D102" s="68">
        <v>12</v>
      </c>
      <c r="E102" s="284">
        <f t="shared" si="3"/>
        <v>7.666666666666667</v>
      </c>
    </row>
    <row r="103" spans="2:5">
      <c r="B103" s="48" t="s">
        <v>167</v>
      </c>
      <c r="C103" s="283">
        <v>35</v>
      </c>
      <c r="D103" s="68">
        <v>24</v>
      </c>
      <c r="E103" s="284">
        <f t="shared" si="3"/>
        <v>1.4583333333333333</v>
      </c>
    </row>
    <row r="104" spans="2:5">
      <c r="B104" s="48" t="s">
        <v>168</v>
      </c>
      <c r="C104" s="283">
        <v>350</v>
      </c>
      <c r="D104" s="68">
        <v>48</v>
      </c>
      <c r="E104" s="290">
        <f t="shared" si="3"/>
        <v>7.291666666666667</v>
      </c>
    </row>
    <row r="105" spans="2:5">
      <c r="B105" s="48" t="s">
        <v>169</v>
      </c>
      <c r="C105" s="283">
        <v>114</v>
      </c>
      <c r="D105" s="68">
        <v>36</v>
      </c>
      <c r="E105" s="284">
        <f t="shared" si="3"/>
        <v>3.1666666666666665</v>
      </c>
    </row>
    <row r="106" spans="2:5" ht="15.75" thickBot="1">
      <c r="B106" s="272" t="s">
        <v>170</v>
      </c>
      <c r="C106" s="292">
        <v>120</v>
      </c>
      <c r="D106" s="293">
        <v>12</v>
      </c>
      <c r="E106" s="284">
        <f t="shared" si="3"/>
        <v>10</v>
      </c>
    </row>
    <row r="107" spans="2:5" ht="15.75" thickBot="1">
      <c r="B107" s="296" t="s">
        <v>9</v>
      </c>
      <c r="C107" s="304">
        <f>SUM(C95:C106)</f>
        <v>1678.38</v>
      </c>
      <c r="D107" s="218"/>
      <c r="E107" s="294">
        <f>SUM(E95:E106)</f>
        <v>75.791333333333327</v>
      </c>
    </row>
  </sheetData>
  <mergeCells count="21">
    <mergeCell ref="C4:C5"/>
    <mergeCell ref="D4:D5"/>
    <mergeCell ref="E4:E5"/>
    <mergeCell ref="B24:B25"/>
    <mergeCell ref="E24:E25"/>
    <mergeCell ref="E39:E40"/>
    <mergeCell ref="E63:E64"/>
    <mergeCell ref="E93:E94"/>
    <mergeCell ref="G4:H4"/>
    <mergeCell ref="B63:B64"/>
    <mergeCell ref="C63:C64"/>
    <mergeCell ref="B93:B94"/>
    <mergeCell ref="C93:C94"/>
    <mergeCell ref="D63:D64"/>
    <mergeCell ref="D93:D94"/>
    <mergeCell ref="C24:C25"/>
    <mergeCell ref="B39:B40"/>
    <mergeCell ref="C39:C40"/>
    <mergeCell ref="D24:D25"/>
    <mergeCell ref="D39:D40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2:E26"/>
  <sheetViews>
    <sheetView showGridLines="0" workbookViewId="0">
      <selection activeCell="B2" sqref="B2:D12"/>
    </sheetView>
  </sheetViews>
  <sheetFormatPr baseColWidth="10" defaultRowHeight="15"/>
  <cols>
    <col min="1" max="1" width="20.5703125" customWidth="1"/>
    <col min="2" max="2" width="25.5703125" customWidth="1"/>
    <col min="3" max="3" width="20.42578125" customWidth="1"/>
    <col min="4" max="4" width="16.140625" customWidth="1"/>
  </cols>
  <sheetData>
    <row r="2" spans="2:5" ht="15.75" thickBot="1">
      <c r="B2" s="607" t="s">
        <v>193</v>
      </c>
      <c r="C2" s="607"/>
      <c r="D2" s="607"/>
      <c r="E2" s="143"/>
    </row>
    <row r="3" spans="2:5" ht="15.75" thickBot="1">
      <c r="B3" s="231" t="s">
        <v>181</v>
      </c>
      <c r="C3" s="231" t="s">
        <v>191</v>
      </c>
      <c r="D3" s="231" t="s">
        <v>192</v>
      </c>
      <c r="E3" s="9"/>
    </row>
    <row r="4" spans="2:5">
      <c r="B4" s="57" t="s">
        <v>194</v>
      </c>
      <c r="C4" s="264">
        <v>200</v>
      </c>
      <c r="D4" s="148">
        <f>C4*8</f>
        <v>1600</v>
      </c>
    </row>
    <row r="5" spans="2:5">
      <c r="B5" s="48" t="s">
        <v>195</v>
      </c>
      <c r="C5" s="265">
        <v>120</v>
      </c>
      <c r="D5" s="148">
        <f t="shared" ref="D5:D8" si="0">C5*8</f>
        <v>960</v>
      </c>
    </row>
    <row r="6" spans="2:5">
      <c r="B6" s="48" t="s">
        <v>62</v>
      </c>
      <c r="C6" s="76">
        <v>45</v>
      </c>
      <c r="D6" s="148">
        <f t="shared" si="0"/>
        <v>360</v>
      </c>
    </row>
    <row r="7" spans="2:5" s="30" customFormat="1">
      <c r="B7" s="48" t="s">
        <v>198</v>
      </c>
      <c r="C7" s="76">
        <v>48.94</v>
      </c>
      <c r="D7" s="148">
        <f t="shared" si="0"/>
        <v>391.52</v>
      </c>
    </row>
    <row r="8" spans="2:5">
      <c r="B8" s="48" t="s">
        <v>196</v>
      </c>
      <c r="C8" s="76">
        <v>27.89</v>
      </c>
      <c r="D8" s="148">
        <f t="shared" si="0"/>
        <v>223.12</v>
      </c>
    </row>
    <row r="9" spans="2:5" ht="15.75" thickBot="1">
      <c r="B9" s="145" t="s">
        <v>197</v>
      </c>
      <c r="C9" s="146">
        <f>SUM(C4:C8)</f>
        <v>441.83</v>
      </c>
      <c r="D9" s="147">
        <f>SUM(D4:D8)</f>
        <v>3534.64</v>
      </c>
    </row>
    <row r="10" spans="2:5" ht="15.75" thickBot="1"/>
    <row r="11" spans="2:5" ht="15.75" thickBot="1">
      <c r="B11" s="231" t="s">
        <v>181</v>
      </c>
      <c r="C11" s="231" t="s">
        <v>191</v>
      </c>
      <c r="D11" s="231" t="s">
        <v>192</v>
      </c>
    </row>
    <row r="12" spans="2:5" ht="15.75" thickBot="1">
      <c r="B12" s="305" t="s">
        <v>392</v>
      </c>
      <c r="C12" s="232">
        <v>1000</v>
      </c>
      <c r="D12" s="306">
        <f>+C12*8</f>
        <v>8000</v>
      </c>
    </row>
    <row r="21" spans="1:3">
      <c r="A21" s="120"/>
      <c r="B21" s="120"/>
      <c r="C21" s="120"/>
    </row>
    <row r="22" spans="1:3">
      <c r="A22" s="149"/>
      <c r="B22" s="150"/>
      <c r="C22" s="115"/>
    </row>
    <row r="23" spans="1:3">
      <c r="A23" s="151"/>
      <c r="B23" s="152"/>
      <c r="C23" s="152"/>
    </row>
    <row r="24" spans="1:3">
      <c r="A24" s="151"/>
      <c r="B24" s="152"/>
      <c r="C24" s="152"/>
    </row>
    <row r="25" spans="1:3">
      <c r="A25" s="151"/>
      <c r="B25" s="152"/>
      <c r="C25" s="152"/>
    </row>
    <row r="26" spans="1:3">
      <c r="A26" s="149"/>
      <c r="B26" s="150"/>
      <c r="C26" s="150"/>
    </row>
  </sheetData>
  <mergeCells count="1"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/>
  </sheetPr>
  <dimension ref="B2:M35"/>
  <sheetViews>
    <sheetView showGridLines="0" workbookViewId="0">
      <selection activeCell="B3" sqref="B3:E3"/>
    </sheetView>
  </sheetViews>
  <sheetFormatPr baseColWidth="10" defaultRowHeight="15"/>
  <cols>
    <col min="2" max="2" width="32.5703125" customWidth="1"/>
    <col min="3" max="3" width="13.5703125" customWidth="1"/>
    <col min="4" max="4" width="15.140625" customWidth="1"/>
    <col min="5" max="5" width="16.28515625" customWidth="1"/>
    <col min="6" max="6" width="16.42578125" customWidth="1"/>
    <col min="7" max="7" width="16.28515625" customWidth="1"/>
    <col min="8" max="8" width="21" customWidth="1"/>
    <col min="9" max="9" width="13.7109375" customWidth="1"/>
    <col min="10" max="10" width="14.28515625" customWidth="1"/>
  </cols>
  <sheetData>
    <row r="2" spans="2:13">
      <c r="G2" s="35"/>
      <c r="H2" s="35"/>
      <c r="I2" s="35"/>
      <c r="J2" s="35"/>
    </row>
    <row r="3" spans="2:13" ht="15.75" thickBot="1">
      <c r="B3" s="608" t="s">
        <v>180</v>
      </c>
      <c r="C3" s="608"/>
      <c r="D3" s="608"/>
      <c r="E3" s="608"/>
      <c r="G3" s="35"/>
      <c r="H3" s="35"/>
      <c r="I3" s="35"/>
      <c r="J3" s="35"/>
    </row>
    <row r="4" spans="2:13" ht="15.75" thickBot="1">
      <c r="B4" s="230" t="s">
        <v>181</v>
      </c>
      <c r="C4" s="233" t="s">
        <v>178</v>
      </c>
      <c r="D4" s="233" t="s">
        <v>182</v>
      </c>
      <c r="E4" s="233" t="s">
        <v>84</v>
      </c>
      <c r="G4" s="35"/>
      <c r="H4" s="180"/>
      <c r="I4" s="181"/>
      <c r="J4" s="35"/>
    </row>
    <row r="5" spans="2:13">
      <c r="B5" s="162" t="s">
        <v>183</v>
      </c>
      <c r="C5" s="163"/>
      <c r="D5" s="163"/>
      <c r="E5" s="164"/>
      <c r="G5" s="35"/>
      <c r="H5" s="35"/>
      <c r="I5" s="35"/>
      <c r="J5" s="35"/>
    </row>
    <row r="6" spans="2:13" s="30" customFormat="1">
      <c r="B6" s="161" t="s">
        <v>200</v>
      </c>
      <c r="C6" s="160">
        <v>1</v>
      </c>
      <c r="D6" s="165">
        <v>50</v>
      </c>
      <c r="E6" s="166">
        <f>C6*D6</f>
        <v>50</v>
      </c>
      <c r="G6" s="35"/>
      <c r="H6" s="108"/>
      <c r="I6" s="35"/>
      <c r="J6" s="120"/>
      <c r="K6" s="120"/>
      <c r="L6" s="120"/>
      <c r="M6" s="35"/>
    </row>
    <row r="7" spans="2:13" s="30" customFormat="1">
      <c r="B7" s="51" t="s">
        <v>199</v>
      </c>
      <c r="C7" s="160">
        <v>1</v>
      </c>
      <c r="D7" s="165">
        <v>60</v>
      </c>
      <c r="E7" s="166">
        <f>C7*D7</f>
        <v>60</v>
      </c>
      <c r="G7" s="35"/>
      <c r="H7" s="108"/>
      <c r="I7" s="182"/>
      <c r="J7" s="115"/>
      <c r="K7" s="116"/>
      <c r="L7" s="116"/>
      <c r="M7" s="35"/>
    </row>
    <row r="8" spans="2:13">
      <c r="B8" s="50" t="s">
        <v>201</v>
      </c>
      <c r="C8" s="45">
        <v>1</v>
      </c>
      <c r="D8" s="194">
        <v>50</v>
      </c>
      <c r="E8" s="166">
        <f>C8*D8</f>
        <v>50</v>
      </c>
      <c r="G8" s="35"/>
      <c r="H8" s="35"/>
      <c r="I8" s="117"/>
      <c r="J8" s="117"/>
      <c r="K8" s="118"/>
      <c r="L8" s="118"/>
      <c r="M8" s="35"/>
    </row>
    <row r="9" spans="2:13" ht="15.75" thickBot="1">
      <c r="B9" s="190" t="s">
        <v>179</v>
      </c>
      <c r="C9" s="191"/>
      <c r="D9" s="192"/>
      <c r="E9" s="193">
        <f>SUM(E6:E8)</f>
        <v>160</v>
      </c>
      <c r="H9" s="35"/>
      <c r="I9" s="119"/>
      <c r="J9" s="117"/>
      <c r="K9" s="118"/>
      <c r="L9" s="118"/>
      <c r="M9" s="35"/>
    </row>
    <row r="10" spans="2:13">
      <c r="B10" s="109"/>
      <c r="C10" s="122"/>
      <c r="D10" s="183"/>
      <c r="E10" s="184"/>
      <c r="H10" s="35"/>
      <c r="I10" s="119"/>
      <c r="J10" s="117"/>
      <c r="K10" s="118"/>
      <c r="L10" s="118"/>
      <c r="M10" s="35"/>
    </row>
    <row r="11" spans="2:13">
      <c r="B11" s="185"/>
      <c r="C11" s="122"/>
      <c r="D11" s="186"/>
      <c r="E11" s="187"/>
      <c r="H11" s="35"/>
      <c r="I11" s="119"/>
      <c r="J11" s="117"/>
      <c r="K11" s="118"/>
      <c r="L11" s="118"/>
      <c r="M11" s="35"/>
    </row>
    <row r="12" spans="2:13">
      <c r="B12" s="35"/>
      <c r="C12" s="122"/>
      <c r="D12" s="186"/>
      <c r="E12" s="187"/>
      <c r="H12" s="35"/>
      <c r="I12" s="117"/>
      <c r="J12" s="117"/>
      <c r="K12" s="118"/>
      <c r="L12" s="118"/>
      <c r="M12" s="35"/>
    </row>
    <row r="13" spans="2:13">
      <c r="B13" s="108"/>
      <c r="C13" s="122"/>
      <c r="D13" s="122"/>
      <c r="E13" s="188"/>
      <c r="H13" s="35"/>
      <c r="I13" s="119"/>
      <c r="J13" s="117"/>
      <c r="K13" s="118"/>
      <c r="L13" s="118"/>
      <c r="M13" s="35"/>
    </row>
    <row r="14" spans="2:13">
      <c r="B14" s="35"/>
      <c r="C14" s="122"/>
      <c r="D14" s="122"/>
      <c r="E14" s="122"/>
      <c r="H14" s="35"/>
      <c r="I14" s="119"/>
      <c r="J14" s="117"/>
      <c r="K14" s="118"/>
      <c r="L14" s="118"/>
      <c r="M14" s="35"/>
    </row>
    <row r="15" spans="2:13">
      <c r="B15" s="109"/>
      <c r="C15" s="109"/>
      <c r="D15" s="109"/>
      <c r="E15" s="189"/>
      <c r="F15" s="120"/>
      <c r="G15" s="9"/>
      <c r="H15" s="35"/>
      <c r="I15" s="119"/>
      <c r="J15" s="117"/>
      <c r="K15" s="118"/>
      <c r="L15" s="118"/>
      <c r="M15" s="35"/>
    </row>
    <row r="16" spans="2:13">
      <c r="B16" s="35"/>
      <c r="C16" s="122"/>
      <c r="D16" s="153"/>
      <c r="E16" s="153"/>
      <c r="F16" s="116"/>
      <c r="H16" s="35"/>
      <c r="I16" s="117"/>
      <c r="J16" s="117"/>
      <c r="K16" s="118"/>
      <c r="L16" s="118"/>
      <c r="M16" s="35"/>
    </row>
    <row r="17" spans="2:13">
      <c r="B17" s="109"/>
      <c r="C17" s="109"/>
      <c r="D17" s="109"/>
      <c r="E17" s="157"/>
      <c r="F17" s="118"/>
      <c r="G17" s="30"/>
      <c r="H17" s="35"/>
      <c r="I17" s="115"/>
      <c r="J17" s="115"/>
      <c r="K17" s="116"/>
      <c r="L17" s="116"/>
      <c r="M17" s="35"/>
    </row>
    <row r="18" spans="2:13" ht="15.75">
      <c r="C18" s="609"/>
      <c r="D18" s="609"/>
      <c r="E18" s="609"/>
      <c r="F18" s="609"/>
      <c r="G18" s="609"/>
      <c r="H18" s="35"/>
      <c r="I18" s="35"/>
      <c r="J18" s="35"/>
      <c r="K18" s="35"/>
      <c r="L18" s="35"/>
      <c r="M18" s="35"/>
    </row>
    <row r="19" spans="2:13" ht="15.75">
      <c r="B19" s="108"/>
      <c r="C19" s="195"/>
      <c r="D19" s="195"/>
      <c r="E19" s="196"/>
      <c r="F19" s="197"/>
      <c r="G19" s="198"/>
      <c r="H19" s="35"/>
      <c r="I19" s="35"/>
      <c r="J19" s="35"/>
      <c r="K19" s="35"/>
      <c r="L19" s="35"/>
      <c r="M19" s="35"/>
    </row>
    <row r="20" spans="2:13">
      <c r="C20" s="199"/>
      <c r="D20" s="199"/>
      <c r="E20" s="200"/>
      <c r="F20" s="200"/>
      <c r="G20" s="201"/>
      <c r="H20" s="35"/>
      <c r="I20" s="35"/>
      <c r="J20" s="35"/>
      <c r="K20" s="35"/>
      <c r="L20" s="35"/>
      <c r="M20" s="35"/>
    </row>
    <row r="21" spans="2:13">
      <c r="B21" s="120"/>
      <c r="C21" s="199"/>
      <c r="D21" s="202"/>
      <c r="E21" s="199"/>
      <c r="F21" s="200"/>
      <c r="G21" s="203"/>
      <c r="H21" s="117"/>
      <c r="I21" s="117"/>
      <c r="J21" s="117"/>
      <c r="K21" s="117"/>
      <c r="L21" s="117"/>
      <c r="M21" s="35"/>
    </row>
    <row r="22" spans="2:13">
      <c r="B22" s="115"/>
      <c r="C22" s="199"/>
      <c r="D22" s="202"/>
      <c r="E22" s="199"/>
      <c r="F22" s="200"/>
      <c r="G22" s="203"/>
      <c r="H22" s="120"/>
      <c r="I22" s="120"/>
      <c r="J22" s="120"/>
      <c r="K22" s="120"/>
      <c r="L22" s="120"/>
      <c r="M22" s="35"/>
    </row>
    <row r="23" spans="2:13">
      <c r="B23" s="117"/>
      <c r="C23" s="199"/>
      <c r="D23" s="202"/>
      <c r="E23" s="199"/>
      <c r="F23" s="200"/>
      <c r="G23" s="203"/>
      <c r="H23" s="115"/>
      <c r="I23" s="115"/>
      <c r="J23" s="115"/>
      <c r="K23" s="115"/>
      <c r="L23" s="115"/>
      <c r="M23" s="35"/>
    </row>
    <row r="24" spans="2:13">
      <c r="B24" s="119"/>
      <c r="C24" s="199"/>
      <c r="D24" s="202"/>
      <c r="E24" s="199"/>
      <c r="F24" s="200"/>
      <c r="G24" s="203"/>
      <c r="H24" s="117"/>
      <c r="I24" s="117"/>
      <c r="J24" s="117"/>
      <c r="K24" s="117"/>
      <c r="L24" s="118"/>
      <c r="M24" s="35"/>
    </row>
    <row r="25" spans="2:13">
      <c r="B25" s="119"/>
      <c r="C25" s="199"/>
      <c r="D25" s="202"/>
      <c r="E25" s="199"/>
      <c r="F25" s="200"/>
      <c r="G25" s="203"/>
      <c r="H25" s="117"/>
      <c r="I25" s="118"/>
      <c r="J25" s="167"/>
      <c r="K25" s="167"/>
      <c r="L25" s="167"/>
      <c r="M25" s="35"/>
    </row>
    <row r="26" spans="2:13">
      <c r="B26" s="119"/>
      <c r="C26" s="199"/>
      <c r="D26" s="202"/>
      <c r="E26" s="199"/>
      <c r="F26" s="200"/>
      <c r="G26" s="203"/>
      <c r="H26" s="117"/>
      <c r="I26" s="118"/>
      <c r="J26" s="167"/>
      <c r="K26" s="167"/>
      <c r="L26" s="167"/>
      <c r="M26" s="35"/>
    </row>
    <row r="27" spans="2:13">
      <c r="B27" s="117"/>
      <c r="C27" s="199"/>
      <c r="D27" s="202"/>
      <c r="E27" s="199"/>
      <c r="F27" s="200"/>
      <c r="G27" s="203"/>
      <c r="H27" s="117"/>
      <c r="I27" s="118"/>
      <c r="J27" s="167"/>
      <c r="K27" s="167"/>
      <c r="L27" s="167"/>
      <c r="M27" s="35"/>
    </row>
    <row r="28" spans="2:13">
      <c r="B28" s="119"/>
      <c r="C28" s="199"/>
      <c r="D28" s="202"/>
      <c r="E28" s="199"/>
      <c r="F28" s="200"/>
      <c r="G28" s="203"/>
      <c r="H28" s="117"/>
      <c r="I28" s="118"/>
      <c r="J28" s="167"/>
      <c r="K28" s="167"/>
      <c r="L28" s="167"/>
      <c r="M28" s="35"/>
    </row>
    <row r="29" spans="2:13">
      <c r="B29" s="119"/>
      <c r="C29" s="199"/>
      <c r="D29" s="202"/>
      <c r="E29" s="199"/>
      <c r="F29" s="200"/>
      <c r="G29" s="203"/>
      <c r="H29" s="117"/>
      <c r="I29" s="118"/>
      <c r="J29" s="167"/>
      <c r="K29" s="167"/>
      <c r="L29" s="167"/>
      <c r="M29" s="35"/>
    </row>
    <row r="30" spans="2:13">
      <c r="B30" s="119"/>
      <c r="C30" s="199"/>
      <c r="D30" s="202"/>
      <c r="E30" s="199"/>
      <c r="F30" s="200"/>
      <c r="G30" s="203"/>
      <c r="H30" s="117"/>
      <c r="I30" s="118"/>
      <c r="J30" s="167"/>
      <c r="K30" s="167"/>
      <c r="L30" s="167"/>
      <c r="M30" s="35"/>
    </row>
    <row r="31" spans="2:13">
      <c r="B31" s="117"/>
      <c r="C31" s="204"/>
      <c r="D31" s="182"/>
      <c r="E31" s="200"/>
      <c r="F31" s="199"/>
      <c r="G31" s="205"/>
      <c r="H31" s="117"/>
      <c r="I31" s="118"/>
      <c r="J31" s="167"/>
      <c r="K31" s="167"/>
      <c r="L31" s="167"/>
      <c r="M31" s="35"/>
    </row>
    <row r="32" spans="2:13">
      <c r="B32" s="115"/>
      <c r="C32" s="115"/>
      <c r="D32" s="116"/>
      <c r="E32" s="116"/>
      <c r="F32" s="117"/>
      <c r="G32" s="35"/>
      <c r="H32" s="117"/>
      <c r="I32" s="118"/>
      <c r="J32" s="167"/>
      <c r="K32" s="167"/>
      <c r="L32" s="167"/>
      <c r="M32" s="35"/>
    </row>
    <row r="33" spans="2:13">
      <c r="B33" s="158"/>
      <c r="C33" s="158"/>
      <c r="D33" s="159"/>
      <c r="E33" s="159"/>
      <c r="F33" s="158"/>
      <c r="G33" s="30"/>
      <c r="H33" s="117"/>
      <c r="I33" s="118"/>
      <c r="J33" s="167"/>
      <c r="K33" s="167"/>
      <c r="L33" s="167"/>
      <c r="M33" s="35"/>
    </row>
    <row r="34" spans="2:13">
      <c r="B34" s="158"/>
      <c r="C34" s="158"/>
      <c r="D34" s="159"/>
      <c r="E34" s="159"/>
      <c r="F34" s="158"/>
      <c r="G34" s="30"/>
      <c r="H34" s="117"/>
      <c r="I34" s="118"/>
      <c r="J34" s="167"/>
      <c r="K34" s="167"/>
      <c r="L34" s="167"/>
      <c r="M34" s="35"/>
    </row>
    <row r="35" spans="2:13">
      <c r="B35" s="158"/>
      <c r="C35" s="158"/>
      <c r="D35" s="159"/>
      <c r="E35" s="159"/>
      <c r="F35" s="158"/>
      <c r="G35" s="30"/>
      <c r="H35" s="115"/>
      <c r="I35" s="116"/>
      <c r="J35" s="117"/>
      <c r="K35" s="167"/>
      <c r="L35" s="117"/>
      <c r="M35" s="35"/>
    </row>
  </sheetData>
  <mergeCells count="2">
    <mergeCell ref="B3:E3"/>
    <mergeCell ref="C18:G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A1:W56"/>
  <sheetViews>
    <sheetView showGridLines="0" topLeftCell="A7" zoomScale="85" zoomScaleNormal="85" workbookViewId="0">
      <selection activeCell="F25" sqref="F25"/>
    </sheetView>
  </sheetViews>
  <sheetFormatPr baseColWidth="10" defaultRowHeight="15"/>
  <cols>
    <col min="1" max="1" width="27.42578125" style="9" customWidth="1"/>
    <col min="2" max="2" width="16.140625" style="9" customWidth="1"/>
    <col min="3" max="6" width="13.28515625" style="9" bestFit="1" customWidth="1"/>
    <col min="7" max="7" width="17.42578125" style="9" customWidth="1"/>
    <col min="8" max="8" width="17.28515625" style="9" customWidth="1"/>
    <col min="9" max="9" width="15.140625" style="9" customWidth="1"/>
    <col min="10" max="10" width="16.28515625" style="9" customWidth="1"/>
    <col min="11" max="11" width="15" style="9" customWidth="1"/>
    <col min="12" max="12" width="15.28515625" style="9" customWidth="1"/>
    <col min="13" max="13" width="15.5703125" style="9" customWidth="1"/>
    <col min="14" max="21" width="13.42578125" style="9" bestFit="1" customWidth="1"/>
    <col min="22" max="16384" width="11.42578125" style="9"/>
  </cols>
  <sheetData>
    <row r="1" spans="1:21" ht="15.75" thickBot="1">
      <c r="B1" s="612" t="s">
        <v>394</v>
      </c>
      <c r="C1" s="613"/>
      <c r="D1" s="613"/>
      <c r="E1" s="613"/>
      <c r="F1" s="613"/>
      <c r="G1" s="613"/>
      <c r="H1" s="613"/>
      <c r="I1" s="614"/>
      <c r="J1" s="615" t="s">
        <v>393</v>
      </c>
      <c r="K1" s="615"/>
      <c r="L1" s="615"/>
      <c r="M1" s="615"/>
      <c r="N1" s="615"/>
      <c r="O1" s="615"/>
      <c r="P1" s="615"/>
      <c r="Q1" s="615"/>
      <c r="R1" s="615"/>
      <c r="S1" s="615"/>
      <c r="T1" s="615"/>
      <c r="U1" s="616"/>
    </row>
    <row r="2" spans="1:21" ht="15.75" thickBot="1">
      <c r="A2" s="234"/>
      <c r="B2" s="399" t="s">
        <v>207</v>
      </c>
      <c r="C2" s="400" t="s">
        <v>208</v>
      </c>
      <c r="D2" s="400" t="s">
        <v>209</v>
      </c>
      <c r="E2" s="400" t="s">
        <v>210</v>
      </c>
      <c r="F2" s="400" t="s">
        <v>211</v>
      </c>
      <c r="G2" s="400" t="s">
        <v>212</v>
      </c>
      <c r="H2" s="400" t="s">
        <v>213</v>
      </c>
      <c r="I2" s="447" t="s">
        <v>214</v>
      </c>
      <c r="J2" s="444" t="s">
        <v>203</v>
      </c>
      <c r="K2" s="401" t="s">
        <v>204</v>
      </c>
      <c r="L2" s="401" t="s">
        <v>205</v>
      </c>
      <c r="M2" s="401" t="s">
        <v>206</v>
      </c>
      <c r="N2" s="401" t="s">
        <v>207</v>
      </c>
      <c r="O2" s="401" t="s">
        <v>208</v>
      </c>
      <c r="P2" s="401" t="s">
        <v>209</v>
      </c>
      <c r="Q2" s="401" t="s">
        <v>210</v>
      </c>
      <c r="R2" s="401" t="s">
        <v>211</v>
      </c>
      <c r="S2" s="401" t="s">
        <v>212</v>
      </c>
      <c r="T2" s="401" t="s">
        <v>213</v>
      </c>
      <c r="U2" s="402" t="s">
        <v>214</v>
      </c>
    </row>
    <row r="3" spans="1:21">
      <c r="A3" s="441" t="s">
        <v>252</v>
      </c>
      <c r="B3" s="528">
        <v>215</v>
      </c>
      <c r="C3" s="440">
        <v>215</v>
      </c>
      <c r="D3" s="440">
        <v>215</v>
      </c>
      <c r="E3" s="440">
        <v>215</v>
      </c>
      <c r="F3" s="440">
        <v>215</v>
      </c>
      <c r="G3" s="440">
        <v>215</v>
      </c>
      <c r="H3" s="440">
        <v>215</v>
      </c>
      <c r="I3" s="527">
        <v>215</v>
      </c>
      <c r="J3" s="440">
        <f>$I$3*1.0514</f>
        <v>226.05099999999999</v>
      </c>
      <c r="K3" s="440">
        <f t="shared" ref="K3:U3" si="0">$I$3*1.0514</f>
        <v>226.05099999999999</v>
      </c>
      <c r="L3" s="440">
        <f t="shared" si="0"/>
        <v>226.05099999999999</v>
      </c>
      <c r="M3" s="440">
        <f t="shared" si="0"/>
        <v>226.05099999999999</v>
      </c>
      <c r="N3" s="440">
        <f t="shared" si="0"/>
        <v>226.05099999999999</v>
      </c>
      <c r="O3" s="440">
        <f t="shared" si="0"/>
        <v>226.05099999999999</v>
      </c>
      <c r="P3" s="440">
        <f t="shared" si="0"/>
        <v>226.05099999999999</v>
      </c>
      <c r="Q3" s="440">
        <f t="shared" si="0"/>
        <v>226.05099999999999</v>
      </c>
      <c r="R3" s="440">
        <f t="shared" si="0"/>
        <v>226.05099999999999</v>
      </c>
      <c r="S3" s="440">
        <f t="shared" si="0"/>
        <v>226.05099999999999</v>
      </c>
      <c r="T3" s="440">
        <f t="shared" si="0"/>
        <v>226.05099999999999</v>
      </c>
      <c r="U3" s="440">
        <f t="shared" si="0"/>
        <v>226.05099999999999</v>
      </c>
    </row>
    <row r="4" spans="1:21">
      <c r="A4" s="442" t="s">
        <v>253</v>
      </c>
      <c r="B4" s="529">
        <v>30</v>
      </c>
      <c r="C4" s="332">
        <v>32</v>
      </c>
      <c r="D4" s="332">
        <v>27</v>
      </c>
      <c r="E4" s="332">
        <v>30</v>
      </c>
      <c r="F4" s="332">
        <v>30</v>
      </c>
      <c r="G4" s="332">
        <v>25</v>
      </c>
      <c r="H4" s="332">
        <v>25</v>
      </c>
      <c r="I4" s="448">
        <v>20</v>
      </c>
      <c r="J4" s="445">
        <v>27</v>
      </c>
      <c r="K4" s="388">
        <v>40</v>
      </c>
      <c r="L4" s="388">
        <v>40</v>
      </c>
      <c r="M4" s="388">
        <v>33</v>
      </c>
      <c r="N4" s="388">
        <v>38</v>
      </c>
      <c r="O4" s="388">
        <v>35</v>
      </c>
      <c r="P4" s="388">
        <v>35</v>
      </c>
      <c r="Q4" s="388">
        <v>38</v>
      </c>
      <c r="R4" s="388">
        <v>38</v>
      </c>
      <c r="S4" s="388">
        <v>35</v>
      </c>
      <c r="T4" s="388">
        <v>30</v>
      </c>
      <c r="U4" s="388">
        <v>25</v>
      </c>
    </row>
    <row r="5" spans="1:21">
      <c r="A5" s="442" t="s">
        <v>251</v>
      </c>
      <c r="B5" s="528">
        <f t="shared" ref="B5:J5" si="1">+B3*B4</f>
        <v>6450</v>
      </c>
      <c r="C5" s="259">
        <f t="shared" si="1"/>
        <v>6880</v>
      </c>
      <c r="D5" s="259">
        <f t="shared" si="1"/>
        <v>5805</v>
      </c>
      <c r="E5" s="259">
        <f t="shared" si="1"/>
        <v>6450</v>
      </c>
      <c r="F5" s="259">
        <f t="shared" si="1"/>
        <v>6450</v>
      </c>
      <c r="G5" s="259">
        <f t="shared" si="1"/>
        <v>5375</v>
      </c>
      <c r="H5" s="259">
        <f t="shared" si="1"/>
        <v>5375</v>
      </c>
      <c r="I5" s="387">
        <f t="shared" si="1"/>
        <v>4300</v>
      </c>
      <c r="J5" s="440">
        <f t="shared" si="1"/>
        <v>6103.3769999999995</v>
      </c>
      <c r="K5" s="259">
        <f t="shared" ref="K5:M5" si="2">+K3*K4</f>
        <v>9042.0399999999991</v>
      </c>
      <c r="L5" s="259">
        <f t="shared" si="2"/>
        <v>9042.0399999999991</v>
      </c>
      <c r="M5" s="259">
        <f t="shared" si="2"/>
        <v>7459.683</v>
      </c>
      <c r="N5" s="259">
        <f t="shared" ref="N5" si="3">+N3*N4</f>
        <v>8589.9380000000001</v>
      </c>
      <c r="O5" s="259">
        <f t="shared" ref="O5" si="4">+O3*O4</f>
        <v>7911.7849999999999</v>
      </c>
      <c r="P5" s="259">
        <f t="shared" ref="P5" si="5">+P3*P4</f>
        <v>7911.7849999999999</v>
      </c>
      <c r="Q5" s="259">
        <f t="shared" ref="Q5" si="6">+Q3*Q4</f>
        <v>8589.9380000000001</v>
      </c>
      <c r="R5" s="259">
        <f t="shared" ref="R5" si="7">+R3*R4</f>
        <v>8589.9380000000001</v>
      </c>
      <c r="S5" s="259">
        <f t="shared" ref="S5" si="8">+S3*S4</f>
        <v>7911.7849999999999</v>
      </c>
      <c r="T5" s="259">
        <f t="shared" ref="T5" si="9">+T3*T4</f>
        <v>6781.53</v>
      </c>
      <c r="U5" s="387">
        <f t="shared" ref="U5" si="10">+U3*U4</f>
        <v>5651.2749999999996</v>
      </c>
    </row>
    <row r="6" spans="1:21">
      <c r="A6" s="442" t="s">
        <v>277</v>
      </c>
      <c r="B6" s="528">
        <v>190</v>
      </c>
      <c r="C6" s="440">
        <v>190</v>
      </c>
      <c r="D6" s="440">
        <v>190</v>
      </c>
      <c r="E6" s="440">
        <v>190</v>
      </c>
      <c r="F6" s="440">
        <v>190</v>
      </c>
      <c r="G6" s="440">
        <v>190</v>
      </c>
      <c r="H6" s="440">
        <v>190</v>
      </c>
      <c r="I6" s="527">
        <v>190</v>
      </c>
      <c r="J6" s="440">
        <f>+$I$6*1.0514</f>
        <v>199.76599999999999</v>
      </c>
      <c r="K6" s="440">
        <f t="shared" ref="K6:U6" si="11">+$I$6*1.0514</f>
        <v>199.76599999999999</v>
      </c>
      <c r="L6" s="440">
        <f t="shared" si="11"/>
        <v>199.76599999999999</v>
      </c>
      <c r="M6" s="440">
        <f t="shared" si="11"/>
        <v>199.76599999999999</v>
      </c>
      <c r="N6" s="440">
        <f t="shared" si="11"/>
        <v>199.76599999999999</v>
      </c>
      <c r="O6" s="440">
        <f t="shared" si="11"/>
        <v>199.76599999999999</v>
      </c>
      <c r="P6" s="440">
        <f t="shared" si="11"/>
        <v>199.76599999999999</v>
      </c>
      <c r="Q6" s="440">
        <f t="shared" si="11"/>
        <v>199.76599999999999</v>
      </c>
      <c r="R6" s="440">
        <f t="shared" si="11"/>
        <v>199.76599999999999</v>
      </c>
      <c r="S6" s="440">
        <f t="shared" si="11"/>
        <v>199.76599999999999</v>
      </c>
      <c r="T6" s="440">
        <f t="shared" si="11"/>
        <v>199.76599999999999</v>
      </c>
      <c r="U6" s="440">
        <f t="shared" si="11"/>
        <v>199.76599999999999</v>
      </c>
    </row>
    <row r="7" spans="1:21">
      <c r="A7" s="442" t="s">
        <v>256</v>
      </c>
      <c r="B7" s="529">
        <v>10</v>
      </c>
      <c r="C7" s="332">
        <v>15</v>
      </c>
      <c r="D7" s="332">
        <v>17</v>
      </c>
      <c r="E7" s="332">
        <v>20</v>
      </c>
      <c r="F7" s="332">
        <v>19</v>
      </c>
      <c r="G7" s="332">
        <v>15</v>
      </c>
      <c r="H7" s="332">
        <v>17</v>
      </c>
      <c r="I7" s="448">
        <v>10</v>
      </c>
      <c r="J7" s="445">
        <v>15</v>
      </c>
      <c r="K7" s="388">
        <v>17</v>
      </c>
      <c r="L7" s="388">
        <v>20</v>
      </c>
      <c r="M7" s="388">
        <v>18</v>
      </c>
      <c r="N7" s="388">
        <v>23</v>
      </c>
      <c r="O7" s="388">
        <v>18</v>
      </c>
      <c r="P7" s="388">
        <v>20</v>
      </c>
      <c r="Q7" s="388">
        <v>16</v>
      </c>
      <c r="R7" s="388">
        <v>20</v>
      </c>
      <c r="S7" s="388">
        <v>17</v>
      </c>
      <c r="T7" s="388">
        <v>12</v>
      </c>
      <c r="U7" s="388">
        <v>10</v>
      </c>
    </row>
    <row r="8" spans="1:21">
      <c r="A8" s="442" t="s">
        <v>254</v>
      </c>
      <c r="B8" s="528">
        <f t="shared" ref="B8:J8" si="12">+B6*B7</f>
        <v>1900</v>
      </c>
      <c r="C8" s="259">
        <f t="shared" si="12"/>
        <v>2850</v>
      </c>
      <c r="D8" s="259">
        <f t="shared" si="12"/>
        <v>3230</v>
      </c>
      <c r="E8" s="259">
        <f t="shared" si="12"/>
        <v>3800</v>
      </c>
      <c r="F8" s="259">
        <f t="shared" si="12"/>
        <v>3610</v>
      </c>
      <c r="G8" s="259">
        <f t="shared" si="12"/>
        <v>2850</v>
      </c>
      <c r="H8" s="259">
        <f t="shared" si="12"/>
        <v>3230</v>
      </c>
      <c r="I8" s="387">
        <f t="shared" si="12"/>
        <v>1900</v>
      </c>
      <c r="J8" s="440">
        <f t="shared" si="12"/>
        <v>2996.49</v>
      </c>
      <c r="K8" s="259">
        <f t="shared" ref="K8:M8" si="13">+K6*K7</f>
        <v>3396.0219999999999</v>
      </c>
      <c r="L8" s="259">
        <f t="shared" si="13"/>
        <v>3995.3199999999997</v>
      </c>
      <c r="M8" s="259">
        <f t="shared" si="13"/>
        <v>3595.788</v>
      </c>
      <c r="N8" s="259">
        <f t="shared" ref="N8" si="14">+N6*N7</f>
        <v>4594.6179999999995</v>
      </c>
      <c r="O8" s="259">
        <f t="shared" ref="O8" si="15">+O6*O7</f>
        <v>3595.788</v>
      </c>
      <c r="P8" s="259">
        <f t="shared" ref="P8" si="16">+P6*P7</f>
        <v>3995.3199999999997</v>
      </c>
      <c r="Q8" s="259">
        <f t="shared" ref="Q8" si="17">+Q6*Q7</f>
        <v>3196.2559999999999</v>
      </c>
      <c r="R8" s="259">
        <f t="shared" ref="R8" si="18">+R6*R7</f>
        <v>3995.3199999999997</v>
      </c>
      <c r="S8" s="259">
        <f t="shared" ref="S8" si="19">+S6*S7</f>
        <v>3396.0219999999999</v>
      </c>
      <c r="T8" s="259">
        <f t="shared" ref="T8" si="20">+T6*T7</f>
        <v>2397.192</v>
      </c>
      <c r="U8" s="387">
        <f t="shared" ref="U8" si="21">+U6*U7</f>
        <v>1997.6599999999999</v>
      </c>
    </row>
    <row r="9" spans="1:21">
      <c r="A9" s="442" t="s">
        <v>255</v>
      </c>
      <c r="B9" s="528">
        <f t="shared" ref="B9:J9" si="22">+B5+B8</f>
        <v>8350</v>
      </c>
      <c r="C9" s="259">
        <f t="shared" si="22"/>
        <v>9730</v>
      </c>
      <c r="D9" s="259">
        <f t="shared" si="22"/>
        <v>9035</v>
      </c>
      <c r="E9" s="259">
        <f t="shared" si="22"/>
        <v>10250</v>
      </c>
      <c r="F9" s="259">
        <f t="shared" si="22"/>
        <v>10060</v>
      </c>
      <c r="G9" s="259">
        <f t="shared" si="22"/>
        <v>8225</v>
      </c>
      <c r="H9" s="259">
        <f t="shared" si="22"/>
        <v>8605</v>
      </c>
      <c r="I9" s="387">
        <f t="shared" si="22"/>
        <v>6200</v>
      </c>
      <c r="J9" s="440">
        <f t="shared" si="22"/>
        <v>9099.8669999999984</v>
      </c>
      <c r="K9" s="259">
        <f t="shared" ref="K9:M9" si="23">+K5+K8</f>
        <v>12438.061999999998</v>
      </c>
      <c r="L9" s="259">
        <f t="shared" si="23"/>
        <v>13037.359999999999</v>
      </c>
      <c r="M9" s="259">
        <f t="shared" si="23"/>
        <v>11055.471</v>
      </c>
      <c r="N9" s="259">
        <f t="shared" ref="N9" si="24">+N5+N8</f>
        <v>13184.556</v>
      </c>
      <c r="O9" s="259">
        <f t="shared" ref="O9" si="25">+O5+O8</f>
        <v>11507.573</v>
      </c>
      <c r="P9" s="259">
        <f t="shared" ref="P9" si="26">+P5+P8</f>
        <v>11907.105</v>
      </c>
      <c r="Q9" s="259">
        <f t="shared" ref="Q9" si="27">+Q5+Q8</f>
        <v>11786.194</v>
      </c>
      <c r="R9" s="259">
        <f t="shared" ref="R9" si="28">+R5+R8</f>
        <v>12585.258</v>
      </c>
      <c r="S9" s="259">
        <f t="shared" ref="S9" si="29">+S5+S8</f>
        <v>11307.807000000001</v>
      </c>
      <c r="T9" s="259">
        <f t="shared" ref="T9" si="30">+T5+T8</f>
        <v>9178.7219999999998</v>
      </c>
      <c r="U9" s="387">
        <f t="shared" ref="U9" si="31">+U5+U8</f>
        <v>7648.9349999999995</v>
      </c>
    </row>
    <row r="10" spans="1:21">
      <c r="A10" s="442" t="s">
        <v>215</v>
      </c>
      <c r="B10" s="528"/>
      <c r="C10" s="259"/>
      <c r="D10" s="259"/>
      <c r="E10" s="259"/>
      <c r="F10" s="259"/>
      <c r="G10" s="259"/>
      <c r="H10" s="259"/>
      <c r="I10" s="387"/>
      <c r="J10" s="440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387"/>
    </row>
    <row r="11" spans="1:21">
      <c r="A11" s="442" t="s">
        <v>216</v>
      </c>
      <c r="B11" s="528">
        <f>+'Sueldo y Salario '!$P$72</f>
        <v>2868.7706044908755</v>
      </c>
      <c r="C11" s="259">
        <f>+'Sueldo y Salario '!$P$72</f>
        <v>2868.7706044908755</v>
      </c>
      <c r="D11" s="259">
        <f>+'Sueldo y Salario '!$P$72</f>
        <v>2868.7706044908755</v>
      </c>
      <c r="E11" s="259">
        <f>+'Sueldo y Salario '!$P$72</f>
        <v>2868.7706044908755</v>
      </c>
      <c r="F11" s="259">
        <f>+'Sueldo y Salario '!$P$72</f>
        <v>2868.7706044908755</v>
      </c>
      <c r="G11" s="259">
        <f>+'Sueldo y Salario '!$P$72</f>
        <v>2868.7706044908755</v>
      </c>
      <c r="H11" s="259">
        <f>+'Sueldo y Salario '!$P$72</f>
        <v>2868.7706044908755</v>
      </c>
      <c r="I11" s="387">
        <f>+'Sueldo y Salario '!P73</f>
        <v>3851.328868570125</v>
      </c>
      <c r="J11" s="440">
        <f>+'Sueldo y Salario '!Q72</f>
        <v>3447.1147583562351</v>
      </c>
      <c r="K11" s="259">
        <f>+J11</f>
        <v>3447.1147583562351</v>
      </c>
      <c r="L11" s="259">
        <f>+K11+(('Sueldo y Salario '!H77)*(10/12))</f>
        <v>6736.981425022901</v>
      </c>
      <c r="M11" s="259">
        <f>+K11</f>
        <v>3447.1147583562351</v>
      </c>
      <c r="N11" s="259">
        <f>+M11</f>
        <v>3447.1147583562351</v>
      </c>
      <c r="O11" s="259">
        <f>+N11</f>
        <v>3447.1147583562351</v>
      </c>
      <c r="P11" s="259">
        <f t="shared" ref="P11" si="32">+N11</f>
        <v>3447.1147583562351</v>
      </c>
      <c r="Q11" s="259">
        <f t="shared" ref="Q11" si="33">+O11</f>
        <v>3447.1147583562351</v>
      </c>
      <c r="R11" s="259">
        <f t="shared" ref="R11" si="34">+P11</f>
        <v>3447.1147583562351</v>
      </c>
      <c r="S11" s="259">
        <f t="shared" ref="S11" si="35">+Q11</f>
        <v>3447.1147583562351</v>
      </c>
      <c r="T11" s="259">
        <f t="shared" ref="T11" si="36">+R11</f>
        <v>3447.1147583562351</v>
      </c>
      <c r="U11" s="387">
        <f>+T11+'Sueldo y Salario '!J77</f>
        <v>16598.521068996237</v>
      </c>
    </row>
    <row r="12" spans="1:21">
      <c r="A12" s="442" t="s">
        <v>217</v>
      </c>
      <c r="B12" s="528">
        <f>+'Gastos Operacionales'!G104</f>
        <v>11912.77</v>
      </c>
      <c r="C12" s="259"/>
      <c r="D12" s="259">
        <f>+'Reinversión GO'!H5</f>
        <v>536.70000000000005</v>
      </c>
      <c r="E12" s="110">
        <v>553.85</v>
      </c>
      <c r="F12" s="259">
        <f>+D12</f>
        <v>536.70000000000005</v>
      </c>
      <c r="G12" s="259"/>
      <c r="H12" s="259">
        <f>+F12+E12+'Reinversión GO'!H7</f>
        <v>2908.55</v>
      </c>
      <c r="I12" s="387"/>
      <c r="J12" s="440">
        <f>+F12+'Reinversión GO'!H8</f>
        <v>1395.6999999999998</v>
      </c>
      <c r="K12" s="259">
        <f>+E12</f>
        <v>553.85</v>
      </c>
      <c r="L12" s="259">
        <f>+F12+'Reinversión GO'!H9</f>
        <v>611.70000000000005</v>
      </c>
      <c r="M12" s="259"/>
      <c r="N12" s="259">
        <f>+H12+'Reinversión GO'!H10</f>
        <v>3795.19</v>
      </c>
      <c r="O12" s="259"/>
      <c r="P12" s="259">
        <f>+J12</f>
        <v>1395.6999999999998</v>
      </c>
      <c r="Q12" s="259">
        <f>+K12</f>
        <v>553.85</v>
      </c>
      <c r="R12" s="259">
        <f>+J12</f>
        <v>1395.6999999999998</v>
      </c>
      <c r="S12" s="259"/>
      <c r="T12" s="259">
        <f>+N12</f>
        <v>3795.19</v>
      </c>
      <c r="U12" s="387"/>
    </row>
    <row r="13" spans="1:21">
      <c r="A13" s="442" t="s">
        <v>218</v>
      </c>
      <c r="B13" s="528">
        <f>+'Costos Fijos'!$D$9/8</f>
        <v>441.83</v>
      </c>
      <c r="C13" s="259">
        <f>+'Costos Fijos'!$D$9/8</f>
        <v>441.83</v>
      </c>
      <c r="D13" s="259">
        <f>+'Costos Fijos'!$D$9/8</f>
        <v>441.83</v>
      </c>
      <c r="E13" s="259">
        <f>+'Costos Fijos'!$D$9/8</f>
        <v>441.83</v>
      </c>
      <c r="F13" s="259">
        <f>+'Costos Fijos'!$D$9/8</f>
        <v>441.83</v>
      </c>
      <c r="G13" s="259">
        <f>+'Costos Fijos'!$D$9/8</f>
        <v>441.83</v>
      </c>
      <c r="H13" s="259">
        <f>+'Costos Fijos'!$D$9/8</f>
        <v>441.83</v>
      </c>
      <c r="I13" s="387">
        <f>+'Costos Fijos'!$D$9/8</f>
        <v>441.83</v>
      </c>
      <c r="J13" s="440">
        <f>+'Costos Fijos'!$D$9/8</f>
        <v>441.83</v>
      </c>
      <c r="K13" s="259">
        <f>+'Costos Fijos'!$D$9/8</f>
        <v>441.83</v>
      </c>
      <c r="L13" s="259">
        <f>+'Costos Fijos'!$D$9/8</f>
        <v>441.83</v>
      </c>
      <c r="M13" s="259">
        <f>+'Costos Fijos'!$D$9/8</f>
        <v>441.83</v>
      </c>
      <c r="N13" s="259">
        <f>+'Costos Fijos'!$D$9/8</f>
        <v>441.83</v>
      </c>
      <c r="O13" s="259">
        <f>+'Costos Fijos'!$D$9/8</f>
        <v>441.83</v>
      </c>
      <c r="P13" s="259">
        <f>+'Costos Fijos'!$D$9/8</f>
        <v>441.83</v>
      </c>
      <c r="Q13" s="259">
        <f>+'Costos Fijos'!$D$9/8</f>
        <v>441.83</v>
      </c>
      <c r="R13" s="259">
        <f>+'Costos Fijos'!$D$9/8</f>
        <v>441.83</v>
      </c>
      <c r="S13" s="259">
        <f>+'Costos Fijos'!$D$9/8</f>
        <v>441.83</v>
      </c>
      <c r="T13" s="259">
        <f>+'Costos Fijos'!$D$9/8</f>
        <v>441.83</v>
      </c>
      <c r="U13" s="387">
        <f>+'Costos Fijos'!$D$9/8</f>
        <v>441.83</v>
      </c>
    </row>
    <row r="14" spans="1:21">
      <c r="A14" s="442" t="s">
        <v>219</v>
      </c>
      <c r="B14" s="528">
        <f>+Publicidad!B13</f>
        <v>2010</v>
      </c>
      <c r="C14" s="259">
        <f>+Publicidad!C13</f>
        <v>2110</v>
      </c>
      <c r="D14" s="259">
        <f>+Publicidad!D13</f>
        <v>2110</v>
      </c>
      <c r="E14" s="259">
        <v>0</v>
      </c>
      <c r="F14" s="259">
        <v>0</v>
      </c>
      <c r="G14" s="259">
        <f>+Publicidad!G13</f>
        <v>2110</v>
      </c>
      <c r="H14" s="259">
        <f>+Publicidad!H13</f>
        <v>2110</v>
      </c>
      <c r="I14" s="387">
        <f>+Publicidad!I13</f>
        <v>2110</v>
      </c>
      <c r="J14" s="440">
        <f>+Publicidad!B23</f>
        <v>550</v>
      </c>
      <c r="K14" s="259">
        <f>+Publicidad!C23</f>
        <v>2110</v>
      </c>
      <c r="L14" s="259">
        <f>+Publicidad!D23</f>
        <v>1150</v>
      </c>
      <c r="M14" s="259"/>
      <c r="N14" s="259">
        <f>+Publicidad!F23</f>
        <v>1630</v>
      </c>
      <c r="O14" s="259">
        <f>+Publicidad!G23</f>
        <v>2110</v>
      </c>
      <c r="P14" s="259"/>
      <c r="Q14" s="259"/>
      <c r="R14" s="259"/>
      <c r="S14" s="259">
        <f>+Publicidad!K23</f>
        <v>480</v>
      </c>
      <c r="T14" s="259">
        <f>+Publicidad!L23</f>
        <v>1150</v>
      </c>
      <c r="U14" s="387">
        <f>+Publicidad!M23</f>
        <v>0</v>
      </c>
    </row>
    <row r="15" spans="1:21">
      <c r="A15" s="442" t="s">
        <v>250</v>
      </c>
      <c r="B15" s="528">
        <f>+'Costos Fijos'!$D$12/8</f>
        <v>1000</v>
      </c>
      <c r="C15" s="259">
        <f>+'Costos Fijos'!$D$12/8</f>
        <v>1000</v>
      </c>
      <c r="D15" s="259">
        <f>+'Costos Fijos'!$D$12/8</f>
        <v>1000</v>
      </c>
      <c r="E15" s="259">
        <f>+'Costos Fijos'!$D$12/8</f>
        <v>1000</v>
      </c>
      <c r="F15" s="259">
        <f>+'Costos Fijos'!$D$12/8</f>
        <v>1000</v>
      </c>
      <c r="G15" s="259">
        <f>+'Costos Fijos'!$D$12/8</f>
        <v>1000</v>
      </c>
      <c r="H15" s="259">
        <f>+'Costos Fijos'!$D$12/8</f>
        <v>1000</v>
      </c>
      <c r="I15" s="387">
        <f>+'Costos Fijos'!$D$12/8</f>
        <v>1000</v>
      </c>
      <c r="J15" s="440">
        <f>+'Costos Fijos'!$D$12/8</f>
        <v>1000</v>
      </c>
      <c r="K15" s="259">
        <f>+'Costos Fijos'!$D$12/8</f>
        <v>1000</v>
      </c>
      <c r="L15" s="259">
        <f>+'Costos Fijos'!$D$12/8</f>
        <v>1000</v>
      </c>
      <c r="M15" s="259">
        <f>+'Costos Fijos'!$D$12/8</f>
        <v>1000</v>
      </c>
      <c r="N15" s="259">
        <f>+'Costos Fijos'!$D$12/8</f>
        <v>1000</v>
      </c>
      <c r="O15" s="259">
        <f>+'Costos Fijos'!$D$12/8</f>
        <v>1000</v>
      </c>
      <c r="P15" s="259">
        <f>+'Costos Fijos'!$D$12/8</f>
        <v>1000</v>
      </c>
      <c r="Q15" s="259">
        <f>+'Costos Fijos'!$D$12/8</f>
        <v>1000</v>
      </c>
      <c r="R15" s="259">
        <f>+'Costos Fijos'!$D$12/8</f>
        <v>1000</v>
      </c>
      <c r="S15" s="259">
        <f>+'Costos Fijos'!$D$12/8</f>
        <v>1000</v>
      </c>
      <c r="T15" s="259">
        <f>+'Costos Fijos'!$D$12/8</f>
        <v>1000</v>
      </c>
      <c r="U15" s="387">
        <f>+'Costos Fijos'!$D$12/8</f>
        <v>1000</v>
      </c>
    </row>
    <row r="16" spans="1:21">
      <c r="A16" s="442" t="s">
        <v>431</v>
      </c>
      <c r="B16" s="528">
        <f>70*2</f>
        <v>140</v>
      </c>
      <c r="C16" s="440">
        <f t="shared" ref="C16:I16" si="37">70*2</f>
        <v>140</v>
      </c>
      <c r="D16" s="440">
        <f t="shared" si="37"/>
        <v>140</v>
      </c>
      <c r="E16" s="440">
        <f t="shared" si="37"/>
        <v>140</v>
      </c>
      <c r="F16" s="440">
        <f t="shared" si="37"/>
        <v>140</v>
      </c>
      <c r="G16" s="440">
        <f t="shared" si="37"/>
        <v>140</v>
      </c>
      <c r="H16" s="440">
        <f t="shared" si="37"/>
        <v>140</v>
      </c>
      <c r="I16" s="527">
        <f t="shared" si="37"/>
        <v>140</v>
      </c>
      <c r="J16" s="440">
        <f>+I16*1.0514</f>
        <v>147.196</v>
      </c>
      <c r="K16" s="259">
        <f>+J16</f>
        <v>147.196</v>
      </c>
      <c r="L16" s="259">
        <f t="shared" ref="L16:U16" si="38">+K16</f>
        <v>147.196</v>
      </c>
      <c r="M16" s="259">
        <f t="shared" si="38"/>
        <v>147.196</v>
      </c>
      <c r="N16" s="259">
        <f t="shared" si="38"/>
        <v>147.196</v>
      </c>
      <c r="O16" s="259">
        <f t="shared" si="38"/>
        <v>147.196</v>
      </c>
      <c r="P16" s="259">
        <f t="shared" si="38"/>
        <v>147.196</v>
      </c>
      <c r="Q16" s="259">
        <f t="shared" si="38"/>
        <v>147.196</v>
      </c>
      <c r="R16" s="259">
        <f t="shared" si="38"/>
        <v>147.196</v>
      </c>
      <c r="S16" s="259">
        <f t="shared" si="38"/>
        <v>147.196</v>
      </c>
      <c r="T16" s="259">
        <f t="shared" si="38"/>
        <v>147.196</v>
      </c>
      <c r="U16" s="387">
        <f t="shared" si="38"/>
        <v>147.196</v>
      </c>
    </row>
    <row r="17" spans="1:23">
      <c r="A17" s="442" t="s">
        <v>395</v>
      </c>
      <c r="B17" s="528">
        <v>170</v>
      </c>
      <c r="C17" s="440">
        <v>170</v>
      </c>
      <c r="D17" s="440">
        <v>170</v>
      </c>
      <c r="E17" s="440">
        <v>170</v>
      </c>
      <c r="F17" s="440">
        <v>170</v>
      </c>
      <c r="G17" s="440">
        <v>170</v>
      </c>
      <c r="H17" s="440">
        <v>170</v>
      </c>
      <c r="I17" s="527">
        <v>170</v>
      </c>
      <c r="J17" s="440">
        <f>+I17*1.0514</f>
        <v>178.73799999999997</v>
      </c>
      <c r="K17" s="259">
        <f>+J17</f>
        <v>178.73799999999997</v>
      </c>
      <c r="L17" s="259">
        <f t="shared" ref="L17:U17" si="39">+K17</f>
        <v>178.73799999999997</v>
      </c>
      <c r="M17" s="259">
        <f t="shared" si="39"/>
        <v>178.73799999999997</v>
      </c>
      <c r="N17" s="259">
        <f t="shared" si="39"/>
        <v>178.73799999999997</v>
      </c>
      <c r="O17" s="259">
        <f t="shared" si="39"/>
        <v>178.73799999999997</v>
      </c>
      <c r="P17" s="259">
        <f t="shared" si="39"/>
        <v>178.73799999999997</v>
      </c>
      <c r="Q17" s="259">
        <f t="shared" si="39"/>
        <v>178.73799999999997</v>
      </c>
      <c r="R17" s="259">
        <f t="shared" si="39"/>
        <v>178.73799999999997</v>
      </c>
      <c r="S17" s="259">
        <f t="shared" si="39"/>
        <v>178.73799999999997</v>
      </c>
      <c r="T17" s="259">
        <f t="shared" si="39"/>
        <v>178.73799999999997</v>
      </c>
      <c r="U17" s="387">
        <f t="shared" si="39"/>
        <v>178.73799999999997</v>
      </c>
    </row>
    <row r="18" spans="1:23">
      <c r="A18" s="442" t="s">
        <v>220</v>
      </c>
      <c r="B18" s="528">
        <f>+SUM(B11:B17)</f>
        <v>18543.370604490876</v>
      </c>
      <c r="C18" s="259">
        <f t="shared" ref="C18:U18" si="40">+SUM(C11:C17)</f>
        <v>6730.6006044908754</v>
      </c>
      <c r="D18" s="259">
        <f t="shared" si="40"/>
        <v>7267.3006044908752</v>
      </c>
      <c r="E18" s="259">
        <f t="shared" si="40"/>
        <v>5174.4506044908758</v>
      </c>
      <c r="F18" s="259">
        <f t="shared" si="40"/>
        <v>5157.3006044908752</v>
      </c>
      <c r="G18" s="259">
        <f t="shared" si="40"/>
        <v>6730.6006044908754</v>
      </c>
      <c r="H18" s="259">
        <f t="shared" si="40"/>
        <v>9639.1506044908747</v>
      </c>
      <c r="I18" s="387">
        <f t="shared" si="40"/>
        <v>7713.1588685701254</v>
      </c>
      <c r="J18" s="440">
        <f t="shared" si="40"/>
        <v>7160.5787583562351</v>
      </c>
      <c r="K18" s="259">
        <f t="shared" si="40"/>
        <v>7878.7287583562356</v>
      </c>
      <c r="L18" s="259">
        <f t="shared" si="40"/>
        <v>10266.445425022901</v>
      </c>
      <c r="M18" s="259">
        <f t="shared" si="40"/>
        <v>5214.8787583562353</v>
      </c>
      <c r="N18" s="259">
        <f t="shared" si="40"/>
        <v>10640.068758356234</v>
      </c>
      <c r="O18" s="259">
        <f t="shared" si="40"/>
        <v>7324.8787583562353</v>
      </c>
      <c r="P18" s="259">
        <f t="shared" si="40"/>
        <v>6610.5787583562351</v>
      </c>
      <c r="Q18" s="259">
        <f t="shared" si="40"/>
        <v>5768.7287583562356</v>
      </c>
      <c r="R18" s="259">
        <f t="shared" si="40"/>
        <v>6610.5787583562351</v>
      </c>
      <c r="S18" s="259">
        <f t="shared" si="40"/>
        <v>5694.8787583562353</v>
      </c>
      <c r="T18" s="259">
        <f t="shared" si="40"/>
        <v>10160.068758356234</v>
      </c>
      <c r="U18" s="387">
        <f t="shared" si="40"/>
        <v>18366.28506899624</v>
      </c>
    </row>
    <row r="19" spans="1:23">
      <c r="A19" s="442"/>
      <c r="B19" s="530"/>
      <c r="C19" s="235"/>
      <c r="D19" s="235"/>
      <c r="E19" s="235"/>
      <c r="F19" s="235"/>
      <c r="G19" s="235"/>
      <c r="H19" s="235"/>
      <c r="I19" s="449"/>
      <c r="J19" s="446"/>
      <c r="K19" s="389"/>
      <c r="L19" s="389"/>
      <c r="M19" s="389"/>
      <c r="N19" s="389"/>
      <c r="O19" s="389"/>
      <c r="P19" s="389"/>
      <c r="Q19" s="389"/>
      <c r="R19" s="389"/>
      <c r="S19" s="389"/>
      <c r="T19" s="389"/>
      <c r="U19" s="390"/>
    </row>
    <row r="20" spans="1:23">
      <c r="A20" s="442" t="s">
        <v>221</v>
      </c>
      <c r="B20" s="528">
        <f t="shared" ref="B20:I20" si="41">+B9-B18</f>
        <v>-10193.370604490876</v>
      </c>
      <c r="C20" s="259">
        <f t="shared" si="41"/>
        <v>2999.3993955091246</v>
      </c>
      <c r="D20" s="259">
        <f t="shared" si="41"/>
        <v>1767.6993955091248</v>
      </c>
      <c r="E20" s="259">
        <f t="shared" si="41"/>
        <v>5075.5493955091242</v>
      </c>
      <c r="F20" s="259">
        <f t="shared" si="41"/>
        <v>4902.6993955091248</v>
      </c>
      <c r="G20" s="259">
        <f t="shared" si="41"/>
        <v>1494.3993955091246</v>
      </c>
      <c r="H20" s="259">
        <f t="shared" si="41"/>
        <v>-1034.1506044908747</v>
      </c>
      <c r="I20" s="387">
        <f t="shared" si="41"/>
        <v>-1513.1588685701254</v>
      </c>
      <c r="J20" s="440">
        <f t="shared" ref="J20:T20" si="42">+J9-J18</f>
        <v>1939.2882416437633</v>
      </c>
      <c r="K20" s="259">
        <f t="shared" si="42"/>
        <v>4559.3332416437624</v>
      </c>
      <c r="L20" s="259">
        <f t="shared" si="42"/>
        <v>2770.9145749770978</v>
      </c>
      <c r="M20" s="259">
        <f t="shared" si="42"/>
        <v>5840.5922416437643</v>
      </c>
      <c r="N20" s="259">
        <f t="shared" si="42"/>
        <v>2544.4872416437665</v>
      </c>
      <c r="O20" s="259">
        <f t="shared" si="42"/>
        <v>4182.6942416437651</v>
      </c>
      <c r="P20" s="259">
        <f t="shared" si="42"/>
        <v>5296.5262416437645</v>
      </c>
      <c r="Q20" s="259">
        <f t="shared" si="42"/>
        <v>6017.4652416437639</v>
      </c>
      <c r="R20" s="259">
        <f t="shared" si="42"/>
        <v>5974.6792416437647</v>
      </c>
      <c r="S20" s="259">
        <f t="shared" si="42"/>
        <v>5612.9282416437654</v>
      </c>
      <c r="T20" s="259">
        <f t="shared" si="42"/>
        <v>-981.3467583562342</v>
      </c>
      <c r="U20" s="259">
        <f>+U9-U18</f>
        <v>-10717.35006899624</v>
      </c>
      <c r="V20" s="111"/>
      <c r="W20" s="111"/>
    </row>
    <row r="21" spans="1:23" ht="15.75" thickBot="1">
      <c r="A21" s="443" t="s">
        <v>222</v>
      </c>
      <c r="B21" s="531">
        <f>+B20</f>
        <v>-10193.370604490876</v>
      </c>
      <c r="C21" s="532">
        <f t="shared" ref="C21:I21" si="43">+B21+C20</f>
        <v>-7193.9712089817513</v>
      </c>
      <c r="D21" s="532">
        <f t="shared" si="43"/>
        <v>-5426.2718134726265</v>
      </c>
      <c r="E21" s="532">
        <f t="shared" si="43"/>
        <v>-350.72241796350227</v>
      </c>
      <c r="F21" s="532">
        <f t="shared" si="43"/>
        <v>4551.9769775456225</v>
      </c>
      <c r="G21" s="532">
        <f t="shared" si="43"/>
        <v>6046.3763730547471</v>
      </c>
      <c r="H21" s="532">
        <f t="shared" si="43"/>
        <v>5012.2257685638724</v>
      </c>
      <c r="I21" s="533">
        <f t="shared" si="43"/>
        <v>3499.066899993747</v>
      </c>
      <c r="J21" s="527">
        <f t="shared" ref="J21" si="44">+I21+J20</f>
        <v>5438.3551416375103</v>
      </c>
      <c r="K21" s="387">
        <f t="shared" ref="K21" si="45">+J21+K20</f>
        <v>9997.6883832812728</v>
      </c>
      <c r="L21" s="387">
        <f t="shared" ref="L21" si="46">+K21+L20</f>
        <v>12768.602958258371</v>
      </c>
      <c r="M21" s="387">
        <f t="shared" ref="M21" si="47">+L21+M20</f>
        <v>18609.195199902133</v>
      </c>
      <c r="N21" s="387">
        <f t="shared" ref="N21" si="48">+M21+N20</f>
        <v>21153.682441545898</v>
      </c>
      <c r="O21" s="387">
        <f t="shared" ref="O21" si="49">+N21+O20</f>
        <v>25336.376683189665</v>
      </c>
      <c r="P21" s="387">
        <f t="shared" ref="P21" si="50">+O21+P20</f>
        <v>30632.90292483343</v>
      </c>
      <c r="Q21" s="387">
        <f t="shared" ref="Q21" si="51">+P21+Q20</f>
        <v>36650.368166477194</v>
      </c>
      <c r="R21" s="387">
        <f t="shared" ref="R21" si="52">+Q21+R20</f>
        <v>42625.047408120961</v>
      </c>
      <c r="S21" s="387">
        <f t="shared" ref="S21" si="53">+R21+S20</f>
        <v>48237.975649764725</v>
      </c>
      <c r="T21" s="387">
        <f t="shared" ref="T21" si="54">+S21+T20</f>
        <v>47256.628891408487</v>
      </c>
      <c r="U21" s="387">
        <f t="shared" ref="U21" si="55">+T21+U20</f>
        <v>36539.278822412249</v>
      </c>
    </row>
    <row r="22" spans="1:23">
      <c r="A22" s="236"/>
      <c r="B22" s="236"/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</row>
    <row r="23" spans="1:23">
      <c r="A23" s="398" t="s">
        <v>223</v>
      </c>
      <c r="B23" s="235">
        <f>+B21</f>
        <v>-10193.370604490876</v>
      </c>
      <c r="C23" s="236"/>
      <c r="D23" s="236"/>
      <c r="E23" s="236"/>
      <c r="F23" s="236"/>
      <c r="G23" s="236"/>
      <c r="H23" s="236"/>
      <c r="I23" s="236"/>
      <c r="K23" s="236"/>
      <c r="L23" s="236"/>
      <c r="M23" s="236"/>
    </row>
    <row r="24" spans="1:23">
      <c r="A24" s="236"/>
      <c r="B24" s="236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36"/>
    </row>
    <row r="25" spans="1:23">
      <c r="A25" s="236"/>
      <c r="B25" s="236"/>
      <c r="C25" s="236"/>
      <c r="D25" s="236"/>
      <c r="E25" s="236"/>
      <c r="G25" s="236"/>
      <c r="H25" s="236"/>
      <c r="I25" s="236"/>
      <c r="J25" s="236"/>
      <c r="K25" s="236"/>
      <c r="L25" s="236"/>
      <c r="M25" s="236"/>
    </row>
    <row r="26" spans="1:23">
      <c r="A26" s="333" t="s">
        <v>224</v>
      </c>
      <c r="B26" s="307">
        <f>+'Activos Fijos y Diferidos'!E64</f>
        <v>92484.469999999987</v>
      </c>
      <c r="C26" s="236"/>
      <c r="D26" s="236"/>
      <c r="H26" s="236"/>
      <c r="I26" s="236"/>
      <c r="K26" s="236"/>
      <c r="L26" s="236"/>
      <c r="M26" s="236"/>
    </row>
    <row r="27" spans="1:23">
      <c r="A27" s="333" t="s">
        <v>226</v>
      </c>
      <c r="B27" s="259">
        <v>650</v>
      </c>
      <c r="C27" s="236"/>
      <c r="D27" s="236"/>
      <c r="H27" s="391"/>
      <c r="I27" s="236"/>
      <c r="J27" s="236"/>
      <c r="K27" s="236"/>
      <c r="L27" s="236"/>
      <c r="M27" s="236"/>
    </row>
    <row r="28" spans="1:23">
      <c r="A28" s="333" t="s">
        <v>223</v>
      </c>
      <c r="B28" s="259">
        <f>-B23</f>
        <v>10193.370604490876</v>
      </c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</row>
    <row r="29" spans="1:23">
      <c r="A29" s="333" t="s">
        <v>257</v>
      </c>
      <c r="B29" s="308">
        <f>SUM(B26:B28)</f>
        <v>103327.84060449086</v>
      </c>
      <c r="C29" s="236"/>
      <c r="D29" s="236"/>
      <c r="F29" s="236"/>
      <c r="G29" s="236"/>
      <c r="H29" s="236"/>
      <c r="I29" s="236"/>
      <c r="J29" s="236"/>
      <c r="K29" s="236"/>
      <c r="L29" s="236"/>
      <c r="M29" s="236"/>
    </row>
    <row r="30" spans="1:23">
      <c r="A30" s="236"/>
      <c r="B30" s="236"/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36"/>
    </row>
    <row r="31" spans="1:23">
      <c r="A31" s="611" t="s">
        <v>259</v>
      </c>
      <c r="B31" s="611"/>
      <c r="C31" s="236"/>
      <c r="D31" s="236"/>
      <c r="F31" s="236"/>
      <c r="H31" s="236"/>
      <c r="I31" s="236"/>
      <c r="J31" s="236"/>
      <c r="K31" s="236"/>
      <c r="L31" s="236"/>
      <c r="M31" s="236"/>
    </row>
    <row r="32" spans="1:23">
      <c r="A32" s="333" t="s">
        <v>260</v>
      </c>
      <c r="B32" s="259">
        <f>+B29*70%</f>
        <v>72329.488423143601</v>
      </c>
      <c r="C32" s="236"/>
      <c r="D32" s="236"/>
      <c r="F32" s="236"/>
      <c r="H32" s="236"/>
      <c r="I32" s="236"/>
      <c r="J32" s="236"/>
      <c r="K32" s="236"/>
      <c r="L32" s="236"/>
      <c r="M32" s="236"/>
    </row>
    <row r="33" spans="1:13">
      <c r="A33" s="333" t="s">
        <v>310</v>
      </c>
      <c r="B33" s="259">
        <f>+B29-B32</f>
        <v>30998.352181347262</v>
      </c>
      <c r="E33" s="263"/>
    </row>
    <row r="36" spans="1:13">
      <c r="B36" s="617" t="s">
        <v>433</v>
      </c>
      <c r="C36" s="617"/>
      <c r="D36" s="617" t="s">
        <v>436</v>
      </c>
      <c r="E36" s="617"/>
    </row>
    <row r="37" spans="1:13">
      <c r="A37" s="35"/>
      <c r="B37" s="394">
        <v>2012</v>
      </c>
      <c r="C37" s="394">
        <v>2013</v>
      </c>
      <c r="D37" s="394">
        <v>2012</v>
      </c>
      <c r="E37" s="394">
        <v>2013</v>
      </c>
      <c r="F37" s="210"/>
      <c r="H37" s="210"/>
      <c r="I37" s="210"/>
      <c r="J37" s="210"/>
      <c r="K37" s="210"/>
      <c r="L37" s="210"/>
      <c r="M37" s="210"/>
    </row>
    <row r="38" spans="1:13">
      <c r="A38" s="333" t="s">
        <v>434</v>
      </c>
      <c r="B38" s="259">
        <f>+SUM(B5:I5)</f>
        <v>47085</v>
      </c>
      <c r="C38" s="259">
        <f>+SUM(B11:I11)</f>
        <v>23932.723100006253</v>
      </c>
      <c r="D38" s="392">
        <f>+SUM(B4:I4)</f>
        <v>219</v>
      </c>
      <c r="E38" s="75">
        <f>+SUM(J4:U4)</f>
        <v>414</v>
      </c>
      <c r="F38" s="234"/>
      <c r="G38" s="234"/>
      <c r="H38" s="234"/>
      <c r="I38" s="234"/>
      <c r="J38" s="234"/>
      <c r="K38" s="234"/>
      <c r="L38" s="234"/>
      <c r="M38" s="234"/>
    </row>
    <row r="39" spans="1:13">
      <c r="A39" s="333" t="s">
        <v>435</v>
      </c>
      <c r="B39" s="259">
        <f>+SUM(B8:I8)</f>
        <v>23370</v>
      </c>
      <c r="C39" s="259">
        <f>+SUM(B12:I12)</f>
        <v>16448.570000000003</v>
      </c>
      <c r="D39" s="392">
        <f>+SUM(B7:I7)</f>
        <v>123</v>
      </c>
      <c r="E39" s="332">
        <f>SUM(J7:U7)</f>
        <v>206</v>
      </c>
      <c r="F39" s="263"/>
      <c r="G39" s="505"/>
      <c r="H39" s="263"/>
      <c r="I39" s="263"/>
      <c r="J39" s="263"/>
      <c r="K39" s="263"/>
      <c r="L39" s="263"/>
      <c r="M39" s="263"/>
    </row>
    <row r="40" spans="1:13">
      <c r="A40" s="208"/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</row>
    <row r="41" spans="1:13">
      <c r="A41" s="208"/>
      <c r="B41" s="263"/>
      <c r="C41" s="263"/>
      <c r="D41" s="263"/>
      <c r="E41" s="263"/>
      <c r="F41" s="263"/>
      <c r="G41" s="263"/>
      <c r="H41" s="263"/>
      <c r="I41" s="263"/>
      <c r="J41" s="263"/>
      <c r="K41" s="263"/>
      <c r="L41" s="263"/>
      <c r="M41" s="263"/>
    </row>
    <row r="42" spans="1:13">
      <c r="A42" s="208"/>
      <c r="B42" s="263"/>
      <c r="C42" s="263"/>
      <c r="D42" s="263"/>
      <c r="E42" s="263"/>
      <c r="F42" s="263"/>
      <c r="G42" s="263"/>
      <c r="H42" s="263"/>
      <c r="I42" s="263"/>
      <c r="J42" s="263"/>
      <c r="K42" s="263"/>
      <c r="L42" s="263"/>
      <c r="M42" s="263"/>
    </row>
    <row r="43" spans="1:13">
      <c r="B43" s="618" t="s">
        <v>437</v>
      </c>
      <c r="C43" s="618"/>
      <c r="D43" s="610"/>
      <c r="E43" s="610"/>
      <c r="F43" s="262"/>
      <c r="G43" s="262"/>
      <c r="H43" s="262"/>
      <c r="I43" s="262"/>
      <c r="J43" s="262"/>
      <c r="K43" s="262"/>
      <c r="L43" s="262"/>
      <c r="M43" s="262"/>
    </row>
    <row r="44" spans="1:13">
      <c r="A44" s="35"/>
      <c r="B44" s="397">
        <v>2012</v>
      </c>
      <c r="C44" s="397">
        <v>2013</v>
      </c>
      <c r="D44" s="610"/>
      <c r="E44" s="610"/>
      <c r="F44" s="263"/>
      <c r="G44" s="263"/>
      <c r="H44" s="263"/>
      <c r="I44" s="263"/>
      <c r="J44" s="263"/>
      <c r="K44" s="263"/>
      <c r="L44" s="263"/>
      <c r="M44" s="263"/>
    </row>
    <row r="45" spans="1:13">
      <c r="A45" s="333" t="s">
        <v>440</v>
      </c>
      <c r="B45" s="396">
        <f>+SUM(B12:I12)</f>
        <v>16448.570000000003</v>
      </c>
      <c r="C45" s="259">
        <f>+SUM(J12:U12)</f>
        <v>13496.88</v>
      </c>
      <c r="D45" s="395"/>
      <c r="E45" s="395"/>
      <c r="F45" s="263"/>
      <c r="G45" s="263"/>
      <c r="H45" s="263"/>
      <c r="I45" s="263"/>
      <c r="J45" s="263"/>
      <c r="K45" s="263"/>
      <c r="L45" s="263"/>
      <c r="M45" s="263"/>
    </row>
    <row r="46" spans="1:13">
      <c r="A46" s="333" t="s">
        <v>438</v>
      </c>
      <c r="B46" s="259">
        <f>+SUM(B17:I17)</f>
        <v>1360</v>
      </c>
      <c r="C46" s="259">
        <f>+SUM(J17:U17)</f>
        <v>2144.8560000000002</v>
      </c>
      <c r="D46" s="393"/>
      <c r="E46" s="35"/>
      <c r="F46" s="263"/>
      <c r="G46" s="263"/>
      <c r="H46" s="263"/>
      <c r="I46" s="263"/>
      <c r="J46" s="263"/>
      <c r="K46" s="263"/>
      <c r="L46" s="263"/>
      <c r="M46" s="263"/>
    </row>
    <row r="47" spans="1:13">
      <c r="A47" s="333" t="s">
        <v>439</v>
      </c>
      <c r="B47" s="259">
        <f>+SUM(B16:I16)</f>
        <v>1120</v>
      </c>
      <c r="C47" s="259">
        <f>+SUM(J16:U16)</f>
        <v>1766.3519999999996</v>
      </c>
      <c r="D47" s="393"/>
      <c r="E47" s="262"/>
      <c r="F47" s="263"/>
      <c r="G47" s="263"/>
      <c r="H47" s="263"/>
      <c r="I47" s="263"/>
      <c r="J47" s="263"/>
      <c r="K47" s="263"/>
      <c r="L47" s="263"/>
      <c r="M47" s="263"/>
    </row>
    <row r="48" spans="1:13">
      <c r="A48" s="208"/>
      <c r="B48" s="263"/>
      <c r="C48" s="263"/>
      <c r="D48" s="263"/>
      <c r="E48" s="263"/>
      <c r="F48" s="263"/>
      <c r="G48" s="263"/>
      <c r="H48" s="263"/>
      <c r="I48" s="263"/>
      <c r="J48" s="263"/>
      <c r="K48" s="263"/>
      <c r="L48" s="263"/>
      <c r="M48" s="263"/>
    </row>
    <row r="49" spans="1:13">
      <c r="A49" s="208"/>
      <c r="B49" s="263"/>
      <c r="C49" s="263"/>
      <c r="D49" s="263"/>
      <c r="E49" s="263"/>
      <c r="F49" s="263"/>
      <c r="G49" s="263"/>
      <c r="H49" s="263"/>
      <c r="I49" s="263"/>
      <c r="J49" s="263"/>
      <c r="K49" s="263"/>
      <c r="L49" s="263"/>
      <c r="M49" s="263"/>
    </row>
    <row r="50" spans="1:13">
      <c r="A50" s="208"/>
      <c r="B50" s="263"/>
      <c r="C50" s="263"/>
      <c r="D50" s="263"/>
      <c r="E50" s="263"/>
      <c r="F50" s="263"/>
      <c r="G50" s="263"/>
      <c r="H50" s="263"/>
      <c r="I50" s="263"/>
      <c r="J50" s="263"/>
      <c r="K50" s="263"/>
      <c r="L50" s="263"/>
      <c r="M50" s="263"/>
    </row>
    <row r="51" spans="1:13">
      <c r="A51" s="35"/>
      <c r="B51" s="478">
        <v>2012</v>
      </c>
      <c r="C51" s="478">
        <v>2013</v>
      </c>
      <c r="D51" s="263"/>
      <c r="E51" s="263"/>
      <c r="F51" s="263"/>
      <c r="G51" s="263"/>
      <c r="H51" s="263"/>
      <c r="I51" s="263"/>
      <c r="J51" s="263"/>
      <c r="K51" s="263"/>
      <c r="L51" s="263"/>
      <c r="M51" s="263"/>
    </row>
    <row r="52" spans="1:13">
      <c r="A52" s="333" t="s">
        <v>216</v>
      </c>
      <c r="B52" s="396">
        <f>+SUM(B11:I11)</f>
        <v>23932.723100006253</v>
      </c>
      <c r="C52" s="396">
        <f>+SUM(J11:U11)</f>
        <v>57806.650077581478</v>
      </c>
      <c r="D52" s="263"/>
      <c r="E52" s="263"/>
      <c r="F52" s="263"/>
      <c r="G52" s="263"/>
      <c r="H52" s="263"/>
      <c r="I52" s="263"/>
      <c r="J52" s="263"/>
      <c r="K52" s="263"/>
      <c r="L52" s="263"/>
      <c r="M52" s="263"/>
    </row>
    <row r="53" spans="1:13">
      <c r="A53" s="208"/>
      <c r="B53" s="263"/>
      <c r="C53" s="263"/>
      <c r="D53" s="263"/>
      <c r="E53" s="263"/>
      <c r="F53" s="263"/>
      <c r="G53" s="263"/>
      <c r="H53" s="263"/>
      <c r="I53" s="263"/>
      <c r="J53" s="263"/>
      <c r="K53" s="263"/>
      <c r="L53" s="263"/>
      <c r="M53" s="263"/>
    </row>
    <row r="54" spans="1:13">
      <c r="A54" s="208"/>
      <c r="B54" s="263"/>
      <c r="C54" s="263"/>
      <c r="D54" s="263"/>
      <c r="E54" s="263"/>
      <c r="F54" s="263"/>
      <c r="G54" s="263"/>
      <c r="H54" s="263"/>
      <c r="I54" s="263"/>
      <c r="J54" s="263"/>
      <c r="K54" s="263"/>
      <c r="L54" s="263"/>
      <c r="M54" s="263"/>
    </row>
    <row r="55" spans="1:13">
      <c r="A55" s="208"/>
      <c r="B55" s="263"/>
      <c r="C55" s="263"/>
      <c r="D55" s="263"/>
      <c r="E55" s="263"/>
      <c r="F55" s="263"/>
      <c r="G55" s="263"/>
      <c r="H55" s="263"/>
      <c r="I55" s="263"/>
      <c r="J55" s="263"/>
      <c r="K55" s="263"/>
      <c r="L55" s="263"/>
      <c r="M55" s="263"/>
    </row>
    <row r="56" spans="1:13">
      <c r="A56" s="208"/>
      <c r="B56" s="263"/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M56" s="263"/>
    </row>
  </sheetData>
  <mergeCells count="8">
    <mergeCell ref="D44:E44"/>
    <mergeCell ref="A31:B31"/>
    <mergeCell ref="B1:I1"/>
    <mergeCell ref="J1:U1"/>
    <mergeCell ref="B36:C36"/>
    <mergeCell ref="D36:E36"/>
    <mergeCell ref="B43:C43"/>
    <mergeCell ref="D43:E43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Sueldo y Salario </vt:lpstr>
      <vt:lpstr>Publicidad</vt:lpstr>
      <vt:lpstr>DEPRECIACION</vt:lpstr>
      <vt:lpstr>Activos Fijos y Diferidos</vt:lpstr>
      <vt:lpstr>Gastos Operacionales</vt:lpstr>
      <vt:lpstr>Reinversión GO</vt:lpstr>
      <vt:lpstr>Costos Fijos</vt:lpstr>
      <vt:lpstr>Obras Fisicas</vt:lpstr>
      <vt:lpstr>Capital de Trabajo</vt:lpstr>
      <vt:lpstr>Financiamiento</vt:lpstr>
      <vt:lpstr>Flujo de Caja</vt:lpstr>
      <vt:lpstr>Payback</vt:lpstr>
      <vt:lpstr>CAPM</vt:lpstr>
      <vt:lpstr>Fujo de caja 2</vt:lpstr>
      <vt:lpstr>Flujo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Usuario</cp:lastModifiedBy>
  <dcterms:created xsi:type="dcterms:W3CDTF">2012-04-18T21:34:11Z</dcterms:created>
  <dcterms:modified xsi:type="dcterms:W3CDTF">2012-04-24T11:27:23Z</dcterms:modified>
</cp:coreProperties>
</file>