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960" windowHeight="6195" tabRatio="740" activeTab="0"/>
  </bookViews>
  <sheets>
    <sheet name="ANEXO 2.1.1.1 #est." sheetId="1" r:id="rId1"/>
    <sheet name="ANEXO3.1.3 DEP. ANUAL" sheetId="2" r:id="rId2"/>
    <sheet name="ANEXOCONSUMO DE AGUA ESPOL" sheetId="3" r:id="rId3"/>
    <sheet name="ANEXOHORROSPLANTA" sheetId="4" r:id="rId4"/>
    <sheet name="POBLACION ESPOL" sheetId="5" r:id="rId5"/>
    <sheet name="3.1 Inversiónes" sheetId="6" r:id="rId6"/>
    <sheet name="3.1.1 Inv. Fija" sheetId="7" r:id="rId7"/>
    <sheet name="3.1.3 DEPRE" sheetId="8" r:id="rId8"/>
    <sheet name="3.2.1 Costos Construccion" sheetId="9" r:id="rId9"/>
    <sheet name="3.2.2 Costos Operativos" sheetId="10" r:id="rId10"/>
    <sheet name="3.2.3 Costos Financieros" sheetId="11" r:id="rId11"/>
    <sheet name="3.2.3 Costos Financieros2" sheetId="12" r:id="rId12"/>
    <sheet name="3.3.1 P y G" sheetId="13" r:id="rId13"/>
    <sheet name="3.3.2 Flujo de caja con fin" sheetId="14" r:id="rId14"/>
    <sheet name="3.3.2 Flujo de caja sin financi" sheetId="15" r:id="rId15"/>
    <sheet name="4.2.3 Periodo de Recuperacion" sheetId="16" r:id="rId16"/>
    <sheet name="4.4 Analisis de Sensibilidad" sheetId="17" r:id="rId17"/>
  </sheets>
  <externalReferences>
    <externalReference r:id="rId20"/>
  </externalReferences>
  <definedNames>
    <definedName name="_xlnm.Print_Area" localSheetId="5">'3.1 Inversiónes'!$A$2:$C$18</definedName>
    <definedName name="_xlnm.Print_Area" localSheetId="6">'3.1.1 Inv. Fija'!$A$2:$D$23</definedName>
    <definedName name="_xlnm.Print_Area" localSheetId="7">'3.1.3 DEPRE'!$A$2:$H$21</definedName>
    <definedName name="_xlnm.Print_Area" localSheetId="8">'3.2.1 Costos Construccion'!$A$1:$D$26</definedName>
    <definedName name="_xlnm.Print_Area" localSheetId="9">'3.2.2 Costos Operativos'!$A$1:$D$24</definedName>
    <definedName name="_xlnm.Print_Area" localSheetId="10">'3.2.3 Costos Financieros'!$A$2:$B$16</definedName>
    <definedName name="_xlnm.Print_Area" localSheetId="11">'3.2.3 Costos Financieros2'!$A$2:$I$19</definedName>
    <definedName name="_xlnm.Print_Area" localSheetId="12">'3.3.1 P y G'!$A$1:$K$28</definedName>
    <definedName name="_xlnm.Print_Area" localSheetId="13">'3.3.2 Flujo de caja con fin'!$A$2:$L$34</definedName>
    <definedName name="_xlnm.Print_Area" localSheetId="14">'3.3.2 Flujo de caja sin financi'!$A$1:$L$33</definedName>
    <definedName name="_xlnm.Print_Area" localSheetId="15">'4.2.3 Periodo de Recuperacion'!$A$2:$E$19</definedName>
    <definedName name="_xlnm.Print_Area" localSheetId="16">'4.4 Analisis de Sensibilidad'!#REF!</definedName>
    <definedName name="_xlnm.Print_Area" localSheetId="1">'ANEXO3.1.3 DEP. ANUAL'!$A$1:$K$25</definedName>
    <definedName name="_xlnm.Print_Area" localSheetId="2">'ANEXOCONSUMO DE AGUA ESPOL'!$A$1:$K$21</definedName>
    <definedName name="_xlnm.Print_Area" localSheetId="3">'ANEXOHORROSPLANTA'!$A$1:$O$24</definedName>
    <definedName name="TER">#REF!</definedName>
    <definedName name="TIR">#REF!</definedName>
    <definedName name="VAN">#REF!</definedName>
  </definedNames>
  <calcPr fullCalcOnLoad="1"/>
</workbook>
</file>

<file path=xl/sharedStrings.xml><?xml version="1.0" encoding="utf-8"?>
<sst xmlns="http://schemas.openxmlformats.org/spreadsheetml/2006/main" count="440" uniqueCount="233">
  <si>
    <t>DESCRIPCION</t>
  </si>
  <si>
    <t>VALOR</t>
  </si>
  <si>
    <t>PARTICIPACION</t>
  </si>
  <si>
    <t>(%)</t>
  </si>
  <si>
    <t>I.- INVERSION FIJA</t>
  </si>
  <si>
    <t>II.- CAPITAL DE OPERACION</t>
  </si>
  <si>
    <t>TOTAL</t>
  </si>
  <si>
    <t>OTROS ACTIVOS</t>
  </si>
  <si>
    <t>PORCENTAJE</t>
  </si>
  <si>
    <t xml:space="preserve"> </t>
  </si>
  <si>
    <t>Instalaciones Generales</t>
  </si>
  <si>
    <t>VIDA UTIL</t>
  </si>
  <si>
    <t>RESUMEN DE INVERSIONES</t>
  </si>
  <si>
    <t>INVERSION FIJA</t>
  </si>
  <si>
    <t>(dólares)</t>
  </si>
  <si>
    <t>(en dólares)</t>
  </si>
  <si>
    <t>AÑO 1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</si>
  <si>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</si>
  <si>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</si>
  <si>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</si>
  <si>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</si>
  <si>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</si>
  <si>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</si>
  <si>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</si>
  <si>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</si>
  <si>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EDIFICACIONES Y OBRAS CIVILES</t>
  </si>
  <si>
    <t>EQUIPOS Y MAQUINARIAS</t>
  </si>
  <si>
    <t xml:space="preserve">AÑO 2 </t>
  </si>
  <si>
    <t>DEPRECIACIONES</t>
  </si>
  <si>
    <t>Elaboración: Autores del Proyecto</t>
  </si>
  <si>
    <t xml:space="preserve">DEPRECIACIONES ANUALES </t>
  </si>
  <si>
    <t>AÑO</t>
  </si>
  <si>
    <t>B: SUELDOS Y SALARIOS</t>
  </si>
  <si>
    <t>PRESTAMO</t>
  </si>
  <si>
    <t>ACCIONISTAS</t>
  </si>
  <si>
    <t>MONTO DE PRESTAMO</t>
  </si>
  <si>
    <t>PERIODO DE PAGO</t>
  </si>
  <si>
    <t>SEMESTRAL</t>
  </si>
  <si>
    <t>PERIODOS</t>
  </si>
  <si>
    <t>TASA DE INTERES</t>
  </si>
  <si>
    <t>PAGO</t>
  </si>
  <si>
    <t>CAPITAL</t>
  </si>
  <si>
    <t>CUOTA</t>
  </si>
  <si>
    <t>INTERES</t>
  </si>
  <si>
    <t>AMORTIZACION</t>
  </si>
  <si>
    <t xml:space="preserve">AÑO </t>
  </si>
  <si>
    <t>INTERESES</t>
  </si>
  <si>
    <t>AMORTIZACION DE PRESTAMO</t>
  </si>
  <si>
    <t>AMORTIZACIÓN ANUAL</t>
  </si>
  <si>
    <t>DETERMINACION DEL COSTO DE CAPITAL</t>
  </si>
  <si>
    <t>UTIL O PERD</t>
  </si>
  <si>
    <t>DESECHO</t>
  </si>
  <si>
    <t>RESCATE</t>
  </si>
  <si>
    <t>DEP</t>
  </si>
  <si>
    <t>C TOTAL</t>
  </si>
  <si>
    <t>COSTO DE CAPITAL PRESTADO</t>
  </si>
  <si>
    <t>PRIMA DE GANANCIA ESPERADA</t>
  </si>
  <si>
    <t>TASA MINIMA ATRACTIVA DE RETORNO</t>
  </si>
  <si>
    <t>COSTO PROMEDIO PONDERADO DE CAPITAL</t>
  </si>
  <si>
    <t>COSTO DE CAPITA PROPIO ACCIONISTAS rk</t>
  </si>
  <si>
    <t>PORCENTAJE DE CAPITAL PROPIO</t>
  </si>
  <si>
    <t>PORCENTAJE DE CAPITAL PRESTADO</t>
  </si>
  <si>
    <t>NIVEL DE IMPOSITIVO</t>
  </si>
  <si>
    <t xml:space="preserve">COSTO DE CAPITAL  </t>
  </si>
  <si>
    <t>INFRAESTRUCTURA</t>
  </si>
  <si>
    <t>Lagunas</t>
  </si>
  <si>
    <t>Clarificador Metalico</t>
  </si>
  <si>
    <t>MES</t>
  </si>
  <si>
    <t>Consumo Total m3</t>
  </si>
  <si>
    <t>VALOR FACTURADO</t>
  </si>
  <si>
    <t>PROMEDIO</t>
  </si>
  <si>
    <t>Blowers</t>
  </si>
  <si>
    <t>Aireadores</t>
  </si>
  <si>
    <t>Equipo de clarificacion</t>
  </si>
  <si>
    <t>Unidad de desinfeccion</t>
  </si>
  <si>
    <t>Tablero Electrico</t>
  </si>
  <si>
    <t>Sistema de distribucion de aire</t>
  </si>
  <si>
    <t>Instalaciones Electricas</t>
  </si>
  <si>
    <t>A. OBRAS PRELIMINARES</t>
  </si>
  <si>
    <t>Trasado y Replantteo</t>
  </si>
  <si>
    <t>Caseta de Guardiania</t>
  </si>
  <si>
    <t>Guardiania de la  Obra</t>
  </si>
  <si>
    <t>B: EXCAVACIONES Y RELLENO</t>
  </si>
  <si>
    <t>Excavacion de Lagunas a Maquina</t>
  </si>
  <si>
    <t>Relleno Compactado de Muros con material del sitio</t>
  </si>
  <si>
    <t>Relleno compactado del muros y base con material mejorado</t>
  </si>
  <si>
    <t>Desalojo de materiales de excavacion</t>
  </si>
  <si>
    <t>C: ESTRUCTURAS EN GENERAL</t>
  </si>
  <si>
    <t>Geotextil o Liner</t>
  </si>
  <si>
    <t>(Dolares)</t>
  </si>
  <si>
    <t>Operador</t>
  </si>
  <si>
    <t>A. COSTOS OPERATIVOS</t>
  </si>
  <si>
    <t>Energia Electrica</t>
  </si>
  <si>
    <t>Motores Electricos</t>
  </si>
  <si>
    <t>Cambio de aceite al blower</t>
  </si>
  <si>
    <t>TASA ACTIVA REFERENCIAL</t>
  </si>
  <si>
    <t>ALUMNOS</t>
  </si>
  <si>
    <t>PERSONAL ADMINISTRATIVO</t>
  </si>
  <si>
    <t>PROFESORADO</t>
  </si>
  <si>
    <t>POBLACION TOTAL</t>
  </si>
  <si>
    <t>POBLACION DE LA ESPOL, HISTORICA Y ESTIMADA                (CANTIDAD DE PERSONAS)</t>
  </si>
  <si>
    <t>VARIACION ANUAL PROMEDIO</t>
  </si>
  <si>
    <t>P.ADMINISTRATIVO</t>
  </si>
  <si>
    <t>POBLACION HISTORICA DE LA ESPOL                               (VARIACION CON RESPECTO AL AÑO ANTERIOR)</t>
  </si>
  <si>
    <t>POB. TOTAL</t>
  </si>
  <si>
    <t>RUBRO/AÑO</t>
  </si>
  <si>
    <t>GASTOS FINANCIEROS</t>
  </si>
  <si>
    <t>FLUJO OPERATIVO</t>
  </si>
  <si>
    <t>EGRESOS CONTABLES (DEPRECIACIONES)</t>
  </si>
  <si>
    <t>VALORES DE RESCATE Y CAPITAL</t>
  </si>
  <si>
    <t>INVERSION INICIAL</t>
  </si>
  <si>
    <t>FLUJO NETO</t>
  </si>
  <si>
    <t>TASA DE DESCUENTO</t>
  </si>
  <si>
    <t xml:space="preserve">VAN </t>
  </si>
  <si>
    <t>TIR</t>
  </si>
  <si>
    <t xml:space="preserve">                ESTADO DE PERDIDAS Y GANANCIAS</t>
  </si>
  <si>
    <t>CONSUMO DE AGUA CON PLANTA</t>
  </si>
  <si>
    <t>CONSUMO DE AGUA SIN PLANTA</t>
  </si>
  <si>
    <t>AHORRO NETO</t>
  </si>
  <si>
    <t>AHORRO BRUTO</t>
  </si>
  <si>
    <t>COSTOS OPERATIVOS</t>
  </si>
  <si>
    <t>SUELDOS Y SALARIOS</t>
  </si>
  <si>
    <t xml:space="preserve">COSTOS DE MANTENIMIENTO  </t>
  </si>
  <si>
    <t xml:space="preserve">COSTOS Y GASTOS OPERATIVOS </t>
  </si>
  <si>
    <t>SEMESTRE</t>
  </si>
  <si>
    <t>FLUJO DE CAJA PROYECTADO SIN FINACIAMIENTO</t>
  </si>
  <si>
    <t>ELABORACION: Los Autores del proyecto</t>
  </si>
  <si>
    <t>DPRECIACIONES</t>
  </si>
  <si>
    <t xml:space="preserve">EGRESOS </t>
  </si>
  <si>
    <t>FLUJO DE CAJA PROYECTADO CON 70% FINANCIADO POR BANCO PRIVADO</t>
  </si>
  <si>
    <t>PRESTAMO (70% DE LA INVERSION)</t>
  </si>
  <si>
    <t xml:space="preserve">        RECUPERACION DE LA INVERSIÓN</t>
  </si>
  <si>
    <t>FLUJO NETO ACUMULADO</t>
  </si>
  <si>
    <t>INVERSION</t>
  </si>
  <si>
    <t>RECUPERACION ( % )</t>
  </si>
  <si>
    <t>VAN</t>
  </si>
  <si>
    <t>MAXIMO DE SENSIBILIDAD</t>
  </si>
  <si>
    <t>Máxima reduccion del precio del agua potable</t>
  </si>
  <si>
    <t>Máxima reduccion del consumo de agua potable en riego</t>
  </si>
  <si>
    <t>CONSUMO ANUAL DE AGUA SIN PLANTA</t>
  </si>
  <si>
    <t>CONSUMO ANUAL DE AGUA CON PLANTA</t>
  </si>
  <si>
    <t>PRECIO</t>
  </si>
  <si>
    <t>PERIODOS POR AÑO</t>
  </si>
  <si>
    <t>Tabla 3.1</t>
  </si>
  <si>
    <t>Tabla 3.1.1</t>
  </si>
  <si>
    <t>Tabla 3.1.2</t>
  </si>
  <si>
    <t>FINANCIAMIENTO BANCARIO</t>
  </si>
  <si>
    <t>Tabla 3.1.3 a</t>
  </si>
  <si>
    <t>Tabla 3.1.3 b</t>
  </si>
  <si>
    <t>INTERESES POR DEUDA</t>
  </si>
  <si>
    <t>TOTAL GASTOS FIANANCIEROS</t>
  </si>
  <si>
    <t>COSTOS FINANCIEROS / AÑO</t>
  </si>
  <si>
    <t>Tabla 3.2.3</t>
  </si>
  <si>
    <t>Tabla 3.3.1.</t>
  </si>
  <si>
    <t>Tabla 3.3.2 a</t>
  </si>
  <si>
    <t>Tabla 3.3.2 b</t>
  </si>
  <si>
    <t>Anexo 3.3.1 b</t>
  </si>
  <si>
    <t>CALCULO DEL WACC</t>
  </si>
  <si>
    <t>INVERSION INICIAL REQUERIDA</t>
  </si>
  <si>
    <t>RUBROS</t>
  </si>
  <si>
    <t>TOTAL FINANCIAMIENTO</t>
  </si>
  <si>
    <t>CONDICION FINANCIAMIENTO</t>
  </si>
  <si>
    <t>DEUDA LARGO PLAZO</t>
  </si>
  <si>
    <t>ESTRUCTURA DE CAPITAL</t>
  </si>
  <si>
    <t>TASA</t>
  </si>
  <si>
    <t>WACC = (Wd*Kd*(1-t)) + (We*Rp)</t>
  </si>
  <si>
    <t>Kd (tasa de financiamiento 1) =</t>
  </si>
  <si>
    <t>t* =</t>
  </si>
  <si>
    <t>We =</t>
  </si>
  <si>
    <t>WACC =</t>
  </si>
  <si>
    <t>CAPITAL DE OPERACIÓN</t>
  </si>
  <si>
    <t>Rp = Tasa minima atractiva de Retorno</t>
  </si>
  <si>
    <t>TOTAL COSTOS DE CONSTRUCCION</t>
  </si>
  <si>
    <t>Tabla 3.2.1.</t>
  </si>
  <si>
    <t>Tabla 3.2.2.</t>
  </si>
  <si>
    <t xml:space="preserve">C. GASTOS DE MANTENIMIENTO  </t>
  </si>
  <si>
    <t>Tabla 4.3</t>
  </si>
  <si>
    <t>Varaicion en Precio del Agua Potable</t>
  </si>
  <si>
    <t>TMAR</t>
  </si>
  <si>
    <t>Variacion en Consumo de agua en riego</t>
  </si>
  <si>
    <t>VARIACIONES</t>
  </si>
  <si>
    <t>CONSUMO</t>
  </si>
  <si>
    <t>COSTOS DE CONSTRUCCION DE OBRA CIVIL</t>
  </si>
  <si>
    <t>Tabla 4.1</t>
  </si>
  <si>
    <t>4 x Aireadores</t>
  </si>
  <si>
    <t>1 x Blowers</t>
  </si>
  <si>
    <t>Fundicion de Hormigon armado pared 1</t>
  </si>
  <si>
    <t>Fundicion de Hormigon armado pared 2</t>
  </si>
  <si>
    <t>AÑO/MES</t>
  </si>
  <si>
    <t>TOTAL M3</t>
  </si>
  <si>
    <t>TOTAL US$</t>
  </si>
  <si>
    <t>m3 TOTALES</t>
  </si>
  <si>
    <t>Consumo con planta</t>
  </si>
  <si>
    <t>Consumo sin planta</t>
  </si>
  <si>
    <t>m3 Riego &amp; adicionales</t>
  </si>
  <si>
    <t>m3 Otros</t>
  </si>
  <si>
    <t>m3  irrigacion y baños</t>
  </si>
  <si>
    <t>m3 otros</t>
  </si>
  <si>
    <t>VARIACION CONSUMO DE AGUA ANUAL</t>
  </si>
  <si>
    <t>PRECIO m3 Agua</t>
  </si>
  <si>
    <t>Ligado a Flujo de caja con financiamiento</t>
  </si>
  <si>
    <t>CON VARIACION RIEGO</t>
  </si>
  <si>
    <t>Tabla 4.4.2</t>
  </si>
  <si>
    <t>Tabla 4.4.1</t>
  </si>
  <si>
    <t>Tabla 4.4.3</t>
  </si>
  <si>
    <t>COSTO POR METRO CUBICO DE AGUA POTABLE (US$ 1.10 mas costo de trasladar el agua a los diferentes puntos del campus, fuente Departamento de Mantenimiento)</t>
  </si>
  <si>
    <t xml:space="preserve">COSTOS Y GASTOS OPERATIVOS MENSUALES </t>
  </si>
  <si>
    <t>Wd = 68,208.00/97,440.00</t>
  </si>
  <si>
    <t>La totalidad de la Inversión se recupera en el Transcurso del año 2</t>
  </si>
  <si>
    <t>Fuente: Vicerectorado Financiero de la ESPOL</t>
  </si>
  <si>
    <t>NECESIDAD DE M3 DE AGUA PARA IRRIGACION</t>
  </si>
  <si>
    <t>NOTA:Para los meses de Enero, Febrero, Marzo y Abril, no se considera gasto en irrigacion debido a que son meses donde se presentan lluvias.</t>
  </si>
  <si>
    <t>TOTAL GASTOS OPERATIVAS</t>
  </si>
  <si>
    <t>COSTO POR METRO CUBICO DE AGUA POTABLE (US$ 1.10 mas costo de trasladar el agua a los diferentes puntos del campus, fuente Departamento de Mantenimiento de la ESPOÑ)</t>
  </si>
  <si>
    <t>ANEXO 3.3.1 A</t>
  </si>
  <si>
    <t>2000-1</t>
  </si>
  <si>
    <t>2000-2</t>
  </si>
  <si>
    <t>2001-1</t>
  </si>
  <si>
    <t>2001-2</t>
  </si>
  <si>
    <t>2002-1</t>
  </si>
  <si>
    <t>2002-2</t>
  </si>
  <si>
    <t>2003-1</t>
  </si>
  <si>
    <t>2003-2</t>
  </si>
  <si>
    <t>2004-1</t>
  </si>
  <si>
    <t>2004-2</t>
  </si>
  <si>
    <t>#ALUMNOS</t>
  </si>
  <si>
    <t>AÑO/SEMESTRE</t>
  </si>
  <si>
    <t>NUMERO DE ESTUDIANTES DE LA ESPOL POR AÑO Y SEMESTRE</t>
  </si>
  <si>
    <t>ANEXO 3.1.3</t>
  </si>
  <si>
    <t>Fuente: CRECE</t>
  </si>
  <si>
    <t>ANEXO 3.3.1 B</t>
  </si>
  <si>
    <t>GASTOS FINANCIEROS Y AMORTIZACION DE CAPITAL</t>
  </si>
  <si>
    <t>ANEXO 2.1.1.1</t>
  </si>
</sst>
</file>

<file path=xl/styles.xml><?xml version="1.0" encoding="utf-8"?>
<styleSheet xmlns="http://schemas.openxmlformats.org/spreadsheetml/2006/main">
  <numFmts count="4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&quot;S/&quot;* #,##0.00_ ;_ &quot;S/&quot;* \-#,##0.00_ ;_ &quot;S/&quot;* &quot;-&quot;??_ ;_ @_ "/>
    <numFmt numFmtId="170" formatCode="&quot;$&quot;#,##0.00;[Red]\-&quot;$&quot;#,##0.00"/>
    <numFmt numFmtId="171" formatCode="_-* #,##0\ &quot;Pts&quot;_-;\-* #,##0\ &quot;Pts&quot;_-;_-* &quot;-&quot;\ &quot;Pts&quot;_-;_-@_-"/>
    <numFmt numFmtId="172" formatCode="_-* #,##0\ _P_t_s_-;\-* #,##0\ _P_t_s_-;_-* &quot;-&quot;\ _P_t_s_-;_-@_-"/>
    <numFmt numFmtId="173" formatCode="_-* #,##0.00\ &quot;Pts&quot;_-;\-* #,##0.00\ &quot;Pts&quot;_-;_-* &quot;-&quot;??\ &quot;Pts&quot;_-;_-@_-"/>
    <numFmt numFmtId="174" formatCode="_-* #,##0.00\ _P_t_s_-;\-* #,##0.00\ _P_t_s_-;_-* &quot;-&quot;??\ _P_t_s_-;_-@_-"/>
    <numFmt numFmtId="175" formatCode="_-* #,##0\ _P_t_s_-;\-* #,##0\ _P_t_s_-;_-* &quot;-&quot;??\ _P_t_s_-;_-@_-"/>
    <numFmt numFmtId="176" formatCode="_ [$€-2]\ * #,##0.00_ ;_ [$€-2]\ * \-#,##0.00_ ;_ [$€-2]\ * &quot;-&quot;??_ "/>
    <numFmt numFmtId="177" formatCode="#,##0.00_ ;[Red]\-#,##0.00\ "/>
    <numFmt numFmtId="178" formatCode="#,##0_ ;[Red]\-#,##0\ "/>
    <numFmt numFmtId="179" formatCode="0.0%"/>
    <numFmt numFmtId="180" formatCode="0.000%"/>
    <numFmt numFmtId="181" formatCode="&quot;$&quot;\ #,##0.00"/>
    <numFmt numFmtId="182" formatCode="#,##0_ ;\-#,##0\ "/>
    <numFmt numFmtId="183" formatCode="[$-409]hh:mm:ss\ AM/PM"/>
    <numFmt numFmtId="184" formatCode="[$$-409]#,##0.00"/>
    <numFmt numFmtId="185" formatCode="&quot;$&quot;\ #,##0"/>
    <numFmt numFmtId="186" formatCode="mmmm"/>
    <numFmt numFmtId="187" formatCode="mmm\-yyyy"/>
    <numFmt numFmtId="188" formatCode="[$-300A]dddd\,\ dd&quot; de &quot;mmmm&quot; de &quot;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name val="Trebuchet MS"/>
      <family val="2"/>
    </font>
    <font>
      <sz val="8"/>
      <name val="Arial"/>
      <family val="0"/>
    </font>
    <font>
      <sz val="15"/>
      <name val="Times New Roman"/>
      <family val="1"/>
    </font>
    <font>
      <b/>
      <sz val="15"/>
      <name val="Arial"/>
      <family val="2"/>
    </font>
    <font>
      <sz val="15"/>
      <name val="Arial"/>
      <family val="2"/>
    </font>
    <font>
      <b/>
      <sz val="10.25"/>
      <name val="Arial"/>
      <family val="0"/>
    </font>
    <font>
      <sz val="8.5"/>
      <name val="Arial"/>
      <family val="0"/>
    </font>
    <font>
      <b/>
      <sz val="12"/>
      <name val="Arial"/>
      <family val="0"/>
    </font>
    <font>
      <b/>
      <sz val="8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6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1" fillId="0" borderId="6" xfId="0" applyFont="1" applyFill="1" applyBorder="1" applyAlignment="1">
      <alignment/>
    </xf>
    <xf numFmtId="9" fontId="0" fillId="0" borderId="7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0" fontId="1" fillId="0" borderId="9" xfId="0" applyFont="1" applyFill="1" applyBorder="1" applyAlignment="1">
      <alignment horizontal="left"/>
    </xf>
    <xf numFmtId="0" fontId="0" fillId="0" borderId="6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175" fontId="0" fillId="0" borderId="0" xfId="18" applyNumberFormat="1" applyFont="1" applyFill="1" applyAlignment="1">
      <alignment/>
    </xf>
    <xf numFmtId="172" fontId="0" fillId="0" borderId="0" xfId="19" applyFont="1" applyFill="1" applyBorder="1" applyAlignment="1">
      <alignment horizontal="center"/>
    </xf>
    <xf numFmtId="174" fontId="0" fillId="0" borderId="0" xfId="18" applyNumberFormat="1" applyFont="1" applyFill="1" applyAlignment="1">
      <alignment/>
    </xf>
    <xf numFmtId="0" fontId="1" fillId="0" borderId="10" xfId="0" applyFont="1" applyFill="1" applyBorder="1" applyAlignment="1">
      <alignment/>
    </xf>
    <xf numFmtId="9" fontId="0" fillId="0" borderId="11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172" fontId="1" fillId="0" borderId="2" xfId="0" applyNumberFormat="1" applyFont="1" applyFill="1" applyBorder="1" applyAlignment="1">
      <alignment horizontal="center"/>
    </xf>
    <xf numFmtId="172" fontId="1" fillId="0" borderId="3" xfId="0" applyNumberFormat="1" applyFont="1" applyFill="1" applyBorder="1" applyAlignment="1">
      <alignment horizontal="center"/>
    </xf>
    <xf numFmtId="172" fontId="0" fillId="0" borderId="4" xfId="0" applyNumberFormat="1" applyFont="1" applyFill="1" applyBorder="1" applyAlignment="1">
      <alignment horizontal="center"/>
    </xf>
    <xf numFmtId="172" fontId="1" fillId="0" borderId="5" xfId="0" applyNumberFormat="1" applyFont="1" applyFill="1" applyBorder="1" applyAlignment="1">
      <alignment horizontal="center"/>
    </xf>
    <xf numFmtId="172" fontId="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72" fontId="9" fillId="0" borderId="4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4" fontId="0" fillId="0" borderId="9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5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179" fontId="0" fillId="0" borderId="17" xfId="24" applyNumberFormat="1" applyFont="1" applyFill="1" applyBorder="1" applyAlignment="1">
      <alignment/>
    </xf>
    <xf numFmtId="181" fontId="0" fillId="0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10" fontId="6" fillId="0" borderId="0" xfId="0" applyNumberFormat="1" applyFont="1" applyFill="1" applyAlignment="1">
      <alignment horizontal="center"/>
    </xf>
    <xf numFmtId="0" fontId="6" fillId="0" borderId="19" xfId="0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6" fillId="0" borderId="19" xfId="24" applyNumberFormat="1" applyFont="1" applyFill="1" applyBorder="1" applyAlignment="1">
      <alignment horizontal="right"/>
    </xf>
    <xf numFmtId="0" fontId="6" fillId="0" borderId="20" xfId="0" applyFont="1" applyFill="1" applyBorder="1" applyAlignment="1">
      <alignment horizontal="center"/>
    </xf>
    <xf numFmtId="172" fontId="0" fillId="0" borderId="4" xfId="0" applyNumberFormat="1" applyFont="1" applyFill="1" applyBorder="1" applyAlignment="1">
      <alignment horizontal="right"/>
    </xf>
    <xf numFmtId="181" fontId="0" fillId="0" borderId="4" xfId="0" applyNumberFormat="1" applyFont="1" applyFill="1" applyBorder="1" applyAlignment="1">
      <alignment horizontal="center"/>
    </xf>
    <xf numFmtId="181" fontId="9" fillId="0" borderId="4" xfId="0" applyNumberFormat="1" applyFont="1" applyFill="1" applyBorder="1" applyAlignment="1">
      <alignment horizontal="center"/>
    </xf>
    <xf numFmtId="181" fontId="1" fillId="0" borderId="5" xfId="0" applyNumberFormat="1" applyFont="1" applyFill="1" applyBorder="1" applyAlignment="1">
      <alignment horizontal="center"/>
    </xf>
    <xf numFmtId="10" fontId="1" fillId="0" borderId="2" xfId="0" applyNumberFormat="1" applyFont="1" applyFill="1" applyBorder="1" applyAlignment="1">
      <alignment horizontal="center"/>
    </xf>
    <xf numFmtId="10" fontId="1" fillId="0" borderId="3" xfId="0" applyNumberFormat="1" applyFont="1" applyFill="1" applyBorder="1" applyAlignment="1">
      <alignment horizontal="center"/>
    </xf>
    <xf numFmtId="10" fontId="0" fillId="0" borderId="4" xfId="0" applyNumberFormat="1" applyFont="1" applyFill="1" applyBorder="1" applyAlignment="1">
      <alignment horizontal="center"/>
    </xf>
    <xf numFmtId="10" fontId="7" fillId="0" borderId="4" xfId="0" applyNumberFormat="1" applyFont="1" applyFill="1" applyBorder="1" applyAlignment="1">
      <alignment horizontal="center"/>
    </xf>
    <xf numFmtId="10" fontId="1" fillId="0" borderId="5" xfId="0" applyNumberFormat="1" applyFont="1" applyFill="1" applyBorder="1" applyAlignment="1">
      <alignment horizontal="center"/>
    </xf>
    <xf numFmtId="10" fontId="0" fillId="0" borderId="0" xfId="0" applyNumberFormat="1" applyFont="1" applyFill="1" applyAlignment="1">
      <alignment horizontal="center"/>
    </xf>
    <xf numFmtId="10" fontId="0" fillId="0" borderId="0" xfId="0" applyNumberFormat="1" applyFont="1" applyFill="1" applyAlignment="1">
      <alignment/>
    </xf>
    <xf numFmtId="10" fontId="0" fillId="0" borderId="4" xfId="24" applyNumberFormat="1" applyFont="1" applyFill="1" applyBorder="1" applyAlignment="1">
      <alignment horizontal="center"/>
    </xf>
    <xf numFmtId="10" fontId="9" fillId="0" borderId="4" xfId="0" applyNumberFormat="1" applyFont="1" applyFill="1" applyBorder="1" applyAlignment="1">
      <alignment horizontal="center"/>
    </xf>
    <xf numFmtId="181" fontId="0" fillId="0" borderId="4" xfId="19" applyNumberFormat="1" applyFont="1" applyFill="1" applyBorder="1" applyAlignment="1">
      <alignment horizontal="center"/>
    </xf>
    <xf numFmtId="181" fontId="9" fillId="0" borderId="4" xfId="19" applyNumberFormat="1" applyFont="1" applyFill="1" applyBorder="1" applyAlignment="1">
      <alignment horizontal="center"/>
    </xf>
    <xf numFmtId="181" fontId="7" fillId="0" borderId="4" xfId="19" applyNumberFormat="1" applyFont="1" applyFill="1" applyBorder="1" applyAlignment="1">
      <alignment horizontal="center"/>
    </xf>
    <xf numFmtId="181" fontId="1" fillId="0" borderId="5" xfId="19" applyNumberFormat="1" applyFont="1" applyFill="1" applyBorder="1" applyAlignment="1">
      <alignment horizontal="center"/>
    </xf>
    <xf numFmtId="17" fontId="0" fillId="0" borderId="15" xfId="0" applyNumberFormat="1" applyBorder="1" applyAlignment="1">
      <alignment/>
    </xf>
    <xf numFmtId="0" fontId="1" fillId="0" borderId="9" xfId="0" applyFont="1" applyBorder="1" applyAlignment="1">
      <alignment/>
    </xf>
    <xf numFmtId="4" fontId="0" fillId="0" borderId="15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172" fontId="0" fillId="0" borderId="15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19" xfId="0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4" xfId="0" applyFont="1" applyFill="1" applyBorder="1" applyAlignment="1">
      <alignment horizontal="right"/>
    </xf>
    <xf numFmtId="0" fontId="0" fillId="0" borderId="4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10" fontId="0" fillId="0" borderId="24" xfId="0" applyNumberFormat="1" applyFont="1" applyFill="1" applyBorder="1" applyAlignment="1">
      <alignment horizontal="center"/>
    </xf>
    <xf numFmtId="10" fontId="0" fillId="0" borderId="25" xfId="0" applyNumberFormat="1" applyFont="1" applyFill="1" applyBorder="1" applyAlignment="1">
      <alignment horizontal="center"/>
    </xf>
    <xf numFmtId="10" fontId="1" fillId="0" borderId="25" xfId="0" applyNumberFormat="1" applyFont="1" applyFill="1" applyBorder="1" applyAlignment="1">
      <alignment horizontal="center"/>
    </xf>
    <xf numFmtId="181" fontId="1" fillId="0" borderId="15" xfId="0" applyNumberFormat="1" applyFont="1" applyFill="1" applyBorder="1" applyAlignment="1">
      <alignment horizontal="center"/>
    </xf>
    <xf numFmtId="181" fontId="0" fillId="0" borderId="15" xfId="0" applyNumberFormat="1" applyFont="1" applyFill="1" applyBorder="1" applyAlignment="1">
      <alignment horizontal="center"/>
    </xf>
    <xf numFmtId="181" fontId="0" fillId="0" borderId="15" xfId="0" applyNumberFormat="1" applyFont="1" applyFill="1" applyBorder="1" applyAlignment="1">
      <alignment/>
    </xf>
    <xf numFmtId="181" fontId="0" fillId="0" borderId="5" xfId="0" applyNumberFormat="1" applyFont="1" applyFill="1" applyBorder="1" applyAlignment="1">
      <alignment/>
    </xf>
    <xf numFmtId="181" fontId="1" fillId="0" borderId="5" xfId="0" applyNumberFormat="1" applyFont="1" applyFill="1" applyBorder="1" applyAlignment="1">
      <alignment horizontal="left"/>
    </xf>
    <xf numFmtId="181" fontId="1" fillId="0" borderId="5" xfId="0" applyNumberFormat="1" applyFont="1" applyFill="1" applyBorder="1" applyAlignment="1">
      <alignment/>
    </xf>
    <xf numFmtId="181" fontId="0" fillId="0" borderId="15" xfId="0" applyNumberFormat="1" applyFont="1" applyFill="1" applyBorder="1" applyAlignment="1">
      <alignment horizontal="right"/>
    </xf>
    <xf numFmtId="181" fontId="0" fillId="0" borderId="4" xfId="0" applyNumberFormat="1" applyFont="1" applyFill="1" applyBorder="1" applyAlignment="1">
      <alignment horizontal="right"/>
    </xf>
    <xf numFmtId="10" fontId="0" fillId="0" borderId="24" xfId="0" applyNumberFormat="1" applyFont="1" applyFill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0" fontId="0" fillId="0" borderId="7" xfId="0" applyNumberFormat="1" applyBorder="1" applyAlignment="1">
      <alignment/>
    </xf>
    <xf numFmtId="10" fontId="0" fillId="0" borderId="8" xfId="0" applyNumberFormat="1" applyBorder="1" applyAlignment="1">
      <alignment/>
    </xf>
    <xf numFmtId="10" fontId="0" fillId="0" borderId="19" xfId="0" applyNumberFormat="1" applyBorder="1" applyAlignment="1">
      <alignment/>
    </xf>
    <xf numFmtId="10" fontId="0" fillId="0" borderId="17" xfId="0" applyNumberFormat="1" applyBorder="1" applyAlignment="1">
      <alignment/>
    </xf>
    <xf numFmtId="10" fontId="0" fillId="0" borderId="11" xfId="0" applyNumberFormat="1" applyBorder="1" applyAlignment="1">
      <alignment/>
    </xf>
    <xf numFmtId="10" fontId="0" fillId="0" borderId="12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2" xfId="0" applyNumberFormat="1" applyBorder="1" applyAlignment="1">
      <alignment horizontal="center" vertical="center" wrapText="1"/>
    </xf>
    <xf numFmtId="1" fontId="0" fillId="0" borderId="8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2" borderId="7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1" fontId="0" fillId="2" borderId="19" xfId="0" applyNumberForma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170" fontId="0" fillId="0" borderId="0" xfId="0" applyNumberFormat="1" applyFont="1" applyFill="1" applyAlignment="1">
      <alignment/>
    </xf>
    <xf numFmtId="10" fontId="0" fillId="0" borderId="8" xfId="0" applyNumberFormat="1" applyFont="1" applyFill="1" applyBorder="1" applyAlignment="1">
      <alignment horizontal="right"/>
    </xf>
    <xf numFmtId="9" fontId="0" fillId="0" borderId="12" xfId="24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10" fontId="0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 horizontal="right"/>
    </xf>
    <xf numFmtId="0" fontId="0" fillId="0" borderId="28" xfId="0" applyFont="1" applyFill="1" applyBorder="1" applyAlignment="1">
      <alignment/>
    </xf>
    <xf numFmtId="0" fontId="1" fillId="0" borderId="29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181" fontId="0" fillId="0" borderId="0" xfId="0" applyNumberFormat="1" applyAlignment="1">
      <alignment/>
    </xf>
    <xf numFmtId="0" fontId="0" fillId="0" borderId="15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1" fontId="0" fillId="0" borderId="8" xfId="0" applyNumberFormat="1" applyFont="1" applyFill="1" applyBorder="1" applyAlignment="1">
      <alignment horizontal="center" wrapText="1"/>
    </xf>
    <xf numFmtId="10" fontId="0" fillId="0" borderId="17" xfId="0" applyNumberFormat="1" applyFont="1" applyFill="1" applyBorder="1" applyAlignment="1">
      <alignment/>
    </xf>
    <xf numFmtId="10" fontId="0" fillId="0" borderId="12" xfId="0" applyNumberFormat="1" applyFont="1" applyFill="1" applyBorder="1" applyAlignment="1">
      <alignment/>
    </xf>
    <xf numFmtId="0" fontId="7" fillId="0" borderId="9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right"/>
    </xf>
    <xf numFmtId="0" fontId="7" fillId="0" borderId="29" xfId="0" applyFont="1" applyFill="1" applyBorder="1" applyAlignment="1">
      <alignment horizontal="left"/>
    </xf>
    <xf numFmtId="9" fontId="0" fillId="0" borderId="0" xfId="24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0" fillId="2" borderId="0" xfId="0" applyFill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1" fontId="0" fillId="0" borderId="24" xfId="0" applyNumberFormat="1" applyBorder="1" applyAlignment="1">
      <alignment horizontal="center"/>
    </xf>
    <xf numFmtId="182" fontId="0" fillId="0" borderId="18" xfId="23" applyNumberFormat="1" applyBorder="1" applyAlignment="1">
      <alignment horizontal="center"/>
    </xf>
    <xf numFmtId="181" fontId="0" fillId="0" borderId="25" xfId="0" applyNumberFormat="1" applyBorder="1" applyAlignment="1">
      <alignment horizontal="center"/>
    </xf>
    <xf numFmtId="182" fontId="0" fillId="0" borderId="0" xfId="23" applyNumberFormat="1" applyBorder="1" applyAlignment="1">
      <alignment horizontal="center"/>
    </xf>
    <xf numFmtId="17" fontId="1" fillId="0" borderId="20" xfId="0" applyNumberFormat="1" applyFont="1" applyBorder="1" applyAlignment="1">
      <alignment/>
    </xf>
    <xf numFmtId="0" fontId="0" fillId="0" borderId="34" xfId="0" applyFill="1" applyBorder="1" applyAlignment="1">
      <alignment horizontal="center"/>
    </xf>
    <xf numFmtId="17" fontId="0" fillId="0" borderId="14" xfId="0" applyNumberFormat="1" applyBorder="1" applyAlignment="1">
      <alignment/>
    </xf>
    <xf numFmtId="0" fontId="0" fillId="2" borderId="27" xfId="0" applyFill="1" applyBorder="1" applyAlignment="1">
      <alignment horizontal="center"/>
    </xf>
    <xf numFmtId="181" fontId="0" fillId="0" borderId="23" xfId="0" applyNumberFormat="1" applyBorder="1" applyAlignment="1">
      <alignment horizontal="center"/>
    </xf>
    <xf numFmtId="181" fontId="0" fillId="0" borderId="35" xfId="0" applyNumberForma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4" fontId="0" fillId="0" borderId="9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4" fontId="1" fillId="0" borderId="25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4" fontId="0" fillId="0" borderId="4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4" fontId="0" fillId="0" borderId="7" xfId="0" applyNumberFormat="1" applyFont="1" applyFill="1" applyBorder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" fontId="0" fillId="2" borderId="36" xfId="0" applyNumberFormat="1" applyFill="1" applyBorder="1" applyAlignment="1">
      <alignment/>
    </xf>
    <xf numFmtId="4" fontId="0" fillId="0" borderId="30" xfId="0" applyNumberFormat="1" applyFont="1" applyFill="1" applyBorder="1" applyAlignment="1">
      <alignment horizontal="left"/>
    </xf>
    <xf numFmtId="4" fontId="0" fillId="0" borderId="31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33" xfId="0" applyNumberFormat="1" applyFont="1" applyFill="1" applyBorder="1" applyAlignment="1">
      <alignment horizontal="left"/>
    </xf>
    <xf numFmtId="4" fontId="11" fillId="0" borderId="0" xfId="0" applyNumberFormat="1" applyFont="1" applyFill="1" applyAlignment="1">
      <alignment/>
    </xf>
    <xf numFmtId="4" fontId="1" fillId="0" borderId="33" xfId="0" applyNumberFormat="1" applyFont="1" applyFill="1" applyBorder="1" applyAlignment="1">
      <alignment horizontal="left"/>
    </xf>
    <xf numFmtId="4" fontId="0" fillId="0" borderId="33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0" fillId="0" borderId="15" xfId="0" applyNumberFormat="1" applyFont="1" applyFill="1" applyBorder="1" applyAlignment="1">
      <alignment horizontal="left"/>
    </xf>
    <xf numFmtId="4" fontId="7" fillId="0" borderId="29" xfId="0" applyNumberFormat="1" applyFont="1" applyFill="1" applyBorder="1" applyAlignment="1">
      <alignment horizontal="left"/>
    </xf>
    <xf numFmtId="4" fontId="1" fillId="0" borderId="29" xfId="0" applyNumberFormat="1" applyFont="1" applyFill="1" applyBorder="1" applyAlignment="1">
      <alignment horizontal="left"/>
    </xf>
    <xf numFmtId="0" fontId="0" fillId="0" borderId="33" xfId="0" applyFont="1" applyFill="1" applyBorder="1" applyAlignment="1">
      <alignment/>
    </xf>
    <xf numFmtId="179" fontId="0" fillId="0" borderId="28" xfId="0" applyNumberFormat="1" applyFont="1" applyFill="1" applyBorder="1" applyAlignment="1">
      <alignment horizontal="center"/>
    </xf>
    <xf numFmtId="179" fontId="0" fillId="0" borderId="28" xfId="0" applyNumberFormat="1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10" fontId="1" fillId="0" borderId="39" xfId="0" applyNumberFormat="1" applyFont="1" applyFill="1" applyBorder="1" applyAlignment="1">
      <alignment/>
    </xf>
    <xf numFmtId="10" fontId="1" fillId="0" borderId="39" xfId="24" applyNumberFormat="1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2" fillId="0" borderId="0" xfId="0" applyFont="1" applyFill="1" applyAlignment="1">
      <alignment/>
    </xf>
    <xf numFmtId="0" fontId="1" fillId="0" borderId="40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10" fontId="0" fillId="0" borderId="39" xfId="0" applyNumberFormat="1" applyFont="1" applyFill="1" applyBorder="1" applyAlignment="1">
      <alignment horizontal="center"/>
    </xf>
    <xf numFmtId="9" fontId="0" fillId="0" borderId="3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10" fontId="0" fillId="0" borderId="43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180" fontId="1" fillId="0" borderId="45" xfId="24" applyNumberFormat="1" applyFont="1" applyFill="1" applyBorder="1" applyAlignment="1">
      <alignment/>
    </xf>
    <xf numFmtId="10" fontId="0" fillId="0" borderId="12" xfId="24" applyNumberFormat="1" applyFont="1" applyFill="1" applyBorder="1" applyAlignment="1">
      <alignment horizontal="right"/>
    </xf>
    <xf numFmtId="177" fontId="0" fillId="0" borderId="17" xfId="0" applyNumberFormat="1" applyFont="1" applyFill="1" applyBorder="1" applyAlignment="1">
      <alignment horizontal="right"/>
    </xf>
    <xf numFmtId="10" fontId="0" fillId="0" borderId="17" xfId="0" applyNumberFormat="1" applyFont="1" applyFill="1" applyBorder="1" applyAlignment="1">
      <alignment horizontal="right"/>
    </xf>
    <xf numFmtId="10" fontId="0" fillId="0" borderId="12" xfId="0" applyNumberFormat="1" applyFont="1" applyFill="1" applyBorder="1" applyAlignment="1">
      <alignment horizontal="right"/>
    </xf>
    <xf numFmtId="10" fontId="0" fillId="0" borderId="0" xfId="0" applyNumberFormat="1" applyFont="1" applyFill="1" applyAlignment="1">
      <alignment/>
    </xf>
    <xf numFmtId="3" fontId="1" fillId="0" borderId="6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/>
    </xf>
    <xf numFmtId="10" fontId="1" fillId="0" borderId="8" xfId="0" applyNumberFormat="1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 horizontal="center" vertical="center" wrapText="1"/>
    </xf>
    <xf numFmtId="10" fontId="0" fillId="0" borderId="48" xfId="0" applyNumberFormat="1" applyFont="1" applyFill="1" applyBorder="1" applyAlignment="1">
      <alignment horizontal="center" vertical="center" wrapText="1"/>
    </xf>
    <xf numFmtId="10" fontId="0" fillId="0" borderId="45" xfId="0" applyNumberFormat="1" applyFont="1" applyFill="1" applyBorder="1" applyAlignment="1">
      <alignment horizontal="center" vertical="center" wrapText="1"/>
    </xf>
    <xf numFmtId="184" fontId="0" fillId="0" borderId="36" xfId="0" applyNumberFormat="1" applyFont="1" applyFill="1" applyBorder="1" applyAlignment="1">
      <alignment horizontal="center"/>
    </xf>
    <xf numFmtId="184" fontId="0" fillId="0" borderId="49" xfId="0" applyNumberFormat="1" applyFont="1" applyFill="1" applyBorder="1" applyAlignment="1">
      <alignment horizontal="center"/>
    </xf>
    <xf numFmtId="10" fontId="0" fillId="0" borderId="19" xfId="0" applyNumberFormat="1" applyFont="1" applyFill="1" applyBorder="1" applyAlignment="1">
      <alignment horizontal="center"/>
    </xf>
    <xf numFmtId="10" fontId="0" fillId="0" borderId="17" xfId="0" applyNumberFormat="1" applyFont="1" applyFill="1" applyBorder="1" applyAlignment="1">
      <alignment horizontal="center"/>
    </xf>
    <xf numFmtId="10" fontId="0" fillId="0" borderId="11" xfId="0" applyNumberFormat="1" applyFont="1" applyFill="1" applyBorder="1" applyAlignment="1">
      <alignment horizontal="center"/>
    </xf>
    <xf numFmtId="10" fontId="0" fillId="0" borderId="12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0" fontId="0" fillId="0" borderId="24" xfId="0" applyNumberFormat="1" applyFont="1" applyFill="1" applyBorder="1" applyAlignment="1">
      <alignment/>
    </xf>
    <xf numFmtId="10" fontId="0" fillId="0" borderId="25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184" fontId="0" fillId="0" borderId="28" xfId="0" applyNumberFormat="1" applyFont="1" applyFill="1" applyBorder="1" applyAlignment="1">
      <alignment horizontal="center"/>
    </xf>
    <xf numFmtId="184" fontId="0" fillId="0" borderId="28" xfId="19" applyNumberFormat="1" applyFont="1" applyFill="1" applyBorder="1" applyAlignment="1">
      <alignment horizontal="right"/>
    </xf>
    <xf numFmtId="184" fontId="0" fillId="0" borderId="39" xfId="19" applyNumberFormat="1" applyFont="1" applyFill="1" applyBorder="1" applyAlignment="1">
      <alignment horizontal="right"/>
    </xf>
    <xf numFmtId="184" fontId="1" fillId="0" borderId="28" xfId="0" applyNumberFormat="1" applyFont="1" applyFill="1" applyBorder="1" applyAlignment="1">
      <alignment horizontal="center"/>
    </xf>
    <xf numFmtId="184" fontId="1" fillId="0" borderId="28" xfId="19" applyNumberFormat="1" applyFont="1" applyFill="1" applyBorder="1" applyAlignment="1">
      <alignment horizontal="right"/>
    </xf>
    <xf numFmtId="184" fontId="1" fillId="0" borderId="39" xfId="19" applyNumberFormat="1" applyFont="1" applyFill="1" applyBorder="1" applyAlignment="1">
      <alignment horizontal="right"/>
    </xf>
    <xf numFmtId="184" fontId="0" fillId="0" borderId="28" xfId="0" applyNumberFormat="1" applyFont="1" applyFill="1" applyBorder="1" applyAlignment="1">
      <alignment horizontal="left"/>
    </xf>
    <xf numFmtId="184" fontId="0" fillId="0" borderId="28" xfId="0" applyNumberFormat="1" applyFont="1" applyFill="1" applyBorder="1" applyAlignment="1">
      <alignment horizontal="right"/>
    </xf>
    <xf numFmtId="184" fontId="0" fillId="0" borderId="39" xfId="0" applyNumberFormat="1" applyFont="1" applyFill="1" applyBorder="1" applyAlignment="1">
      <alignment horizontal="left"/>
    </xf>
    <xf numFmtId="184" fontId="0" fillId="0" borderId="28" xfId="0" applyNumberFormat="1" applyFont="1" applyFill="1" applyBorder="1" applyAlignment="1">
      <alignment/>
    </xf>
    <xf numFmtId="184" fontId="0" fillId="0" borderId="50" xfId="0" applyNumberFormat="1" applyFont="1" applyFill="1" applyBorder="1" applyAlignment="1">
      <alignment horizontal="center"/>
    </xf>
    <xf numFmtId="184" fontId="0" fillId="0" borderId="50" xfId="19" applyNumberFormat="1" applyFont="1" applyFill="1" applyBorder="1" applyAlignment="1">
      <alignment horizontal="right"/>
    </xf>
    <xf numFmtId="184" fontId="0" fillId="0" borderId="43" xfId="0" applyNumberFormat="1" applyFont="1" applyFill="1" applyBorder="1" applyAlignment="1">
      <alignment horizontal="right"/>
    </xf>
    <xf numFmtId="184" fontId="1" fillId="0" borderId="50" xfId="0" applyNumberFormat="1" applyFont="1" applyFill="1" applyBorder="1" applyAlignment="1">
      <alignment horizontal="center"/>
    </xf>
    <xf numFmtId="184" fontId="1" fillId="0" borderId="50" xfId="19" applyNumberFormat="1" applyFont="1" applyFill="1" applyBorder="1" applyAlignment="1">
      <alignment horizontal="right"/>
    </xf>
    <xf numFmtId="184" fontId="1" fillId="0" borderId="43" xfId="19" applyNumberFormat="1" applyFont="1" applyFill="1" applyBorder="1" applyAlignment="1">
      <alignment horizontal="right"/>
    </xf>
    <xf numFmtId="184" fontId="0" fillId="0" borderId="1" xfId="0" applyNumberFormat="1" applyFont="1" applyFill="1" applyBorder="1" applyAlignment="1">
      <alignment/>
    </xf>
    <xf numFmtId="184" fontId="0" fillId="0" borderId="19" xfId="0" applyNumberFormat="1" applyFont="1" applyFill="1" applyBorder="1" applyAlignment="1">
      <alignment/>
    </xf>
    <xf numFmtId="184" fontId="0" fillId="0" borderId="10" xfId="0" applyNumberFormat="1" applyFont="1" applyFill="1" applyBorder="1" applyAlignment="1">
      <alignment/>
    </xf>
    <xf numFmtId="184" fontId="0" fillId="0" borderId="11" xfId="0" applyNumberFormat="1" applyFont="1" applyFill="1" applyBorder="1" applyAlignment="1">
      <alignment/>
    </xf>
    <xf numFmtId="184" fontId="1" fillId="0" borderId="5" xfId="0" applyNumberFormat="1" applyFont="1" applyFill="1" applyBorder="1" applyAlignment="1">
      <alignment/>
    </xf>
    <xf numFmtId="181" fontId="1" fillId="0" borderId="2" xfId="0" applyNumberFormat="1" applyFont="1" applyFill="1" applyBorder="1" applyAlignment="1">
      <alignment horizontal="center"/>
    </xf>
    <xf numFmtId="181" fontId="1" fillId="0" borderId="27" xfId="0" applyNumberFormat="1" applyFont="1" applyFill="1" applyBorder="1" applyAlignment="1">
      <alignment horizontal="center"/>
    </xf>
    <xf numFmtId="181" fontId="0" fillId="0" borderId="27" xfId="0" applyNumberFormat="1" applyFont="1" applyFill="1" applyBorder="1" applyAlignment="1">
      <alignment horizontal="center"/>
    </xf>
    <xf numFmtId="181" fontId="0" fillId="0" borderId="2" xfId="0" applyNumberFormat="1" applyFont="1" applyFill="1" applyBorder="1" applyAlignment="1">
      <alignment horizontal="center"/>
    </xf>
    <xf numFmtId="181" fontId="0" fillId="0" borderId="4" xfId="0" applyNumberFormat="1" applyFont="1" applyFill="1" applyBorder="1" applyAlignment="1">
      <alignment horizontal="center"/>
    </xf>
    <xf numFmtId="181" fontId="0" fillId="0" borderId="0" xfId="0" applyNumberFormat="1" applyFont="1" applyFill="1" applyBorder="1" applyAlignment="1">
      <alignment horizontal="center"/>
    </xf>
    <xf numFmtId="181" fontId="0" fillId="0" borderId="4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0" fillId="0" borderId="5" xfId="0" applyNumberFormat="1" applyFont="1" applyFill="1" applyBorder="1" applyAlignment="1">
      <alignment/>
    </xf>
    <xf numFmtId="181" fontId="0" fillId="0" borderId="18" xfId="0" applyNumberFormat="1" applyFont="1" applyFill="1" applyBorder="1" applyAlignment="1">
      <alignment/>
    </xf>
    <xf numFmtId="181" fontId="0" fillId="0" borderId="39" xfId="20" applyNumberFormat="1" applyFont="1" applyFill="1" applyBorder="1" applyAlignment="1">
      <alignment/>
    </xf>
    <xf numFmtId="181" fontId="1" fillId="0" borderId="12" xfId="20" applyNumberFormat="1" applyFont="1" applyFill="1" applyBorder="1" applyAlignment="1">
      <alignment/>
    </xf>
    <xf numFmtId="181" fontId="0" fillId="0" borderId="39" xfId="20" applyNumberFormat="1" applyFont="1" applyFill="1" applyBorder="1" applyAlignment="1">
      <alignment/>
    </xf>
    <xf numFmtId="181" fontId="1" fillId="0" borderId="12" xfId="20" applyNumberFormat="1" applyFont="1" applyFill="1" applyBorder="1" applyAlignment="1">
      <alignment/>
    </xf>
    <xf numFmtId="181" fontId="0" fillId="0" borderId="23" xfId="0" applyNumberFormat="1" applyFont="1" applyFill="1" applyBorder="1" applyAlignment="1">
      <alignment horizontal="center"/>
    </xf>
    <xf numFmtId="181" fontId="0" fillId="0" borderId="5" xfId="0" applyNumberFormat="1" applyFont="1" applyFill="1" applyBorder="1" applyAlignment="1">
      <alignment horizontal="center"/>
    </xf>
    <xf numFmtId="181" fontId="0" fillId="0" borderId="25" xfId="0" applyNumberFormat="1" applyFont="1" applyFill="1" applyBorder="1" applyAlignment="1">
      <alignment horizontal="center"/>
    </xf>
    <xf numFmtId="181" fontId="0" fillId="0" borderId="18" xfId="0" applyNumberFormat="1" applyFont="1" applyFill="1" applyBorder="1" applyAlignment="1">
      <alignment horizontal="center"/>
    </xf>
    <xf numFmtId="185" fontId="0" fillId="0" borderId="8" xfId="0" applyNumberFormat="1" applyFont="1" applyFill="1" applyBorder="1" applyAlignment="1">
      <alignment/>
    </xf>
    <xf numFmtId="185" fontId="0" fillId="0" borderId="28" xfId="19" applyNumberFormat="1" applyFont="1" applyFill="1" applyBorder="1" applyAlignment="1">
      <alignment horizontal="right"/>
    </xf>
    <xf numFmtId="185" fontId="0" fillId="0" borderId="39" xfId="19" applyNumberFormat="1" applyFont="1" applyFill="1" applyBorder="1" applyAlignment="1">
      <alignment horizontal="right"/>
    </xf>
    <xf numFmtId="185" fontId="1" fillId="0" borderId="28" xfId="19" applyNumberFormat="1" applyFont="1" applyFill="1" applyBorder="1" applyAlignment="1">
      <alignment horizontal="right"/>
    </xf>
    <xf numFmtId="185" fontId="1" fillId="0" borderId="39" xfId="19" applyNumberFormat="1" applyFont="1" applyFill="1" applyBorder="1" applyAlignment="1">
      <alignment horizontal="right"/>
    </xf>
    <xf numFmtId="185" fontId="0" fillId="0" borderId="50" xfId="19" applyNumberFormat="1" applyFont="1" applyFill="1" applyBorder="1" applyAlignment="1">
      <alignment horizontal="right"/>
    </xf>
    <xf numFmtId="185" fontId="0" fillId="0" borderId="43" xfId="0" applyNumberFormat="1" applyFont="1" applyFill="1" applyBorder="1" applyAlignment="1">
      <alignment horizontal="right"/>
    </xf>
    <xf numFmtId="185" fontId="1" fillId="0" borderId="50" xfId="19" applyNumberFormat="1" applyFont="1" applyFill="1" applyBorder="1" applyAlignment="1">
      <alignment horizontal="right"/>
    </xf>
    <xf numFmtId="185" fontId="1" fillId="0" borderId="43" xfId="19" applyNumberFormat="1" applyFont="1" applyFill="1" applyBorder="1" applyAlignment="1">
      <alignment horizontal="right"/>
    </xf>
    <xf numFmtId="181" fontId="0" fillId="0" borderId="28" xfId="0" applyNumberFormat="1" applyFont="1" applyFill="1" applyBorder="1" applyAlignment="1">
      <alignment horizontal="center"/>
    </xf>
    <xf numFmtId="181" fontId="0" fillId="0" borderId="28" xfId="19" applyNumberFormat="1" applyFont="1" applyFill="1" applyBorder="1" applyAlignment="1">
      <alignment horizontal="right"/>
    </xf>
    <xf numFmtId="181" fontId="0" fillId="0" borderId="39" xfId="19" applyNumberFormat="1" applyFont="1" applyFill="1" applyBorder="1" applyAlignment="1">
      <alignment horizontal="right"/>
    </xf>
    <xf numFmtId="181" fontId="1" fillId="0" borderId="28" xfId="0" applyNumberFormat="1" applyFont="1" applyFill="1" applyBorder="1" applyAlignment="1">
      <alignment horizontal="center"/>
    </xf>
    <xf numFmtId="181" fontId="1" fillId="0" borderId="28" xfId="19" applyNumberFormat="1" applyFont="1" applyFill="1" applyBorder="1" applyAlignment="1">
      <alignment horizontal="right"/>
    </xf>
    <xf numFmtId="181" fontId="1" fillId="0" borderId="39" xfId="19" applyNumberFormat="1" applyFont="1" applyFill="1" applyBorder="1" applyAlignment="1">
      <alignment horizontal="right"/>
    </xf>
    <xf numFmtId="181" fontId="0" fillId="0" borderId="28" xfId="0" applyNumberFormat="1" applyFont="1" applyFill="1" applyBorder="1" applyAlignment="1">
      <alignment horizontal="left"/>
    </xf>
    <xf numFmtId="181" fontId="0" fillId="0" borderId="28" xfId="0" applyNumberFormat="1" applyFont="1" applyFill="1" applyBorder="1" applyAlignment="1">
      <alignment horizontal="right"/>
    </xf>
    <xf numFmtId="181" fontId="0" fillId="0" borderId="39" xfId="0" applyNumberFormat="1" applyFont="1" applyFill="1" applyBorder="1" applyAlignment="1">
      <alignment horizontal="right"/>
    </xf>
    <xf numFmtId="181" fontId="0" fillId="0" borderId="39" xfId="0" applyNumberFormat="1" applyFont="1" applyFill="1" applyBorder="1" applyAlignment="1">
      <alignment horizontal="left"/>
    </xf>
    <xf numFmtId="181" fontId="0" fillId="0" borderId="28" xfId="0" applyNumberFormat="1" applyFont="1" applyFill="1" applyBorder="1" applyAlignment="1">
      <alignment/>
    </xf>
    <xf numFmtId="181" fontId="0" fillId="0" borderId="50" xfId="0" applyNumberFormat="1" applyFont="1" applyFill="1" applyBorder="1" applyAlignment="1">
      <alignment horizontal="center"/>
    </xf>
    <xf numFmtId="181" fontId="0" fillId="0" borderId="50" xfId="19" applyNumberFormat="1" applyFont="1" applyFill="1" applyBorder="1" applyAlignment="1">
      <alignment horizontal="right"/>
    </xf>
    <xf numFmtId="181" fontId="0" fillId="0" borderId="43" xfId="0" applyNumberFormat="1" applyFont="1" applyFill="1" applyBorder="1" applyAlignment="1">
      <alignment horizontal="right"/>
    </xf>
    <xf numFmtId="181" fontId="1" fillId="0" borderId="50" xfId="0" applyNumberFormat="1" applyFont="1" applyFill="1" applyBorder="1" applyAlignment="1">
      <alignment horizontal="center"/>
    </xf>
    <xf numFmtId="181" fontId="1" fillId="0" borderId="50" xfId="19" applyNumberFormat="1" applyFont="1" applyFill="1" applyBorder="1" applyAlignment="1">
      <alignment horizontal="right"/>
    </xf>
    <xf numFmtId="185" fontId="0" fillId="0" borderId="19" xfId="0" applyNumberFormat="1" applyFont="1" applyFill="1" applyBorder="1" applyAlignment="1">
      <alignment/>
    </xf>
    <xf numFmtId="185" fontId="1" fillId="0" borderId="19" xfId="0" applyNumberFormat="1" applyFont="1" applyFill="1" applyBorder="1" applyAlignment="1">
      <alignment/>
    </xf>
    <xf numFmtId="185" fontId="0" fillId="0" borderId="19" xfId="0" applyNumberFormat="1" applyFont="1" applyFill="1" applyBorder="1" applyAlignment="1">
      <alignment/>
    </xf>
    <xf numFmtId="185" fontId="0" fillId="0" borderId="11" xfId="0" applyNumberFormat="1" applyFont="1" applyFill="1" applyBorder="1" applyAlignment="1">
      <alignment/>
    </xf>
    <xf numFmtId="181" fontId="0" fillId="0" borderId="31" xfId="0" applyNumberFormat="1" applyFont="1" applyFill="1" applyBorder="1" applyAlignment="1">
      <alignment/>
    </xf>
    <xf numFmtId="181" fontId="0" fillId="0" borderId="32" xfId="0" applyNumberFormat="1" applyFont="1" applyFill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36" xfId="0" applyBorder="1" applyAlignment="1">
      <alignment/>
    </xf>
    <xf numFmtId="186" fontId="0" fillId="0" borderId="48" xfId="0" applyNumberFormat="1" applyBorder="1" applyAlignment="1">
      <alignment/>
    </xf>
    <xf numFmtId="186" fontId="0" fillId="0" borderId="53" xfId="0" applyNumberFormat="1" applyBorder="1" applyAlignment="1">
      <alignment/>
    </xf>
    <xf numFmtId="186" fontId="0" fillId="0" borderId="13" xfId="0" applyNumberFormat="1" applyBorder="1" applyAlignment="1">
      <alignment/>
    </xf>
    <xf numFmtId="181" fontId="0" fillId="0" borderId="35" xfId="0" applyNumberFormat="1" applyBorder="1" applyAlignment="1">
      <alignment/>
    </xf>
    <xf numFmtId="186" fontId="0" fillId="0" borderId="44" xfId="0" applyNumberFormat="1" applyBorder="1" applyAlignment="1">
      <alignment/>
    </xf>
    <xf numFmtId="0" fontId="0" fillId="0" borderId="54" xfId="0" applyBorder="1" applyAlignment="1">
      <alignment/>
    </xf>
    <xf numFmtId="0" fontId="0" fillId="0" borderId="13" xfId="0" applyBorder="1" applyAlignment="1">
      <alignment/>
    </xf>
    <xf numFmtId="181" fontId="0" fillId="0" borderId="55" xfId="0" applyNumberFormat="1" applyBorder="1" applyAlignment="1">
      <alignment/>
    </xf>
    <xf numFmtId="0" fontId="0" fillId="0" borderId="0" xfId="0" applyNumberFormat="1" applyFont="1" applyFill="1" applyAlignment="1">
      <alignment horizontal="center" wrapText="1"/>
    </xf>
    <xf numFmtId="10" fontId="0" fillId="0" borderId="13" xfId="0" applyNumberFormat="1" applyBorder="1" applyAlignment="1">
      <alignment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left"/>
    </xf>
    <xf numFmtId="3" fontId="0" fillId="0" borderId="31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184" fontId="0" fillId="0" borderId="7" xfId="0" applyNumberFormat="1" applyFont="1" applyFill="1" applyBorder="1" applyAlignment="1">
      <alignment horizontal="center"/>
    </xf>
    <xf numFmtId="184" fontId="0" fillId="0" borderId="8" xfId="0" applyNumberFormat="1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wrapText="1"/>
    </xf>
    <xf numFmtId="181" fontId="1" fillId="0" borderId="4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56" xfId="0" applyBorder="1" applyAlignment="1">
      <alignment/>
    </xf>
    <xf numFmtId="0" fontId="0" fillId="0" borderId="7" xfId="0" applyBorder="1" applyAlignment="1">
      <alignment/>
    </xf>
    <xf numFmtId="181" fontId="0" fillId="0" borderId="40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50" xfId="0" applyBorder="1" applyAlignment="1">
      <alignment/>
    </xf>
    <xf numFmtId="181" fontId="0" fillId="0" borderId="25" xfId="0" applyNumberFormat="1" applyBorder="1" applyAlignment="1">
      <alignment/>
    </xf>
    <xf numFmtId="3" fontId="1" fillId="0" borderId="1" xfId="0" applyNumberFormat="1" applyFont="1" applyFill="1" applyBorder="1" applyAlignment="1">
      <alignment/>
    </xf>
    <xf numFmtId="185" fontId="1" fillId="0" borderId="19" xfId="0" applyNumberFormat="1" applyFont="1" applyFill="1" applyBorder="1" applyAlignment="1">
      <alignment/>
    </xf>
    <xf numFmtId="10" fontId="1" fillId="0" borderId="17" xfId="0" applyNumberFormat="1" applyFont="1" applyFill="1" applyBorder="1" applyAlignment="1">
      <alignment horizontal="right"/>
    </xf>
    <xf numFmtId="0" fontId="0" fillId="0" borderId="15" xfId="0" applyBorder="1" applyAlignment="1">
      <alignment/>
    </xf>
    <xf numFmtId="1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24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8" xfId="0" applyBorder="1" applyAlignment="1">
      <alignment/>
    </xf>
    <xf numFmtId="1" fontId="0" fillId="0" borderId="18" xfId="0" applyNumberFormat="1" applyBorder="1" applyAlignment="1">
      <alignment/>
    </xf>
    <xf numFmtId="181" fontId="0" fillId="0" borderId="18" xfId="0" applyNumberFormat="1" applyBorder="1" applyAlignment="1">
      <alignment/>
    </xf>
    <xf numFmtId="0" fontId="0" fillId="0" borderId="0" xfId="0" applyBorder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1" fontId="1" fillId="0" borderId="34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47" xfId="0" applyFont="1" applyBorder="1" applyAlignment="1">
      <alignment/>
    </xf>
    <xf numFmtId="0" fontId="15" fillId="0" borderId="45" xfId="0" applyFont="1" applyBorder="1" applyAlignment="1">
      <alignment/>
    </xf>
    <xf numFmtId="22" fontId="16" fillId="0" borderId="46" xfId="0" applyNumberFormat="1" applyFont="1" applyBorder="1" applyAlignment="1">
      <alignment horizontal="left"/>
    </xf>
    <xf numFmtId="0" fontId="16" fillId="0" borderId="49" xfId="0" applyFont="1" applyBorder="1" applyAlignment="1">
      <alignment horizontal="left"/>
    </xf>
    <xf numFmtId="22" fontId="16" fillId="0" borderId="1" xfId="0" applyNumberFormat="1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4" fillId="0" borderId="0" xfId="0" applyFont="1" applyBorder="1" applyAlignment="1">
      <alignment wrapText="1"/>
    </xf>
    <xf numFmtId="0" fontId="16" fillId="0" borderId="0" xfId="0" applyFont="1" applyBorder="1" applyAlignment="1">
      <alignment/>
    </xf>
    <xf numFmtId="0" fontId="0" fillId="0" borderId="20" xfId="0" applyBorder="1" applyAlignment="1">
      <alignment horizontal="center" vertical="center" wrapText="1"/>
    </xf>
    <xf numFmtId="0" fontId="14" fillId="0" borderId="18" xfId="0" applyFont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vertical="top" wrapText="1"/>
    </xf>
    <xf numFmtId="0" fontId="6" fillId="0" borderId="18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1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181" fontId="0" fillId="0" borderId="2" xfId="0" applyNumberFormat="1" applyBorder="1" applyAlignment="1">
      <alignment horizontal="center" vertical="center" wrapText="1"/>
    </xf>
    <xf numFmtId="181" fontId="0" fillId="0" borderId="5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7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47" xfId="0" applyBorder="1" applyAlignment="1">
      <alignment horizontal="center" vertical="center" wrapText="1"/>
    </xf>
    <xf numFmtId="0" fontId="0" fillId="0" borderId="45" xfId="0" applyBorder="1" applyAlignment="1">
      <alignment/>
    </xf>
    <xf numFmtId="0" fontId="0" fillId="0" borderId="18" xfId="0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18" xfId="0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4" fontId="6" fillId="0" borderId="34" xfId="0" applyNumberFormat="1" applyFont="1" applyFill="1" applyBorder="1" applyAlignment="1">
      <alignment horizontal="center"/>
    </xf>
    <xf numFmtId="4" fontId="6" fillId="0" borderId="35" xfId="0" applyNumberFormat="1" applyFont="1" applyFill="1" applyBorder="1" applyAlignment="1">
      <alignment horizontal="center"/>
    </xf>
    <xf numFmtId="4" fontId="6" fillId="0" borderId="0" xfId="0" applyNumberFormat="1" applyFont="1" applyFill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wrapText="1"/>
    </xf>
    <xf numFmtId="0" fontId="0" fillId="0" borderId="56" xfId="0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9" fontId="6" fillId="0" borderId="19" xfId="24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3" fontId="6" fillId="0" borderId="20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6" fillId="0" borderId="35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3" fontId="0" fillId="0" borderId="27" xfId="0" applyNumberFormat="1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10" fontId="0" fillId="0" borderId="58" xfId="0" applyNumberFormat="1" applyFont="1" applyFill="1" applyBorder="1" applyAlignment="1">
      <alignment horizontal="center"/>
    </xf>
    <xf numFmtId="10" fontId="0" fillId="0" borderId="40" xfId="0" applyNumberFormat="1" applyFont="1" applyFill="1" applyBorder="1" applyAlignment="1">
      <alignment horizontal="center"/>
    </xf>
    <xf numFmtId="10" fontId="0" fillId="0" borderId="37" xfId="0" applyNumberFormat="1" applyFont="1" applyFill="1" applyBorder="1" applyAlignment="1">
      <alignment horizontal="center"/>
    </xf>
    <xf numFmtId="10" fontId="0" fillId="0" borderId="5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23 - Anexos Capítulo 6" xfId="20"/>
    <cellStyle name="Currency" xfId="21"/>
    <cellStyle name="Currency [0]" xfId="22"/>
    <cellStyle name="Moneda_CONSUMO DE AGUA DE LA ESPOL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VARIACION DEL VAN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Variaci'on en Precio del Agua Potable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'4.4 Analisis de Sensibilidad'!$B$44:$F$44</c:f>
              <c:numCache/>
            </c:numRef>
          </c:cat>
          <c:val>
            <c:numRef>
              <c:f>'4.4 Analisis de Sensibilidad'!$B$45:$F$45</c:f>
              <c:numCache/>
            </c:numRef>
          </c:val>
          <c:smooth val="0"/>
        </c:ser>
        <c:ser>
          <c:idx val="1"/>
          <c:order val="1"/>
          <c:tx>
            <c:v>Variacion en consumo de agua en riego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'4.4 Analisis de Sensibilidad'!$B$51:$F$51</c:f>
              <c:numCache/>
            </c:numRef>
          </c:val>
          <c:smooth val="0"/>
        </c:ser>
        <c:axId val="39386238"/>
        <c:axId val="18931823"/>
      </c:lineChart>
      <c:catAx>
        <c:axId val="39386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VARIACION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931823"/>
        <c:crosses val="autoZero"/>
        <c:auto val="1"/>
        <c:lblOffset val="100"/>
        <c:noMultiLvlLbl val="0"/>
      </c:catAx>
      <c:valAx>
        <c:axId val="189318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VAN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3862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VARIACION EN LA TIR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0175"/>
          <c:w val="0.6075"/>
          <c:h val="0.76525"/>
        </c:manualLayout>
      </c:layout>
      <c:lineChart>
        <c:grouping val="standard"/>
        <c:varyColors val="0"/>
        <c:ser>
          <c:idx val="0"/>
          <c:order val="0"/>
          <c:tx>
            <c:v>Variación del precio del agua potable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'4.4 Analisis de Sensibilidad'!$B$50:$F$50</c:f>
              <c:numCache/>
            </c:numRef>
          </c:cat>
          <c:val>
            <c:numRef>
              <c:f>'4.4 Analisis de Sensibilidad'!$B$46:$F$46</c:f>
              <c:numCache/>
            </c:numRef>
          </c:val>
          <c:smooth val="0"/>
        </c:ser>
        <c:ser>
          <c:idx val="1"/>
          <c:order val="1"/>
          <c:tx>
            <c:v>Variacion del Consumo de agua en riego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'4.4 Analisis de Sensibilidad'!$B$50:$F$50</c:f>
              <c:numCache/>
            </c:numRef>
          </c:cat>
          <c:val>
            <c:numRef>
              <c:f>'4.4 Analisis de Sensibilidad'!$B$52:$F$52</c:f>
              <c:numCache/>
            </c:numRef>
          </c:val>
          <c:smooth val="0"/>
        </c:ser>
        <c:axId val="36168680"/>
        <c:axId val="57082665"/>
      </c:lineChart>
      <c:catAx>
        <c:axId val="36168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VARIACION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082665"/>
        <c:crosses val="autoZero"/>
        <c:auto val="1"/>
        <c:lblOffset val="100"/>
        <c:noMultiLvlLbl val="0"/>
      </c:catAx>
      <c:valAx>
        <c:axId val="57082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1686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775"/>
          <c:y val="0.3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66</xdr:row>
      <xdr:rowOff>66675</xdr:rowOff>
    </xdr:from>
    <xdr:to>
      <xdr:col>8</xdr:col>
      <xdr:colOff>714375</xdr:colOff>
      <xdr:row>86</xdr:row>
      <xdr:rowOff>76200</xdr:rowOff>
    </xdr:to>
    <xdr:graphicFrame>
      <xdr:nvGraphicFramePr>
        <xdr:cNvPr id="1" name="Chart 1"/>
        <xdr:cNvGraphicFramePr/>
      </xdr:nvGraphicFramePr>
      <xdr:xfrm>
        <a:off x="2657475" y="12258675"/>
        <a:ext cx="53149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66675</xdr:colOff>
      <xdr:row>55</xdr:row>
      <xdr:rowOff>114300</xdr:rowOff>
    </xdr:from>
    <xdr:to>
      <xdr:col>13</xdr:col>
      <xdr:colOff>228600</xdr:colOff>
      <xdr:row>76</xdr:row>
      <xdr:rowOff>85725</xdr:rowOff>
    </xdr:to>
    <xdr:graphicFrame>
      <xdr:nvGraphicFramePr>
        <xdr:cNvPr id="2" name="Chart 2"/>
        <xdr:cNvGraphicFramePr/>
      </xdr:nvGraphicFramePr>
      <xdr:xfrm>
        <a:off x="5657850" y="10258425"/>
        <a:ext cx="621030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5\c\My%20Documents\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"/>
  <sheetViews>
    <sheetView tabSelected="1" zoomScale="75" zoomScaleNormal="75" workbookViewId="0" topLeftCell="A1">
      <selection activeCell="D30" sqref="D30"/>
    </sheetView>
  </sheetViews>
  <sheetFormatPr defaultColWidth="11.421875" defaultRowHeight="12.75"/>
  <cols>
    <col min="1" max="1" width="26.28125" style="406" bestFit="1" customWidth="1"/>
    <col min="2" max="2" width="18.421875" style="406" bestFit="1" customWidth="1"/>
  </cols>
  <sheetData>
    <row r="2" spans="1:11" ht="19.5">
      <c r="A2" s="420" t="s">
        <v>232</v>
      </c>
      <c r="B2" s="420"/>
      <c r="C2" s="420"/>
      <c r="D2" s="420"/>
      <c r="E2" s="420"/>
      <c r="F2" s="415"/>
      <c r="G2" s="415"/>
      <c r="H2" s="415"/>
      <c r="I2" s="415"/>
      <c r="J2" s="415"/>
      <c r="K2" s="415"/>
    </row>
    <row r="3" spans="1:5" ht="18.75" customHeight="1">
      <c r="A3" s="421" t="s">
        <v>227</v>
      </c>
      <c r="B3" s="421"/>
      <c r="C3" s="421"/>
      <c r="D3" s="421"/>
      <c r="E3" s="421"/>
    </row>
    <row r="4" spans="1:5" ht="20.25" customHeight="1">
      <c r="A4" s="421"/>
      <c r="B4" s="421"/>
      <c r="C4" s="421"/>
      <c r="D4" s="421"/>
      <c r="E4" s="421"/>
    </row>
    <row r="5" ht="15.75" thickBot="1">
      <c r="C5" s="405"/>
    </row>
    <row r="6" spans="1:3" ht="20.25" thickBot="1">
      <c r="A6" s="407" t="s">
        <v>226</v>
      </c>
      <c r="B6" s="408" t="s">
        <v>225</v>
      </c>
      <c r="C6" s="405"/>
    </row>
    <row r="7" spans="1:3" ht="18.75">
      <c r="A7" s="409" t="s">
        <v>215</v>
      </c>
      <c r="B7" s="410">
        <v>8711</v>
      </c>
      <c r="C7" s="405"/>
    </row>
    <row r="8" spans="1:3" ht="18.75">
      <c r="A8" s="411" t="s">
        <v>216</v>
      </c>
      <c r="B8" s="412">
        <v>8278</v>
      </c>
      <c r="C8" s="405"/>
    </row>
    <row r="9" spans="1:3" ht="18.75">
      <c r="A9" s="411" t="s">
        <v>217</v>
      </c>
      <c r="B9" s="412">
        <v>8818</v>
      </c>
      <c r="C9" s="405"/>
    </row>
    <row r="10" spans="1:3" ht="18.75">
      <c r="A10" s="411" t="s">
        <v>218</v>
      </c>
      <c r="B10" s="412">
        <v>8347</v>
      </c>
      <c r="C10" s="405"/>
    </row>
    <row r="11" spans="1:3" ht="18.75">
      <c r="A11" s="411" t="s">
        <v>219</v>
      </c>
      <c r="B11" s="412">
        <v>7584</v>
      </c>
      <c r="C11" s="405"/>
    </row>
    <row r="12" spans="1:3" ht="18.75">
      <c r="A12" s="411" t="s">
        <v>220</v>
      </c>
      <c r="B12" s="412">
        <v>7239</v>
      </c>
      <c r="C12" s="405"/>
    </row>
    <row r="13" spans="1:3" ht="18.75">
      <c r="A13" s="411" t="s">
        <v>221</v>
      </c>
      <c r="B13" s="412">
        <v>7913</v>
      </c>
      <c r="C13" s="405"/>
    </row>
    <row r="14" spans="1:3" ht="18.75">
      <c r="A14" s="411" t="s">
        <v>222</v>
      </c>
      <c r="B14" s="412">
        <v>7322</v>
      </c>
      <c r="C14" s="405"/>
    </row>
    <row r="15" spans="1:3" ht="18.75">
      <c r="A15" s="411" t="s">
        <v>223</v>
      </c>
      <c r="B15" s="412">
        <v>7922</v>
      </c>
      <c r="C15" s="405"/>
    </row>
    <row r="16" spans="1:3" ht="19.5" thickBot="1">
      <c r="A16" s="413" t="s">
        <v>224</v>
      </c>
      <c r="B16" s="414">
        <v>7446</v>
      </c>
      <c r="C16" s="405"/>
    </row>
    <row r="17" spans="1:3" ht="18.75">
      <c r="A17" s="416" t="s">
        <v>29</v>
      </c>
      <c r="C17" s="405"/>
    </row>
    <row r="18" spans="1:3" ht="18.75">
      <c r="A18" s="416" t="s">
        <v>229</v>
      </c>
      <c r="C18" s="405"/>
    </row>
  </sheetData>
  <mergeCells count="2">
    <mergeCell ref="A2:E2"/>
    <mergeCell ref="A3:E4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4"/>
  <sheetViews>
    <sheetView zoomScale="75" zoomScaleNormal="75" workbookViewId="0" topLeftCell="A1">
      <selection activeCell="E42" sqref="E42"/>
    </sheetView>
  </sheetViews>
  <sheetFormatPr defaultColWidth="11.421875" defaultRowHeight="12.75"/>
  <cols>
    <col min="1" max="1" width="35.28125" style="27" customWidth="1"/>
    <col min="2" max="2" width="13.57421875" style="27" customWidth="1"/>
    <col min="3" max="3" width="12.7109375" style="27" bestFit="1" customWidth="1"/>
    <col min="4" max="4" width="18.57421875" style="27" bestFit="1" customWidth="1"/>
    <col min="5" max="16384" width="11.421875" style="27" customWidth="1"/>
  </cols>
  <sheetData>
    <row r="1" spans="1:4" ht="18">
      <c r="A1" s="449"/>
      <c r="B1" s="449"/>
      <c r="C1" s="449"/>
      <c r="D1" s="449"/>
    </row>
    <row r="2" spans="1:4" ht="13.5" thickBot="1">
      <c r="A2" s="456" t="s">
        <v>174</v>
      </c>
      <c r="B2" s="456"/>
      <c r="C2" s="456"/>
      <c r="D2" s="456"/>
    </row>
    <row r="3" spans="1:4" ht="18.75" thickBot="1">
      <c r="A3" s="446" t="s">
        <v>206</v>
      </c>
      <c r="B3" s="447"/>
      <c r="C3" s="447"/>
      <c r="D3" s="448"/>
    </row>
    <row r="4" spans="1:4" ht="18.75" thickBot="1">
      <c r="A4" s="70"/>
      <c r="B4" s="40"/>
      <c r="C4" s="4" t="s">
        <v>1</v>
      </c>
      <c r="D4" s="4" t="s">
        <v>2</v>
      </c>
    </row>
    <row r="5" spans="1:4" ht="13.5" thickBot="1">
      <c r="A5" s="40"/>
      <c r="B5" s="40"/>
      <c r="C5" s="4" t="s">
        <v>89</v>
      </c>
      <c r="D5" s="4" t="s">
        <v>3</v>
      </c>
    </row>
    <row r="6" spans="1:4" ht="12.75">
      <c r="A6" s="41"/>
      <c r="B6" s="59"/>
      <c r="C6" s="38"/>
      <c r="D6" s="101"/>
    </row>
    <row r="7" spans="1:4" ht="12.75">
      <c r="A7" s="19" t="s">
        <v>91</v>
      </c>
      <c r="B7" s="105"/>
      <c r="C7" s="72">
        <f>+SUM(B8:B10)</f>
        <v>823</v>
      </c>
      <c r="D7" s="102">
        <f>+C7/$C$23</f>
        <v>0.8459245554527701</v>
      </c>
    </row>
    <row r="8" spans="1:4" ht="12.75">
      <c r="A8" s="99" t="s">
        <v>92</v>
      </c>
      <c r="B8" s="106">
        <v>823</v>
      </c>
      <c r="C8" s="72"/>
      <c r="D8" s="102"/>
    </row>
    <row r="9" spans="1:4" ht="12.75">
      <c r="A9" s="99"/>
      <c r="B9" s="106"/>
      <c r="C9" s="72"/>
      <c r="D9" s="102"/>
    </row>
    <row r="10" spans="1:4" ht="12.75">
      <c r="A10" s="99"/>
      <c r="B10" s="106"/>
      <c r="C10" s="72"/>
      <c r="D10" s="102"/>
    </row>
    <row r="11" spans="1:4" ht="12.75">
      <c r="A11" s="7"/>
      <c r="B11" s="106"/>
      <c r="C11" s="72"/>
      <c r="D11" s="102"/>
    </row>
    <row r="12" spans="1:4" ht="12.75">
      <c r="A12" s="19" t="s">
        <v>32</v>
      </c>
      <c r="B12" s="106"/>
      <c r="C12" s="72">
        <f>+SUM(B13:B16)</f>
        <v>112.5</v>
      </c>
      <c r="D12" s="102">
        <f>+C12/$C$23</f>
        <v>0.11563367252543941</v>
      </c>
    </row>
    <row r="13" spans="1:4" ht="12.75">
      <c r="A13" s="99" t="s">
        <v>90</v>
      </c>
      <c r="B13" s="106">
        <v>112.5</v>
      </c>
      <c r="C13" s="72"/>
      <c r="D13" s="102"/>
    </row>
    <row r="14" spans="1:6" ht="12.75">
      <c r="A14" s="99"/>
      <c r="B14" s="106"/>
      <c r="C14" s="72"/>
      <c r="D14" s="102"/>
      <c r="F14" s="27">
        <f>450/12</f>
        <v>37.5</v>
      </c>
    </row>
    <row r="15" spans="1:4" ht="12.75">
      <c r="A15" s="99"/>
      <c r="B15" s="106"/>
      <c r="C15" s="72"/>
      <c r="D15" s="102"/>
    </row>
    <row r="16" spans="1:4" ht="15" customHeight="1">
      <c r="A16" s="19" t="s">
        <v>175</v>
      </c>
      <c r="B16" s="106"/>
      <c r="C16" s="72">
        <f>+SUM(B17:B19)</f>
        <v>37.400000000000006</v>
      </c>
      <c r="D16" s="102">
        <f>+C16/$C$23</f>
        <v>0.03844177202179053</v>
      </c>
    </row>
    <row r="17" spans="1:4" ht="15" customHeight="1">
      <c r="A17" s="99" t="s">
        <v>93</v>
      </c>
      <c r="B17" s="106">
        <v>20.8</v>
      </c>
      <c r="C17" s="72"/>
      <c r="D17" s="102"/>
    </row>
    <row r="18" spans="1:4" ht="15" customHeight="1">
      <c r="A18" s="99" t="s">
        <v>94</v>
      </c>
      <c r="B18" s="106">
        <v>8.3</v>
      </c>
      <c r="C18" s="72"/>
      <c r="D18" s="102"/>
    </row>
    <row r="19" spans="1:4" ht="15" customHeight="1">
      <c r="A19" s="99" t="s">
        <v>75</v>
      </c>
      <c r="B19" s="106">
        <v>8.3</v>
      </c>
      <c r="C19" s="72"/>
      <c r="D19" s="102"/>
    </row>
    <row r="20" spans="1:4" s="43" customFormat="1" ht="15" customHeight="1">
      <c r="A20" s="99"/>
      <c r="B20" s="111"/>
      <c r="C20" s="112"/>
      <c r="D20" s="113"/>
    </row>
    <row r="21" spans="1:4" s="43" customFormat="1" ht="15" customHeight="1">
      <c r="A21" s="99"/>
      <c r="B21" s="111"/>
      <c r="C21" s="112"/>
      <c r="D21" s="113"/>
    </row>
    <row r="22" spans="1:4" ht="13.5" thickBot="1">
      <c r="A22" s="41"/>
      <c r="B22" s="107"/>
      <c r="C22" s="108"/>
      <c r="D22" s="103"/>
    </row>
    <row r="23" spans="1:4" ht="16.5" customHeight="1" thickBot="1">
      <c r="A23" s="42" t="s">
        <v>212</v>
      </c>
      <c r="B23" s="109"/>
      <c r="C23" s="110">
        <f>SUM(C7:C21)</f>
        <v>972.9</v>
      </c>
      <c r="D23" s="104">
        <f>SUM(D7:D17)</f>
        <v>1</v>
      </c>
    </row>
    <row r="24" ht="12.75">
      <c r="A24" s="27" t="s">
        <v>29</v>
      </c>
    </row>
  </sheetData>
  <mergeCells count="3">
    <mergeCell ref="A2:D2"/>
    <mergeCell ref="A1:D1"/>
    <mergeCell ref="A3:D3"/>
  </mergeCells>
  <printOptions horizontalCentered="1" verticalCentered="1"/>
  <pageMargins left="0.35433070866141736" right="0.2362204724409449" top="1.3385826771653544" bottom="0.984251968503937" header="1.299212598425197" footer="0.5118110236220472"/>
  <pageSetup horizontalDpi="300" verticalDpi="300" orientation="landscape" paperSize="9" scale="90" r:id="rId1"/>
  <headerFooter alignWithMargins="0">
    <oddHeader xml:space="preserve">&amp;C </oddHeader>
    <oddFooter xml:space="preserve">&amp;C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C46"/>
  <sheetViews>
    <sheetView zoomScale="70" zoomScaleNormal="70" workbookViewId="0" topLeftCell="A12">
      <selection activeCell="I50" sqref="I50"/>
    </sheetView>
  </sheetViews>
  <sheetFormatPr defaultColWidth="11.421875" defaultRowHeight="12.75"/>
  <cols>
    <col min="1" max="1" width="31.8515625" style="39" customWidth="1"/>
    <col min="2" max="2" width="9.7109375" style="39" customWidth="1"/>
    <col min="3" max="3" width="23.140625" style="39" customWidth="1"/>
    <col min="4" max="4" width="12.8515625" style="39" bestFit="1" customWidth="1"/>
    <col min="5" max="16384" width="11.421875" style="39" customWidth="1"/>
  </cols>
  <sheetData>
    <row r="2" spans="1:2" ht="18" customHeight="1">
      <c r="A2" s="449"/>
      <c r="B2" s="449"/>
    </row>
    <row r="3" spans="1:2" ht="18" customHeight="1">
      <c r="A3" s="449" t="s">
        <v>49</v>
      </c>
      <c r="B3" s="449"/>
    </row>
    <row r="4" spans="1:2" ht="18" customHeight="1">
      <c r="A4" s="64"/>
      <c r="B4" s="64"/>
    </row>
    <row r="5" spans="1:3" ht="18" customHeight="1">
      <c r="A5" s="67" t="s">
        <v>55</v>
      </c>
      <c r="B5" s="69">
        <v>0.0895</v>
      </c>
      <c r="C5" s="39" t="s">
        <v>95</v>
      </c>
    </row>
    <row r="6" spans="1:2" ht="18" customHeight="1">
      <c r="A6" s="67" t="s">
        <v>56</v>
      </c>
      <c r="B6" s="69">
        <v>0.05</v>
      </c>
    </row>
    <row r="7" spans="1:2" ht="18" customHeight="1">
      <c r="A7" s="67" t="s">
        <v>57</v>
      </c>
      <c r="B7" s="69">
        <f>B5+B6</f>
        <v>0.1395</v>
      </c>
    </row>
    <row r="8" spans="1:2" ht="18" customHeight="1">
      <c r="A8" s="64"/>
      <c r="B8" s="64"/>
    </row>
    <row r="9" spans="1:2" ht="18" customHeight="1">
      <c r="A9" s="462" t="s">
        <v>58</v>
      </c>
      <c r="B9" s="462"/>
    </row>
    <row r="10" spans="1:2" ht="18" customHeight="1">
      <c r="A10" s="67" t="s">
        <v>59</v>
      </c>
      <c r="B10" s="68">
        <f>B7</f>
        <v>0.1395</v>
      </c>
    </row>
    <row r="11" spans="1:2" ht="18" customHeight="1">
      <c r="A11" s="67" t="s">
        <v>60</v>
      </c>
      <c r="B11" s="68">
        <v>0.3</v>
      </c>
    </row>
    <row r="12" spans="1:2" ht="18" customHeight="1">
      <c r="A12" s="67" t="s">
        <v>55</v>
      </c>
      <c r="B12" s="68">
        <f>B5</f>
        <v>0.0895</v>
      </c>
    </row>
    <row r="13" spans="1:2" ht="18" customHeight="1">
      <c r="A13" s="67" t="s">
        <v>61</v>
      </c>
      <c r="B13" s="68">
        <v>0.7</v>
      </c>
    </row>
    <row r="14" spans="1:2" ht="18" customHeight="1">
      <c r="A14" s="67" t="s">
        <v>62</v>
      </c>
      <c r="B14" s="68">
        <v>0</v>
      </c>
    </row>
    <row r="15" spans="1:2" ht="18" customHeight="1">
      <c r="A15" s="67" t="s">
        <v>63</v>
      </c>
      <c r="B15" s="68">
        <f>(B10*B11)+((B12*B13*(1-B14)))</f>
        <v>0.10450000000000001</v>
      </c>
    </row>
    <row r="16" spans="1:2" ht="18" customHeight="1">
      <c r="A16" s="65"/>
      <c r="B16" s="66"/>
    </row>
    <row r="19" spans="1:3" ht="15">
      <c r="A19" s="461" t="s">
        <v>183</v>
      </c>
      <c r="B19" s="461"/>
      <c r="C19" s="461"/>
    </row>
    <row r="20" spans="1:3" ht="15.75" thickBot="1">
      <c r="A20" s="461" t="s">
        <v>157</v>
      </c>
      <c r="B20" s="461"/>
      <c r="C20" s="461"/>
    </row>
    <row r="21" spans="1:3" ht="15">
      <c r="A21" s="457" t="s">
        <v>158</v>
      </c>
      <c r="B21" s="458"/>
      <c r="C21" s="247" t="s">
        <v>159</v>
      </c>
    </row>
    <row r="22" spans="1:3" ht="15">
      <c r="A22" s="59" t="s">
        <v>13</v>
      </c>
      <c r="B22" s="242"/>
      <c r="C22" s="319">
        <f>+'3.1 Inversiónes'!B8</f>
        <v>96440</v>
      </c>
    </row>
    <row r="23" spans="1:3" ht="15">
      <c r="A23" s="59" t="s">
        <v>170</v>
      </c>
      <c r="B23" s="242"/>
      <c r="C23" s="319">
        <f>+'3.1 Inversiónes'!B10</f>
        <v>1000</v>
      </c>
    </row>
    <row r="24" spans="1:3" ht="15">
      <c r="A24" s="59"/>
      <c r="B24" s="242"/>
      <c r="C24" s="319"/>
    </row>
    <row r="25" spans="1:3" ht="15.75" thickBot="1">
      <c r="A25" s="248" t="s">
        <v>160</v>
      </c>
      <c r="B25" s="249"/>
      <c r="C25" s="320">
        <f>+SUM(C22+C23)</f>
        <v>97440</v>
      </c>
    </row>
    <row r="26" spans="1:3" ht="15.75" thickBot="1">
      <c r="A26" s="53"/>
      <c r="B26" s="53"/>
      <c r="C26" s="250"/>
    </row>
    <row r="27" spans="1:3" ht="15">
      <c r="A27" s="459" t="s">
        <v>161</v>
      </c>
      <c r="B27" s="458"/>
      <c r="C27" s="247" t="s">
        <v>159</v>
      </c>
    </row>
    <row r="28" spans="1:3" ht="15">
      <c r="A28" s="59" t="s">
        <v>162</v>
      </c>
      <c r="B28" s="242"/>
      <c r="C28" s="251">
        <f>+B13</f>
        <v>0.7</v>
      </c>
    </row>
    <row r="29" spans="1:3" ht="15">
      <c r="A29" s="59"/>
      <c r="B29" s="242"/>
      <c r="C29" s="252"/>
    </row>
    <row r="30" spans="1:3" ht="15.75" thickBot="1">
      <c r="A30" s="253" t="s">
        <v>41</v>
      </c>
      <c r="B30" s="254"/>
      <c r="C30" s="255">
        <f>+B11</f>
        <v>0.3</v>
      </c>
    </row>
    <row r="31" spans="1:3" ht="15.75" thickBot="1">
      <c r="A31" s="53"/>
      <c r="B31" s="53"/>
      <c r="C31" s="250"/>
    </row>
    <row r="32" spans="1:3" ht="15">
      <c r="A32" s="12" t="s">
        <v>163</v>
      </c>
      <c r="B32" s="143" t="s">
        <v>164</v>
      </c>
      <c r="C32" s="247" t="s">
        <v>159</v>
      </c>
    </row>
    <row r="33" spans="1:3" ht="15">
      <c r="A33" s="238" t="s">
        <v>162</v>
      </c>
      <c r="B33" s="239">
        <f>+B5</f>
        <v>0.0895</v>
      </c>
      <c r="C33" s="317">
        <f>+C28*C25</f>
        <v>68208</v>
      </c>
    </row>
    <row r="34" spans="1:3" ht="15">
      <c r="A34" s="238"/>
      <c r="B34" s="240"/>
      <c r="C34" s="317"/>
    </row>
    <row r="35" spans="1:3" ht="15">
      <c r="A35" s="238" t="s">
        <v>41</v>
      </c>
      <c r="B35" s="155"/>
      <c r="C35" s="317">
        <f>+C30*C25</f>
        <v>29232</v>
      </c>
    </row>
    <row r="36" spans="1:3" ht="15.75" thickBot="1">
      <c r="A36" s="24" t="s">
        <v>6</v>
      </c>
      <c r="B36" s="241"/>
      <c r="C36" s="318">
        <f>+SUM(C33:C35)</f>
        <v>97440</v>
      </c>
    </row>
    <row r="37" spans="1:3" ht="15.75" thickBot="1">
      <c r="A37" s="53"/>
      <c r="B37" s="53"/>
      <c r="C37" s="250"/>
    </row>
    <row r="38" spans="1:3" ht="15.75" thickBot="1">
      <c r="A38" s="460" t="s">
        <v>165</v>
      </c>
      <c r="B38" s="434"/>
      <c r="C38" s="256" t="s">
        <v>159</v>
      </c>
    </row>
    <row r="39" spans="1:3" ht="15">
      <c r="A39" s="59" t="s">
        <v>207</v>
      </c>
      <c r="B39" s="242"/>
      <c r="C39" s="243">
        <f>+B13</f>
        <v>0.7</v>
      </c>
    </row>
    <row r="40" spans="1:3" ht="15">
      <c r="A40" s="59" t="s">
        <v>166</v>
      </c>
      <c r="B40" s="242"/>
      <c r="C40" s="243">
        <f>+B5</f>
        <v>0.0895</v>
      </c>
    </row>
    <row r="41" spans="1:3" ht="15">
      <c r="A41" s="59" t="s">
        <v>167</v>
      </c>
      <c r="B41" s="242"/>
      <c r="C41" s="244">
        <f>+B14</f>
        <v>0</v>
      </c>
    </row>
    <row r="42" spans="1:3" ht="15">
      <c r="A42" s="59" t="s">
        <v>168</v>
      </c>
      <c r="B42" s="242"/>
      <c r="C42" s="243">
        <f>+B11</f>
        <v>0.3</v>
      </c>
    </row>
    <row r="43" spans="1:3" ht="15.75" thickBot="1">
      <c r="A43" s="145" t="s">
        <v>171</v>
      </c>
      <c r="B43" s="245"/>
      <c r="C43" s="243">
        <f>+B10</f>
        <v>0.1395</v>
      </c>
    </row>
    <row r="44" spans="1:3" ht="15.75" thickBot="1">
      <c r="A44" s="257" t="s">
        <v>169</v>
      </c>
      <c r="B44" s="258"/>
      <c r="C44" s="259">
        <f>+(C39*C40*(1-C41))+(C42*C43)</f>
        <v>0.10450000000000001</v>
      </c>
    </row>
    <row r="45" spans="1:3" ht="16.5">
      <c r="A45" s="27" t="s">
        <v>29</v>
      </c>
      <c r="B45" s="246"/>
      <c r="C45" s="246"/>
    </row>
    <row r="46" spans="1:3" ht="16.5">
      <c r="A46" s="246"/>
      <c r="B46" s="246"/>
      <c r="C46" s="246"/>
    </row>
  </sheetData>
  <mergeCells count="8">
    <mergeCell ref="A2:B2"/>
    <mergeCell ref="A3:B3"/>
    <mergeCell ref="A9:B9"/>
    <mergeCell ref="A19:C19"/>
    <mergeCell ref="A21:B21"/>
    <mergeCell ref="A27:B27"/>
    <mergeCell ref="A38:B38"/>
    <mergeCell ref="A20:C2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0"/>
  <sheetViews>
    <sheetView zoomScale="65" zoomScaleNormal="65" workbookViewId="0" topLeftCell="F1">
      <selection activeCell="K39" sqref="K39:U40"/>
    </sheetView>
  </sheetViews>
  <sheetFormatPr defaultColWidth="11.421875" defaultRowHeight="12.75"/>
  <cols>
    <col min="1" max="1" width="14.421875" style="53" customWidth="1"/>
    <col min="2" max="2" width="11.7109375" style="53" customWidth="1"/>
    <col min="3" max="3" width="9.421875" style="53" customWidth="1"/>
    <col min="4" max="4" width="12.28125" style="53" bestFit="1" customWidth="1"/>
    <col min="5" max="5" width="21.00390625" style="53" bestFit="1" customWidth="1"/>
    <col min="6" max="6" width="8.8515625" style="53" customWidth="1"/>
    <col min="7" max="7" width="29.8515625" style="53" bestFit="1" customWidth="1"/>
    <col min="8" max="8" width="15.28125" style="53" bestFit="1" customWidth="1"/>
    <col min="9" max="9" width="21.00390625" style="53" bestFit="1" customWidth="1"/>
    <col min="10" max="10" width="11.421875" style="53" customWidth="1"/>
    <col min="11" max="11" width="15.28125" style="53" customWidth="1"/>
    <col min="12" max="13" width="11.421875" style="53" customWidth="1"/>
    <col min="14" max="14" width="9.421875" style="53" customWidth="1"/>
    <col min="15" max="15" width="10.28125" style="53" bestFit="1" customWidth="1"/>
    <col min="16" max="18" width="10.7109375" style="53" bestFit="1" customWidth="1"/>
    <col min="19" max="19" width="10.28125" style="53" bestFit="1" customWidth="1"/>
    <col min="20" max="16384" width="11.421875" style="53" customWidth="1"/>
  </cols>
  <sheetData>
    <row r="1" ht="12.75">
      <c r="I1" s="54"/>
    </row>
    <row r="2" spans="1:10" ht="18">
      <c r="A2" s="449"/>
      <c r="B2" s="449"/>
      <c r="C2" s="449"/>
      <c r="D2" s="449"/>
      <c r="E2" s="449"/>
      <c r="F2" s="449"/>
      <c r="G2" s="449"/>
      <c r="H2" s="449"/>
      <c r="I2" s="449"/>
      <c r="J2" s="36"/>
    </row>
    <row r="3" spans="1:8" ht="13.5" thickBot="1">
      <c r="A3" s="475" t="s">
        <v>148</v>
      </c>
      <c r="B3" s="475"/>
      <c r="C3" s="475"/>
      <c r="D3" s="475"/>
      <c r="E3" s="475"/>
      <c r="G3" s="450" t="s">
        <v>145</v>
      </c>
      <c r="H3" s="450"/>
    </row>
    <row r="4" spans="1:8" ht="18.75" thickBot="1">
      <c r="A4" s="472" t="s">
        <v>47</v>
      </c>
      <c r="B4" s="473"/>
      <c r="C4" s="473"/>
      <c r="D4" s="473"/>
      <c r="E4" s="474"/>
      <c r="G4" s="469" t="s">
        <v>146</v>
      </c>
      <c r="H4" s="471"/>
    </row>
    <row r="5" spans="1:8" ht="13.5" thickBot="1">
      <c r="A5" s="169" t="s">
        <v>124</v>
      </c>
      <c r="B5" s="170" t="s">
        <v>41</v>
      </c>
      <c r="C5" s="170" t="s">
        <v>42</v>
      </c>
      <c r="D5" s="170" t="s">
        <v>43</v>
      </c>
      <c r="E5" s="171" t="s">
        <v>44</v>
      </c>
      <c r="G5" s="16" t="s">
        <v>35</v>
      </c>
      <c r="H5" s="325">
        <f>'3.1 Inversiónes'!C17</f>
        <v>68208</v>
      </c>
    </row>
    <row r="6" spans="1:8" ht="12.75">
      <c r="A6" s="16">
        <v>0</v>
      </c>
      <c r="B6" s="214">
        <f>+'3.1 Inversiónes'!C17</f>
        <v>68208</v>
      </c>
      <c r="C6" s="214"/>
      <c r="D6" s="214"/>
      <c r="E6" s="215"/>
      <c r="G6" s="17" t="s">
        <v>36</v>
      </c>
      <c r="H6" s="139" t="s">
        <v>37</v>
      </c>
    </row>
    <row r="7" spans="1:8" ht="12.75">
      <c r="A7" s="17">
        <v>1</v>
      </c>
      <c r="B7" s="216">
        <f aca="true" t="shared" si="0" ref="B7:B16">B6-E7</f>
        <v>62650.85382422091</v>
      </c>
      <c r="C7" s="216">
        <f>-H10</f>
        <v>8609.454175779092</v>
      </c>
      <c r="D7" s="216">
        <f>B6*$H$9</f>
        <v>3052.308</v>
      </c>
      <c r="E7" s="217">
        <f>C7-D7</f>
        <v>5557.146175779092</v>
      </c>
      <c r="G7" s="17" t="s">
        <v>38</v>
      </c>
      <c r="H7" s="55">
        <v>10</v>
      </c>
    </row>
    <row r="8" spans="1:8" ht="12.75">
      <c r="A8" s="17">
        <v>2</v>
      </c>
      <c r="B8" s="216">
        <f t="shared" si="0"/>
        <v>56845.025357075705</v>
      </c>
      <c r="C8" s="216">
        <f>C7</f>
        <v>8609.454175779092</v>
      </c>
      <c r="D8" s="216">
        <f aca="true" t="shared" si="1" ref="D8:D16">B7*$H$9</f>
        <v>2803.6257086338856</v>
      </c>
      <c r="E8" s="217">
        <f aca="true" t="shared" si="2" ref="E8:E16">C8-D8</f>
        <v>5805.828467145207</v>
      </c>
      <c r="G8" s="197" t="s">
        <v>142</v>
      </c>
      <c r="H8" s="198">
        <v>2</v>
      </c>
    </row>
    <row r="9" spans="1:8" ht="12.75">
      <c r="A9" s="17">
        <v>3</v>
      </c>
      <c r="B9" s="216">
        <f t="shared" si="0"/>
        <v>50779.38606602575</v>
      </c>
      <c r="C9" s="216">
        <f aca="true" t="shared" si="3" ref="C9:C16">C8</f>
        <v>8609.454175779092</v>
      </c>
      <c r="D9" s="216">
        <f>B8*$H$9</f>
        <v>2543.8148847291377</v>
      </c>
      <c r="E9" s="217">
        <f t="shared" si="2"/>
        <v>6065.639291049954</v>
      </c>
      <c r="G9" s="17" t="s">
        <v>39</v>
      </c>
      <c r="H9" s="56">
        <f>+'3.2.3 Costos Financieros'!B5/2</f>
        <v>0.04475</v>
      </c>
    </row>
    <row r="10" spans="1:8" ht="13.5" thickBot="1">
      <c r="A10" s="17">
        <v>4</v>
      </c>
      <c r="B10" s="216">
        <f t="shared" si="0"/>
        <v>44442.30941670131</v>
      </c>
      <c r="C10" s="216">
        <f t="shared" si="3"/>
        <v>8609.454175779092</v>
      </c>
      <c r="D10" s="216">
        <f t="shared" si="1"/>
        <v>2272.377526454652</v>
      </c>
      <c r="E10" s="217">
        <f>C10-D10</f>
        <v>6337.07664932444</v>
      </c>
      <c r="G10" s="18" t="s">
        <v>40</v>
      </c>
      <c r="H10" s="57">
        <f>PMT(H9,A16,H5)</f>
        <v>-8609.454175779092</v>
      </c>
    </row>
    <row r="11" spans="1:8" ht="13.5" thickBot="1">
      <c r="A11" s="17">
        <v>5</v>
      </c>
      <c r="B11" s="216">
        <f t="shared" si="0"/>
        <v>37821.64858731961</v>
      </c>
      <c r="C11" s="216">
        <f t="shared" si="3"/>
        <v>8609.454175779092</v>
      </c>
      <c r="D11" s="216">
        <f t="shared" si="1"/>
        <v>1988.7933463973836</v>
      </c>
      <c r="E11" s="217">
        <f t="shared" si="2"/>
        <v>6620.660829381708</v>
      </c>
      <c r="G11" s="199" t="s">
        <v>29</v>
      </c>
      <c r="H11" s="200"/>
    </row>
    <row r="12" spans="1:5" ht="13.5" thickBot="1">
      <c r="A12" s="17">
        <v>6</v>
      </c>
      <c r="B12" s="216">
        <f t="shared" si="0"/>
        <v>30904.713185823068</v>
      </c>
      <c r="C12" s="216">
        <f t="shared" si="3"/>
        <v>8609.454175779092</v>
      </c>
      <c r="D12" s="216">
        <f t="shared" si="1"/>
        <v>1692.5187742825524</v>
      </c>
      <c r="E12" s="217">
        <f t="shared" si="2"/>
        <v>6916.935401496539</v>
      </c>
    </row>
    <row r="13" spans="1:9" ht="14.25" customHeight="1" thickBot="1">
      <c r="A13" s="17">
        <v>7</v>
      </c>
      <c r="B13" s="216">
        <f t="shared" si="0"/>
        <v>23678.244925109557</v>
      </c>
      <c r="C13" s="216">
        <f t="shared" si="3"/>
        <v>8609.454175779092</v>
      </c>
      <c r="D13" s="216">
        <f t="shared" si="1"/>
        <v>1382.9859150655823</v>
      </c>
      <c r="E13" s="217">
        <f t="shared" si="2"/>
        <v>7226.46826071351</v>
      </c>
      <c r="G13" s="469" t="s">
        <v>48</v>
      </c>
      <c r="H13" s="470"/>
      <c r="I13" s="471"/>
    </row>
    <row r="14" spans="1:10" ht="13.5" thickBot="1">
      <c r="A14" s="17">
        <v>8</v>
      </c>
      <c r="B14" s="216">
        <f t="shared" si="0"/>
        <v>16128.392209729118</v>
      </c>
      <c r="C14" s="216">
        <f t="shared" si="3"/>
        <v>8609.454175779092</v>
      </c>
      <c r="D14" s="216">
        <f t="shared" si="1"/>
        <v>1059.6014603986525</v>
      </c>
      <c r="E14" s="217">
        <f t="shared" si="2"/>
        <v>7549.85271538044</v>
      </c>
      <c r="G14" s="140" t="s">
        <v>45</v>
      </c>
      <c r="H14" s="141" t="s">
        <v>46</v>
      </c>
      <c r="I14" s="142" t="s">
        <v>44</v>
      </c>
      <c r="J14" s="202" t="s">
        <v>42</v>
      </c>
    </row>
    <row r="15" spans="1:10" ht="12.75">
      <c r="A15" s="17">
        <v>9</v>
      </c>
      <c r="B15" s="216">
        <f t="shared" si="0"/>
        <v>8240.683585335404</v>
      </c>
      <c r="C15" s="216">
        <f t="shared" si="3"/>
        <v>8609.454175779092</v>
      </c>
      <c r="D15" s="216">
        <f t="shared" si="1"/>
        <v>721.745551385378</v>
      </c>
      <c r="E15" s="217">
        <f t="shared" si="2"/>
        <v>7887.708624393714</v>
      </c>
      <c r="G15" s="16">
        <v>1</v>
      </c>
      <c r="H15" s="214">
        <f>+SUM(D7:D8)</f>
        <v>5855.9337086338855</v>
      </c>
      <c r="I15" s="215">
        <f>+SUM(E7:E8)</f>
        <v>11362.974642924299</v>
      </c>
      <c r="J15" s="47">
        <f>+I15+H15</f>
        <v>17218.908351558184</v>
      </c>
    </row>
    <row r="16" spans="1:10" ht="13.5" thickBot="1">
      <c r="A16" s="18">
        <v>10</v>
      </c>
      <c r="B16" s="218">
        <f t="shared" si="0"/>
        <v>7.09405867382884E-11</v>
      </c>
      <c r="C16" s="218">
        <f t="shared" si="3"/>
        <v>8609.454175779092</v>
      </c>
      <c r="D16" s="218">
        <f t="shared" si="1"/>
        <v>368.7705904437593</v>
      </c>
      <c r="E16" s="219">
        <f t="shared" si="2"/>
        <v>8240.683585335333</v>
      </c>
      <c r="G16" s="17">
        <v>2</v>
      </c>
      <c r="H16" s="216">
        <f>+SUM(D9:D10)</f>
        <v>4816.19241118379</v>
      </c>
      <c r="I16" s="217">
        <f>+SUM(E9:E10)</f>
        <v>12402.715940374394</v>
      </c>
      <c r="J16" s="47">
        <f>+I16+H16</f>
        <v>17218.908351558184</v>
      </c>
    </row>
    <row r="17" spans="1:10" ht="12.75">
      <c r="A17" s="58" t="s">
        <v>29</v>
      </c>
      <c r="B17" s="30"/>
      <c r="C17" s="30"/>
      <c r="D17" s="30"/>
      <c r="E17" s="30"/>
      <c r="G17" s="17">
        <v>3</v>
      </c>
      <c r="H17" s="216">
        <f>+SUM(D11:D12)</f>
        <v>3681.312120679936</v>
      </c>
      <c r="I17" s="217">
        <f>+SUM(E11:E12)</f>
        <v>13537.596230878247</v>
      </c>
      <c r="J17" s="47">
        <f>+I17+H17</f>
        <v>17218.908351558184</v>
      </c>
    </row>
    <row r="18" spans="1:10" ht="12.75">
      <c r="A18" s="58"/>
      <c r="B18" s="30"/>
      <c r="C18" s="30"/>
      <c r="D18" s="30"/>
      <c r="E18" s="30"/>
      <c r="G18" s="17">
        <v>4</v>
      </c>
      <c r="H18" s="216">
        <f>+SUM(D13:D14)</f>
        <v>2442.587375464235</v>
      </c>
      <c r="I18" s="217">
        <f>+SUM(E13:E14)</f>
        <v>14776.32097609395</v>
      </c>
      <c r="J18" s="47">
        <f>+I18+H18</f>
        <v>17218.908351558184</v>
      </c>
    </row>
    <row r="19" spans="1:10" ht="13.5" thickBot="1">
      <c r="A19" s="58"/>
      <c r="B19" s="30"/>
      <c r="C19" s="30"/>
      <c r="D19" s="30"/>
      <c r="E19" s="30"/>
      <c r="F19" s="54" t="s">
        <v>9</v>
      </c>
      <c r="G19" s="18">
        <v>5</v>
      </c>
      <c r="H19" s="218">
        <f>+SUM(D15:D16)</f>
        <v>1090.5161418291373</v>
      </c>
      <c r="I19" s="219">
        <f>+SUM(E15:E16)</f>
        <v>16128.392209729047</v>
      </c>
      <c r="J19" s="47">
        <f>+I19+H19</f>
        <v>17218.908351558184</v>
      </c>
    </row>
    <row r="23" spans="12:19" ht="13.5" thickBot="1">
      <c r="L23" s="450" t="s">
        <v>152</v>
      </c>
      <c r="M23" s="450"/>
      <c r="N23" s="450"/>
      <c r="O23" s="450"/>
      <c r="P23" s="450"/>
      <c r="Q23" s="450"/>
      <c r="R23" s="450"/>
      <c r="S23" s="450"/>
    </row>
    <row r="24" spans="12:19" ht="29.25" customHeight="1" thickBot="1">
      <c r="L24" s="463" t="s">
        <v>151</v>
      </c>
      <c r="M24" s="464"/>
      <c r="N24" s="464"/>
      <c r="O24" s="221">
        <v>1</v>
      </c>
      <c r="P24" s="222">
        <v>2</v>
      </c>
      <c r="Q24" s="222">
        <v>3</v>
      </c>
      <c r="R24" s="223">
        <v>4</v>
      </c>
      <c r="S24" s="222">
        <v>5</v>
      </c>
    </row>
    <row r="25" spans="12:19" ht="12.75">
      <c r="L25" s="465" t="s">
        <v>149</v>
      </c>
      <c r="M25" s="466"/>
      <c r="N25" s="466"/>
      <c r="O25" s="310">
        <f>+H15</f>
        <v>5855.9337086338855</v>
      </c>
      <c r="P25" s="321">
        <f>+H16</f>
        <v>4816.19241118379</v>
      </c>
      <c r="Q25" s="310">
        <f>+H17</f>
        <v>3681.312120679936</v>
      </c>
      <c r="R25" s="309">
        <f>+H18</f>
        <v>2442.587375464235</v>
      </c>
      <c r="S25" s="310">
        <f>+H19</f>
        <v>1090.5161418291373</v>
      </c>
    </row>
    <row r="26" spans="7:19" ht="30" customHeight="1" thickBot="1">
      <c r="G26" s="53">
        <f>800+740+840+8000+2750+6400+2800+9000+3750+5000</f>
        <v>40080</v>
      </c>
      <c r="L26" s="467" t="s">
        <v>150</v>
      </c>
      <c r="M26" s="468"/>
      <c r="N26" s="468"/>
      <c r="O26" s="322">
        <f>+O25</f>
        <v>5855.9337086338855</v>
      </c>
      <c r="P26" s="323">
        <f>+P25</f>
        <v>4816.19241118379</v>
      </c>
      <c r="Q26" s="322">
        <f>+Q25</f>
        <v>3681.312120679936</v>
      </c>
      <c r="R26" s="324">
        <f>+R25</f>
        <v>2442.587375464235</v>
      </c>
      <c r="S26" s="322">
        <f>+S25</f>
        <v>1090.5161418291373</v>
      </c>
    </row>
    <row r="27" ht="12.75">
      <c r="L27" s="53" t="s">
        <v>29</v>
      </c>
    </row>
    <row r="29" ht="13.5" thickBot="1"/>
    <row r="30" ht="13.5" thickBot="1">
      <c r="E30" s="220"/>
    </row>
  </sheetData>
  <mergeCells count="10">
    <mergeCell ref="G13:I13"/>
    <mergeCell ref="A2:I2"/>
    <mergeCell ref="G4:H4"/>
    <mergeCell ref="A4:E4"/>
    <mergeCell ref="G3:H3"/>
    <mergeCell ref="A3:E3"/>
    <mergeCell ref="L24:N24"/>
    <mergeCell ref="L25:N25"/>
    <mergeCell ref="L26:N26"/>
    <mergeCell ref="L23:S2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4"/>
  <sheetViews>
    <sheetView zoomScale="75" zoomScaleNormal="75" workbookViewId="0" topLeftCell="A1">
      <selection activeCell="I37" sqref="I33:J37"/>
    </sheetView>
  </sheetViews>
  <sheetFormatPr defaultColWidth="11.421875" defaultRowHeight="12.75"/>
  <cols>
    <col min="1" max="1" width="36.8515625" style="20" bestFit="1" customWidth="1"/>
    <col min="2" max="2" width="11.8515625" style="20" customWidth="1"/>
    <col min="3" max="3" width="9.28125" style="20" customWidth="1"/>
    <col min="4" max="6" width="10.57421875" style="20" bestFit="1" customWidth="1"/>
    <col min="7" max="7" width="10.421875" style="20" customWidth="1"/>
    <col min="8" max="8" width="10.57421875" style="20" bestFit="1" customWidth="1"/>
    <col min="9" max="9" width="9.28125" style="20" customWidth="1"/>
    <col min="10" max="10" width="10.28125" style="20" bestFit="1" customWidth="1"/>
    <col min="11" max="11" width="10.57421875" style="20" bestFit="1" customWidth="1"/>
    <col min="12" max="16384" width="15.140625" style="20" customWidth="1"/>
  </cols>
  <sheetData>
    <row r="1" spans="1:12" ht="18">
      <c r="A1" s="476"/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20">
        <v>2</v>
      </c>
    </row>
    <row r="2" spans="1:11" ht="13.5" thickBot="1">
      <c r="A2" s="450" t="s">
        <v>153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</row>
    <row r="3" spans="1:11" ht="18.75" thickBot="1">
      <c r="A3" s="446" t="s">
        <v>115</v>
      </c>
      <c r="B3" s="447"/>
      <c r="C3" s="447"/>
      <c r="D3" s="447"/>
      <c r="E3" s="447"/>
      <c r="F3" s="447"/>
      <c r="G3" s="447"/>
      <c r="H3" s="447"/>
      <c r="I3" s="447"/>
      <c r="J3" s="447"/>
      <c r="K3" s="448"/>
    </row>
    <row r="4" spans="1:11" s="3" customFormat="1" ht="13.5" thickBot="1">
      <c r="A4" s="172" t="s">
        <v>105</v>
      </c>
      <c r="B4" s="173">
        <v>1</v>
      </c>
      <c r="C4" s="173">
        <v>2</v>
      </c>
      <c r="D4" s="173">
        <v>3</v>
      </c>
      <c r="E4" s="173">
        <v>4</v>
      </c>
      <c r="F4" s="173">
        <v>5</v>
      </c>
      <c r="G4" s="173">
        <v>6</v>
      </c>
      <c r="H4" s="173">
        <v>7</v>
      </c>
      <c r="I4" s="173">
        <v>8</v>
      </c>
      <c r="J4" s="173">
        <v>9</v>
      </c>
      <c r="K4" s="174">
        <v>10</v>
      </c>
    </row>
    <row r="5" spans="1:11" ht="12.75">
      <c r="A5" s="371"/>
      <c r="B5" s="372"/>
      <c r="C5" s="372"/>
      <c r="D5" s="372"/>
      <c r="E5" s="372"/>
      <c r="F5" s="372"/>
      <c r="G5" s="372"/>
      <c r="H5" s="372"/>
      <c r="I5" s="372"/>
      <c r="J5" s="372"/>
      <c r="K5" s="373"/>
    </row>
    <row r="6" spans="1:11" ht="12.75">
      <c r="A6" s="145" t="s">
        <v>117</v>
      </c>
      <c r="B6" s="326">
        <f>+'3.3.2 Flujo de caja con fin'!C6</f>
        <v>68430.16666666667</v>
      </c>
      <c r="C6" s="326">
        <f>+'3.3.2 Flujo de caja con fin'!D6</f>
        <v>68430.16666666667</v>
      </c>
      <c r="D6" s="326">
        <f>+'3.3.2 Flujo de caja con fin'!E6</f>
        <v>68430.16666666667</v>
      </c>
      <c r="E6" s="326">
        <f>+'3.3.2 Flujo de caja con fin'!F6</f>
        <v>68430.16666666667</v>
      </c>
      <c r="F6" s="326">
        <f>+'3.3.2 Flujo de caja con fin'!G6</f>
        <v>68430.16666666667</v>
      </c>
      <c r="G6" s="326">
        <f>+'3.3.2 Flujo de caja con fin'!H6</f>
        <v>68430.16666666667</v>
      </c>
      <c r="H6" s="326">
        <f>+'3.3.2 Flujo de caja con fin'!I6</f>
        <v>68430.16666666667</v>
      </c>
      <c r="I6" s="326">
        <f>+'3.3.2 Flujo de caja con fin'!J6</f>
        <v>68430.16666666667</v>
      </c>
      <c r="J6" s="326">
        <f>+'3.3.2 Flujo de caja con fin'!K6</f>
        <v>68430.16666666667</v>
      </c>
      <c r="K6" s="327">
        <f>+'3.3.2 Flujo de caja con fin'!L6</f>
        <v>68430.16666666667</v>
      </c>
    </row>
    <row r="7" spans="1:11" s="152" customFormat="1" ht="12.75">
      <c r="A7" s="145" t="s">
        <v>116</v>
      </c>
      <c r="B7" s="326">
        <f>+'3.3.2 Flujo de caja con fin'!C7</f>
        <v>20430.166666666668</v>
      </c>
      <c r="C7" s="326">
        <f>+'3.3.2 Flujo de caja con fin'!D7</f>
        <v>20430.166666666668</v>
      </c>
      <c r="D7" s="326">
        <f>+'3.3.2 Flujo de caja con fin'!E7</f>
        <v>20430.166666666668</v>
      </c>
      <c r="E7" s="326">
        <f>+'3.3.2 Flujo de caja con fin'!F7</f>
        <v>20430.166666666668</v>
      </c>
      <c r="F7" s="326">
        <f>+'3.3.2 Flujo de caja con fin'!G7</f>
        <v>20430.166666666668</v>
      </c>
      <c r="G7" s="326">
        <f>+'3.3.2 Flujo de caja con fin'!H7</f>
        <v>20430.166666666668</v>
      </c>
      <c r="H7" s="326">
        <f>+'3.3.2 Flujo de caja con fin'!I7</f>
        <v>20430.166666666668</v>
      </c>
      <c r="I7" s="326">
        <f>+'3.3.2 Flujo de caja con fin'!J7</f>
        <v>20430.166666666668</v>
      </c>
      <c r="J7" s="326">
        <f>+'3.3.2 Flujo de caja con fin'!K7</f>
        <v>20430.166666666668</v>
      </c>
      <c r="K7" s="327">
        <f>+'3.3.2 Flujo de caja con fin'!L7</f>
        <v>20430.166666666668</v>
      </c>
    </row>
    <row r="8" spans="1:11" ht="12.75">
      <c r="A8" s="144" t="s">
        <v>119</v>
      </c>
      <c r="B8" s="328">
        <f aca="true" t="shared" si="0" ref="B8:K8">B6-B7</f>
        <v>48000</v>
      </c>
      <c r="C8" s="328">
        <f>C6-C7</f>
        <v>48000</v>
      </c>
      <c r="D8" s="328">
        <f t="shared" si="0"/>
        <v>48000</v>
      </c>
      <c r="E8" s="328">
        <f t="shared" si="0"/>
        <v>48000</v>
      </c>
      <c r="F8" s="328">
        <f t="shared" si="0"/>
        <v>48000</v>
      </c>
      <c r="G8" s="328">
        <f t="shared" si="0"/>
        <v>48000</v>
      </c>
      <c r="H8" s="328">
        <f t="shared" si="0"/>
        <v>48000</v>
      </c>
      <c r="I8" s="328">
        <f t="shared" si="0"/>
        <v>48000</v>
      </c>
      <c r="J8" s="328">
        <f t="shared" si="0"/>
        <v>48000</v>
      </c>
      <c r="K8" s="329">
        <f t="shared" si="0"/>
        <v>48000</v>
      </c>
    </row>
    <row r="9" spans="1:11" ht="12.75">
      <c r="A9" s="144"/>
      <c r="B9" s="328"/>
      <c r="C9" s="328"/>
      <c r="D9" s="328"/>
      <c r="E9" s="328"/>
      <c r="F9" s="328"/>
      <c r="G9" s="328"/>
      <c r="H9" s="328"/>
      <c r="I9" s="328"/>
      <c r="J9" s="328"/>
      <c r="K9" s="329"/>
    </row>
    <row r="10" spans="1:11" ht="12.75">
      <c r="A10" s="145" t="s">
        <v>120</v>
      </c>
      <c r="B10" s="326"/>
      <c r="C10" s="326"/>
      <c r="D10" s="326"/>
      <c r="E10" s="326"/>
      <c r="F10" s="326"/>
      <c r="G10" s="326"/>
      <c r="H10" s="326"/>
      <c r="I10" s="326"/>
      <c r="J10" s="326"/>
      <c r="K10" s="327"/>
    </row>
    <row r="11" spans="1:11" ht="12.75">
      <c r="A11" s="159" t="s">
        <v>92</v>
      </c>
      <c r="B11" s="326">
        <f>+'3.3.2 Flujo de caja con fin'!C13</f>
        <v>9876</v>
      </c>
      <c r="C11" s="326">
        <f>+'3.3.2 Flujo de caja con fin'!D13</f>
        <v>9876</v>
      </c>
      <c r="D11" s="326">
        <f>+'3.3.2 Flujo de caja con fin'!E13</f>
        <v>9876</v>
      </c>
      <c r="E11" s="326">
        <f>+'3.3.2 Flujo de caja con fin'!F13</f>
        <v>9876</v>
      </c>
      <c r="F11" s="326">
        <f>+'3.3.2 Flujo de caja con fin'!G13</f>
        <v>9876</v>
      </c>
      <c r="G11" s="326">
        <f>+'3.3.2 Flujo de caja con fin'!H13</f>
        <v>9876</v>
      </c>
      <c r="H11" s="326">
        <f>+'3.3.2 Flujo de caja con fin'!I13</f>
        <v>9876</v>
      </c>
      <c r="I11" s="326">
        <f>+'3.3.2 Flujo de caja con fin'!J13</f>
        <v>9876</v>
      </c>
      <c r="J11" s="326">
        <f>+'3.3.2 Flujo de caja con fin'!K13</f>
        <v>9876</v>
      </c>
      <c r="K11" s="327">
        <f>+'3.3.2 Flujo de caja con fin'!L13</f>
        <v>9876</v>
      </c>
    </row>
    <row r="12" spans="1:11" ht="12.75">
      <c r="A12" s="145" t="s">
        <v>121</v>
      </c>
      <c r="B12" s="326"/>
      <c r="C12" s="326"/>
      <c r="D12" s="326"/>
      <c r="E12" s="326"/>
      <c r="F12" s="326"/>
      <c r="G12" s="326"/>
      <c r="H12" s="326"/>
      <c r="I12" s="326"/>
      <c r="J12" s="326"/>
      <c r="K12" s="327"/>
    </row>
    <row r="13" spans="1:11" ht="12.75">
      <c r="A13" s="159" t="s">
        <v>90</v>
      </c>
      <c r="B13" s="326">
        <f>+'3.3.2 Flujo de caja con fin'!C15</f>
        <v>1350</v>
      </c>
      <c r="C13" s="326">
        <f>+'3.3.2 Flujo de caja con fin'!D15</f>
        <v>1350</v>
      </c>
      <c r="D13" s="326">
        <f>+'3.3.2 Flujo de caja con fin'!E15</f>
        <v>1350</v>
      </c>
      <c r="E13" s="326">
        <f>+'3.3.2 Flujo de caja con fin'!F15</f>
        <v>1350</v>
      </c>
      <c r="F13" s="326">
        <f>+'3.3.2 Flujo de caja con fin'!G15</f>
        <v>1350</v>
      </c>
      <c r="G13" s="326">
        <f>+'3.3.2 Flujo de caja con fin'!H15</f>
        <v>1350</v>
      </c>
      <c r="H13" s="326">
        <f>+'3.3.2 Flujo de caja con fin'!I15</f>
        <v>1350</v>
      </c>
      <c r="I13" s="326">
        <f>+'3.3.2 Flujo de caja con fin'!J15</f>
        <v>1350</v>
      </c>
      <c r="J13" s="326">
        <f>+'3.3.2 Flujo de caja con fin'!K15</f>
        <v>1350</v>
      </c>
      <c r="K13" s="327">
        <f>+'3.3.2 Flujo de caja con fin'!L15</f>
        <v>1350</v>
      </c>
    </row>
    <row r="14" spans="1:11" ht="12.75">
      <c r="A14" s="145" t="s">
        <v>122</v>
      </c>
      <c r="B14" s="326"/>
      <c r="C14" s="326"/>
      <c r="D14" s="326"/>
      <c r="E14" s="326"/>
      <c r="F14" s="326"/>
      <c r="G14" s="326"/>
      <c r="H14" s="326"/>
      <c r="I14" s="326"/>
      <c r="J14" s="326"/>
      <c r="K14" s="327"/>
    </row>
    <row r="15" spans="1:11" ht="12.75">
      <c r="A15" s="159" t="s">
        <v>93</v>
      </c>
      <c r="B15" s="326">
        <f>+'3.3.2 Flujo de caja con fin'!C17</f>
        <v>249.60000000000002</v>
      </c>
      <c r="C15" s="326">
        <f>+'3.3.2 Flujo de caja con fin'!D17</f>
        <v>249.60000000000002</v>
      </c>
      <c r="D15" s="326">
        <f>+'3.3.2 Flujo de caja con fin'!E17</f>
        <v>249.60000000000002</v>
      </c>
      <c r="E15" s="326">
        <f>+'3.3.2 Flujo de caja con fin'!F17</f>
        <v>249.60000000000002</v>
      </c>
      <c r="F15" s="326">
        <f>+'3.3.2 Flujo de caja con fin'!G17</f>
        <v>249.60000000000002</v>
      </c>
      <c r="G15" s="326">
        <f>+'3.3.2 Flujo de caja con fin'!H17</f>
        <v>249.60000000000002</v>
      </c>
      <c r="H15" s="326">
        <f>+'3.3.2 Flujo de caja con fin'!I17</f>
        <v>249.60000000000002</v>
      </c>
      <c r="I15" s="326">
        <f>+'3.3.2 Flujo de caja con fin'!J17</f>
        <v>249.60000000000002</v>
      </c>
      <c r="J15" s="326">
        <f>+'3.3.2 Flujo de caja con fin'!K17</f>
        <v>249.60000000000002</v>
      </c>
      <c r="K15" s="327">
        <f>+'3.3.2 Flujo de caja con fin'!L17</f>
        <v>249.60000000000002</v>
      </c>
    </row>
    <row r="16" spans="1:11" ht="12.75">
      <c r="A16" s="159" t="s">
        <v>94</v>
      </c>
      <c r="B16" s="326">
        <f>+'3.3.2 Flujo de caja con fin'!C18</f>
        <v>99.60000000000001</v>
      </c>
      <c r="C16" s="326">
        <f>+'3.3.2 Flujo de caja con fin'!D18</f>
        <v>99.60000000000001</v>
      </c>
      <c r="D16" s="326">
        <f>+'3.3.2 Flujo de caja con fin'!E18</f>
        <v>99.60000000000001</v>
      </c>
      <c r="E16" s="326">
        <f>+'3.3.2 Flujo de caja con fin'!F18</f>
        <v>99.60000000000001</v>
      </c>
      <c r="F16" s="326">
        <f>+'3.3.2 Flujo de caja con fin'!G18</f>
        <v>99.60000000000001</v>
      </c>
      <c r="G16" s="326">
        <f>+'3.3.2 Flujo de caja con fin'!H18</f>
        <v>99.60000000000001</v>
      </c>
      <c r="H16" s="326">
        <f>+'3.3.2 Flujo de caja con fin'!I18</f>
        <v>99.60000000000001</v>
      </c>
      <c r="I16" s="326">
        <f>+'3.3.2 Flujo de caja con fin'!J18</f>
        <v>99.60000000000001</v>
      </c>
      <c r="J16" s="326">
        <f>+'3.3.2 Flujo de caja con fin'!K18</f>
        <v>99.60000000000001</v>
      </c>
      <c r="K16" s="327">
        <f>+'3.3.2 Flujo de caja con fin'!L18</f>
        <v>99.60000000000001</v>
      </c>
    </row>
    <row r="17" spans="1:11" ht="12.75">
      <c r="A17" s="159" t="s">
        <v>75</v>
      </c>
      <c r="B17" s="326">
        <f>+'3.3.2 Flujo de caja con fin'!C19</f>
        <v>99.60000000000001</v>
      </c>
      <c r="C17" s="326">
        <f>+'3.3.2 Flujo de caja con fin'!D19</f>
        <v>99.60000000000001</v>
      </c>
      <c r="D17" s="326">
        <f>+'3.3.2 Flujo de caja con fin'!E19</f>
        <v>99.60000000000001</v>
      </c>
      <c r="E17" s="326">
        <f>+'3.3.2 Flujo de caja con fin'!F19</f>
        <v>99.60000000000001</v>
      </c>
      <c r="F17" s="326">
        <f>+'3.3.2 Flujo de caja con fin'!G19</f>
        <v>99.60000000000001</v>
      </c>
      <c r="G17" s="326">
        <f>+'3.3.2 Flujo de caja con fin'!H19</f>
        <v>99.60000000000001</v>
      </c>
      <c r="H17" s="326">
        <f>+'3.3.2 Flujo de caja con fin'!I19</f>
        <v>99.60000000000001</v>
      </c>
      <c r="I17" s="326">
        <f>+'3.3.2 Flujo de caja con fin'!J19</f>
        <v>99.60000000000001</v>
      </c>
      <c r="J17" s="326">
        <f>+'3.3.2 Flujo de caja con fin'!K19</f>
        <v>99.60000000000001</v>
      </c>
      <c r="K17" s="327">
        <f>+'3.3.2 Flujo de caja con fin'!L19</f>
        <v>99.60000000000001</v>
      </c>
    </row>
    <row r="18" spans="1:11" ht="12.75">
      <c r="A18" s="144" t="s">
        <v>123</v>
      </c>
      <c r="B18" s="326">
        <f>+SUM(B11:B17)</f>
        <v>11674.800000000001</v>
      </c>
      <c r="C18" s="326">
        <f>+SUM(C11:C17)</f>
        <v>11674.800000000001</v>
      </c>
      <c r="D18" s="326">
        <f aca="true" t="shared" si="1" ref="D18:K18">+SUM(D11:D17)</f>
        <v>11674.800000000001</v>
      </c>
      <c r="E18" s="326">
        <f t="shared" si="1"/>
        <v>11674.800000000001</v>
      </c>
      <c r="F18" s="326">
        <f t="shared" si="1"/>
        <v>11674.800000000001</v>
      </c>
      <c r="G18" s="326">
        <f t="shared" si="1"/>
        <v>11674.800000000001</v>
      </c>
      <c r="H18" s="326">
        <f t="shared" si="1"/>
        <v>11674.800000000001</v>
      </c>
      <c r="I18" s="326">
        <f t="shared" si="1"/>
        <v>11674.800000000001</v>
      </c>
      <c r="J18" s="326">
        <f t="shared" si="1"/>
        <v>11674.800000000001</v>
      </c>
      <c r="K18" s="327">
        <f t="shared" si="1"/>
        <v>11674.800000000001</v>
      </c>
    </row>
    <row r="19" spans="1:11" ht="12.75">
      <c r="A19" s="144"/>
      <c r="B19" s="326"/>
      <c r="C19" s="326"/>
      <c r="D19" s="326"/>
      <c r="E19" s="326"/>
      <c r="F19" s="326"/>
      <c r="G19" s="326"/>
      <c r="H19" s="326"/>
      <c r="I19" s="326"/>
      <c r="J19" s="326"/>
      <c r="K19" s="327"/>
    </row>
    <row r="20" spans="1:11" ht="12.75">
      <c r="A20" s="144"/>
      <c r="B20" s="326"/>
      <c r="C20" s="326"/>
      <c r="D20" s="326"/>
      <c r="E20" s="326"/>
      <c r="F20" s="326"/>
      <c r="G20" s="326"/>
      <c r="H20" s="326"/>
      <c r="I20" s="326"/>
      <c r="J20" s="326"/>
      <c r="K20" s="327"/>
    </row>
    <row r="21" spans="1:11" ht="12.75">
      <c r="A21" s="144" t="s">
        <v>28</v>
      </c>
      <c r="B21" s="326">
        <f>+'3.3.2 Flujo de caja con fin'!C21</f>
        <v>7472</v>
      </c>
      <c r="C21" s="326">
        <f>+'3.3.2 Flujo de caja con fin'!D21</f>
        <v>7472</v>
      </c>
      <c r="D21" s="326">
        <f>+'3.3.2 Flujo de caja con fin'!E21</f>
        <v>7472</v>
      </c>
      <c r="E21" s="326">
        <f>+'3.3.2 Flujo de caja con fin'!F21</f>
        <v>7472</v>
      </c>
      <c r="F21" s="326">
        <f>+'3.3.2 Flujo de caja con fin'!G21</f>
        <v>7472</v>
      </c>
      <c r="G21" s="326">
        <f>+'3.3.2 Flujo de caja con fin'!H21</f>
        <v>7472</v>
      </c>
      <c r="H21" s="326">
        <f>+'3.3.2 Flujo de caja con fin'!I21</f>
        <v>7472</v>
      </c>
      <c r="I21" s="326">
        <f>+'3.3.2 Flujo de caja con fin'!J21</f>
        <v>7472</v>
      </c>
      <c r="J21" s="326">
        <f>+'3.3.2 Flujo de caja con fin'!K21</f>
        <v>7472</v>
      </c>
      <c r="K21" s="326">
        <f>+'3.3.2 Flujo de caja con fin'!L21</f>
        <v>7472</v>
      </c>
    </row>
    <row r="22" spans="1:11" ht="12.75">
      <c r="A22" s="144"/>
      <c r="B22" s="326"/>
      <c r="C22" s="326"/>
      <c r="D22" s="326"/>
      <c r="E22" s="326"/>
      <c r="F22" s="326"/>
      <c r="G22" s="326"/>
      <c r="H22" s="326"/>
      <c r="I22" s="326"/>
      <c r="J22" s="326"/>
      <c r="K22" s="327"/>
    </row>
    <row r="23" spans="1:11" ht="12.75">
      <c r="A23" s="144"/>
      <c r="B23" s="326"/>
      <c r="C23" s="326"/>
      <c r="D23" s="326"/>
      <c r="E23" s="326"/>
      <c r="F23" s="326"/>
      <c r="G23" s="326"/>
      <c r="H23" s="326"/>
      <c r="I23" s="326"/>
      <c r="J23" s="326"/>
      <c r="K23" s="327"/>
    </row>
    <row r="24" spans="1:11" ht="12.75">
      <c r="A24" s="144" t="s">
        <v>46</v>
      </c>
      <c r="B24" s="326">
        <f>+'3.2.3 Costos Financieros2'!H15</f>
        <v>5855.9337086338855</v>
      </c>
      <c r="C24" s="326">
        <f>+'3.2.3 Costos Financieros2'!H16</f>
        <v>4816.19241118379</v>
      </c>
      <c r="D24" s="326">
        <f>+'3.2.3 Costos Financieros2'!H17</f>
        <v>3681.312120679936</v>
      </c>
      <c r="E24" s="326">
        <f>+'3.2.3 Costos Financieros2'!H18</f>
        <v>2442.587375464235</v>
      </c>
      <c r="F24" s="326">
        <f>+'3.2.3 Costos Financieros2'!H19</f>
        <v>1090.5161418291373</v>
      </c>
      <c r="G24" s="326">
        <v>0</v>
      </c>
      <c r="H24" s="326">
        <v>0</v>
      </c>
      <c r="I24" s="326">
        <v>0</v>
      </c>
      <c r="J24" s="326">
        <v>0</v>
      </c>
      <c r="K24" s="327">
        <v>0</v>
      </c>
    </row>
    <row r="25" spans="1:11" ht="12.75">
      <c r="A25" s="144"/>
      <c r="B25" s="326"/>
      <c r="C25" s="326"/>
      <c r="D25" s="326"/>
      <c r="E25" s="326"/>
      <c r="F25" s="326"/>
      <c r="G25" s="326"/>
      <c r="H25" s="326"/>
      <c r="I25" s="326"/>
      <c r="J25" s="326"/>
      <c r="K25" s="327"/>
    </row>
    <row r="26" spans="1:11" ht="13.5" thickBot="1">
      <c r="A26" s="167"/>
      <c r="B26" s="330"/>
      <c r="C26" s="330"/>
      <c r="D26" s="330"/>
      <c r="E26" s="330"/>
      <c r="F26" s="330"/>
      <c r="G26" s="330"/>
      <c r="H26" s="330"/>
      <c r="I26" s="330"/>
      <c r="J26" s="330"/>
      <c r="K26" s="331"/>
    </row>
    <row r="27" spans="1:11" ht="13.5" thickBot="1">
      <c r="A27" s="156" t="s">
        <v>118</v>
      </c>
      <c r="B27" s="332">
        <f>+B8-B18-B21-B24</f>
        <v>22997.26629136611</v>
      </c>
      <c r="C27" s="332">
        <f aca="true" t="shared" si="2" ref="C27:K27">+C8-C18-C21-C24</f>
        <v>24037.007588816206</v>
      </c>
      <c r="D27" s="332">
        <f t="shared" si="2"/>
        <v>25171.88787932006</v>
      </c>
      <c r="E27" s="332">
        <f t="shared" si="2"/>
        <v>26410.612624535763</v>
      </c>
      <c r="F27" s="332">
        <f t="shared" si="2"/>
        <v>27762.683858170858</v>
      </c>
      <c r="G27" s="332">
        <f t="shared" si="2"/>
        <v>28853.199999999997</v>
      </c>
      <c r="H27" s="332">
        <f t="shared" si="2"/>
        <v>28853.199999999997</v>
      </c>
      <c r="I27" s="332">
        <f t="shared" si="2"/>
        <v>28853.199999999997</v>
      </c>
      <c r="J27" s="332">
        <f t="shared" si="2"/>
        <v>28853.199999999997</v>
      </c>
      <c r="K27" s="333">
        <f t="shared" si="2"/>
        <v>28853.199999999997</v>
      </c>
    </row>
    <row r="28" spans="1:10" ht="12.75">
      <c r="A28" s="27" t="s">
        <v>29</v>
      </c>
      <c r="B28" s="22"/>
      <c r="C28" s="22"/>
      <c r="D28" s="22"/>
      <c r="E28" s="22"/>
      <c r="F28" s="22"/>
      <c r="G28" s="22"/>
      <c r="H28" s="22"/>
      <c r="I28" s="22"/>
      <c r="J28" s="22"/>
    </row>
    <row r="30" spans="1:2" ht="12.75">
      <c r="A30" s="157"/>
      <c r="B30" s="11"/>
    </row>
    <row r="31" spans="1:3" ht="18">
      <c r="A31" s="152" t="s">
        <v>200</v>
      </c>
      <c r="B31" s="160"/>
      <c r="C31" s="27"/>
    </row>
    <row r="32" spans="1:3" ht="18">
      <c r="A32" s="150"/>
      <c r="B32" s="160"/>
      <c r="C32" s="27"/>
    </row>
    <row r="33" spans="1:3" ht="13.5" thickBot="1">
      <c r="A33" s="150"/>
      <c r="B33" s="151"/>
      <c r="C33" s="27"/>
    </row>
    <row r="34" spans="1:4" ht="12.75">
      <c r="A34" s="168"/>
      <c r="B34" s="164"/>
      <c r="C34" s="27"/>
      <c r="D34" s="27"/>
    </row>
    <row r="35" spans="1:4" ht="12.75">
      <c r="A35" s="161"/>
      <c r="B35" s="165"/>
      <c r="C35" s="27"/>
      <c r="D35" s="27"/>
    </row>
    <row r="36" spans="1:4" ht="12.75">
      <c r="A36" s="161"/>
      <c r="B36" s="165"/>
      <c r="C36" s="27"/>
      <c r="D36" s="27"/>
    </row>
    <row r="37" spans="1:3" ht="12.75">
      <c r="A37" s="161"/>
      <c r="B37" s="165"/>
      <c r="C37" s="27"/>
    </row>
    <row r="38" spans="1:3" ht="12.75">
      <c r="A38" s="162"/>
      <c r="B38" s="165"/>
      <c r="C38" s="27"/>
    </row>
    <row r="39" spans="1:3" ht="12.75">
      <c r="A39" s="161"/>
      <c r="B39" s="165"/>
      <c r="C39" s="27"/>
    </row>
    <row r="40" spans="1:3" ht="12.75">
      <c r="A40" s="162"/>
      <c r="B40" s="165"/>
      <c r="C40" s="27"/>
    </row>
    <row r="41" spans="1:3" ht="12.75">
      <c r="A41" s="161"/>
      <c r="B41" s="165"/>
      <c r="C41" s="27"/>
    </row>
    <row r="42" spans="1:2" ht="12.75">
      <c r="A42" s="162"/>
      <c r="B42" s="165"/>
    </row>
    <row r="43" spans="1:2" ht="12.75">
      <c r="A43" s="162"/>
      <c r="B43" s="165"/>
    </row>
    <row r="44" spans="1:2" ht="13.5" thickBot="1">
      <c r="A44" s="163"/>
      <c r="B44" s="166"/>
    </row>
  </sheetData>
  <mergeCells count="3">
    <mergeCell ref="A3:K3"/>
    <mergeCell ref="A1:K1"/>
    <mergeCell ref="A2:K2"/>
  </mergeCells>
  <printOptions horizontalCentered="1" verticalCentered="1"/>
  <pageMargins left="0.7480314960629921" right="0.7874015748031497" top="0.5118110236220472" bottom="0.5118110236220472" header="0.5905511811023623" footer="0.5118110236220472"/>
  <pageSetup horizontalDpi="300" verticalDpi="300" orientation="landscape" paperSize="9" scale="85" r:id="rId1"/>
  <headerFooter alignWithMargins="0">
    <oddHeader xml:space="preserve">&amp;C </oddHeader>
    <oddFooter xml:space="preserve">&amp;C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4"/>
  <sheetViews>
    <sheetView zoomScale="75" zoomScaleNormal="75" workbookViewId="0" topLeftCell="A25">
      <selection activeCell="B68" sqref="B68"/>
    </sheetView>
  </sheetViews>
  <sheetFormatPr defaultColWidth="11.421875" defaultRowHeight="12.75"/>
  <cols>
    <col min="1" max="1" width="51.140625" style="20" bestFit="1" customWidth="1"/>
    <col min="2" max="2" width="12.8515625" style="20" bestFit="1" customWidth="1"/>
    <col min="3" max="3" width="11.8515625" style="20" customWidth="1"/>
    <col min="4" max="5" width="12.140625" style="20" bestFit="1" customWidth="1"/>
    <col min="6" max="7" width="11.7109375" style="20" bestFit="1" customWidth="1"/>
    <col min="8" max="8" width="12.140625" style="20" bestFit="1" customWidth="1"/>
    <col min="9" max="9" width="11.7109375" style="20" bestFit="1" customWidth="1"/>
    <col min="10" max="11" width="12.140625" style="20" bestFit="1" customWidth="1"/>
    <col min="12" max="12" width="12.57421875" style="20" bestFit="1" customWidth="1"/>
    <col min="13" max="16384" width="15.140625" style="20" customWidth="1"/>
  </cols>
  <sheetData>
    <row r="1" spans="1:12" ht="18">
      <c r="A1" s="476"/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</row>
    <row r="2" spans="1:12" ht="13.5" thickBot="1">
      <c r="A2" s="450" t="s">
        <v>154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</row>
    <row r="3" spans="1:12" ht="18.75" thickBot="1">
      <c r="A3" s="446" t="s">
        <v>129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8"/>
    </row>
    <row r="4" spans="1:12" s="3" customFormat="1" ht="13.5" thickBot="1">
      <c r="A4" s="172" t="s">
        <v>105</v>
      </c>
      <c r="B4" s="173">
        <v>0</v>
      </c>
      <c r="C4" s="173">
        <v>1</v>
      </c>
      <c r="D4" s="173">
        <v>2</v>
      </c>
      <c r="E4" s="173">
        <v>3</v>
      </c>
      <c r="F4" s="173">
        <v>4</v>
      </c>
      <c r="G4" s="173">
        <v>5</v>
      </c>
      <c r="H4" s="173">
        <v>6</v>
      </c>
      <c r="I4" s="173">
        <v>7</v>
      </c>
      <c r="J4" s="173">
        <v>8</v>
      </c>
      <c r="K4" s="173">
        <v>9</v>
      </c>
      <c r="L4" s="174">
        <v>10</v>
      </c>
    </row>
    <row r="5" spans="1:12" ht="12.75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7"/>
    </row>
    <row r="6" spans="1:12" ht="12.75">
      <c r="A6" s="229" t="s">
        <v>117</v>
      </c>
      <c r="B6" s="286"/>
      <c r="C6" s="286">
        <f>+'ANEXOCONSUMO DE AGUA ESPOL'!J3</f>
        <v>68430.16666666667</v>
      </c>
      <c r="D6" s="286">
        <f>+'ANEXOCONSUMO DE AGUA ESPOL'!J4</f>
        <v>68430.16666666667</v>
      </c>
      <c r="E6" s="286">
        <f>+'ANEXOCONSUMO DE AGUA ESPOL'!J5</f>
        <v>68430.16666666667</v>
      </c>
      <c r="F6" s="286">
        <f>+'ANEXOCONSUMO DE AGUA ESPOL'!J6</f>
        <v>68430.16666666667</v>
      </c>
      <c r="G6" s="286">
        <f>+'ANEXOCONSUMO DE AGUA ESPOL'!J7</f>
        <v>68430.16666666667</v>
      </c>
      <c r="H6" s="286">
        <f>+'ANEXOCONSUMO DE AGUA ESPOL'!J8</f>
        <v>68430.16666666667</v>
      </c>
      <c r="I6" s="286">
        <f>+'ANEXOCONSUMO DE AGUA ESPOL'!J9</f>
        <v>68430.16666666667</v>
      </c>
      <c r="J6" s="286">
        <f>+'ANEXOCONSUMO DE AGUA ESPOL'!J10</f>
        <v>68430.16666666667</v>
      </c>
      <c r="K6" s="286">
        <f>+'ANEXOCONSUMO DE AGUA ESPOL'!J11</f>
        <v>68430.16666666667</v>
      </c>
      <c r="L6" s="286">
        <f>+'ANEXOCONSUMO DE AGUA ESPOL'!J12</f>
        <v>68430.16666666667</v>
      </c>
    </row>
    <row r="7" spans="1:12" s="152" customFormat="1" ht="12.75">
      <c r="A7" s="229" t="s">
        <v>116</v>
      </c>
      <c r="B7" s="286"/>
      <c r="C7" s="286">
        <f>+'ANEXOCONSUMO DE AGUA ESPOL'!K3</f>
        <v>20430.166666666668</v>
      </c>
      <c r="D7" s="286">
        <f>+'ANEXOCONSUMO DE AGUA ESPOL'!K4</f>
        <v>20430.166666666668</v>
      </c>
      <c r="E7" s="286">
        <f>+'ANEXOCONSUMO DE AGUA ESPOL'!K5</f>
        <v>20430.166666666668</v>
      </c>
      <c r="F7" s="286">
        <f>+'ANEXOCONSUMO DE AGUA ESPOL'!K6</f>
        <v>20430.166666666668</v>
      </c>
      <c r="G7" s="286">
        <f>+'ANEXOCONSUMO DE AGUA ESPOL'!K7</f>
        <v>20430.166666666668</v>
      </c>
      <c r="H7" s="286">
        <f>+'ANEXOCONSUMO DE AGUA ESPOL'!K8</f>
        <v>20430.166666666668</v>
      </c>
      <c r="I7" s="286">
        <f>+'ANEXOCONSUMO DE AGUA ESPOL'!K9</f>
        <v>20430.166666666668</v>
      </c>
      <c r="J7" s="286">
        <f>+'ANEXOCONSUMO DE AGUA ESPOL'!K10</f>
        <v>20430.166666666668</v>
      </c>
      <c r="K7" s="286">
        <f>+'ANEXOCONSUMO DE AGUA ESPOL'!K11</f>
        <v>20430.166666666668</v>
      </c>
      <c r="L7" s="286">
        <f>+'ANEXOCONSUMO DE AGUA ESPOL'!K12</f>
        <v>20430.166666666668</v>
      </c>
    </row>
    <row r="8" spans="1:12" ht="12.75">
      <c r="A8" s="231" t="s">
        <v>119</v>
      </c>
      <c r="B8" s="289"/>
      <c r="C8" s="290">
        <f>C6-C7</f>
        <v>48000</v>
      </c>
      <c r="D8" s="290">
        <f aca="true" t="shared" si="0" ref="D8:L8">D6-D7</f>
        <v>48000</v>
      </c>
      <c r="E8" s="290">
        <f t="shared" si="0"/>
        <v>48000</v>
      </c>
      <c r="F8" s="290">
        <f t="shared" si="0"/>
        <v>48000</v>
      </c>
      <c r="G8" s="290">
        <f t="shared" si="0"/>
        <v>48000</v>
      </c>
      <c r="H8" s="290">
        <f t="shared" si="0"/>
        <v>48000</v>
      </c>
      <c r="I8" s="290">
        <f t="shared" si="0"/>
        <v>48000</v>
      </c>
      <c r="J8" s="290">
        <f t="shared" si="0"/>
        <v>48000</v>
      </c>
      <c r="K8" s="290">
        <f t="shared" si="0"/>
        <v>48000</v>
      </c>
      <c r="L8" s="290">
        <f t="shared" si="0"/>
        <v>48000</v>
      </c>
    </row>
    <row r="9" spans="1:12" ht="12.75">
      <c r="A9" s="231"/>
      <c r="B9" s="289"/>
      <c r="C9" s="290"/>
      <c r="D9" s="290"/>
      <c r="E9" s="290"/>
      <c r="F9" s="290"/>
      <c r="G9" s="290"/>
      <c r="H9" s="290"/>
      <c r="I9" s="290"/>
      <c r="J9" s="290"/>
      <c r="K9" s="290"/>
      <c r="L9" s="291"/>
    </row>
    <row r="10" spans="1:12" ht="12.75">
      <c r="A10" s="231"/>
      <c r="B10" s="289"/>
      <c r="C10" s="290"/>
      <c r="D10" s="290"/>
      <c r="E10" s="290"/>
      <c r="F10" s="290"/>
      <c r="G10" s="290"/>
      <c r="H10" s="290"/>
      <c r="I10" s="290"/>
      <c r="J10" s="290"/>
      <c r="K10" s="290"/>
      <c r="L10" s="291"/>
    </row>
    <row r="11" spans="1:12" ht="12.75">
      <c r="A11" s="231" t="s">
        <v>128</v>
      </c>
      <c r="B11" s="289"/>
      <c r="C11" s="290"/>
      <c r="D11" s="290"/>
      <c r="E11" s="290"/>
      <c r="F11" s="290"/>
      <c r="G11" s="290"/>
      <c r="H11" s="290"/>
      <c r="I11" s="290"/>
      <c r="J11" s="290"/>
      <c r="K11" s="290"/>
      <c r="L11" s="291"/>
    </row>
    <row r="12" spans="1:12" ht="12.75">
      <c r="A12" s="229" t="s">
        <v>120</v>
      </c>
      <c r="B12" s="286"/>
      <c r="C12" s="287"/>
      <c r="D12" s="287"/>
      <c r="E12" s="287"/>
      <c r="F12" s="287"/>
      <c r="G12" s="287"/>
      <c r="H12" s="287"/>
      <c r="I12" s="287"/>
      <c r="J12" s="287"/>
      <c r="K12" s="287"/>
      <c r="L12" s="288"/>
    </row>
    <row r="13" spans="1:12" ht="12.75">
      <c r="A13" s="232" t="s">
        <v>92</v>
      </c>
      <c r="B13" s="286"/>
      <c r="C13" s="287">
        <f>+'3.2.2 Costos Operativos'!B8*12</f>
        <v>9876</v>
      </c>
      <c r="D13" s="287">
        <f>+C13</f>
        <v>9876</v>
      </c>
      <c r="E13" s="287">
        <f aca="true" t="shared" si="1" ref="E13:L13">+D13</f>
        <v>9876</v>
      </c>
      <c r="F13" s="287">
        <f t="shared" si="1"/>
        <v>9876</v>
      </c>
      <c r="G13" s="287">
        <f t="shared" si="1"/>
        <v>9876</v>
      </c>
      <c r="H13" s="287">
        <f t="shared" si="1"/>
        <v>9876</v>
      </c>
      <c r="I13" s="287">
        <f t="shared" si="1"/>
        <v>9876</v>
      </c>
      <c r="J13" s="287">
        <f t="shared" si="1"/>
        <v>9876</v>
      </c>
      <c r="K13" s="287">
        <f t="shared" si="1"/>
        <v>9876</v>
      </c>
      <c r="L13" s="287">
        <f t="shared" si="1"/>
        <v>9876</v>
      </c>
    </row>
    <row r="14" spans="1:12" ht="12.75">
      <c r="A14" s="229" t="s">
        <v>121</v>
      </c>
      <c r="B14" s="286"/>
      <c r="C14" s="287"/>
      <c r="D14" s="287"/>
      <c r="E14" s="287"/>
      <c r="F14" s="287"/>
      <c r="G14" s="287"/>
      <c r="H14" s="287"/>
      <c r="I14" s="287"/>
      <c r="J14" s="287"/>
      <c r="K14" s="287"/>
      <c r="L14" s="287"/>
    </row>
    <row r="15" spans="1:12" ht="12.75">
      <c r="A15" s="232" t="s">
        <v>90</v>
      </c>
      <c r="B15" s="286"/>
      <c r="C15" s="287">
        <f>+'3.2.2 Costos Operativos'!B13*12</f>
        <v>1350</v>
      </c>
      <c r="D15" s="287">
        <f>+C15</f>
        <v>1350</v>
      </c>
      <c r="E15" s="287">
        <f aca="true" t="shared" si="2" ref="E15:L15">+D15</f>
        <v>1350</v>
      </c>
      <c r="F15" s="287">
        <f t="shared" si="2"/>
        <v>1350</v>
      </c>
      <c r="G15" s="287">
        <f t="shared" si="2"/>
        <v>1350</v>
      </c>
      <c r="H15" s="287">
        <f t="shared" si="2"/>
        <v>1350</v>
      </c>
      <c r="I15" s="287">
        <f t="shared" si="2"/>
        <v>1350</v>
      </c>
      <c r="J15" s="287">
        <f t="shared" si="2"/>
        <v>1350</v>
      </c>
      <c r="K15" s="287">
        <f t="shared" si="2"/>
        <v>1350</v>
      </c>
      <c r="L15" s="287">
        <f t="shared" si="2"/>
        <v>1350</v>
      </c>
    </row>
    <row r="16" spans="1:12" ht="12.75">
      <c r="A16" s="229" t="s">
        <v>122</v>
      </c>
      <c r="B16" s="286"/>
      <c r="C16" s="287"/>
      <c r="D16" s="287"/>
      <c r="E16" s="287"/>
      <c r="F16" s="287"/>
      <c r="G16" s="287"/>
      <c r="H16" s="287"/>
      <c r="I16" s="287"/>
      <c r="J16" s="287"/>
      <c r="K16" s="287"/>
      <c r="L16" s="287"/>
    </row>
    <row r="17" spans="1:174" ht="12.75">
      <c r="A17" s="232" t="s">
        <v>93</v>
      </c>
      <c r="B17" s="286"/>
      <c r="C17" s="287">
        <f>+'3.2.2 Costos Operativos'!B17*12</f>
        <v>249.60000000000002</v>
      </c>
      <c r="D17" s="287">
        <f aca="true" t="shared" si="3" ref="D17:L19">+C17</f>
        <v>249.60000000000002</v>
      </c>
      <c r="E17" s="287">
        <f t="shared" si="3"/>
        <v>249.60000000000002</v>
      </c>
      <c r="F17" s="287">
        <f t="shared" si="3"/>
        <v>249.60000000000002</v>
      </c>
      <c r="G17" s="287">
        <f t="shared" si="3"/>
        <v>249.60000000000002</v>
      </c>
      <c r="H17" s="287">
        <f t="shared" si="3"/>
        <v>249.60000000000002</v>
      </c>
      <c r="I17" s="287">
        <f t="shared" si="3"/>
        <v>249.60000000000002</v>
      </c>
      <c r="J17" s="287">
        <f t="shared" si="3"/>
        <v>249.60000000000002</v>
      </c>
      <c r="K17" s="287">
        <f t="shared" si="3"/>
        <v>249.60000000000002</v>
      </c>
      <c r="L17" s="287">
        <f t="shared" si="3"/>
        <v>249.60000000000002</v>
      </c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</row>
    <row r="18" spans="1:174" ht="12.75">
      <c r="A18" s="232" t="s">
        <v>94</v>
      </c>
      <c r="B18" s="286"/>
      <c r="C18" s="287">
        <f>+'3.2.2 Costos Operativos'!B18*12</f>
        <v>99.60000000000001</v>
      </c>
      <c r="D18" s="287">
        <f t="shared" si="3"/>
        <v>99.60000000000001</v>
      </c>
      <c r="E18" s="287">
        <f t="shared" si="3"/>
        <v>99.60000000000001</v>
      </c>
      <c r="F18" s="287">
        <f t="shared" si="3"/>
        <v>99.60000000000001</v>
      </c>
      <c r="G18" s="287">
        <f t="shared" si="3"/>
        <v>99.60000000000001</v>
      </c>
      <c r="H18" s="287">
        <f t="shared" si="3"/>
        <v>99.60000000000001</v>
      </c>
      <c r="I18" s="287">
        <f t="shared" si="3"/>
        <v>99.60000000000001</v>
      </c>
      <c r="J18" s="287">
        <f t="shared" si="3"/>
        <v>99.60000000000001</v>
      </c>
      <c r="K18" s="287">
        <f t="shared" si="3"/>
        <v>99.60000000000001</v>
      </c>
      <c r="L18" s="287">
        <f t="shared" si="3"/>
        <v>99.60000000000001</v>
      </c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</row>
    <row r="19" spans="1:174" ht="12.75">
      <c r="A19" s="232" t="s">
        <v>75</v>
      </c>
      <c r="B19" s="286"/>
      <c r="C19" s="287">
        <f>+'3.2.2 Costos Operativos'!B19*12</f>
        <v>99.60000000000001</v>
      </c>
      <c r="D19" s="287">
        <f t="shared" si="3"/>
        <v>99.60000000000001</v>
      </c>
      <c r="E19" s="287">
        <f t="shared" si="3"/>
        <v>99.60000000000001</v>
      </c>
      <c r="F19" s="287">
        <f t="shared" si="3"/>
        <v>99.60000000000001</v>
      </c>
      <c r="G19" s="287">
        <f t="shared" si="3"/>
        <v>99.60000000000001</v>
      </c>
      <c r="H19" s="287">
        <f t="shared" si="3"/>
        <v>99.60000000000001</v>
      </c>
      <c r="I19" s="287">
        <f t="shared" si="3"/>
        <v>99.60000000000001</v>
      </c>
      <c r="J19" s="287">
        <f t="shared" si="3"/>
        <v>99.60000000000001</v>
      </c>
      <c r="K19" s="287">
        <f t="shared" si="3"/>
        <v>99.60000000000001</v>
      </c>
      <c r="L19" s="287">
        <f t="shared" si="3"/>
        <v>99.60000000000001</v>
      </c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</row>
    <row r="20" spans="1:174" ht="12.75">
      <c r="A20" s="229" t="s">
        <v>231</v>
      </c>
      <c r="B20" s="286"/>
      <c r="C20" s="287">
        <f>+'3.2.3 Costos Financieros2'!J15</f>
        <v>17218.908351558184</v>
      </c>
      <c r="D20" s="287">
        <f>+C20</f>
        <v>17218.908351558184</v>
      </c>
      <c r="E20" s="287">
        <f>+D20</f>
        <v>17218.908351558184</v>
      </c>
      <c r="F20" s="287">
        <f>+E20</f>
        <v>17218.908351558184</v>
      </c>
      <c r="G20" s="287">
        <f>+F20</f>
        <v>17218.908351558184</v>
      </c>
      <c r="H20" s="287">
        <f>+'3.2.3 Costos Financieros2'!H20</f>
        <v>0</v>
      </c>
      <c r="I20" s="287">
        <v>0</v>
      </c>
      <c r="J20" s="287">
        <v>0</v>
      </c>
      <c r="K20" s="287">
        <v>0</v>
      </c>
      <c r="L20" s="288">
        <v>0</v>
      </c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</row>
    <row r="21" spans="1:255" ht="12.75">
      <c r="A21" s="229" t="s">
        <v>127</v>
      </c>
      <c r="B21" s="292"/>
      <c r="C21" s="287">
        <f>+'ANEXO3.1.3 DEP. ANUAL'!B24</f>
        <v>7472</v>
      </c>
      <c r="D21" s="287">
        <f>+'ANEXO3.1.3 DEP. ANUAL'!C24</f>
        <v>7472</v>
      </c>
      <c r="E21" s="287">
        <f>+'ANEXO3.1.3 DEP. ANUAL'!D24</f>
        <v>7472</v>
      </c>
      <c r="F21" s="287">
        <f>+'ANEXO3.1.3 DEP. ANUAL'!E24</f>
        <v>7472</v>
      </c>
      <c r="G21" s="287">
        <f>+'ANEXO3.1.3 DEP. ANUAL'!F24</f>
        <v>7472</v>
      </c>
      <c r="H21" s="287">
        <f>+'ANEXO3.1.3 DEP. ANUAL'!G24</f>
        <v>7472</v>
      </c>
      <c r="I21" s="287">
        <f>+'ANEXO3.1.3 DEP. ANUAL'!H24</f>
        <v>7472</v>
      </c>
      <c r="J21" s="287">
        <f>+'ANEXO3.1.3 DEP. ANUAL'!I24</f>
        <v>7472</v>
      </c>
      <c r="K21" s="287">
        <f>+'ANEXO3.1.3 DEP. ANUAL'!J24</f>
        <v>7472</v>
      </c>
      <c r="L21" s="288">
        <f>+'ANEXO3.1.3 DEP. ANUAL'!K24</f>
        <v>7472</v>
      </c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145"/>
      <c r="FU21" s="145"/>
      <c r="FV21" s="145"/>
      <c r="FW21" s="145"/>
      <c r="FX21" s="145"/>
      <c r="FY21" s="145"/>
      <c r="FZ21" s="145"/>
      <c r="GA21" s="145"/>
      <c r="GB21" s="145"/>
      <c r="GC21" s="145"/>
      <c r="GD21" s="145"/>
      <c r="GE21" s="145"/>
      <c r="GF21" s="145"/>
      <c r="GG21" s="145"/>
      <c r="GH21" s="145"/>
      <c r="GI21" s="145"/>
      <c r="GJ21" s="145"/>
      <c r="GK21" s="145"/>
      <c r="GL21" s="145"/>
      <c r="GM21" s="145"/>
      <c r="GN21" s="145"/>
      <c r="GO21" s="145"/>
      <c r="GP21" s="145"/>
      <c r="GQ21" s="145"/>
      <c r="GR21" s="145"/>
      <c r="GS21" s="145"/>
      <c r="GT21" s="145"/>
      <c r="GU21" s="145"/>
      <c r="GV21" s="145"/>
      <c r="GW21" s="145"/>
      <c r="GX21" s="145"/>
      <c r="GY21" s="145"/>
      <c r="GZ21" s="145"/>
      <c r="HA21" s="145"/>
      <c r="HB21" s="145"/>
      <c r="HC21" s="145"/>
      <c r="HD21" s="145"/>
      <c r="HE21" s="145"/>
      <c r="HF21" s="145"/>
      <c r="HG21" s="145"/>
      <c r="HH21" s="145"/>
      <c r="HI21" s="145"/>
      <c r="HJ21" s="145"/>
      <c r="HK21" s="145"/>
      <c r="HL21" s="145"/>
      <c r="HM21" s="145"/>
      <c r="HN21" s="145"/>
      <c r="HO21" s="145"/>
      <c r="HP21" s="145"/>
      <c r="HQ21" s="145"/>
      <c r="HR21" s="145"/>
      <c r="HS21" s="145"/>
      <c r="HT21" s="145"/>
      <c r="HU21" s="145"/>
      <c r="HV21" s="145"/>
      <c r="HW21" s="145"/>
      <c r="HX21" s="145"/>
      <c r="HY21" s="145"/>
      <c r="HZ21" s="145"/>
      <c r="IA21" s="145"/>
      <c r="IB21" s="145"/>
      <c r="IC21" s="145"/>
      <c r="ID21" s="145"/>
      <c r="IE21" s="145"/>
      <c r="IF21" s="145"/>
      <c r="IG21" s="145"/>
      <c r="IH21" s="145"/>
      <c r="II21" s="145"/>
      <c r="IJ21" s="145"/>
      <c r="IK21" s="145"/>
      <c r="IL21" s="145"/>
      <c r="IM21" s="145"/>
      <c r="IN21" s="145"/>
      <c r="IO21" s="145"/>
      <c r="IP21" s="145" t="s">
        <v>108</v>
      </c>
      <c r="IQ21" s="145" t="s">
        <v>108</v>
      </c>
      <c r="IR21" s="145" t="s">
        <v>108</v>
      </c>
      <c r="IS21" s="145" t="s">
        <v>108</v>
      </c>
      <c r="IT21" s="145" t="s">
        <v>108</v>
      </c>
      <c r="IU21" s="145" t="s">
        <v>108</v>
      </c>
    </row>
    <row r="22" spans="1:174" ht="12.75">
      <c r="A22" s="231"/>
      <c r="B22" s="286"/>
      <c r="C22" s="287"/>
      <c r="D22" s="287"/>
      <c r="E22" s="287"/>
      <c r="F22" s="287"/>
      <c r="G22" s="287"/>
      <c r="H22" s="287"/>
      <c r="I22" s="287"/>
      <c r="J22" s="287"/>
      <c r="K22" s="287"/>
      <c r="L22" s="288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</row>
    <row r="23" spans="1:174" ht="12.75">
      <c r="A23" s="231" t="s">
        <v>107</v>
      </c>
      <c r="B23" s="286"/>
      <c r="C23" s="287">
        <f aca="true" t="shared" si="4" ref="C23:L23">+C8-(SUM(C13:C21))</f>
        <v>11634.291648441817</v>
      </c>
      <c r="D23" s="287">
        <f t="shared" si="4"/>
        <v>11634.291648441817</v>
      </c>
      <c r="E23" s="287">
        <f t="shared" si="4"/>
        <v>11634.291648441817</v>
      </c>
      <c r="F23" s="287">
        <f t="shared" si="4"/>
        <v>11634.291648441817</v>
      </c>
      <c r="G23" s="287">
        <f t="shared" si="4"/>
        <v>11634.291648441817</v>
      </c>
      <c r="H23" s="287">
        <f t="shared" si="4"/>
        <v>28853.199999999997</v>
      </c>
      <c r="I23" s="287">
        <f t="shared" si="4"/>
        <v>28853.199999999997</v>
      </c>
      <c r="J23" s="287">
        <f t="shared" si="4"/>
        <v>28853.199999999997</v>
      </c>
      <c r="K23" s="287">
        <f t="shared" si="4"/>
        <v>28853.199999999997</v>
      </c>
      <c r="L23" s="288">
        <f t="shared" si="4"/>
        <v>28853.199999999997</v>
      </c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</row>
    <row r="24" spans="1:174" ht="12.75">
      <c r="A24" s="231"/>
      <c r="B24" s="286"/>
      <c r="C24" s="287"/>
      <c r="D24" s="287"/>
      <c r="E24" s="287"/>
      <c r="F24" s="287"/>
      <c r="G24" s="287"/>
      <c r="H24" s="287"/>
      <c r="I24" s="287"/>
      <c r="J24" s="287"/>
      <c r="K24" s="287"/>
      <c r="L24" s="288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</row>
    <row r="25" spans="1:174" ht="12.75">
      <c r="A25" s="231"/>
      <c r="B25" s="286"/>
      <c r="C25" s="287"/>
      <c r="D25" s="287"/>
      <c r="E25" s="287"/>
      <c r="F25" s="287"/>
      <c r="G25" s="287"/>
      <c r="H25" s="287"/>
      <c r="I25" s="287"/>
      <c r="J25" s="287"/>
      <c r="K25" s="287"/>
      <c r="L25" s="288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</row>
    <row r="26" spans="1:255" ht="12.75">
      <c r="A26" s="229" t="s">
        <v>108</v>
      </c>
      <c r="B26" s="292"/>
      <c r="C26" s="287">
        <f>+'ANEXO3.1.3 DEP. ANUAL'!B24</f>
        <v>7472</v>
      </c>
      <c r="D26" s="287">
        <f>+'ANEXO3.1.3 DEP. ANUAL'!C24</f>
        <v>7472</v>
      </c>
      <c r="E26" s="287">
        <f>+'ANEXO3.1.3 DEP. ANUAL'!D24</f>
        <v>7472</v>
      </c>
      <c r="F26" s="287">
        <f>+'ANEXO3.1.3 DEP. ANUAL'!E24</f>
        <v>7472</v>
      </c>
      <c r="G26" s="287">
        <f>+'ANEXO3.1.3 DEP. ANUAL'!F24</f>
        <v>7472</v>
      </c>
      <c r="H26" s="287">
        <f>+'ANEXO3.1.3 DEP. ANUAL'!G24</f>
        <v>7472</v>
      </c>
      <c r="I26" s="287">
        <f>+'ANEXO3.1.3 DEP. ANUAL'!H24</f>
        <v>7472</v>
      </c>
      <c r="J26" s="287">
        <f>+'ANEXO3.1.3 DEP. ANUAL'!I24</f>
        <v>7472</v>
      </c>
      <c r="K26" s="287">
        <f>+'ANEXO3.1.3 DEP. ANUAL'!J24</f>
        <v>7472</v>
      </c>
      <c r="L26" s="288">
        <f>+'ANEXO3.1.3 DEP. ANUAL'!K24</f>
        <v>7472</v>
      </c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145"/>
      <c r="FU26" s="145"/>
      <c r="FV26" s="145"/>
      <c r="FW26" s="145"/>
      <c r="FX26" s="145"/>
      <c r="FY26" s="145"/>
      <c r="FZ26" s="145"/>
      <c r="GA26" s="145"/>
      <c r="GB26" s="145"/>
      <c r="GC26" s="145"/>
      <c r="GD26" s="145"/>
      <c r="GE26" s="145"/>
      <c r="GF26" s="145"/>
      <c r="GG26" s="145"/>
      <c r="GH26" s="145"/>
      <c r="GI26" s="145"/>
      <c r="GJ26" s="145"/>
      <c r="GK26" s="145"/>
      <c r="GL26" s="145"/>
      <c r="GM26" s="145"/>
      <c r="GN26" s="145"/>
      <c r="GO26" s="145"/>
      <c r="GP26" s="145"/>
      <c r="GQ26" s="145"/>
      <c r="GR26" s="145"/>
      <c r="GS26" s="145"/>
      <c r="GT26" s="145"/>
      <c r="GU26" s="145"/>
      <c r="GV26" s="145"/>
      <c r="GW26" s="145"/>
      <c r="GX26" s="145"/>
      <c r="GY26" s="145"/>
      <c r="GZ26" s="145"/>
      <c r="HA26" s="145"/>
      <c r="HB26" s="145"/>
      <c r="HC26" s="145"/>
      <c r="HD26" s="145"/>
      <c r="HE26" s="145"/>
      <c r="HF26" s="145"/>
      <c r="HG26" s="145"/>
      <c r="HH26" s="145"/>
      <c r="HI26" s="145"/>
      <c r="HJ26" s="145"/>
      <c r="HK26" s="145"/>
      <c r="HL26" s="145"/>
      <c r="HM26" s="145"/>
      <c r="HN26" s="145"/>
      <c r="HO26" s="145"/>
      <c r="HP26" s="145"/>
      <c r="HQ26" s="145"/>
      <c r="HR26" s="145"/>
      <c r="HS26" s="145"/>
      <c r="HT26" s="145"/>
      <c r="HU26" s="145"/>
      <c r="HV26" s="145"/>
      <c r="HW26" s="145"/>
      <c r="HX26" s="145"/>
      <c r="HY26" s="145"/>
      <c r="HZ26" s="145"/>
      <c r="IA26" s="145"/>
      <c r="IB26" s="145"/>
      <c r="IC26" s="145"/>
      <c r="ID26" s="145"/>
      <c r="IE26" s="145"/>
      <c r="IF26" s="145"/>
      <c r="IG26" s="145"/>
      <c r="IH26" s="145"/>
      <c r="II26" s="145"/>
      <c r="IJ26" s="145"/>
      <c r="IK26" s="145"/>
      <c r="IL26" s="145"/>
      <c r="IM26" s="145"/>
      <c r="IN26" s="145"/>
      <c r="IO26" s="145"/>
      <c r="IP26" s="145" t="s">
        <v>108</v>
      </c>
      <c r="IQ26" s="145" t="s">
        <v>108</v>
      </c>
      <c r="IR26" s="145" t="s">
        <v>108</v>
      </c>
      <c r="IS26" s="145" t="s">
        <v>108</v>
      </c>
      <c r="IT26" s="145" t="s">
        <v>108</v>
      </c>
      <c r="IU26" s="145" t="s">
        <v>108</v>
      </c>
    </row>
    <row r="27" spans="1:255" ht="12.75">
      <c r="A27" s="229" t="s">
        <v>109</v>
      </c>
      <c r="B27" s="292"/>
      <c r="C27" s="341">
        <v>0</v>
      </c>
      <c r="D27" s="341">
        <v>0</v>
      </c>
      <c r="E27" s="341">
        <v>0</v>
      </c>
      <c r="F27" s="341">
        <v>0</v>
      </c>
      <c r="G27" s="341">
        <v>0</v>
      </c>
      <c r="H27" s="341">
        <v>0</v>
      </c>
      <c r="I27" s="341">
        <v>0</v>
      </c>
      <c r="J27" s="341">
        <v>0</v>
      </c>
      <c r="K27" s="341">
        <v>0</v>
      </c>
      <c r="L27" s="342">
        <f>+'3.1.3 DEPRE'!H27</f>
        <v>42500</v>
      </c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145"/>
      <c r="FU27" s="145"/>
      <c r="FV27" s="145"/>
      <c r="FW27" s="145"/>
      <c r="FX27" s="145"/>
      <c r="FY27" s="145"/>
      <c r="FZ27" s="145"/>
      <c r="GA27" s="145"/>
      <c r="GB27" s="145"/>
      <c r="GC27" s="145"/>
      <c r="GD27" s="145"/>
      <c r="GE27" s="145"/>
      <c r="GF27" s="145"/>
      <c r="GG27" s="145"/>
      <c r="GH27" s="145"/>
      <c r="GI27" s="145"/>
      <c r="GJ27" s="145"/>
      <c r="GK27" s="145"/>
      <c r="GL27" s="145"/>
      <c r="GM27" s="145"/>
      <c r="GN27" s="145"/>
      <c r="GO27" s="145"/>
      <c r="GP27" s="145"/>
      <c r="GQ27" s="145"/>
      <c r="GR27" s="145"/>
      <c r="GS27" s="145"/>
      <c r="GT27" s="145"/>
      <c r="GU27" s="145"/>
      <c r="GV27" s="145"/>
      <c r="GW27" s="145"/>
      <c r="GX27" s="145"/>
      <c r="GY27" s="145"/>
      <c r="GZ27" s="145"/>
      <c r="HA27" s="145"/>
      <c r="HB27" s="145"/>
      <c r="HC27" s="145"/>
      <c r="HD27" s="145"/>
      <c r="HE27" s="145"/>
      <c r="HF27" s="145"/>
      <c r="HG27" s="145"/>
      <c r="HH27" s="145"/>
      <c r="HI27" s="145"/>
      <c r="HJ27" s="145"/>
      <c r="HK27" s="145"/>
      <c r="HL27" s="145"/>
      <c r="HM27" s="145"/>
      <c r="HN27" s="145"/>
      <c r="HO27" s="145"/>
      <c r="HP27" s="145"/>
      <c r="HQ27" s="145"/>
      <c r="HR27" s="145"/>
      <c r="HS27" s="145"/>
      <c r="HT27" s="145"/>
      <c r="HU27" s="145"/>
      <c r="HV27" s="145"/>
      <c r="HW27" s="145"/>
      <c r="HX27" s="145"/>
      <c r="HY27" s="145"/>
      <c r="HZ27" s="145"/>
      <c r="IA27" s="145"/>
      <c r="IB27" s="145"/>
      <c r="IC27" s="145"/>
      <c r="ID27" s="145"/>
      <c r="IE27" s="145"/>
      <c r="IF27" s="145"/>
      <c r="IG27" s="145"/>
      <c r="IH27" s="145"/>
      <c r="II27" s="145"/>
      <c r="IJ27" s="145"/>
      <c r="IK27" s="145"/>
      <c r="IL27" s="145"/>
      <c r="IM27" s="145"/>
      <c r="IN27" s="145"/>
      <c r="IO27" s="145"/>
      <c r="IP27" s="145" t="s">
        <v>109</v>
      </c>
      <c r="IQ27" s="145" t="s">
        <v>109</v>
      </c>
      <c r="IR27" s="145" t="s">
        <v>109</v>
      </c>
      <c r="IS27" s="145" t="s">
        <v>109</v>
      </c>
      <c r="IT27" s="145" t="s">
        <v>109</v>
      </c>
      <c r="IU27" s="145" t="s">
        <v>109</v>
      </c>
    </row>
    <row r="28" spans="1:255" ht="12.75">
      <c r="A28" s="229"/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L28" s="294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  <c r="IS28" s="51"/>
      <c r="IT28" s="51"/>
      <c r="IU28" s="51"/>
    </row>
    <row r="29" spans="1:12" ht="12.75">
      <c r="A29" s="231"/>
      <c r="B29" s="293"/>
      <c r="C29" s="287"/>
      <c r="D29" s="287"/>
      <c r="E29" s="287"/>
      <c r="F29" s="287"/>
      <c r="G29" s="287"/>
      <c r="H29" s="287"/>
      <c r="I29" s="287"/>
      <c r="J29" s="287"/>
      <c r="K29" s="287"/>
      <c r="L29" s="288"/>
    </row>
    <row r="30" spans="1:12" ht="12.75">
      <c r="A30" s="231" t="s">
        <v>110</v>
      </c>
      <c r="B30" s="287">
        <f>'3.1 Inversiónes'!B13*-1</f>
        <v>-97440</v>
      </c>
      <c r="C30" s="295"/>
      <c r="D30" s="287"/>
      <c r="E30" s="287"/>
      <c r="F30" s="287"/>
      <c r="G30" s="287"/>
      <c r="H30" s="287"/>
      <c r="I30" s="287"/>
      <c r="J30" s="287"/>
      <c r="K30" s="287"/>
      <c r="L30" s="288"/>
    </row>
    <row r="31" spans="1:12" ht="12.75">
      <c r="A31" s="231" t="s">
        <v>130</v>
      </c>
      <c r="B31" s="293">
        <f>+'3.1 Inversiónes'!C17</f>
        <v>68208</v>
      </c>
      <c r="C31" s="287"/>
      <c r="D31" s="287"/>
      <c r="E31" s="287"/>
      <c r="F31" s="287"/>
      <c r="G31" s="287"/>
      <c r="H31" s="287"/>
      <c r="I31" s="287"/>
      <c r="J31" s="287"/>
      <c r="K31" s="287"/>
      <c r="L31" s="288"/>
    </row>
    <row r="32" spans="1:12" ht="13.5" thickBot="1">
      <c r="A32" s="236"/>
      <c r="B32" s="296"/>
      <c r="C32" s="297"/>
      <c r="D32" s="297"/>
      <c r="E32" s="297"/>
      <c r="F32" s="297"/>
      <c r="G32" s="297"/>
      <c r="H32" s="297"/>
      <c r="I32" s="297"/>
      <c r="J32" s="297"/>
      <c r="K32" s="297"/>
      <c r="L32" s="298"/>
    </row>
    <row r="33" spans="1:12" ht="13.5" thickBot="1">
      <c r="A33" s="237" t="s">
        <v>118</v>
      </c>
      <c r="B33" s="299">
        <f>+B30+B31</f>
        <v>-29232</v>
      </c>
      <c r="C33" s="300">
        <f aca="true" t="shared" si="5" ref="C33:L33">+C23+C26+C27</f>
        <v>19106.291648441817</v>
      </c>
      <c r="D33" s="300">
        <f t="shared" si="5"/>
        <v>19106.291648441817</v>
      </c>
      <c r="E33" s="300">
        <f t="shared" si="5"/>
        <v>19106.291648441817</v>
      </c>
      <c r="F33" s="300">
        <f t="shared" si="5"/>
        <v>19106.291648441817</v>
      </c>
      <c r="G33" s="300">
        <f t="shared" si="5"/>
        <v>19106.291648441817</v>
      </c>
      <c r="H33" s="300">
        <f t="shared" si="5"/>
        <v>36325.2</v>
      </c>
      <c r="I33" s="300">
        <f t="shared" si="5"/>
        <v>36325.2</v>
      </c>
      <c r="J33" s="300">
        <f t="shared" si="5"/>
        <v>36325.2</v>
      </c>
      <c r="K33" s="300">
        <f t="shared" si="5"/>
        <v>36325.2</v>
      </c>
      <c r="L33" s="301">
        <f t="shared" si="5"/>
        <v>78825.2</v>
      </c>
    </row>
    <row r="34" spans="1:11" ht="12.75">
      <c r="A34" s="27" t="s">
        <v>29</v>
      </c>
      <c r="B34" s="146"/>
      <c r="C34" s="22"/>
      <c r="D34" s="22"/>
      <c r="E34" s="22"/>
      <c r="F34" s="22"/>
      <c r="G34" s="22"/>
      <c r="H34" s="22"/>
      <c r="I34" s="22"/>
      <c r="J34" s="22"/>
      <c r="K34" s="22"/>
    </row>
    <row r="35" ht="13.5" thickBot="1"/>
    <row r="36" spans="1:3" ht="12.75">
      <c r="A36" s="12" t="s">
        <v>112</v>
      </c>
      <c r="B36" s="147">
        <f>+'3.2.3 Costos Financieros'!B15</f>
        <v>0.10450000000000001</v>
      </c>
      <c r="C36" s="11"/>
    </row>
    <row r="37" spans="1:6" ht="18">
      <c r="A37" s="2" t="s">
        <v>113</v>
      </c>
      <c r="B37" s="261">
        <f>NPV(B36,C33:L33)+B33</f>
        <v>140920.64841052238</v>
      </c>
      <c r="C37" s="160"/>
      <c r="D37" s="27"/>
      <c r="E37" s="150"/>
      <c r="F37" s="153"/>
    </row>
    <row r="38" spans="1:6" ht="18.75" thickBot="1">
      <c r="A38" s="24" t="s">
        <v>114</v>
      </c>
      <c r="B38" s="260">
        <f>IRR(B33:L33)</f>
        <v>0.6945712375199459</v>
      </c>
      <c r="C38" s="160"/>
      <c r="D38" s="27"/>
      <c r="E38" s="150"/>
      <c r="F38" s="154"/>
    </row>
    <row r="39" spans="1:6" ht="12.75">
      <c r="A39" s="150" t="s">
        <v>126</v>
      </c>
      <c r="B39"/>
      <c r="C39" s="151"/>
      <c r="D39" s="27"/>
      <c r="E39" s="150"/>
      <c r="F39" s="180"/>
    </row>
    <row r="40" spans="4:6" ht="12.75">
      <c r="D40" s="27"/>
      <c r="E40" s="150"/>
      <c r="F40" s="181"/>
    </row>
    <row r="41" spans="4:5" ht="12.75">
      <c r="D41" s="27"/>
      <c r="E41" s="27"/>
    </row>
    <row r="42" spans="4:5" ht="12.75">
      <c r="D42" s="27"/>
      <c r="E42" s="27"/>
    </row>
    <row r="43" ht="12.75">
      <c r="D43" s="27"/>
    </row>
    <row r="44" ht="12.75">
      <c r="D44" s="27"/>
    </row>
    <row r="45" ht="12.75">
      <c r="D45" s="27"/>
    </row>
    <row r="46" ht="12.75">
      <c r="D46" s="27"/>
    </row>
    <row r="47" ht="12.75">
      <c r="D47" s="27"/>
    </row>
    <row r="54" ht="12.75">
      <c r="G54" s="20">
        <v>78825.2</v>
      </c>
    </row>
  </sheetData>
  <mergeCells count="3">
    <mergeCell ref="A3:L3"/>
    <mergeCell ref="A1:L1"/>
    <mergeCell ref="A2:L2"/>
  </mergeCells>
  <printOptions horizontalCentered="1" verticalCentered="1"/>
  <pageMargins left="0.7480314960629921" right="0.7874015748031497" top="0.5118110236220472" bottom="0.5118110236220472" header="0.5905511811023623" footer="0.5118110236220472"/>
  <pageSetup fitToHeight="1" fitToWidth="1" horizontalDpi="300" verticalDpi="300" orientation="landscape" paperSize="9" scale="76" r:id="rId1"/>
  <headerFooter alignWithMargins="0">
    <oddHeader xml:space="preserve">&amp;C </oddHeader>
    <oddFooter xml:space="preserve">&amp;C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U46"/>
  <sheetViews>
    <sheetView zoomScale="75" zoomScaleNormal="75" workbookViewId="0" topLeftCell="A1">
      <selection activeCell="C20" sqref="C20"/>
    </sheetView>
  </sheetViews>
  <sheetFormatPr defaultColWidth="11.421875" defaultRowHeight="12.75"/>
  <cols>
    <col min="1" max="1" width="51.140625" style="20" bestFit="1" customWidth="1"/>
    <col min="2" max="2" width="14.28125" style="20" bestFit="1" customWidth="1"/>
    <col min="3" max="3" width="14.00390625" style="20" bestFit="1" customWidth="1"/>
    <col min="4" max="5" width="12.7109375" style="20" bestFit="1" customWidth="1"/>
    <col min="6" max="7" width="12.28125" style="20" bestFit="1" customWidth="1"/>
    <col min="8" max="8" width="12.7109375" style="20" bestFit="1" customWidth="1"/>
    <col min="9" max="9" width="12.28125" style="20" bestFit="1" customWidth="1"/>
    <col min="10" max="11" width="12.7109375" style="20" bestFit="1" customWidth="1"/>
    <col min="12" max="12" width="13.140625" style="20" bestFit="1" customWidth="1"/>
    <col min="13" max="16384" width="15.140625" style="20" customWidth="1"/>
  </cols>
  <sheetData>
    <row r="1" spans="1:12" ht="18">
      <c r="A1" s="477"/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</row>
    <row r="2" spans="1:12" ht="13.5" thickBot="1">
      <c r="A2" s="478" t="s">
        <v>155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</row>
    <row r="3" spans="1:12" ht="18.75" thickBot="1">
      <c r="A3" s="446" t="s">
        <v>125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8"/>
    </row>
    <row r="4" spans="1:12" s="3" customFormat="1" ht="13.5" thickBot="1">
      <c r="A4" s="172" t="s">
        <v>105</v>
      </c>
      <c r="B4" s="173">
        <v>0</v>
      </c>
      <c r="C4" s="173">
        <v>1</v>
      </c>
      <c r="D4" s="173">
        <v>2</v>
      </c>
      <c r="E4" s="173">
        <v>3</v>
      </c>
      <c r="F4" s="173">
        <v>4</v>
      </c>
      <c r="G4" s="173">
        <v>5</v>
      </c>
      <c r="H4" s="173">
        <v>6</v>
      </c>
      <c r="I4" s="173">
        <v>7</v>
      </c>
      <c r="J4" s="173">
        <v>8</v>
      </c>
      <c r="K4" s="173">
        <v>9</v>
      </c>
      <c r="L4" s="174">
        <v>10</v>
      </c>
    </row>
    <row r="5" spans="1:12" s="228" customFormat="1" ht="12.75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7"/>
    </row>
    <row r="6" spans="1:12" s="228" customFormat="1" ht="12.75">
      <c r="A6" s="229" t="s">
        <v>117</v>
      </c>
      <c r="B6" s="334"/>
      <c r="C6" s="335">
        <f>+'3.3.2 Flujo de caja con fin'!C6</f>
        <v>68430.16666666667</v>
      </c>
      <c r="D6" s="335">
        <f>+'3.3.2 Flujo de caja con fin'!D6</f>
        <v>68430.16666666667</v>
      </c>
      <c r="E6" s="335">
        <f>+'3.3.2 Flujo de caja con fin'!E6</f>
        <v>68430.16666666667</v>
      </c>
      <c r="F6" s="335">
        <f>+'3.3.2 Flujo de caja con fin'!F6</f>
        <v>68430.16666666667</v>
      </c>
      <c r="G6" s="335">
        <f>+'3.3.2 Flujo de caja con fin'!G6</f>
        <v>68430.16666666667</v>
      </c>
      <c r="H6" s="335">
        <f>+'3.3.2 Flujo de caja con fin'!H6</f>
        <v>68430.16666666667</v>
      </c>
      <c r="I6" s="335">
        <f>+'3.3.2 Flujo de caja con fin'!I6</f>
        <v>68430.16666666667</v>
      </c>
      <c r="J6" s="335">
        <f>+'3.3.2 Flujo de caja con fin'!J6</f>
        <v>68430.16666666667</v>
      </c>
      <c r="K6" s="335">
        <f>+'3.3.2 Flujo de caja con fin'!K6</f>
        <v>68430.16666666667</v>
      </c>
      <c r="L6" s="335">
        <f>+'3.3.2 Flujo de caja con fin'!L6</f>
        <v>68430.16666666667</v>
      </c>
    </row>
    <row r="7" spans="1:12" s="230" customFormat="1" ht="12.75">
      <c r="A7" s="229" t="s">
        <v>116</v>
      </c>
      <c r="B7" s="334"/>
      <c r="C7" s="335">
        <f>+'3.3.2 Flujo de caja con fin'!C7</f>
        <v>20430.166666666668</v>
      </c>
      <c r="D7" s="335">
        <f>+'3.3.2 Flujo de caja con fin'!D7</f>
        <v>20430.166666666668</v>
      </c>
      <c r="E7" s="335">
        <f>+'3.3.2 Flujo de caja con fin'!E7</f>
        <v>20430.166666666668</v>
      </c>
      <c r="F7" s="335">
        <f>+'3.3.2 Flujo de caja con fin'!F7</f>
        <v>20430.166666666668</v>
      </c>
      <c r="G7" s="335">
        <f>+'3.3.2 Flujo de caja con fin'!G7</f>
        <v>20430.166666666668</v>
      </c>
      <c r="H7" s="335">
        <f>+'3.3.2 Flujo de caja con fin'!H7</f>
        <v>20430.166666666668</v>
      </c>
      <c r="I7" s="335">
        <f>+'3.3.2 Flujo de caja con fin'!I7</f>
        <v>20430.166666666668</v>
      </c>
      <c r="J7" s="335">
        <f>+'3.3.2 Flujo de caja con fin'!J7</f>
        <v>20430.166666666668</v>
      </c>
      <c r="K7" s="335">
        <f>+'3.3.2 Flujo de caja con fin'!K7</f>
        <v>20430.166666666668</v>
      </c>
      <c r="L7" s="335">
        <f>+'3.3.2 Flujo de caja con fin'!L7</f>
        <v>20430.166666666668</v>
      </c>
    </row>
    <row r="8" spans="1:12" s="228" customFormat="1" ht="12.75">
      <c r="A8" s="231" t="s">
        <v>119</v>
      </c>
      <c r="B8" s="337"/>
      <c r="C8" s="338">
        <f aca="true" t="shared" si="0" ref="C8:L8">C6-C7</f>
        <v>48000</v>
      </c>
      <c r="D8" s="338">
        <f t="shared" si="0"/>
        <v>48000</v>
      </c>
      <c r="E8" s="338">
        <f t="shared" si="0"/>
        <v>48000</v>
      </c>
      <c r="F8" s="338">
        <f t="shared" si="0"/>
        <v>48000</v>
      </c>
      <c r="G8" s="338">
        <f t="shared" si="0"/>
        <v>48000</v>
      </c>
      <c r="H8" s="338">
        <f t="shared" si="0"/>
        <v>48000</v>
      </c>
      <c r="I8" s="338">
        <f t="shared" si="0"/>
        <v>48000</v>
      </c>
      <c r="J8" s="338">
        <f t="shared" si="0"/>
        <v>48000</v>
      </c>
      <c r="K8" s="338">
        <f t="shared" si="0"/>
        <v>48000</v>
      </c>
      <c r="L8" s="339">
        <f t="shared" si="0"/>
        <v>48000</v>
      </c>
    </row>
    <row r="9" spans="1:12" s="228" customFormat="1" ht="12.75">
      <c r="A9" s="231"/>
      <c r="B9" s="337"/>
      <c r="C9" s="338"/>
      <c r="D9" s="338"/>
      <c r="E9" s="338"/>
      <c r="F9" s="338"/>
      <c r="G9" s="338"/>
      <c r="H9" s="338"/>
      <c r="I9" s="338"/>
      <c r="J9" s="338"/>
      <c r="K9" s="338"/>
      <c r="L9" s="339"/>
    </row>
    <row r="10" spans="1:12" s="228" customFormat="1" ht="12.75">
      <c r="A10" s="231"/>
      <c r="B10" s="337"/>
      <c r="C10" s="338"/>
      <c r="D10" s="338"/>
      <c r="E10" s="338"/>
      <c r="F10" s="338"/>
      <c r="G10" s="338"/>
      <c r="H10" s="338"/>
      <c r="I10" s="338"/>
      <c r="J10" s="338"/>
      <c r="K10" s="338"/>
      <c r="L10" s="339"/>
    </row>
    <row r="11" spans="1:12" s="228" customFormat="1" ht="12.75">
      <c r="A11" s="231" t="s">
        <v>128</v>
      </c>
      <c r="B11" s="337"/>
      <c r="C11" s="338"/>
      <c r="D11" s="338"/>
      <c r="E11" s="338"/>
      <c r="F11" s="338"/>
      <c r="G11" s="338"/>
      <c r="H11" s="338"/>
      <c r="I11" s="338"/>
      <c r="J11" s="338"/>
      <c r="K11" s="338"/>
      <c r="L11" s="339"/>
    </row>
    <row r="12" spans="1:12" s="228" customFormat="1" ht="12.75">
      <c r="A12" s="229" t="s">
        <v>120</v>
      </c>
      <c r="B12" s="334"/>
      <c r="C12" s="335"/>
      <c r="D12" s="335"/>
      <c r="E12" s="335"/>
      <c r="F12" s="335"/>
      <c r="G12" s="335"/>
      <c r="H12" s="335"/>
      <c r="I12" s="335"/>
      <c r="J12" s="335"/>
      <c r="K12" s="335"/>
      <c r="L12" s="336"/>
    </row>
    <row r="13" spans="1:12" s="228" customFormat="1" ht="12.75">
      <c r="A13" s="232" t="s">
        <v>92</v>
      </c>
      <c r="B13" s="334"/>
      <c r="C13" s="335">
        <f>+'3.3.2 Flujo de caja con fin'!C13</f>
        <v>9876</v>
      </c>
      <c r="D13" s="335">
        <f>+'3.3.2 Flujo de caja con fin'!D13</f>
        <v>9876</v>
      </c>
      <c r="E13" s="335">
        <f>+'3.3.2 Flujo de caja con fin'!E13</f>
        <v>9876</v>
      </c>
      <c r="F13" s="335">
        <f>+'3.3.2 Flujo de caja con fin'!F13</f>
        <v>9876</v>
      </c>
      <c r="G13" s="335">
        <f>+'3.3.2 Flujo de caja con fin'!G13</f>
        <v>9876</v>
      </c>
      <c r="H13" s="335">
        <f>+'3.3.2 Flujo de caja con fin'!H13</f>
        <v>9876</v>
      </c>
      <c r="I13" s="335">
        <f>+'3.3.2 Flujo de caja con fin'!I13</f>
        <v>9876</v>
      </c>
      <c r="J13" s="335">
        <f>+'3.3.2 Flujo de caja con fin'!J13</f>
        <v>9876</v>
      </c>
      <c r="K13" s="335">
        <f>+'3.3.2 Flujo de caja con fin'!K13</f>
        <v>9876</v>
      </c>
      <c r="L13" s="335">
        <f>+'3.3.2 Flujo de caja con fin'!L13</f>
        <v>9876</v>
      </c>
    </row>
    <row r="14" spans="1:12" s="228" customFormat="1" ht="12.75">
      <c r="A14" s="229" t="s">
        <v>121</v>
      </c>
      <c r="B14" s="334"/>
      <c r="C14" s="335"/>
      <c r="D14" s="335"/>
      <c r="E14" s="335"/>
      <c r="F14" s="335"/>
      <c r="G14" s="335"/>
      <c r="H14" s="335"/>
      <c r="I14" s="335"/>
      <c r="J14" s="335"/>
      <c r="K14" s="335"/>
      <c r="L14" s="335"/>
    </row>
    <row r="15" spans="1:12" s="228" customFormat="1" ht="12.75">
      <c r="A15" s="232" t="s">
        <v>90</v>
      </c>
      <c r="B15" s="334"/>
      <c r="C15" s="335">
        <f>+'3.3.2 Flujo de caja con fin'!C15</f>
        <v>1350</v>
      </c>
      <c r="D15" s="335">
        <f>+'3.3.2 Flujo de caja con fin'!D15</f>
        <v>1350</v>
      </c>
      <c r="E15" s="335">
        <f>+'3.3.2 Flujo de caja con fin'!E15</f>
        <v>1350</v>
      </c>
      <c r="F15" s="335">
        <f>+'3.3.2 Flujo de caja con fin'!F15</f>
        <v>1350</v>
      </c>
      <c r="G15" s="335">
        <f>+'3.3.2 Flujo de caja con fin'!G15</f>
        <v>1350</v>
      </c>
      <c r="H15" s="335">
        <f>+'3.3.2 Flujo de caja con fin'!H15</f>
        <v>1350</v>
      </c>
      <c r="I15" s="335">
        <f>+'3.3.2 Flujo de caja con fin'!I15</f>
        <v>1350</v>
      </c>
      <c r="J15" s="335">
        <f>+'3.3.2 Flujo de caja con fin'!J15</f>
        <v>1350</v>
      </c>
      <c r="K15" s="335">
        <f>+'3.3.2 Flujo de caja con fin'!K15</f>
        <v>1350</v>
      </c>
      <c r="L15" s="335">
        <f>+'3.3.2 Flujo de caja con fin'!L15</f>
        <v>1350</v>
      </c>
    </row>
    <row r="16" spans="1:12" s="228" customFormat="1" ht="12.75">
      <c r="A16" s="229" t="s">
        <v>122</v>
      </c>
      <c r="B16" s="334"/>
      <c r="C16" s="335"/>
      <c r="D16" s="335"/>
      <c r="E16" s="335"/>
      <c r="F16" s="335"/>
      <c r="G16" s="335"/>
      <c r="H16" s="335"/>
      <c r="I16" s="335"/>
      <c r="J16" s="335"/>
      <c r="K16" s="335"/>
      <c r="L16" s="335"/>
    </row>
    <row r="17" spans="1:174" s="228" customFormat="1" ht="12.75">
      <c r="A17" s="232" t="s">
        <v>93</v>
      </c>
      <c r="B17" s="334"/>
      <c r="C17" s="335">
        <f>+'3.3.2 Flujo de caja con fin'!C17</f>
        <v>249.60000000000002</v>
      </c>
      <c r="D17" s="335">
        <f>+'3.3.2 Flujo de caja con fin'!D17</f>
        <v>249.60000000000002</v>
      </c>
      <c r="E17" s="335">
        <f>+'3.3.2 Flujo de caja con fin'!E17</f>
        <v>249.60000000000002</v>
      </c>
      <c r="F17" s="335">
        <f>+'3.3.2 Flujo de caja con fin'!F17</f>
        <v>249.60000000000002</v>
      </c>
      <c r="G17" s="335">
        <f>+'3.3.2 Flujo de caja con fin'!G17</f>
        <v>249.60000000000002</v>
      </c>
      <c r="H17" s="335">
        <f>+'3.3.2 Flujo de caja con fin'!H17</f>
        <v>249.60000000000002</v>
      </c>
      <c r="I17" s="335">
        <f>+'3.3.2 Flujo de caja con fin'!I17</f>
        <v>249.60000000000002</v>
      </c>
      <c r="J17" s="335">
        <f>+'3.3.2 Flujo de caja con fin'!J17</f>
        <v>249.60000000000002</v>
      </c>
      <c r="K17" s="335">
        <f>+'3.3.2 Flujo de caja con fin'!K17</f>
        <v>249.60000000000002</v>
      </c>
      <c r="L17" s="335">
        <f>+'3.3.2 Flujo de caja con fin'!L17</f>
        <v>249.60000000000002</v>
      </c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3"/>
      <c r="BZ17" s="233"/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3"/>
      <c r="CS17" s="233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3"/>
      <c r="DG17" s="233"/>
      <c r="DH17" s="233"/>
      <c r="DI17" s="233"/>
      <c r="DJ17" s="233"/>
      <c r="DK17" s="233"/>
      <c r="DL17" s="233"/>
      <c r="DM17" s="233"/>
      <c r="DN17" s="233"/>
      <c r="DO17" s="233"/>
      <c r="DP17" s="233"/>
      <c r="DQ17" s="233"/>
      <c r="DR17" s="233"/>
      <c r="DS17" s="233"/>
      <c r="DT17" s="233"/>
      <c r="DU17" s="233"/>
      <c r="DV17" s="233"/>
      <c r="DW17" s="233"/>
      <c r="DX17" s="233"/>
      <c r="DY17" s="233"/>
      <c r="DZ17" s="233"/>
      <c r="EA17" s="233"/>
      <c r="EB17" s="233"/>
      <c r="EC17" s="233"/>
      <c r="ED17" s="233"/>
      <c r="EE17" s="233"/>
      <c r="EF17" s="233"/>
      <c r="EG17" s="233"/>
      <c r="EH17" s="233"/>
      <c r="EI17" s="233"/>
      <c r="EJ17" s="233"/>
      <c r="EK17" s="233"/>
      <c r="EL17" s="233"/>
      <c r="EM17" s="233"/>
      <c r="EN17" s="233"/>
      <c r="EO17" s="233"/>
      <c r="EP17" s="233"/>
      <c r="EQ17" s="233"/>
      <c r="ER17" s="233"/>
      <c r="ES17" s="233"/>
      <c r="ET17" s="233"/>
      <c r="EU17" s="233"/>
      <c r="EV17" s="233"/>
      <c r="EW17" s="233"/>
      <c r="EX17" s="233"/>
      <c r="EY17" s="233"/>
      <c r="EZ17" s="233"/>
      <c r="FA17" s="233"/>
      <c r="FB17" s="233"/>
      <c r="FC17" s="233"/>
      <c r="FD17" s="233"/>
      <c r="FE17" s="233"/>
      <c r="FF17" s="233"/>
      <c r="FG17" s="233"/>
      <c r="FH17" s="233"/>
      <c r="FI17" s="233"/>
      <c r="FJ17" s="233"/>
      <c r="FK17" s="233"/>
      <c r="FL17" s="233"/>
      <c r="FM17" s="233"/>
      <c r="FN17" s="233"/>
      <c r="FO17" s="233"/>
      <c r="FP17" s="233"/>
      <c r="FQ17" s="233"/>
      <c r="FR17" s="233"/>
    </row>
    <row r="18" spans="1:174" s="228" customFormat="1" ht="12.75">
      <c r="A18" s="232" t="s">
        <v>94</v>
      </c>
      <c r="B18" s="334"/>
      <c r="C18" s="335">
        <f>+'3.3.2 Flujo de caja con fin'!C18</f>
        <v>99.60000000000001</v>
      </c>
      <c r="D18" s="335">
        <f>+'3.3.2 Flujo de caja con fin'!D18</f>
        <v>99.60000000000001</v>
      </c>
      <c r="E18" s="335">
        <f>+'3.3.2 Flujo de caja con fin'!E18</f>
        <v>99.60000000000001</v>
      </c>
      <c r="F18" s="335">
        <f>+'3.3.2 Flujo de caja con fin'!F18</f>
        <v>99.60000000000001</v>
      </c>
      <c r="G18" s="335">
        <f>+'3.3.2 Flujo de caja con fin'!G18</f>
        <v>99.60000000000001</v>
      </c>
      <c r="H18" s="335">
        <f>+'3.3.2 Flujo de caja con fin'!H18</f>
        <v>99.60000000000001</v>
      </c>
      <c r="I18" s="335">
        <f>+'3.3.2 Flujo de caja con fin'!I18</f>
        <v>99.60000000000001</v>
      </c>
      <c r="J18" s="335">
        <f>+'3.3.2 Flujo de caja con fin'!J18</f>
        <v>99.60000000000001</v>
      </c>
      <c r="K18" s="335">
        <f>+'3.3.2 Flujo de caja con fin'!K18</f>
        <v>99.60000000000001</v>
      </c>
      <c r="L18" s="335">
        <f>+'3.3.2 Flujo de caja con fin'!L18</f>
        <v>99.60000000000001</v>
      </c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  <c r="AQ18" s="233"/>
      <c r="AR18" s="233"/>
      <c r="AS18" s="233"/>
      <c r="AT18" s="233"/>
      <c r="AU18" s="233"/>
      <c r="AV18" s="233"/>
      <c r="AW18" s="233"/>
      <c r="AX18" s="233"/>
      <c r="AY18" s="233"/>
      <c r="AZ18" s="233"/>
      <c r="BA18" s="233"/>
      <c r="BB18" s="233"/>
      <c r="BC18" s="233"/>
      <c r="BD18" s="233"/>
      <c r="BE18" s="233"/>
      <c r="BF18" s="233"/>
      <c r="BG18" s="233"/>
      <c r="BH18" s="233"/>
      <c r="BI18" s="233"/>
      <c r="BJ18" s="233"/>
      <c r="BK18" s="233"/>
      <c r="BL18" s="233"/>
      <c r="BM18" s="233"/>
      <c r="BN18" s="233"/>
      <c r="BO18" s="233"/>
      <c r="BP18" s="233"/>
      <c r="BQ18" s="233"/>
      <c r="BR18" s="233"/>
      <c r="BS18" s="233"/>
      <c r="BT18" s="233"/>
      <c r="BU18" s="233"/>
      <c r="BV18" s="233"/>
      <c r="BW18" s="233"/>
      <c r="BX18" s="233"/>
      <c r="BY18" s="233"/>
      <c r="BZ18" s="233"/>
      <c r="CA18" s="233"/>
      <c r="CB18" s="233"/>
      <c r="CC18" s="233"/>
      <c r="CD18" s="233"/>
      <c r="CE18" s="233"/>
      <c r="CF18" s="233"/>
      <c r="CG18" s="233"/>
      <c r="CH18" s="233"/>
      <c r="CI18" s="233"/>
      <c r="CJ18" s="233"/>
      <c r="CK18" s="233"/>
      <c r="CL18" s="233"/>
      <c r="CM18" s="233"/>
      <c r="CN18" s="233"/>
      <c r="CO18" s="233"/>
      <c r="CP18" s="233"/>
      <c r="CQ18" s="233"/>
      <c r="CR18" s="233"/>
      <c r="CS18" s="233"/>
      <c r="CT18" s="233"/>
      <c r="CU18" s="233"/>
      <c r="CV18" s="233"/>
      <c r="CW18" s="233"/>
      <c r="CX18" s="233"/>
      <c r="CY18" s="233"/>
      <c r="CZ18" s="233"/>
      <c r="DA18" s="233"/>
      <c r="DB18" s="233"/>
      <c r="DC18" s="233"/>
      <c r="DD18" s="233"/>
      <c r="DE18" s="233"/>
      <c r="DF18" s="233"/>
      <c r="DG18" s="233"/>
      <c r="DH18" s="233"/>
      <c r="DI18" s="233"/>
      <c r="DJ18" s="233"/>
      <c r="DK18" s="233"/>
      <c r="DL18" s="233"/>
      <c r="DM18" s="233"/>
      <c r="DN18" s="233"/>
      <c r="DO18" s="233"/>
      <c r="DP18" s="233"/>
      <c r="DQ18" s="233"/>
      <c r="DR18" s="233"/>
      <c r="DS18" s="233"/>
      <c r="DT18" s="233"/>
      <c r="DU18" s="233"/>
      <c r="DV18" s="233"/>
      <c r="DW18" s="233"/>
      <c r="DX18" s="233"/>
      <c r="DY18" s="233"/>
      <c r="DZ18" s="233"/>
      <c r="EA18" s="233"/>
      <c r="EB18" s="233"/>
      <c r="EC18" s="233"/>
      <c r="ED18" s="233"/>
      <c r="EE18" s="233"/>
      <c r="EF18" s="233"/>
      <c r="EG18" s="233"/>
      <c r="EH18" s="233"/>
      <c r="EI18" s="233"/>
      <c r="EJ18" s="233"/>
      <c r="EK18" s="233"/>
      <c r="EL18" s="233"/>
      <c r="EM18" s="233"/>
      <c r="EN18" s="233"/>
      <c r="EO18" s="233"/>
      <c r="EP18" s="233"/>
      <c r="EQ18" s="233"/>
      <c r="ER18" s="233"/>
      <c r="ES18" s="233"/>
      <c r="ET18" s="233"/>
      <c r="EU18" s="233"/>
      <c r="EV18" s="233"/>
      <c r="EW18" s="233"/>
      <c r="EX18" s="233"/>
      <c r="EY18" s="233"/>
      <c r="EZ18" s="233"/>
      <c r="FA18" s="233"/>
      <c r="FB18" s="233"/>
      <c r="FC18" s="233"/>
      <c r="FD18" s="233"/>
      <c r="FE18" s="233"/>
      <c r="FF18" s="233"/>
      <c r="FG18" s="233"/>
      <c r="FH18" s="233"/>
      <c r="FI18" s="233"/>
      <c r="FJ18" s="233"/>
      <c r="FK18" s="233"/>
      <c r="FL18" s="233"/>
      <c r="FM18" s="233"/>
      <c r="FN18" s="233"/>
      <c r="FO18" s="233"/>
      <c r="FP18" s="233"/>
      <c r="FQ18" s="233"/>
      <c r="FR18" s="233"/>
    </row>
    <row r="19" spans="1:174" s="228" customFormat="1" ht="12.75">
      <c r="A19" s="232" t="s">
        <v>75</v>
      </c>
      <c r="B19" s="334"/>
      <c r="C19" s="335">
        <f>+'3.3.2 Flujo de caja con fin'!C19</f>
        <v>99.60000000000001</v>
      </c>
      <c r="D19" s="335">
        <f>+'3.3.2 Flujo de caja con fin'!D19</f>
        <v>99.60000000000001</v>
      </c>
      <c r="E19" s="335">
        <f>+'3.3.2 Flujo de caja con fin'!E19</f>
        <v>99.60000000000001</v>
      </c>
      <c r="F19" s="335">
        <f>+'3.3.2 Flujo de caja con fin'!F19</f>
        <v>99.60000000000001</v>
      </c>
      <c r="G19" s="335">
        <f>+'3.3.2 Flujo de caja con fin'!G19</f>
        <v>99.60000000000001</v>
      </c>
      <c r="H19" s="335">
        <f>+'3.3.2 Flujo de caja con fin'!H19</f>
        <v>99.60000000000001</v>
      </c>
      <c r="I19" s="335">
        <f>+'3.3.2 Flujo de caja con fin'!I19</f>
        <v>99.60000000000001</v>
      </c>
      <c r="J19" s="335">
        <f>+'3.3.2 Flujo de caja con fin'!J19</f>
        <v>99.60000000000001</v>
      </c>
      <c r="K19" s="335">
        <f>+'3.3.2 Flujo de caja con fin'!K19</f>
        <v>99.60000000000001</v>
      </c>
      <c r="L19" s="335">
        <f>+'3.3.2 Flujo de caja con fin'!L19</f>
        <v>99.60000000000001</v>
      </c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3"/>
      <c r="AO19" s="233"/>
      <c r="AP19" s="233"/>
      <c r="AQ19" s="233"/>
      <c r="AR19" s="233"/>
      <c r="AS19" s="233"/>
      <c r="AT19" s="233"/>
      <c r="AU19" s="233"/>
      <c r="AV19" s="233"/>
      <c r="AW19" s="233"/>
      <c r="AX19" s="233"/>
      <c r="AY19" s="233"/>
      <c r="AZ19" s="233"/>
      <c r="BA19" s="233"/>
      <c r="BB19" s="233"/>
      <c r="BC19" s="233"/>
      <c r="BD19" s="233"/>
      <c r="BE19" s="233"/>
      <c r="BF19" s="233"/>
      <c r="BG19" s="233"/>
      <c r="BH19" s="233"/>
      <c r="BI19" s="233"/>
      <c r="BJ19" s="233"/>
      <c r="BK19" s="233"/>
      <c r="BL19" s="233"/>
      <c r="BM19" s="233"/>
      <c r="BN19" s="233"/>
      <c r="BO19" s="233"/>
      <c r="BP19" s="233"/>
      <c r="BQ19" s="233"/>
      <c r="BR19" s="233"/>
      <c r="BS19" s="233"/>
      <c r="BT19" s="233"/>
      <c r="BU19" s="233"/>
      <c r="BV19" s="233"/>
      <c r="BW19" s="233"/>
      <c r="BX19" s="233"/>
      <c r="BY19" s="233"/>
      <c r="BZ19" s="233"/>
      <c r="CA19" s="233"/>
      <c r="CB19" s="233"/>
      <c r="CC19" s="233"/>
      <c r="CD19" s="233"/>
      <c r="CE19" s="233"/>
      <c r="CF19" s="233"/>
      <c r="CG19" s="233"/>
      <c r="CH19" s="233"/>
      <c r="CI19" s="233"/>
      <c r="CJ19" s="233"/>
      <c r="CK19" s="233"/>
      <c r="CL19" s="233"/>
      <c r="CM19" s="233"/>
      <c r="CN19" s="233"/>
      <c r="CO19" s="233"/>
      <c r="CP19" s="233"/>
      <c r="CQ19" s="233"/>
      <c r="CR19" s="233"/>
      <c r="CS19" s="233"/>
      <c r="CT19" s="233"/>
      <c r="CU19" s="233"/>
      <c r="CV19" s="233"/>
      <c r="CW19" s="233"/>
      <c r="CX19" s="233"/>
      <c r="CY19" s="233"/>
      <c r="CZ19" s="233"/>
      <c r="DA19" s="233"/>
      <c r="DB19" s="233"/>
      <c r="DC19" s="233"/>
      <c r="DD19" s="233"/>
      <c r="DE19" s="233"/>
      <c r="DF19" s="233"/>
      <c r="DG19" s="233"/>
      <c r="DH19" s="233"/>
      <c r="DI19" s="233"/>
      <c r="DJ19" s="233"/>
      <c r="DK19" s="233"/>
      <c r="DL19" s="233"/>
      <c r="DM19" s="233"/>
      <c r="DN19" s="233"/>
      <c r="DO19" s="233"/>
      <c r="DP19" s="233"/>
      <c r="DQ19" s="233"/>
      <c r="DR19" s="233"/>
      <c r="DS19" s="233"/>
      <c r="DT19" s="233"/>
      <c r="DU19" s="233"/>
      <c r="DV19" s="233"/>
      <c r="DW19" s="233"/>
      <c r="DX19" s="233"/>
      <c r="DY19" s="233"/>
      <c r="DZ19" s="233"/>
      <c r="EA19" s="233"/>
      <c r="EB19" s="233"/>
      <c r="EC19" s="233"/>
      <c r="ED19" s="233"/>
      <c r="EE19" s="233"/>
      <c r="EF19" s="233"/>
      <c r="EG19" s="233"/>
      <c r="EH19" s="233"/>
      <c r="EI19" s="233"/>
      <c r="EJ19" s="233"/>
      <c r="EK19" s="233"/>
      <c r="EL19" s="233"/>
      <c r="EM19" s="233"/>
      <c r="EN19" s="233"/>
      <c r="EO19" s="233"/>
      <c r="EP19" s="233"/>
      <c r="EQ19" s="233"/>
      <c r="ER19" s="233"/>
      <c r="ES19" s="233"/>
      <c r="ET19" s="233"/>
      <c r="EU19" s="233"/>
      <c r="EV19" s="233"/>
      <c r="EW19" s="233"/>
      <c r="EX19" s="233"/>
      <c r="EY19" s="233"/>
      <c r="EZ19" s="233"/>
      <c r="FA19" s="233"/>
      <c r="FB19" s="233"/>
      <c r="FC19" s="233"/>
      <c r="FD19" s="233"/>
      <c r="FE19" s="233"/>
      <c r="FF19" s="233"/>
      <c r="FG19" s="233"/>
      <c r="FH19" s="233"/>
      <c r="FI19" s="233"/>
      <c r="FJ19" s="233"/>
      <c r="FK19" s="233"/>
      <c r="FL19" s="233"/>
      <c r="FM19" s="233"/>
      <c r="FN19" s="233"/>
      <c r="FO19" s="233"/>
      <c r="FP19" s="233"/>
      <c r="FQ19" s="233"/>
      <c r="FR19" s="233"/>
    </row>
    <row r="20" spans="1:255" s="228" customFormat="1" ht="12.75">
      <c r="A20" s="229" t="s">
        <v>127</v>
      </c>
      <c r="B20" s="340"/>
      <c r="C20" s="335">
        <f>+'3.3.2 Flujo de caja con fin'!C21</f>
        <v>7472</v>
      </c>
      <c r="D20" s="335">
        <f>+'3.3.2 Flujo de caja con fin'!D21</f>
        <v>7472</v>
      </c>
      <c r="E20" s="335">
        <f>+'3.3.2 Flujo de caja con fin'!E21</f>
        <v>7472</v>
      </c>
      <c r="F20" s="335">
        <f>+'3.3.2 Flujo de caja con fin'!F21</f>
        <v>7472</v>
      </c>
      <c r="G20" s="335">
        <f>+'3.3.2 Flujo de caja con fin'!G21</f>
        <v>7472</v>
      </c>
      <c r="H20" s="335">
        <f>+'3.3.2 Flujo de caja con fin'!H21</f>
        <v>7472</v>
      </c>
      <c r="I20" s="335">
        <f>+'3.3.2 Flujo de caja con fin'!I21</f>
        <v>7472</v>
      </c>
      <c r="J20" s="335">
        <f>+'3.3.2 Flujo de caja con fin'!J21</f>
        <v>7472</v>
      </c>
      <c r="K20" s="335">
        <f>+'3.3.2 Flujo de caja con fin'!K21</f>
        <v>7472</v>
      </c>
      <c r="L20" s="335">
        <f>+'3.3.2 Flujo de caja con fin'!L21</f>
        <v>7472</v>
      </c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4"/>
      <c r="CC20" s="234"/>
      <c r="CD20" s="234"/>
      <c r="CE20" s="234"/>
      <c r="CF20" s="234"/>
      <c r="CG20" s="234"/>
      <c r="CH20" s="234"/>
      <c r="CI20" s="234"/>
      <c r="CJ20" s="234"/>
      <c r="CK20" s="234"/>
      <c r="CL20" s="234"/>
      <c r="CM20" s="234"/>
      <c r="CN20" s="234"/>
      <c r="CO20" s="234"/>
      <c r="CP20" s="234"/>
      <c r="CQ20" s="234"/>
      <c r="CR20" s="234"/>
      <c r="CS20" s="234"/>
      <c r="CT20" s="234"/>
      <c r="CU20" s="234"/>
      <c r="CV20" s="234"/>
      <c r="CW20" s="234"/>
      <c r="CX20" s="234"/>
      <c r="CY20" s="234"/>
      <c r="CZ20" s="234"/>
      <c r="DA20" s="234"/>
      <c r="DB20" s="234"/>
      <c r="DC20" s="234"/>
      <c r="DD20" s="234"/>
      <c r="DE20" s="234"/>
      <c r="DF20" s="234"/>
      <c r="DG20" s="234"/>
      <c r="DH20" s="234"/>
      <c r="DI20" s="234"/>
      <c r="DJ20" s="234"/>
      <c r="DK20" s="234"/>
      <c r="DL20" s="234"/>
      <c r="DM20" s="234"/>
      <c r="DN20" s="234"/>
      <c r="DO20" s="234"/>
      <c r="DP20" s="234"/>
      <c r="DQ20" s="234"/>
      <c r="DR20" s="234"/>
      <c r="DS20" s="234"/>
      <c r="DT20" s="234"/>
      <c r="DU20" s="234"/>
      <c r="DV20" s="234"/>
      <c r="DW20" s="234"/>
      <c r="DX20" s="234"/>
      <c r="DY20" s="234"/>
      <c r="DZ20" s="234"/>
      <c r="EA20" s="234"/>
      <c r="EB20" s="234"/>
      <c r="EC20" s="234"/>
      <c r="ED20" s="234"/>
      <c r="EE20" s="234"/>
      <c r="EF20" s="234"/>
      <c r="EG20" s="234"/>
      <c r="EH20" s="234"/>
      <c r="EI20" s="234"/>
      <c r="EJ20" s="234"/>
      <c r="EK20" s="234"/>
      <c r="EL20" s="234"/>
      <c r="EM20" s="234"/>
      <c r="EN20" s="234"/>
      <c r="EO20" s="234"/>
      <c r="EP20" s="234"/>
      <c r="EQ20" s="234"/>
      <c r="ER20" s="234"/>
      <c r="ES20" s="234"/>
      <c r="ET20" s="234"/>
      <c r="EU20" s="234"/>
      <c r="EV20" s="234"/>
      <c r="EW20" s="234"/>
      <c r="EX20" s="234"/>
      <c r="EY20" s="234"/>
      <c r="EZ20" s="234"/>
      <c r="FA20" s="234"/>
      <c r="FB20" s="234"/>
      <c r="FC20" s="234"/>
      <c r="FD20" s="234"/>
      <c r="FE20" s="234"/>
      <c r="FF20" s="234"/>
      <c r="FG20" s="234"/>
      <c r="FH20" s="234"/>
      <c r="FI20" s="234"/>
      <c r="FJ20" s="234"/>
      <c r="FK20" s="234"/>
      <c r="FL20" s="234"/>
      <c r="FM20" s="234"/>
      <c r="FN20" s="234"/>
      <c r="FO20" s="234"/>
      <c r="FP20" s="234"/>
      <c r="FQ20" s="234"/>
      <c r="FR20" s="234"/>
      <c r="FS20" s="234"/>
      <c r="FT20" s="235"/>
      <c r="FU20" s="235"/>
      <c r="FV20" s="235"/>
      <c r="FW20" s="235"/>
      <c r="FX20" s="235"/>
      <c r="FY20" s="235"/>
      <c r="FZ20" s="235"/>
      <c r="GA20" s="235"/>
      <c r="GB20" s="235"/>
      <c r="GC20" s="235"/>
      <c r="GD20" s="235"/>
      <c r="GE20" s="235"/>
      <c r="GF20" s="235"/>
      <c r="GG20" s="235"/>
      <c r="GH20" s="235"/>
      <c r="GI20" s="235"/>
      <c r="GJ20" s="235"/>
      <c r="GK20" s="235"/>
      <c r="GL20" s="235"/>
      <c r="GM20" s="235"/>
      <c r="GN20" s="235"/>
      <c r="GO20" s="235"/>
      <c r="GP20" s="235"/>
      <c r="GQ20" s="235"/>
      <c r="GR20" s="235"/>
      <c r="GS20" s="235"/>
      <c r="GT20" s="235"/>
      <c r="GU20" s="235"/>
      <c r="GV20" s="235"/>
      <c r="GW20" s="235"/>
      <c r="GX20" s="235"/>
      <c r="GY20" s="235"/>
      <c r="GZ20" s="235"/>
      <c r="HA20" s="235"/>
      <c r="HB20" s="235"/>
      <c r="HC20" s="235"/>
      <c r="HD20" s="235"/>
      <c r="HE20" s="235"/>
      <c r="HF20" s="235"/>
      <c r="HG20" s="235"/>
      <c r="HH20" s="235"/>
      <c r="HI20" s="235"/>
      <c r="HJ20" s="235"/>
      <c r="HK20" s="235"/>
      <c r="HL20" s="235"/>
      <c r="HM20" s="235"/>
      <c r="HN20" s="235"/>
      <c r="HO20" s="235"/>
      <c r="HP20" s="235"/>
      <c r="HQ20" s="235"/>
      <c r="HR20" s="235"/>
      <c r="HS20" s="235"/>
      <c r="HT20" s="235"/>
      <c r="HU20" s="235"/>
      <c r="HV20" s="235"/>
      <c r="HW20" s="235"/>
      <c r="HX20" s="235"/>
      <c r="HY20" s="235"/>
      <c r="HZ20" s="235"/>
      <c r="IA20" s="235"/>
      <c r="IB20" s="235"/>
      <c r="IC20" s="235"/>
      <c r="ID20" s="235"/>
      <c r="IE20" s="235"/>
      <c r="IF20" s="235"/>
      <c r="IG20" s="235"/>
      <c r="IH20" s="235"/>
      <c r="II20" s="235"/>
      <c r="IJ20" s="235"/>
      <c r="IK20" s="235"/>
      <c r="IL20" s="235"/>
      <c r="IM20" s="235"/>
      <c r="IN20" s="235"/>
      <c r="IO20" s="235"/>
      <c r="IP20" s="235" t="s">
        <v>108</v>
      </c>
      <c r="IQ20" s="235" t="s">
        <v>108</v>
      </c>
      <c r="IR20" s="235" t="s">
        <v>108</v>
      </c>
      <c r="IS20" s="235" t="s">
        <v>108</v>
      </c>
      <c r="IT20" s="235" t="s">
        <v>108</v>
      </c>
      <c r="IU20" s="235" t="s">
        <v>108</v>
      </c>
    </row>
    <row r="21" spans="1:174" s="228" customFormat="1" ht="12.75">
      <c r="A21" s="231"/>
      <c r="B21" s="334"/>
      <c r="C21" s="335"/>
      <c r="D21" s="335"/>
      <c r="E21" s="335"/>
      <c r="F21" s="335"/>
      <c r="G21" s="335"/>
      <c r="H21" s="335"/>
      <c r="I21" s="335"/>
      <c r="J21" s="335"/>
      <c r="K21" s="335"/>
      <c r="L21" s="335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3"/>
      <c r="BU21" s="233"/>
      <c r="BV21" s="233"/>
      <c r="BW21" s="233"/>
      <c r="BX21" s="233"/>
      <c r="BY21" s="233"/>
      <c r="BZ21" s="233"/>
      <c r="CA21" s="233"/>
      <c r="CB21" s="233"/>
      <c r="CC21" s="233"/>
      <c r="CD21" s="233"/>
      <c r="CE21" s="233"/>
      <c r="CF21" s="233"/>
      <c r="CG21" s="233"/>
      <c r="CH21" s="233"/>
      <c r="CI21" s="233"/>
      <c r="CJ21" s="233"/>
      <c r="CK21" s="233"/>
      <c r="CL21" s="233"/>
      <c r="CM21" s="233"/>
      <c r="CN21" s="233"/>
      <c r="CO21" s="233"/>
      <c r="CP21" s="233"/>
      <c r="CQ21" s="233"/>
      <c r="CR21" s="233"/>
      <c r="CS21" s="233"/>
      <c r="CT21" s="233"/>
      <c r="CU21" s="233"/>
      <c r="CV21" s="233"/>
      <c r="CW21" s="233"/>
      <c r="CX21" s="233"/>
      <c r="CY21" s="233"/>
      <c r="CZ21" s="233"/>
      <c r="DA21" s="233"/>
      <c r="DB21" s="233"/>
      <c r="DC21" s="233"/>
      <c r="DD21" s="233"/>
      <c r="DE21" s="233"/>
      <c r="DF21" s="233"/>
      <c r="DG21" s="233"/>
      <c r="DH21" s="233"/>
      <c r="DI21" s="233"/>
      <c r="DJ21" s="233"/>
      <c r="DK21" s="233"/>
      <c r="DL21" s="233"/>
      <c r="DM21" s="233"/>
      <c r="DN21" s="233"/>
      <c r="DO21" s="233"/>
      <c r="DP21" s="233"/>
      <c r="DQ21" s="233"/>
      <c r="DR21" s="233"/>
      <c r="DS21" s="233"/>
      <c r="DT21" s="233"/>
      <c r="DU21" s="233"/>
      <c r="DV21" s="233"/>
      <c r="DW21" s="233"/>
      <c r="DX21" s="233"/>
      <c r="DY21" s="233"/>
      <c r="DZ21" s="233"/>
      <c r="EA21" s="233"/>
      <c r="EB21" s="233"/>
      <c r="EC21" s="233"/>
      <c r="ED21" s="233"/>
      <c r="EE21" s="233"/>
      <c r="EF21" s="233"/>
      <c r="EG21" s="233"/>
      <c r="EH21" s="233"/>
      <c r="EI21" s="233"/>
      <c r="EJ21" s="233"/>
      <c r="EK21" s="233"/>
      <c r="EL21" s="233"/>
      <c r="EM21" s="233"/>
      <c r="EN21" s="233"/>
      <c r="EO21" s="233"/>
      <c r="EP21" s="233"/>
      <c r="EQ21" s="233"/>
      <c r="ER21" s="233"/>
      <c r="ES21" s="233"/>
      <c r="ET21" s="233"/>
      <c r="EU21" s="233"/>
      <c r="EV21" s="233"/>
      <c r="EW21" s="233"/>
      <c r="EX21" s="233"/>
      <c r="EY21" s="233"/>
      <c r="EZ21" s="233"/>
      <c r="FA21" s="233"/>
      <c r="FB21" s="233"/>
      <c r="FC21" s="233"/>
      <c r="FD21" s="233"/>
      <c r="FE21" s="233"/>
      <c r="FF21" s="233"/>
      <c r="FG21" s="233"/>
      <c r="FH21" s="233"/>
      <c r="FI21" s="233"/>
      <c r="FJ21" s="233"/>
      <c r="FK21" s="233"/>
      <c r="FL21" s="233"/>
      <c r="FM21" s="233"/>
      <c r="FN21" s="233"/>
      <c r="FO21" s="233"/>
      <c r="FP21" s="233"/>
      <c r="FQ21" s="233"/>
      <c r="FR21" s="233"/>
    </row>
    <row r="22" spans="1:174" s="228" customFormat="1" ht="12.75">
      <c r="A22" s="231" t="s">
        <v>107</v>
      </c>
      <c r="B22" s="334"/>
      <c r="C22" s="335">
        <f>+C8-(SUM(C13:C20))</f>
        <v>28853.199999999997</v>
      </c>
      <c r="D22" s="335">
        <f aca="true" t="shared" si="1" ref="D22:L22">+D8-(SUM(D13:D20))</f>
        <v>28853.199999999997</v>
      </c>
      <c r="E22" s="335">
        <f t="shared" si="1"/>
        <v>28853.199999999997</v>
      </c>
      <c r="F22" s="335">
        <f t="shared" si="1"/>
        <v>28853.199999999997</v>
      </c>
      <c r="G22" s="335">
        <f t="shared" si="1"/>
        <v>28853.199999999997</v>
      </c>
      <c r="H22" s="335">
        <f t="shared" si="1"/>
        <v>28853.199999999997</v>
      </c>
      <c r="I22" s="335">
        <f t="shared" si="1"/>
        <v>28853.199999999997</v>
      </c>
      <c r="J22" s="335">
        <f t="shared" si="1"/>
        <v>28853.199999999997</v>
      </c>
      <c r="K22" s="335">
        <f t="shared" si="1"/>
        <v>28853.199999999997</v>
      </c>
      <c r="L22" s="335">
        <f t="shared" si="1"/>
        <v>28853.199999999997</v>
      </c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  <c r="BD22" s="233"/>
      <c r="BE22" s="233"/>
      <c r="BF22" s="233"/>
      <c r="BG22" s="233"/>
      <c r="BH22" s="233"/>
      <c r="BI22" s="233"/>
      <c r="BJ22" s="233"/>
      <c r="BK22" s="233"/>
      <c r="BL22" s="233"/>
      <c r="BM22" s="233"/>
      <c r="BN22" s="233"/>
      <c r="BO22" s="233"/>
      <c r="BP22" s="233"/>
      <c r="BQ22" s="233"/>
      <c r="BR22" s="233"/>
      <c r="BS22" s="233"/>
      <c r="BT22" s="233"/>
      <c r="BU22" s="233"/>
      <c r="BV22" s="233"/>
      <c r="BW22" s="233"/>
      <c r="BX22" s="233"/>
      <c r="BY22" s="233"/>
      <c r="BZ22" s="233"/>
      <c r="CA22" s="233"/>
      <c r="CB22" s="233"/>
      <c r="CC22" s="233"/>
      <c r="CD22" s="233"/>
      <c r="CE22" s="233"/>
      <c r="CF22" s="233"/>
      <c r="CG22" s="233"/>
      <c r="CH22" s="233"/>
      <c r="CI22" s="233"/>
      <c r="CJ22" s="233"/>
      <c r="CK22" s="233"/>
      <c r="CL22" s="233"/>
      <c r="CM22" s="233"/>
      <c r="CN22" s="233"/>
      <c r="CO22" s="233"/>
      <c r="CP22" s="233"/>
      <c r="CQ22" s="233"/>
      <c r="CR22" s="233"/>
      <c r="CS22" s="233"/>
      <c r="CT22" s="233"/>
      <c r="CU22" s="233"/>
      <c r="CV22" s="233"/>
      <c r="CW22" s="233"/>
      <c r="CX22" s="233"/>
      <c r="CY22" s="233"/>
      <c r="CZ22" s="233"/>
      <c r="DA22" s="233"/>
      <c r="DB22" s="233"/>
      <c r="DC22" s="233"/>
      <c r="DD22" s="233"/>
      <c r="DE22" s="233"/>
      <c r="DF22" s="233"/>
      <c r="DG22" s="233"/>
      <c r="DH22" s="233"/>
      <c r="DI22" s="233"/>
      <c r="DJ22" s="233"/>
      <c r="DK22" s="233"/>
      <c r="DL22" s="233"/>
      <c r="DM22" s="233"/>
      <c r="DN22" s="233"/>
      <c r="DO22" s="233"/>
      <c r="DP22" s="233"/>
      <c r="DQ22" s="233"/>
      <c r="DR22" s="233"/>
      <c r="DS22" s="233"/>
      <c r="DT22" s="233"/>
      <c r="DU22" s="233"/>
      <c r="DV22" s="233"/>
      <c r="DW22" s="233"/>
      <c r="DX22" s="233"/>
      <c r="DY22" s="233"/>
      <c r="DZ22" s="233"/>
      <c r="EA22" s="233"/>
      <c r="EB22" s="233"/>
      <c r="EC22" s="233"/>
      <c r="ED22" s="233"/>
      <c r="EE22" s="233"/>
      <c r="EF22" s="233"/>
      <c r="EG22" s="233"/>
      <c r="EH22" s="233"/>
      <c r="EI22" s="233"/>
      <c r="EJ22" s="233"/>
      <c r="EK22" s="233"/>
      <c r="EL22" s="233"/>
      <c r="EM22" s="233"/>
      <c r="EN22" s="233"/>
      <c r="EO22" s="233"/>
      <c r="EP22" s="233"/>
      <c r="EQ22" s="233"/>
      <c r="ER22" s="233"/>
      <c r="ES22" s="233"/>
      <c r="ET22" s="233"/>
      <c r="EU22" s="233"/>
      <c r="EV22" s="233"/>
      <c r="EW22" s="233"/>
      <c r="EX22" s="233"/>
      <c r="EY22" s="233"/>
      <c r="EZ22" s="233"/>
      <c r="FA22" s="233"/>
      <c r="FB22" s="233"/>
      <c r="FC22" s="233"/>
      <c r="FD22" s="233"/>
      <c r="FE22" s="233"/>
      <c r="FF22" s="233"/>
      <c r="FG22" s="233"/>
      <c r="FH22" s="233"/>
      <c r="FI22" s="233"/>
      <c r="FJ22" s="233"/>
      <c r="FK22" s="233"/>
      <c r="FL22" s="233"/>
      <c r="FM22" s="233"/>
      <c r="FN22" s="233"/>
      <c r="FO22" s="233"/>
      <c r="FP22" s="233"/>
      <c r="FQ22" s="233"/>
      <c r="FR22" s="233"/>
    </row>
    <row r="23" spans="1:174" s="228" customFormat="1" ht="12.75">
      <c r="A23" s="231"/>
      <c r="B23" s="334"/>
      <c r="C23" s="335"/>
      <c r="D23" s="335"/>
      <c r="E23" s="335"/>
      <c r="F23" s="335"/>
      <c r="G23" s="335"/>
      <c r="H23" s="335"/>
      <c r="I23" s="335"/>
      <c r="J23" s="335"/>
      <c r="K23" s="335"/>
      <c r="L23" s="335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/>
      <c r="BC23" s="233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233"/>
      <c r="BS23" s="233"/>
      <c r="BT23" s="233"/>
      <c r="BU23" s="233"/>
      <c r="BV23" s="233"/>
      <c r="BW23" s="233"/>
      <c r="BX23" s="233"/>
      <c r="BY23" s="233"/>
      <c r="BZ23" s="233"/>
      <c r="CA23" s="233"/>
      <c r="CB23" s="233"/>
      <c r="CC23" s="233"/>
      <c r="CD23" s="233"/>
      <c r="CE23" s="233"/>
      <c r="CF23" s="233"/>
      <c r="CG23" s="233"/>
      <c r="CH23" s="233"/>
      <c r="CI23" s="233"/>
      <c r="CJ23" s="233"/>
      <c r="CK23" s="233"/>
      <c r="CL23" s="233"/>
      <c r="CM23" s="233"/>
      <c r="CN23" s="233"/>
      <c r="CO23" s="233"/>
      <c r="CP23" s="233"/>
      <c r="CQ23" s="233"/>
      <c r="CR23" s="233"/>
      <c r="CS23" s="233"/>
      <c r="CT23" s="233"/>
      <c r="CU23" s="233"/>
      <c r="CV23" s="233"/>
      <c r="CW23" s="233"/>
      <c r="CX23" s="233"/>
      <c r="CY23" s="233"/>
      <c r="CZ23" s="233"/>
      <c r="DA23" s="233"/>
      <c r="DB23" s="233"/>
      <c r="DC23" s="233"/>
      <c r="DD23" s="233"/>
      <c r="DE23" s="233"/>
      <c r="DF23" s="233"/>
      <c r="DG23" s="233"/>
      <c r="DH23" s="233"/>
      <c r="DI23" s="233"/>
      <c r="DJ23" s="233"/>
      <c r="DK23" s="233"/>
      <c r="DL23" s="233"/>
      <c r="DM23" s="233"/>
      <c r="DN23" s="233"/>
      <c r="DO23" s="233"/>
      <c r="DP23" s="233"/>
      <c r="DQ23" s="233"/>
      <c r="DR23" s="233"/>
      <c r="DS23" s="233"/>
      <c r="DT23" s="233"/>
      <c r="DU23" s="233"/>
      <c r="DV23" s="233"/>
      <c r="DW23" s="233"/>
      <c r="DX23" s="233"/>
      <c r="DY23" s="233"/>
      <c r="DZ23" s="233"/>
      <c r="EA23" s="233"/>
      <c r="EB23" s="233"/>
      <c r="EC23" s="233"/>
      <c r="ED23" s="233"/>
      <c r="EE23" s="233"/>
      <c r="EF23" s="233"/>
      <c r="EG23" s="233"/>
      <c r="EH23" s="233"/>
      <c r="EI23" s="233"/>
      <c r="EJ23" s="233"/>
      <c r="EK23" s="233"/>
      <c r="EL23" s="233"/>
      <c r="EM23" s="233"/>
      <c r="EN23" s="233"/>
      <c r="EO23" s="233"/>
      <c r="EP23" s="233"/>
      <c r="EQ23" s="233"/>
      <c r="ER23" s="233"/>
      <c r="ES23" s="233"/>
      <c r="ET23" s="233"/>
      <c r="EU23" s="233"/>
      <c r="EV23" s="233"/>
      <c r="EW23" s="233"/>
      <c r="EX23" s="233"/>
      <c r="EY23" s="233"/>
      <c r="EZ23" s="233"/>
      <c r="FA23" s="233"/>
      <c r="FB23" s="233"/>
      <c r="FC23" s="233"/>
      <c r="FD23" s="233"/>
      <c r="FE23" s="233"/>
      <c r="FF23" s="233"/>
      <c r="FG23" s="233"/>
      <c r="FH23" s="233"/>
      <c r="FI23" s="233"/>
      <c r="FJ23" s="233"/>
      <c r="FK23" s="233"/>
      <c r="FL23" s="233"/>
      <c r="FM23" s="233"/>
      <c r="FN23" s="233"/>
      <c r="FO23" s="233"/>
      <c r="FP23" s="233"/>
      <c r="FQ23" s="233"/>
      <c r="FR23" s="233"/>
    </row>
    <row r="24" spans="1:174" s="228" customFormat="1" ht="12.75">
      <c r="A24" s="231"/>
      <c r="B24" s="334"/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  <c r="AO24" s="233"/>
      <c r="AP24" s="233"/>
      <c r="AQ24" s="233"/>
      <c r="AR24" s="233"/>
      <c r="AS24" s="233"/>
      <c r="AT24" s="233"/>
      <c r="AU24" s="233"/>
      <c r="AV24" s="233"/>
      <c r="AW24" s="233"/>
      <c r="AX24" s="233"/>
      <c r="AY24" s="233"/>
      <c r="AZ24" s="233"/>
      <c r="BA24" s="233"/>
      <c r="BB24" s="233"/>
      <c r="BC24" s="233"/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3"/>
      <c r="BZ24" s="233"/>
      <c r="CA24" s="233"/>
      <c r="CB24" s="233"/>
      <c r="CC24" s="233"/>
      <c r="CD24" s="233"/>
      <c r="CE24" s="233"/>
      <c r="CF24" s="233"/>
      <c r="CG24" s="233"/>
      <c r="CH24" s="233"/>
      <c r="CI24" s="233"/>
      <c r="CJ24" s="233"/>
      <c r="CK24" s="233"/>
      <c r="CL24" s="233"/>
      <c r="CM24" s="233"/>
      <c r="CN24" s="233"/>
      <c r="CO24" s="233"/>
      <c r="CP24" s="233"/>
      <c r="CQ24" s="233"/>
      <c r="CR24" s="233"/>
      <c r="CS24" s="233"/>
      <c r="CT24" s="233"/>
      <c r="CU24" s="233"/>
      <c r="CV24" s="233"/>
      <c r="CW24" s="233"/>
      <c r="CX24" s="233"/>
      <c r="CY24" s="233"/>
      <c r="CZ24" s="233"/>
      <c r="DA24" s="233"/>
      <c r="DB24" s="233"/>
      <c r="DC24" s="233"/>
      <c r="DD24" s="233"/>
      <c r="DE24" s="233"/>
      <c r="DF24" s="233"/>
      <c r="DG24" s="233"/>
      <c r="DH24" s="233"/>
      <c r="DI24" s="233"/>
      <c r="DJ24" s="233"/>
      <c r="DK24" s="233"/>
      <c r="DL24" s="233"/>
      <c r="DM24" s="233"/>
      <c r="DN24" s="233"/>
      <c r="DO24" s="233"/>
      <c r="DP24" s="233"/>
      <c r="DQ24" s="233"/>
      <c r="DR24" s="233"/>
      <c r="DS24" s="233"/>
      <c r="DT24" s="233"/>
      <c r="DU24" s="233"/>
      <c r="DV24" s="233"/>
      <c r="DW24" s="233"/>
      <c r="DX24" s="233"/>
      <c r="DY24" s="233"/>
      <c r="DZ24" s="233"/>
      <c r="EA24" s="233"/>
      <c r="EB24" s="233"/>
      <c r="EC24" s="233"/>
      <c r="ED24" s="233"/>
      <c r="EE24" s="233"/>
      <c r="EF24" s="233"/>
      <c r="EG24" s="233"/>
      <c r="EH24" s="233"/>
      <c r="EI24" s="233"/>
      <c r="EJ24" s="233"/>
      <c r="EK24" s="233"/>
      <c r="EL24" s="233"/>
      <c r="EM24" s="233"/>
      <c r="EN24" s="233"/>
      <c r="EO24" s="233"/>
      <c r="EP24" s="233"/>
      <c r="EQ24" s="233"/>
      <c r="ER24" s="233"/>
      <c r="ES24" s="233"/>
      <c r="ET24" s="233"/>
      <c r="EU24" s="233"/>
      <c r="EV24" s="233"/>
      <c r="EW24" s="233"/>
      <c r="EX24" s="233"/>
      <c r="EY24" s="233"/>
      <c r="EZ24" s="233"/>
      <c r="FA24" s="233"/>
      <c r="FB24" s="233"/>
      <c r="FC24" s="233"/>
      <c r="FD24" s="233"/>
      <c r="FE24" s="233"/>
      <c r="FF24" s="233"/>
      <c r="FG24" s="233"/>
      <c r="FH24" s="233"/>
      <c r="FI24" s="233"/>
      <c r="FJ24" s="233"/>
      <c r="FK24" s="233"/>
      <c r="FL24" s="233"/>
      <c r="FM24" s="233"/>
      <c r="FN24" s="233"/>
      <c r="FO24" s="233"/>
      <c r="FP24" s="233"/>
      <c r="FQ24" s="233"/>
      <c r="FR24" s="233"/>
    </row>
    <row r="25" spans="1:255" s="228" customFormat="1" ht="12.75">
      <c r="A25" s="229" t="s">
        <v>108</v>
      </c>
      <c r="B25" s="340"/>
      <c r="C25" s="335">
        <f>+'3.3.2 Flujo de caja con fin'!C26</f>
        <v>7472</v>
      </c>
      <c r="D25" s="335">
        <f>+'3.3.2 Flujo de caja con fin'!D26</f>
        <v>7472</v>
      </c>
      <c r="E25" s="335">
        <f>+'3.3.2 Flujo de caja con fin'!E26</f>
        <v>7472</v>
      </c>
      <c r="F25" s="335">
        <f>+'3.3.2 Flujo de caja con fin'!F26</f>
        <v>7472</v>
      </c>
      <c r="G25" s="335">
        <f>+'3.3.2 Flujo de caja con fin'!G26</f>
        <v>7472</v>
      </c>
      <c r="H25" s="335">
        <f>+'3.3.2 Flujo de caja con fin'!H26</f>
        <v>7472</v>
      </c>
      <c r="I25" s="335">
        <f>+'3.3.2 Flujo de caja con fin'!I26</f>
        <v>7472</v>
      </c>
      <c r="J25" s="335">
        <f>+'3.3.2 Flujo de caja con fin'!J26</f>
        <v>7472</v>
      </c>
      <c r="K25" s="335">
        <f>+'3.3.2 Flujo de caja con fin'!K26</f>
        <v>7472</v>
      </c>
      <c r="L25" s="335">
        <f>+'3.3.2 Flujo de caja con fin'!L26</f>
        <v>7472</v>
      </c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234"/>
      <c r="CG25" s="234"/>
      <c r="CH25" s="234"/>
      <c r="CI25" s="234"/>
      <c r="CJ25" s="234"/>
      <c r="CK25" s="234"/>
      <c r="CL25" s="234"/>
      <c r="CM25" s="234"/>
      <c r="CN25" s="234"/>
      <c r="CO25" s="234"/>
      <c r="CP25" s="234"/>
      <c r="CQ25" s="234"/>
      <c r="CR25" s="234"/>
      <c r="CS25" s="234"/>
      <c r="CT25" s="234"/>
      <c r="CU25" s="234"/>
      <c r="CV25" s="234"/>
      <c r="CW25" s="234"/>
      <c r="CX25" s="234"/>
      <c r="CY25" s="234"/>
      <c r="CZ25" s="234"/>
      <c r="DA25" s="234"/>
      <c r="DB25" s="234"/>
      <c r="DC25" s="234"/>
      <c r="DD25" s="234"/>
      <c r="DE25" s="234"/>
      <c r="DF25" s="234"/>
      <c r="DG25" s="234"/>
      <c r="DH25" s="234"/>
      <c r="DI25" s="234"/>
      <c r="DJ25" s="234"/>
      <c r="DK25" s="234"/>
      <c r="DL25" s="234"/>
      <c r="DM25" s="234"/>
      <c r="DN25" s="234"/>
      <c r="DO25" s="234"/>
      <c r="DP25" s="234"/>
      <c r="DQ25" s="234"/>
      <c r="DR25" s="234"/>
      <c r="DS25" s="234"/>
      <c r="DT25" s="234"/>
      <c r="DU25" s="234"/>
      <c r="DV25" s="234"/>
      <c r="DW25" s="234"/>
      <c r="DX25" s="234"/>
      <c r="DY25" s="234"/>
      <c r="DZ25" s="234"/>
      <c r="EA25" s="234"/>
      <c r="EB25" s="234"/>
      <c r="EC25" s="234"/>
      <c r="ED25" s="234"/>
      <c r="EE25" s="234"/>
      <c r="EF25" s="234"/>
      <c r="EG25" s="234"/>
      <c r="EH25" s="234"/>
      <c r="EI25" s="234"/>
      <c r="EJ25" s="234"/>
      <c r="EK25" s="234"/>
      <c r="EL25" s="234"/>
      <c r="EM25" s="234"/>
      <c r="EN25" s="234"/>
      <c r="EO25" s="234"/>
      <c r="EP25" s="234"/>
      <c r="EQ25" s="234"/>
      <c r="ER25" s="234"/>
      <c r="ES25" s="234"/>
      <c r="ET25" s="234"/>
      <c r="EU25" s="234"/>
      <c r="EV25" s="234"/>
      <c r="EW25" s="234"/>
      <c r="EX25" s="234"/>
      <c r="EY25" s="234"/>
      <c r="EZ25" s="234"/>
      <c r="FA25" s="234"/>
      <c r="FB25" s="234"/>
      <c r="FC25" s="234"/>
      <c r="FD25" s="234"/>
      <c r="FE25" s="234"/>
      <c r="FF25" s="234"/>
      <c r="FG25" s="234"/>
      <c r="FH25" s="234"/>
      <c r="FI25" s="234"/>
      <c r="FJ25" s="234"/>
      <c r="FK25" s="234"/>
      <c r="FL25" s="234"/>
      <c r="FM25" s="234"/>
      <c r="FN25" s="234"/>
      <c r="FO25" s="234"/>
      <c r="FP25" s="234"/>
      <c r="FQ25" s="234"/>
      <c r="FR25" s="234"/>
      <c r="FS25" s="234"/>
      <c r="FT25" s="235"/>
      <c r="FU25" s="235"/>
      <c r="FV25" s="235"/>
      <c r="FW25" s="235"/>
      <c r="FX25" s="235"/>
      <c r="FY25" s="235"/>
      <c r="FZ25" s="235"/>
      <c r="GA25" s="235"/>
      <c r="GB25" s="235"/>
      <c r="GC25" s="235"/>
      <c r="GD25" s="235"/>
      <c r="GE25" s="235"/>
      <c r="GF25" s="235"/>
      <c r="GG25" s="235"/>
      <c r="GH25" s="235"/>
      <c r="GI25" s="235"/>
      <c r="GJ25" s="235"/>
      <c r="GK25" s="235"/>
      <c r="GL25" s="235"/>
      <c r="GM25" s="235"/>
      <c r="GN25" s="235"/>
      <c r="GO25" s="235"/>
      <c r="GP25" s="235"/>
      <c r="GQ25" s="235"/>
      <c r="GR25" s="235"/>
      <c r="GS25" s="235"/>
      <c r="GT25" s="235"/>
      <c r="GU25" s="235"/>
      <c r="GV25" s="235"/>
      <c r="GW25" s="235"/>
      <c r="GX25" s="235"/>
      <c r="GY25" s="235"/>
      <c r="GZ25" s="235"/>
      <c r="HA25" s="235"/>
      <c r="HB25" s="235"/>
      <c r="HC25" s="235"/>
      <c r="HD25" s="235"/>
      <c r="HE25" s="235"/>
      <c r="HF25" s="235"/>
      <c r="HG25" s="235"/>
      <c r="HH25" s="235"/>
      <c r="HI25" s="235"/>
      <c r="HJ25" s="235"/>
      <c r="HK25" s="235"/>
      <c r="HL25" s="235"/>
      <c r="HM25" s="235"/>
      <c r="HN25" s="235"/>
      <c r="HO25" s="235"/>
      <c r="HP25" s="235"/>
      <c r="HQ25" s="235"/>
      <c r="HR25" s="235"/>
      <c r="HS25" s="235"/>
      <c r="HT25" s="235"/>
      <c r="HU25" s="235"/>
      <c r="HV25" s="235"/>
      <c r="HW25" s="235"/>
      <c r="HX25" s="235"/>
      <c r="HY25" s="235"/>
      <c r="HZ25" s="235"/>
      <c r="IA25" s="235"/>
      <c r="IB25" s="235"/>
      <c r="IC25" s="235"/>
      <c r="ID25" s="235"/>
      <c r="IE25" s="235"/>
      <c r="IF25" s="235"/>
      <c r="IG25" s="235"/>
      <c r="IH25" s="235"/>
      <c r="II25" s="235"/>
      <c r="IJ25" s="235"/>
      <c r="IK25" s="235"/>
      <c r="IL25" s="235"/>
      <c r="IM25" s="235"/>
      <c r="IN25" s="235"/>
      <c r="IO25" s="235"/>
      <c r="IP25" s="235" t="s">
        <v>108</v>
      </c>
      <c r="IQ25" s="235" t="s">
        <v>108</v>
      </c>
      <c r="IR25" s="235" t="s">
        <v>108</v>
      </c>
      <c r="IS25" s="235" t="s">
        <v>108</v>
      </c>
      <c r="IT25" s="235" t="s">
        <v>108</v>
      </c>
      <c r="IU25" s="235" t="s">
        <v>108</v>
      </c>
    </row>
    <row r="26" spans="1:255" s="228" customFormat="1" ht="12.75">
      <c r="A26" s="229" t="s">
        <v>109</v>
      </c>
      <c r="B26" s="340"/>
      <c r="C26" s="341">
        <f>+'3.3.2 Flujo de caja con fin'!C27</f>
        <v>0</v>
      </c>
      <c r="D26" s="341">
        <f>+'3.3.2 Flujo de caja con fin'!D27</f>
        <v>0</v>
      </c>
      <c r="E26" s="341">
        <f>+'3.3.2 Flujo de caja con fin'!E27</f>
        <v>0</v>
      </c>
      <c r="F26" s="341">
        <f>+'3.3.2 Flujo de caja con fin'!F27</f>
        <v>0</v>
      </c>
      <c r="G26" s="341">
        <f>+'3.3.2 Flujo de caja con fin'!G27</f>
        <v>0</v>
      </c>
      <c r="H26" s="341">
        <f>+'3.3.2 Flujo de caja con fin'!H27</f>
        <v>0</v>
      </c>
      <c r="I26" s="341">
        <f>+'3.3.2 Flujo de caja con fin'!I27</f>
        <v>0</v>
      </c>
      <c r="J26" s="341">
        <f>+'3.3.2 Flujo de caja con fin'!J27</f>
        <v>0</v>
      </c>
      <c r="K26" s="341">
        <f>+'3.3.2 Flujo de caja con fin'!K27</f>
        <v>0</v>
      </c>
      <c r="L26" s="341">
        <f>+'3.3.2 Flujo de caja con fin'!L27</f>
        <v>42500</v>
      </c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234"/>
      <c r="CA26" s="234"/>
      <c r="CB26" s="234"/>
      <c r="CC26" s="234"/>
      <c r="CD26" s="234"/>
      <c r="CE26" s="234"/>
      <c r="CF26" s="234"/>
      <c r="CG26" s="234"/>
      <c r="CH26" s="234"/>
      <c r="CI26" s="234"/>
      <c r="CJ26" s="234"/>
      <c r="CK26" s="234"/>
      <c r="CL26" s="234"/>
      <c r="CM26" s="234"/>
      <c r="CN26" s="234"/>
      <c r="CO26" s="234"/>
      <c r="CP26" s="234"/>
      <c r="CQ26" s="234"/>
      <c r="CR26" s="234"/>
      <c r="CS26" s="234"/>
      <c r="CT26" s="234"/>
      <c r="CU26" s="234"/>
      <c r="CV26" s="234"/>
      <c r="CW26" s="234"/>
      <c r="CX26" s="234"/>
      <c r="CY26" s="234"/>
      <c r="CZ26" s="234"/>
      <c r="DA26" s="234"/>
      <c r="DB26" s="234"/>
      <c r="DC26" s="234"/>
      <c r="DD26" s="234"/>
      <c r="DE26" s="234"/>
      <c r="DF26" s="234"/>
      <c r="DG26" s="234"/>
      <c r="DH26" s="234"/>
      <c r="DI26" s="234"/>
      <c r="DJ26" s="234"/>
      <c r="DK26" s="234"/>
      <c r="DL26" s="234"/>
      <c r="DM26" s="234"/>
      <c r="DN26" s="234"/>
      <c r="DO26" s="234"/>
      <c r="DP26" s="234"/>
      <c r="DQ26" s="234"/>
      <c r="DR26" s="234"/>
      <c r="DS26" s="234"/>
      <c r="DT26" s="234"/>
      <c r="DU26" s="234"/>
      <c r="DV26" s="234"/>
      <c r="DW26" s="234"/>
      <c r="DX26" s="234"/>
      <c r="DY26" s="234"/>
      <c r="DZ26" s="234"/>
      <c r="EA26" s="234"/>
      <c r="EB26" s="234"/>
      <c r="EC26" s="234"/>
      <c r="ED26" s="234"/>
      <c r="EE26" s="234"/>
      <c r="EF26" s="234"/>
      <c r="EG26" s="234"/>
      <c r="EH26" s="234"/>
      <c r="EI26" s="234"/>
      <c r="EJ26" s="234"/>
      <c r="EK26" s="234"/>
      <c r="EL26" s="234"/>
      <c r="EM26" s="234"/>
      <c r="EN26" s="234"/>
      <c r="EO26" s="234"/>
      <c r="EP26" s="234"/>
      <c r="EQ26" s="234"/>
      <c r="ER26" s="234"/>
      <c r="ES26" s="234"/>
      <c r="ET26" s="234"/>
      <c r="EU26" s="234"/>
      <c r="EV26" s="234"/>
      <c r="EW26" s="234"/>
      <c r="EX26" s="234"/>
      <c r="EY26" s="234"/>
      <c r="EZ26" s="234"/>
      <c r="FA26" s="234"/>
      <c r="FB26" s="234"/>
      <c r="FC26" s="234"/>
      <c r="FD26" s="234"/>
      <c r="FE26" s="234"/>
      <c r="FF26" s="234"/>
      <c r="FG26" s="234"/>
      <c r="FH26" s="234"/>
      <c r="FI26" s="234"/>
      <c r="FJ26" s="234"/>
      <c r="FK26" s="234"/>
      <c r="FL26" s="234"/>
      <c r="FM26" s="234"/>
      <c r="FN26" s="234"/>
      <c r="FO26" s="234"/>
      <c r="FP26" s="234"/>
      <c r="FQ26" s="234"/>
      <c r="FR26" s="234"/>
      <c r="FS26" s="234"/>
      <c r="FT26" s="235"/>
      <c r="FU26" s="235"/>
      <c r="FV26" s="235"/>
      <c r="FW26" s="235"/>
      <c r="FX26" s="235"/>
      <c r="FY26" s="235"/>
      <c r="FZ26" s="235"/>
      <c r="GA26" s="235"/>
      <c r="GB26" s="235"/>
      <c r="GC26" s="235"/>
      <c r="GD26" s="235"/>
      <c r="GE26" s="235"/>
      <c r="GF26" s="235"/>
      <c r="GG26" s="235"/>
      <c r="GH26" s="235"/>
      <c r="GI26" s="235"/>
      <c r="GJ26" s="235"/>
      <c r="GK26" s="235"/>
      <c r="GL26" s="235"/>
      <c r="GM26" s="235"/>
      <c r="GN26" s="235"/>
      <c r="GO26" s="235"/>
      <c r="GP26" s="235"/>
      <c r="GQ26" s="235"/>
      <c r="GR26" s="235"/>
      <c r="GS26" s="235"/>
      <c r="GT26" s="235"/>
      <c r="GU26" s="235"/>
      <c r="GV26" s="235"/>
      <c r="GW26" s="235"/>
      <c r="GX26" s="235"/>
      <c r="GY26" s="235"/>
      <c r="GZ26" s="235"/>
      <c r="HA26" s="235"/>
      <c r="HB26" s="235"/>
      <c r="HC26" s="235"/>
      <c r="HD26" s="235"/>
      <c r="HE26" s="235"/>
      <c r="HF26" s="235"/>
      <c r="HG26" s="235"/>
      <c r="HH26" s="235"/>
      <c r="HI26" s="235"/>
      <c r="HJ26" s="235"/>
      <c r="HK26" s="235"/>
      <c r="HL26" s="235"/>
      <c r="HM26" s="235"/>
      <c r="HN26" s="235"/>
      <c r="HO26" s="235"/>
      <c r="HP26" s="235"/>
      <c r="HQ26" s="235"/>
      <c r="HR26" s="235"/>
      <c r="HS26" s="235"/>
      <c r="HT26" s="235"/>
      <c r="HU26" s="235"/>
      <c r="HV26" s="235"/>
      <c r="HW26" s="235"/>
      <c r="HX26" s="235"/>
      <c r="HY26" s="235"/>
      <c r="HZ26" s="235"/>
      <c r="IA26" s="235"/>
      <c r="IB26" s="235"/>
      <c r="IC26" s="235"/>
      <c r="ID26" s="235"/>
      <c r="IE26" s="235"/>
      <c r="IF26" s="235"/>
      <c r="IG26" s="235"/>
      <c r="IH26" s="235"/>
      <c r="II26" s="235"/>
      <c r="IJ26" s="235"/>
      <c r="IK26" s="235"/>
      <c r="IL26" s="235"/>
      <c r="IM26" s="235"/>
      <c r="IN26" s="235"/>
      <c r="IO26" s="235"/>
      <c r="IP26" s="235" t="s">
        <v>109</v>
      </c>
      <c r="IQ26" s="235" t="s">
        <v>109</v>
      </c>
      <c r="IR26" s="235" t="s">
        <v>109</v>
      </c>
      <c r="IS26" s="235" t="s">
        <v>109</v>
      </c>
      <c r="IT26" s="235" t="s">
        <v>109</v>
      </c>
      <c r="IU26" s="235" t="s">
        <v>109</v>
      </c>
    </row>
    <row r="27" spans="1:255" s="228" customFormat="1" ht="12.75">
      <c r="A27" s="229"/>
      <c r="B27" s="340"/>
      <c r="C27" s="340"/>
      <c r="D27" s="340"/>
      <c r="E27" s="340"/>
      <c r="F27" s="340"/>
      <c r="G27" s="340"/>
      <c r="H27" s="340"/>
      <c r="I27" s="340"/>
      <c r="J27" s="340"/>
      <c r="K27" s="340"/>
      <c r="L27" s="343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/>
      <c r="BQ27" s="234"/>
      <c r="BR27" s="234"/>
      <c r="BS27" s="234"/>
      <c r="BT27" s="234"/>
      <c r="BU27" s="234"/>
      <c r="BV27" s="234"/>
      <c r="BW27" s="234"/>
      <c r="BX27" s="234"/>
      <c r="BY27" s="234"/>
      <c r="BZ27" s="234"/>
      <c r="CA27" s="234"/>
      <c r="CB27" s="234"/>
      <c r="CC27" s="234"/>
      <c r="CD27" s="234"/>
      <c r="CE27" s="234"/>
      <c r="CF27" s="234"/>
      <c r="CG27" s="234"/>
      <c r="CH27" s="234"/>
      <c r="CI27" s="234"/>
      <c r="CJ27" s="234"/>
      <c r="CK27" s="234"/>
      <c r="CL27" s="234"/>
      <c r="CM27" s="234"/>
      <c r="CN27" s="234"/>
      <c r="CO27" s="234"/>
      <c r="CP27" s="234"/>
      <c r="CQ27" s="234"/>
      <c r="CR27" s="234"/>
      <c r="CS27" s="234"/>
      <c r="CT27" s="234"/>
      <c r="CU27" s="234"/>
      <c r="CV27" s="234"/>
      <c r="CW27" s="234"/>
      <c r="CX27" s="234"/>
      <c r="CY27" s="234"/>
      <c r="CZ27" s="234"/>
      <c r="DA27" s="234"/>
      <c r="DB27" s="234"/>
      <c r="DC27" s="234"/>
      <c r="DD27" s="234"/>
      <c r="DE27" s="234"/>
      <c r="DF27" s="234"/>
      <c r="DG27" s="234"/>
      <c r="DH27" s="234"/>
      <c r="DI27" s="234"/>
      <c r="DJ27" s="234"/>
      <c r="DK27" s="234"/>
      <c r="DL27" s="234"/>
      <c r="DM27" s="234"/>
      <c r="DN27" s="234"/>
      <c r="DO27" s="234"/>
      <c r="DP27" s="234"/>
      <c r="DQ27" s="234"/>
      <c r="DR27" s="234"/>
      <c r="DS27" s="234"/>
      <c r="DT27" s="234"/>
      <c r="DU27" s="234"/>
      <c r="DV27" s="234"/>
      <c r="DW27" s="234"/>
      <c r="DX27" s="234"/>
      <c r="DY27" s="234"/>
      <c r="DZ27" s="234"/>
      <c r="EA27" s="234"/>
      <c r="EB27" s="234"/>
      <c r="EC27" s="234"/>
      <c r="ED27" s="234"/>
      <c r="EE27" s="234"/>
      <c r="EF27" s="234"/>
      <c r="EG27" s="234"/>
      <c r="EH27" s="234"/>
      <c r="EI27" s="234"/>
      <c r="EJ27" s="234"/>
      <c r="EK27" s="234"/>
      <c r="EL27" s="234"/>
      <c r="EM27" s="234"/>
      <c r="EN27" s="234"/>
      <c r="EO27" s="234"/>
      <c r="EP27" s="234"/>
      <c r="EQ27" s="234"/>
      <c r="ER27" s="234"/>
      <c r="ES27" s="234"/>
      <c r="ET27" s="234"/>
      <c r="EU27" s="234"/>
      <c r="EV27" s="234"/>
      <c r="EW27" s="234"/>
      <c r="EX27" s="234"/>
      <c r="EY27" s="234"/>
      <c r="EZ27" s="234"/>
      <c r="FA27" s="234"/>
      <c r="FB27" s="234"/>
      <c r="FC27" s="234"/>
      <c r="FD27" s="234"/>
      <c r="FE27" s="234"/>
      <c r="FF27" s="234"/>
      <c r="FG27" s="234"/>
      <c r="FH27" s="234"/>
      <c r="FI27" s="234"/>
      <c r="FJ27" s="234"/>
      <c r="FK27" s="234"/>
      <c r="FL27" s="234"/>
      <c r="FM27" s="234"/>
      <c r="FN27" s="234"/>
      <c r="FO27" s="234"/>
      <c r="FP27" s="234"/>
      <c r="FQ27" s="234"/>
      <c r="FR27" s="234"/>
      <c r="FS27" s="234"/>
      <c r="FT27" s="234"/>
      <c r="FU27" s="234"/>
      <c r="FV27" s="234"/>
      <c r="FW27" s="234"/>
      <c r="FX27" s="234"/>
      <c r="FY27" s="234"/>
      <c r="FZ27" s="234"/>
      <c r="GA27" s="234"/>
      <c r="GB27" s="234"/>
      <c r="GC27" s="234"/>
      <c r="GD27" s="234"/>
      <c r="GE27" s="234"/>
      <c r="GF27" s="234"/>
      <c r="GG27" s="234"/>
      <c r="GH27" s="234"/>
      <c r="GI27" s="234"/>
      <c r="GJ27" s="234"/>
      <c r="GK27" s="234"/>
      <c r="GL27" s="234"/>
      <c r="GM27" s="234"/>
      <c r="GN27" s="234"/>
      <c r="GO27" s="234"/>
      <c r="GP27" s="234"/>
      <c r="GQ27" s="234"/>
      <c r="GR27" s="234"/>
      <c r="GS27" s="234"/>
      <c r="GT27" s="234"/>
      <c r="GU27" s="234"/>
      <c r="GV27" s="234"/>
      <c r="GW27" s="234"/>
      <c r="GX27" s="234"/>
      <c r="GY27" s="234"/>
      <c r="GZ27" s="234"/>
      <c r="HA27" s="234"/>
      <c r="HB27" s="234"/>
      <c r="HC27" s="234"/>
      <c r="HD27" s="234"/>
      <c r="HE27" s="234"/>
      <c r="HF27" s="234"/>
      <c r="HG27" s="234"/>
      <c r="HH27" s="234"/>
      <c r="HI27" s="234"/>
      <c r="HJ27" s="234"/>
      <c r="HK27" s="234"/>
      <c r="HL27" s="234"/>
      <c r="HM27" s="234"/>
      <c r="HN27" s="234"/>
      <c r="HO27" s="234"/>
      <c r="HP27" s="234"/>
      <c r="HQ27" s="234"/>
      <c r="HR27" s="234"/>
      <c r="HS27" s="234"/>
      <c r="HT27" s="234"/>
      <c r="HU27" s="234"/>
      <c r="HV27" s="234"/>
      <c r="HW27" s="234"/>
      <c r="HX27" s="234"/>
      <c r="HY27" s="234"/>
      <c r="HZ27" s="234"/>
      <c r="IA27" s="234"/>
      <c r="IB27" s="234"/>
      <c r="IC27" s="234"/>
      <c r="ID27" s="234"/>
      <c r="IE27" s="234"/>
      <c r="IF27" s="234"/>
      <c r="IG27" s="234"/>
      <c r="IH27" s="234"/>
      <c r="II27" s="234"/>
      <c r="IJ27" s="234"/>
      <c r="IK27" s="234"/>
      <c r="IL27" s="234"/>
      <c r="IM27" s="234"/>
      <c r="IN27" s="234"/>
      <c r="IO27" s="234"/>
      <c r="IP27" s="234"/>
      <c r="IQ27" s="234"/>
      <c r="IR27" s="234"/>
      <c r="IS27" s="234"/>
      <c r="IT27" s="234"/>
      <c r="IU27" s="234"/>
    </row>
    <row r="28" spans="1:12" s="228" customFormat="1" ht="12.75">
      <c r="A28" s="231"/>
      <c r="B28" s="334"/>
      <c r="C28" s="335"/>
      <c r="D28" s="335"/>
      <c r="E28" s="335"/>
      <c r="F28" s="335"/>
      <c r="G28" s="335"/>
      <c r="H28" s="335"/>
      <c r="I28" s="335"/>
      <c r="J28" s="335"/>
      <c r="K28" s="335"/>
      <c r="L28" s="336"/>
    </row>
    <row r="29" spans="1:12" s="228" customFormat="1" ht="12.75">
      <c r="A29" s="231" t="s">
        <v>110</v>
      </c>
      <c r="B29" s="335">
        <f>+'3.1 Inversiónes'!B13*-1</f>
        <v>-97440</v>
      </c>
      <c r="C29" s="344"/>
      <c r="D29" s="335"/>
      <c r="E29" s="335"/>
      <c r="F29" s="335"/>
      <c r="G29" s="335"/>
      <c r="H29" s="335"/>
      <c r="I29" s="335"/>
      <c r="J29" s="335"/>
      <c r="K29" s="335"/>
      <c r="L29" s="336"/>
    </row>
    <row r="30" spans="1:12" s="228" customFormat="1" ht="12.75">
      <c r="A30" s="231"/>
      <c r="B30" s="334"/>
      <c r="C30" s="335"/>
      <c r="D30" s="335"/>
      <c r="E30" s="335"/>
      <c r="F30" s="335"/>
      <c r="G30" s="335"/>
      <c r="H30" s="335"/>
      <c r="I30" s="335"/>
      <c r="J30" s="335"/>
      <c r="K30" s="335"/>
      <c r="L30" s="336"/>
    </row>
    <row r="31" spans="1:12" s="228" customFormat="1" ht="13.5" thickBot="1">
      <c r="A31" s="236"/>
      <c r="B31" s="345"/>
      <c r="C31" s="346"/>
      <c r="D31" s="346"/>
      <c r="E31" s="346"/>
      <c r="F31" s="346"/>
      <c r="G31" s="346"/>
      <c r="H31" s="346"/>
      <c r="I31" s="346"/>
      <c r="J31" s="346"/>
      <c r="K31" s="346"/>
      <c r="L31" s="347"/>
    </row>
    <row r="32" spans="1:12" s="228" customFormat="1" ht="13.5" thickBot="1">
      <c r="A32" s="237" t="s">
        <v>118</v>
      </c>
      <c r="B32" s="348">
        <f>+B29</f>
        <v>-97440</v>
      </c>
      <c r="C32" s="349">
        <f>+C22+C25+C26</f>
        <v>36325.2</v>
      </c>
      <c r="D32" s="349">
        <f aca="true" t="shared" si="2" ref="D32:L32">+D22+D25+D26</f>
        <v>36325.2</v>
      </c>
      <c r="E32" s="349">
        <f t="shared" si="2"/>
        <v>36325.2</v>
      </c>
      <c r="F32" s="349">
        <f t="shared" si="2"/>
        <v>36325.2</v>
      </c>
      <c r="G32" s="349">
        <f t="shared" si="2"/>
        <v>36325.2</v>
      </c>
      <c r="H32" s="349">
        <f t="shared" si="2"/>
        <v>36325.2</v>
      </c>
      <c r="I32" s="349">
        <f t="shared" si="2"/>
        <v>36325.2</v>
      </c>
      <c r="J32" s="349">
        <f t="shared" si="2"/>
        <v>36325.2</v>
      </c>
      <c r="K32" s="349">
        <f t="shared" si="2"/>
        <v>36325.2</v>
      </c>
      <c r="L32" s="349">
        <f t="shared" si="2"/>
        <v>78825.2</v>
      </c>
    </row>
    <row r="33" spans="1:11" ht="12.75">
      <c r="A33" s="27" t="s">
        <v>29</v>
      </c>
      <c r="B33" s="146"/>
      <c r="C33" s="22"/>
      <c r="D33" s="22"/>
      <c r="E33" s="22"/>
      <c r="F33" s="22"/>
      <c r="G33" s="22"/>
      <c r="H33" s="22"/>
      <c r="I33" s="22"/>
      <c r="J33" s="22"/>
      <c r="K33" s="22"/>
    </row>
    <row r="34" ht="13.5" thickBot="1"/>
    <row r="35" spans="1:3" ht="12.75">
      <c r="A35" s="12" t="s">
        <v>112</v>
      </c>
      <c r="B35" s="147">
        <f>+'3.3.2 Flujo de caja con fin'!B36</f>
        <v>0.10450000000000001</v>
      </c>
      <c r="C35" s="11"/>
    </row>
    <row r="36" spans="1:6" ht="18">
      <c r="A36" s="2" t="s">
        <v>113</v>
      </c>
      <c r="B36" s="261">
        <f>NPV(B35,C32:L32)+B32</f>
        <v>137242.35200202162</v>
      </c>
      <c r="C36" s="160"/>
      <c r="D36" s="27"/>
      <c r="E36" s="150"/>
      <c r="F36" s="153"/>
    </row>
    <row r="37" spans="1:6" ht="18.75" thickBot="1">
      <c r="A37" s="24" t="s">
        <v>114</v>
      </c>
      <c r="B37" s="148">
        <f>IRR(B32:L32)</f>
        <v>0.36311416918647765</v>
      </c>
      <c r="C37" s="160"/>
      <c r="D37" s="27"/>
      <c r="E37" s="150"/>
      <c r="F37" s="154"/>
    </row>
    <row r="38" spans="1:6" ht="12.75">
      <c r="A38" s="150" t="s">
        <v>126</v>
      </c>
      <c r="B38"/>
      <c r="C38" s="151"/>
      <c r="D38" s="27"/>
      <c r="E38" s="150"/>
      <c r="F38" s="180"/>
    </row>
    <row r="39" spans="4:6" ht="12.75">
      <c r="D39" s="27"/>
      <c r="E39" s="150"/>
      <c r="F39" s="181"/>
    </row>
    <row r="40" spans="4:5" ht="12.75">
      <c r="D40" s="27"/>
      <c r="E40" s="27"/>
    </row>
    <row r="41" spans="4:5" ht="12.75">
      <c r="D41" s="27"/>
      <c r="E41" s="27"/>
    </row>
    <row r="42" ht="12.75">
      <c r="D42" s="27"/>
    </row>
    <row r="43" ht="12.75">
      <c r="D43" s="27"/>
    </row>
    <row r="44" ht="12.75">
      <c r="D44" s="27"/>
    </row>
    <row r="45" ht="12.75">
      <c r="D45" s="27"/>
    </row>
    <row r="46" ht="12.75">
      <c r="D46" s="27"/>
    </row>
  </sheetData>
  <mergeCells count="3">
    <mergeCell ref="A3:L3"/>
    <mergeCell ref="A1:L1"/>
    <mergeCell ref="A2:L2"/>
  </mergeCells>
  <printOptions horizontalCentered="1" verticalCentered="1"/>
  <pageMargins left="0.7480314960629921" right="0.7874015748031497" top="0.5118110236220472" bottom="0.5118110236220472" header="0.5905511811023623" footer="0.5118110236220472"/>
  <pageSetup horizontalDpi="300" verticalDpi="300" orientation="landscape" paperSize="9" scale="90" r:id="rId1"/>
  <headerFooter alignWithMargins="0">
    <oddHeader xml:space="preserve">&amp;C </oddHeader>
    <oddFooter xml:space="preserve">&amp;C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E19"/>
  <sheetViews>
    <sheetView zoomScale="75" zoomScaleNormal="75" workbookViewId="0" topLeftCell="A1">
      <selection activeCell="J42" sqref="J42"/>
    </sheetView>
  </sheetViews>
  <sheetFormatPr defaultColWidth="11.421875" defaultRowHeight="12.75"/>
  <cols>
    <col min="1" max="1" width="6.57421875" style="54" customWidth="1"/>
    <col min="2" max="2" width="9.140625" style="54" customWidth="1"/>
    <col min="3" max="3" width="15.7109375" style="54" customWidth="1"/>
    <col min="4" max="4" width="12.140625" style="54" customWidth="1"/>
    <col min="5" max="5" width="17.8515625" style="264" customWidth="1"/>
    <col min="6" max="16384" width="11.421875" style="54" customWidth="1"/>
  </cols>
  <sheetData>
    <row r="2" spans="1:5" ht="18">
      <c r="A2" s="483"/>
      <c r="B2" s="483"/>
      <c r="C2" s="483"/>
      <c r="D2" s="483"/>
      <c r="E2" s="483"/>
    </row>
    <row r="3" spans="1:5" ht="13.5" thickBot="1">
      <c r="A3" s="484" t="s">
        <v>176</v>
      </c>
      <c r="B3" s="484"/>
      <c r="C3" s="484"/>
      <c r="D3" s="484"/>
      <c r="E3" s="484"/>
    </row>
    <row r="4" spans="1:5" ht="18.75" thickBot="1">
      <c r="A4" s="480" t="s">
        <v>131</v>
      </c>
      <c r="B4" s="481"/>
      <c r="C4" s="481"/>
      <c r="D4" s="481"/>
      <c r="E4" s="482"/>
    </row>
    <row r="5" spans="1:5" s="268" customFormat="1" ht="33" customHeight="1">
      <c r="A5" s="265" t="s">
        <v>31</v>
      </c>
      <c r="B5" s="267" t="s">
        <v>111</v>
      </c>
      <c r="C5" s="267" t="s">
        <v>132</v>
      </c>
      <c r="D5" s="266" t="s">
        <v>133</v>
      </c>
      <c r="E5" s="269" t="s">
        <v>134</v>
      </c>
    </row>
    <row r="6" spans="1:5" ht="12.75">
      <c r="A6" s="182">
        <v>0</v>
      </c>
      <c r="B6" s="350">
        <v>0</v>
      </c>
      <c r="C6" s="350">
        <v>0</v>
      </c>
      <c r="D6" s="351">
        <f>+'3.3.2 Flujo de caja con fin'!B33</f>
        <v>-29232</v>
      </c>
      <c r="E6" s="262">
        <f>C6/$D$6*-1</f>
        <v>0</v>
      </c>
    </row>
    <row r="7" spans="1:5" ht="12.75">
      <c r="A7" s="182">
        <v>1</v>
      </c>
      <c r="B7" s="350">
        <f>+'3.3.2 Flujo de caja con fin'!$C$33</f>
        <v>19106.291648441817</v>
      </c>
      <c r="C7" s="350">
        <f>B7</f>
        <v>19106.291648441817</v>
      </c>
      <c r="D7" s="350">
        <f aca="true" t="shared" si="0" ref="D7:D16">D6+C7</f>
        <v>-10125.708351558183</v>
      </c>
      <c r="E7" s="262">
        <f>C7/$D$6*-1</f>
        <v>0.6536087728667835</v>
      </c>
    </row>
    <row r="8" spans="1:5" ht="12.75">
      <c r="A8" s="386">
        <v>2</v>
      </c>
      <c r="B8" s="387">
        <f>+'3.3.2 Flujo de caja con fin'!$D$33</f>
        <v>19106.291648441817</v>
      </c>
      <c r="C8" s="387">
        <f aca="true" t="shared" si="1" ref="C8:C16">C7+B8</f>
        <v>38212.58329688363</v>
      </c>
      <c r="D8" s="387">
        <f t="shared" si="0"/>
        <v>28086.87494532545</v>
      </c>
      <c r="E8" s="388">
        <f>C8/$D$6*-1</f>
        <v>1.307217545733567</v>
      </c>
    </row>
    <row r="9" spans="1:5" s="149" customFormat="1" ht="12.75">
      <c r="A9" s="183">
        <v>3</v>
      </c>
      <c r="B9" s="350">
        <f>+'3.3.2 Flujo de caja con fin'!$E$33</f>
        <v>19106.291648441817</v>
      </c>
      <c r="C9" s="352">
        <f t="shared" si="1"/>
        <v>57318.87494532545</v>
      </c>
      <c r="D9" s="352">
        <f t="shared" si="0"/>
        <v>85405.7498906509</v>
      </c>
      <c r="E9" s="262">
        <f>C9/$D$6*-1</f>
        <v>1.9608263186003507</v>
      </c>
    </row>
    <row r="10" spans="1:5" ht="12.75">
      <c r="A10" s="182">
        <v>4</v>
      </c>
      <c r="B10" s="350">
        <f>+'3.3.2 Flujo de caja con fin'!$F$33</f>
        <v>19106.291648441817</v>
      </c>
      <c r="C10" s="350">
        <f t="shared" si="1"/>
        <v>76425.16659376727</v>
      </c>
      <c r="D10" s="350">
        <f t="shared" si="0"/>
        <v>161830.91648441815</v>
      </c>
      <c r="E10" s="262">
        <f>C10/$D$6*-1</f>
        <v>2.614435091467134</v>
      </c>
    </row>
    <row r="11" spans="1:5" ht="12.75">
      <c r="A11" s="182">
        <v>5</v>
      </c>
      <c r="B11" s="350">
        <f>+'3.3.2 Flujo de caja con fin'!$G$33</f>
        <v>19106.291648441817</v>
      </c>
      <c r="C11" s="350">
        <f t="shared" si="1"/>
        <v>95531.45824220908</v>
      </c>
      <c r="D11" s="350">
        <f t="shared" si="0"/>
        <v>257362.37472662723</v>
      </c>
      <c r="E11" s="262">
        <f aca="true" t="shared" si="2" ref="E11:E16">C11/$D$6*-1</f>
        <v>3.2680438643339174</v>
      </c>
    </row>
    <row r="12" spans="1:5" ht="12.75">
      <c r="A12" s="182">
        <v>6</v>
      </c>
      <c r="B12" s="350">
        <f>+'3.3.2 Flujo de caja con fin'!$H$33</f>
        <v>36325.2</v>
      </c>
      <c r="C12" s="350">
        <f t="shared" si="1"/>
        <v>131856.65824220906</v>
      </c>
      <c r="D12" s="350">
        <f t="shared" si="0"/>
        <v>389219.03296883625</v>
      </c>
      <c r="E12" s="262">
        <f t="shared" si="2"/>
        <v>4.510695752675461</v>
      </c>
    </row>
    <row r="13" spans="1:5" ht="12.75">
      <c r="A13" s="182">
        <v>7</v>
      </c>
      <c r="B13" s="350">
        <f>+'3.3.2 Flujo de caja con fin'!$I$33</f>
        <v>36325.2</v>
      </c>
      <c r="C13" s="350">
        <f t="shared" si="1"/>
        <v>168181.85824220907</v>
      </c>
      <c r="D13" s="350">
        <f t="shared" si="0"/>
        <v>557400.8912110453</v>
      </c>
      <c r="E13" s="262">
        <f t="shared" si="2"/>
        <v>5.753347641017005</v>
      </c>
    </row>
    <row r="14" spans="1:5" ht="12.75">
      <c r="A14" s="182">
        <v>8</v>
      </c>
      <c r="B14" s="350">
        <f>+'3.3.2 Flujo de caja con fin'!$J$33</f>
        <v>36325.2</v>
      </c>
      <c r="C14" s="350">
        <f t="shared" si="1"/>
        <v>204507.05824220908</v>
      </c>
      <c r="D14" s="350">
        <f t="shared" si="0"/>
        <v>761907.9494532545</v>
      </c>
      <c r="E14" s="262">
        <f t="shared" si="2"/>
        <v>6.995999529358548</v>
      </c>
    </row>
    <row r="15" spans="1:5" ht="12.75">
      <c r="A15" s="182">
        <v>9</v>
      </c>
      <c r="B15" s="350">
        <f>+'3.3.2 Flujo de caja con fin'!$K$33</f>
        <v>36325.2</v>
      </c>
      <c r="C15" s="350">
        <f t="shared" si="1"/>
        <v>240832.2582422091</v>
      </c>
      <c r="D15" s="350">
        <f t="shared" si="0"/>
        <v>1002740.2076954636</v>
      </c>
      <c r="E15" s="262">
        <f t="shared" si="2"/>
        <v>8.238651417700092</v>
      </c>
    </row>
    <row r="16" spans="1:5" ht="13.5" thickBot="1">
      <c r="A16" s="201">
        <v>10</v>
      </c>
      <c r="B16" s="353">
        <f>+'3.3.2 Flujo de caja con fin'!$L$33</f>
        <v>78825.2</v>
      </c>
      <c r="C16" s="353">
        <f t="shared" si="1"/>
        <v>319657.4582422091</v>
      </c>
      <c r="D16" s="353">
        <f t="shared" si="0"/>
        <v>1322397.6659376726</v>
      </c>
      <c r="E16" s="263">
        <f t="shared" si="2"/>
        <v>10.93518945820365</v>
      </c>
    </row>
    <row r="17" spans="1:3" ht="12.75">
      <c r="A17" s="485" t="s">
        <v>29</v>
      </c>
      <c r="B17" s="486"/>
      <c r="C17" s="486"/>
    </row>
    <row r="19" ht="12.75">
      <c r="A19" s="184" t="s">
        <v>208</v>
      </c>
    </row>
  </sheetData>
  <mergeCells count="4">
    <mergeCell ref="A4:E4"/>
    <mergeCell ref="A2:E2"/>
    <mergeCell ref="A3:E3"/>
    <mergeCell ref="A17:C17"/>
  </mergeCells>
  <printOptions horizontalCentered="1" verticalCentered="1"/>
  <pageMargins left="1.1811023622047245" right="0.75" top="0.26" bottom="1.18" header="0" footer="1.18"/>
  <pageSetup horizontalDpi="300" verticalDpi="300" orientation="landscape" scale="11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U63"/>
  <sheetViews>
    <sheetView zoomScale="75" zoomScaleNormal="75" workbookViewId="0" topLeftCell="A12">
      <selection activeCell="K82" sqref="K82"/>
    </sheetView>
  </sheetViews>
  <sheetFormatPr defaultColWidth="11.421875" defaultRowHeight="12.75"/>
  <cols>
    <col min="1" max="1" width="19.421875" style="53" customWidth="1"/>
    <col min="2" max="2" width="13.57421875" style="53" customWidth="1"/>
    <col min="3" max="6" width="12.7109375" style="53" bestFit="1" customWidth="1"/>
    <col min="7" max="7" width="12.28125" style="53" bestFit="1" customWidth="1"/>
    <col min="8" max="9" width="12.7109375" style="53" bestFit="1" customWidth="1"/>
    <col min="10" max="10" width="16.140625" style="53" bestFit="1" customWidth="1"/>
    <col min="11" max="12" width="12.7109375" style="53" bestFit="1" customWidth="1"/>
    <col min="13" max="16384" width="11.421875" style="53" customWidth="1"/>
  </cols>
  <sheetData>
    <row r="2" spans="1:12" s="20" customFormat="1" ht="18">
      <c r="A2" s="477"/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</row>
    <row r="3" s="20" customFormat="1" ht="13.5" thickBot="1">
      <c r="A3" s="3"/>
    </row>
    <row r="4" spans="1:12" s="20" customFormat="1" ht="18.75" thickBot="1">
      <c r="A4" s="446" t="s">
        <v>129</v>
      </c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8"/>
    </row>
    <row r="5" spans="1:12" s="3" customFormat="1" ht="13.5" thickBot="1">
      <c r="A5" s="172" t="s">
        <v>105</v>
      </c>
      <c r="B5" s="173">
        <v>0</v>
      </c>
      <c r="C5" s="173">
        <v>1</v>
      </c>
      <c r="D5" s="173">
        <v>2</v>
      </c>
      <c r="E5" s="173">
        <v>3</v>
      </c>
      <c r="F5" s="173">
        <v>4</v>
      </c>
      <c r="G5" s="173">
        <v>5</v>
      </c>
      <c r="H5" s="173">
        <v>6</v>
      </c>
      <c r="I5" s="173">
        <v>7</v>
      </c>
      <c r="J5" s="173">
        <v>8</v>
      </c>
      <c r="K5" s="173">
        <v>9</v>
      </c>
      <c r="L5" s="174">
        <v>10</v>
      </c>
    </row>
    <row r="6" spans="1:12" s="20" customFormat="1" ht="12.75">
      <c r="A6" s="175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5"/>
    </row>
    <row r="7" spans="1:12" s="20" customFormat="1" ht="12.75">
      <c r="A7" s="176" t="s">
        <v>139</v>
      </c>
      <c r="B7" s="334"/>
      <c r="C7" s="335">
        <f>+M45</f>
        <v>58830.16666666667</v>
      </c>
      <c r="D7" s="335">
        <f>+M46</f>
        <v>58830.16666666667</v>
      </c>
      <c r="E7" s="335">
        <f>+M47</f>
        <v>58830.16666666667</v>
      </c>
      <c r="F7" s="335">
        <f>+M48</f>
        <v>58830.16666666667</v>
      </c>
      <c r="G7" s="335">
        <f>+M49</f>
        <v>58830.16666666667</v>
      </c>
      <c r="H7" s="335">
        <f>+M50</f>
        <v>58830.16666666667</v>
      </c>
      <c r="I7" s="335">
        <f>+M51</f>
        <v>58830.16666666667</v>
      </c>
      <c r="J7" s="335">
        <f>+M52</f>
        <v>58830.16666666667</v>
      </c>
      <c r="K7" s="335">
        <f>+M53</f>
        <v>58830.16666666667</v>
      </c>
      <c r="L7" s="335">
        <f>+M54</f>
        <v>58830.16666666667</v>
      </c>
    </row>
    <row r="8" spans="1:12" s="152" customFormat="1" ht="12.75">
      <c r="A8" s="176" t="s">
        <v>140</v>
      </c>
      <c r="B8" s="334"/>
      <c r="C8" s="335">
        <f>+N45</f>
        <v>20430.166666666668</v>
      </c>
      <c r="D8" s="335">
        <f>+N46</f>
        <v>20430.166666666668</v>
      </c>
      <c r="E8" s="335">
        <f>+N47</f>
        <v>20430.166666666668</v>
      </c>
      <c r="F8" s="335">
        <f>+N48</f>
        <v>20430.166666666668</v>
      </c>
      <c r="G8" s="335">
        <f>+N49</f>
        <v>20430.166666666668</v>
      </c>
      <c r="H8" s="335">
        <f>+N50</f>
        <v>20430.166666666668</v>
      </c>
      <c r="I8" s="335">
        <f>+N51</f>
        <v>20430.166666666668</v>
      </c>
      <c r="J8" s="335">
        <f>+N52</f>
        <v>20430.166666666668</v>
      </c>
      <c r="K8" s="335">
        <f>+N53</f>
        <v>20430.166666666668</v>
      </c>
      <c r="L8" s="336">
        <f>+N54</f>
        <v>20430.166666666668</v>
      </c>
    </row>
    <row r="9" spans="1:12" s="20" customFormat="1" ht="12.75">
      <c r="A9" s="177" t="s">
        <v>119</v>
      </c>
      <c r="B9" s="337"/>
      <c r="C9" s="338">
        <f aca="true" t="shared" si="0" ref="C9:L9">C7-C8</f>
        <v>38400</v>
      </c>
      <c r="D9" s="338">
        <f t="shared" si="0"/>
        <v>38400</v>
      </c>
      <c r="E9" s="338">
        <f t="shared" si="0"/>
        <v>38400</v>
      </c>
      <c r="F9" s="338">
        <f t="shared" si="0"/>
        <v>38400</v>
      </c>
      <c r="G9" s="338">
        <f t="shared" si="0"/>
        <v>38400</v>
      </c>
      <c r="H9" s="338">
        <f t="shared" si="0"/>
        <v>38400</v>
      </c>
      <c r="I9" s="338">
        <f t="shared" si="0"/>
        <v>38400</v>
      </c>
      <c r="J9" s="338">
        <f t="shared" si="0"/>
        <v>38400</v>
      </c>
      <c r="K9" s="338">
        <f t="shared" si="0"/>
        <v>38400</v>
      </c>
      <c r="L9" s="339">
        <f t="shared" si="0"/>
        <v>38400</v>
      </c>
    </row>
    <row r="10" spans="1:12" s="20" customFormat="1" ht="12.75">
      <c r="A10" s="177"/>
      <c r="B10" s="337"/>
      <c r="C10" s="338"/>
      <c r="D10" s="338"/>
      <c r="E10" s="338"/>
      <c r="F10" s="338"/>
      <c r="G10" s="338"/>
      <c r="H10" s="338"/>
      <c r="I10" s="338"/>
      <c r="J10" s="338"/>
      <c r="K10" s="338"/>
      <c r="L10" s="339"/>
    </row>
    <row r="11" spans="1:12" s="20" customFormat="1" ht="12.75">
      <c r="A11" s="177"/>
      <c r="B11" s="337"/>
      <c r="C11" s="338"/>
      <c r="D11" s="338"/>
      <c r="E11" s="338"/>
      <c r="F11" s="338"/>
      <c r="G11" s="338"/>
      <c r="H11" s="338"/>
      <c r="I11" s="338"/>
      <c r="J11" s="338"/>
      <c r="K11" s="338"/>
      <c r="L11" s="339"/>
    </row>
    <row r="12" spans="1:12" s="20" customFormat="1" ht="12.75">
      <c r="A12" s="177" t="s">
        <v>128</v>
      </c>
      <c r="B12" s="337"/>
      <c r="C12" s="338"/>
      <c r="D12" s="338"/>
      <c r="E12" s="338"/>
      <c r="F12" s="338"/>
      <c r="G12" s="338"/>
      <c r="H12" s="338"/>
      <c r="I12" s="338"/>
      <c r="J12" s="338"/>
      <c r="K12" s="338"/>
      <c r="L12" s="339"/>
    </row>
    <row r="13" spans="1:12" s="20" customFormat="1" ht="12.75">
      <c r="A13" s="176" t="s">
        <v>120</v>
      </c>
      <c r="B13" s="334"/>
      <c r="C13" s="335"/>
      <c r="D13" s="335"/>
      <c r="E13" s="335"/>
      <c r="F13" s="335"/>
      <c r="G13" s="335"/>
      <c r="H13" s="335"/>
      <c r="I13" s="335"/>
      <c r="J13" s="335"/>
      <c r="K13" s="335"/>
      <c r="L13" s="336"/>
    </row>
    <row r="14" spans="1:12" s="20" customFormat="1" ht="12.75">
      <c r="A14" s="178" t="s">
        <v>92</v>
      </c>
      <c r="B14" s="334"/>
      <c r="C14" s="335">
        <f>+'3.3.2 Flujo de caja con fin'!C13</f>
        <v>9876</v>
      </c>
      <c r="D14" s="335">
        <f>+'3.3.2 Flujo de caja con fin'!D13</f>
        <v>9876</v>
      </c>
      <c r="E14" s="335">
        <f>+'3.3.2 Flujo de caja con fin'!E13</f>
        <v>9876</v>
      </c>
      <c r="F14" s="335">
        <f>+'3.3.2 Flujo de caja con fin'!F13</f>
        <v>9876</v>
      </c>
      <c r="G14" s="335">
        <f>+'3.3.2 Flujo de caja con fin'!G13</f>
        <v>9876</v>
      </c>
      <c r="H14" s="335">
        <f>+'3.3.2 Flujo de caja con fin'!H13</f>
        <v>9876</v>
      </c>
      <c r="I14" s="335">
        <f>+'3.3.2 Flujo de caja con fin'!I13</f>
        <v>9876</v>
      </c>
      <c r="J14" s="335">
        <f>+'3.3.2 Flujo de caja con fin'!J13</f>
        <v>9876</v>
      </c>
      <c r="K14" s="335">
        <f>+'3.3.2 Flujo de caja con fin'!K13</f>
        <v>9876</v>
      </c>
      <c r="L14" s="335">
        <f>+'3.3.2 Flujo de caja con fin'!L13</f>
        <v>9876</v>
      </c>
    </row>
    <row r="15" spans="1:12" s="20" customFormat="1" ht="12.75">
      <c r="A15" s="176" t="s">
        <v>121</v>
      </c>
      <c r="B15" s="334"/>
      <c r="C15" s="335"/>
      <c r="D15" s="335"/>
      <c r="E15" s="335"/>
      <c r="F15" s="335"/>
      <c r="G15" s="335"/>
      <c r="H15" s="335"/>
      <c r="I15" s="335"/>
      <c r="J15" s="335"/>
      <c r="K15" s="335"/>
      <c r="L15" s="335"/>
    </row>
    <row r="16" spans="1:12" s="20" customFormat="1" ht="12.75">
      <c r="A16" s="178" t="s">
        <v>90</v>
      </c>
      <c r="B16" s="334"/>
      <c r="C16" s="335">
        <f>+'3.3.2 Flujo de caja con fin'!C15</f>
        <v>1350</v>
      </c>
      <c r="D16" s="335">
        <f>+'3.3.2 Flujo de caja con fin'!D15</f>
        <v>1350</v>
      </c>
      <c r="E16" s="335">
        <f>+'3.3.2 Flujo de caja con fin'!E15</f>
        <v>1350</v>
      </c>
      <c r="F16" s="335">
        <f>+'3.3.2 Flujo de caja con fin'!F15</f>
        <v>1350</v>
      </c>
      <c r="G16" s="335">
        <f>+'3.3.2 Flujo de caja con fin'!G15</f>
        <v>1350</v>
      </c>
      <c r="H16" s="335">
        <f>+'3.3.2 Flujo de caja con fin'!H15</f>
        <v>1350</v>
      </c>
      <c r="I16" s="335">
        <f>+'3.3.2 Flujo de caja con fin'!I15</f>
        <v>1350</v>
      </c>
      <c r="J16" s="335">
        <f>+'3.3.2 Flujo de caja con fin'!J15</f>
        <v>1350</v>
      </c>
      <c r="K16" s="335">
        <f>+'3.3.2 Flujo de caja con fin'!K15</f>
        <v>1350</v>
      </c>
      <c r="L16" s="335">
        <f>+'3.3.2 Flujo de caja con fin'!L15</f>
        <v>1350</v>
      </c>
    </row>
    <row r="17" spans="1:12" s="20" customFormat="1" ht="12.75">
      <c r="A17" s="176" t="s">
        <v>122</v>
      </c>
      <c r="B17" s="334"/>
      <c r="C17" s="335"/>
      <c r="D17" s="335"/>
      <c r="E17" s="335"/>
      <c r="F17" s="335"/>
      <c r="G17" s="335"/>
      <c r="H17" s="335"/>
      <c r="I17" s="335"/>
      <c r="J17" s="335"/>
      <c r="K17" s="335"/>
      <c r="L17" s="335"/>
    </row>
    <row r="18" spans="1:174" s="20" customFormat="1" ht="12.75">
      <c r="A18" s="178" t="s">
        <v>93</v>
      </c>
      <c r="B18" s="334"/>
      <c r="C18" s="335">
        <f>+'3.3.2 Flujo de caja con fin'!C17</f>
        <v>249.60000000000002</v>
      </c>
      <c r="D18" s="335">
        <f>+'3.3.2 Flujo de caja con fin'!D17</f>
        <v>249.60000000000002</v>
      </c>
      <c r="E18" s="335">
        <f>+'3.3.2 Flujo de caja con fin'!E17</f>
        <v>249.60000000000002</v>
      </c>
      <c r="F18" s="335">
        <f>+'3.3.2 Flujo de caja con fin'!F17</f>
        <v>249.60000000000002</v>
      </c>
      <c r="G18" s="335">
        <f>+'3.3.2 Flujo de caja con fin'!G17</f>
        <v>249.60000000000002</v>
      </c>
      <c r="H18" s="335">
        <f>+'3.3.2 Flujo de caja con fin'!H17</f>
        <v>249.60000000000002</v>
      </c>
      <c r="I18" s="335">
        <f>+'3.3.2 Flujo de caja con fin'!I17</f>
        <v>249.60000000000002</v>
      </c>
      <c r="J18" s="335">
        <f>+'3.3.2 Flujo de caja con fin'!J17</f>
        <v>249.60000000000002</v>
      </c>
      <c r="K18" s="335">
        <f>+'3.3.2 Flujo de caja con fin'!K17</f>
        <v>249.60000000000002</v>
      </c>
      <c r="L18" s="335">
        <f>+'3.3.2 Flujo de caja con fin'!L17</f>
        <v>249.60000000000002</v>
      </c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</row>
    <row r="19" spans="1:174" s="20" customFormat="1" ht="12.75">
      <c r="A19" s="178" t="s">
        <v>94</v>
      </c>
      <c r="B19" s="334"/>
      <c r="C19" s="335">
        <f>+'3.3.2 Flujo de caja con fin'!C18</f>
        <v>99.60000000000001</v>
      </c>
      <c r="D19" s="335">
        <f>+'3.3.2 Flujo de caja con fin'!D18</f>
        <v>99.60000000000001</v>
      </c>
      <c r="E19" s="335">
        <f>+'3.3.2 Flujo de caja con fin'!E18</f>
        <v>99.60000000000001</v>
      </c>
      <c r="F19" s="335">
        <f>+'3.3.2 Flujo de caja con fin'!F18</f>
        <v>99.60000000000001</v>
      </c>
      <c r="G19" s="335">
        <f>+'3.3.2 Flujo de caja con fin'!G18</f>
        <v>99.60000000000001</v>
      </c>
      <c r="H19" s="335">
        <f>+'3.3.2 Flujo de caja con fin'!H18</f>
        <v>99.60000000000001</v>
      </c>
      <c r="I19" s="335">
        <f>+'3.3.2 Flujo de caja con fin'!I18</f>
        <v>99.60000000000001</v>
      </c>
      <c r="J19" s="335">
        <f>+'3.3.2 Flujo de caja con fin'!J18</f>
        <v>99.60000000000001</v>
      </c>
      <c r="K19" s="335">
        <f>+'3.3.2 Flujo de caja con fin'!K18</f>
        <v>99.60000000000001</v>
      </c>
      <c r="L19" s="335">
        <f>+'3.3.2 Flujo de caja con fin'!L18</f>
        <v>99.60000000000001</v>
      </c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</row>
    <row r="20" spans="1:174" s="20" customFormat="1" ht="12.75">
      <c r="A20" s="178" t="s">
        <v>75</v>
      </c>
      <c r="B20" s="334"/>
      <c r="C20" s="335">
        <f>+'3.3.2 Flujo de caja con fin'!C19</f>
        <v>99.60000000000001</v>
      </c>
      <c r="D20" s="335">
        <f>+'3.3.2 Flujo de caja con fin'!D19</f>
        <v>99.60000000000001</v>
      </c>
      <c r="E20" s="335">
        <f>+'3.3.2 Flujo de caja con fin'!E19</f>
        <v>99.60000000000001</v>
      </c>
      <c r="F20" s="335">
        <f>+'3.3.2 Flujo de caja con fin'!F19</f>
        <v>99.60000000000001</v>
      </c>
      <c r="G20" s="335">
        <f>+'3.3.2 Flujo de caja con fin'!G19</f>
        <v>99.60000000000001</v>
      </c>
      <c r="H20" s="335">
        <f>+'3.3.2 Flujo de caja con fin'!H19</f>
        <v>99.60000000000001</v>
      </c>
      <c r="I20" s="335">
        <f>+'3.3.2 Flujo de caja con fin'!I19</f>
        <v>99.60000000000001</v>
      </c>
      <c r="J20" s="335">
        <f>+'3.3.2 Flujo de caja con fin'!J19</f>
        <v>99.60000000000001</v>
      </c>
      <c r="K20" s="335">
        <f>+'3.3.2 Flujo de caja con fin'!K19</f>
        <v>99.60000000000001</v>
      </c>
      <c r="L20" s="335">
        <f>+'3.3.2 Flujo de caja con fin'!L19</f>
        <v>99.60000000000001</v>
      </c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</row>
    <row r="21" spans="1:174" s="20" customFormat="1" ht="12.75">
      <c r="A21" s="176" t="s">
        <v>106</v>
      </c>
      <c r="B21" s="334"/>
      <c r="C21" s="335">
        <f>+'3.3.2 Flujo de caja con fin'!C20</f>
        <v>17218.908351558184</v>
      </c>
      <c r="D21" s="335">
        <f>+'3.3.2 Flujo de caja con fin'!D20</f>
        <v>17218.908351558184</v>
      </c>
      <c r="E21" s="335">
        <f>+'3.3.2 Flujo de caja con fin'!E20</f>
        <v>17218.908351558184</v>
      </c>
      <c r="F21" s="335">
        <f>+'3.3.2 Flujo de caja con fin'!F20</f>
        <v>17218.908351558184</v>
      </c>
      <c r="G21" s="335">
        <f>+'3.3.2 Flujo de caja con fin'!G20</f>
        <v>17218.908351558184</v>
      </c>
      <c r="H21" s="335">
        <f>+'3.3.2 Flujo de caja con fin'!H20</f>
        <v>0</v>
      </c>
      <c r="I21" s="335">
        <f>+'3.3.2 Flujo de caja con fin'!I20</f>
        <v>0</v>
      </c>
      <c r="J21" s="335">
        <f>+'3.3.2 Flujo de caja con fin'!J20</f>
        <v>0</v>
      </c>
      <c r="K21" s="335">
        <f>+'3.3.2 Flujo de caja con fin'!K20</f>
        <v>0</v>
      </c>
      <c r="L21" s="335">
        <f>+'3.3.2 Flujo de caja con fin'!L20</f>
        <v>0</v>
      </c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</row>
    <row r="22" spans="1:255" s="20" customFormat="1" ht="12.75">
      <c r="A22" s="176" t="s">
        <v>127</v>
      </c>
      <c r="B22" s="340"/>
      <c r="C22" s="335">
        <f>+'3.3.2 Flujo de caja con fin'!C21</f>
        <v>7472</v>
      </c>
      <c r="D22" s="335">
        <f>+'3.3.2 Flujo de caja con fin'!D21</f>
        <v>7472</v>
      </c>
      <c r="E22" s="335">
        <f>+'3.3.2 Flujo de caja con fin'!E21</f>
        <v>7472</v>
      </c>
      <c r="F22" s="335">
        <f>+'3.3.2 Flujo de caja con fin'!F21</f>
        <v>7472</v>
      </c>
      <c r="G22" s="335">
        <f>+'3.3.2 Flujo de caja con fin'!G21</f>
        <v>7472</v>
      </c>
      <c r="H22" s="335">
        <f>+'3.3.2 Flujo de caja con fin'!H21</f>
        <v>7472</v>
      </c>
      <c r="I22" s="335">
        <f>+'3.3.2 Flujo de caja con fin'!I21</f>
        <v>7472</v>
      </c>
      <c r="J22" s="335">
        <f>+'3.3.2 Flujo de caja con fin'!J21</f>
        <v>7472</v>
      </c>
      <c r="K22" s="335">
        <f>+'3.3.2 Flujo de caja con fin'!K21</f>
        <v>7472</v>
      </c>
      <c r="L22" s="335">
        <f>+'3.3.2 Flujo de caja con fin'!L21</f>
        <v>7472</v>
      </c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145"/>
      <c r="FU22" s="145"/>
      <c r="FV22" s="145"/>
      <c r="FW22" s="145"/>
      <c r="FX22" s="145"/>
      <c r="FY22" s="145"/>
      <c r="FZ22" s="145"/>
      <c r="GA22" s="145"/>
      <c r="GB22" s="145"/>
      <c r="GC22" s="145"/>
      <c r="GD22" s="145"/>
      <c r="GE22" s="145"/>
      <c r="GF22" s="145"/>
      <c r="GG22" s="145"/>
      <c r="GH22" s="145"/>
      <c r="GI22" s="145"/>
      <c r="GJ22" s="145"/>
      <c r="GK22" s="145"/>
      <c r="GL22" s="145"/>
      <c r="GM22" s="145"/>
      <c r="GN22" s="145"/>
      <c r="GO22" s="145"/>
      <c r="GP22" s="145"/>
      <c r="GQ22" s="145"/>
      <c r="GR22" s="145"/>
      <c r="GS22" s="145"/>
      <c r="GT22" s="145"/>
      <c r="GU22" s="145"/>
      <c r="GV22" s="145"/>
      <c r="GW22" s="145"/>
      <c r="GX22" s="145"/>
      <c r="GY22" s="145"/>
      <c r="GZ22" s="145"/>
      <c r="HA22" s="145"/>
      <c r="HB22" s="145"/>
      <c r="HC22" s="145"/>
      <c r="HD22" s="145"/>
      <c r="HE22" s="145"/>
      <c r="HF22" s="145"/>
      <c r="HG22" s="145"/>
      <c r="HH22" s="145"/>
      <c r="HI22" s="145"/>
      <c r="HJ22" s="145"/>
      <c r="HK22" s="145"/>
      <c r="HL22" s="145"/>
      <c r="HM22" s="145"/>
      <c r="HN22" s="145"/>
      <c r="HO22" s="145"/>
      <c r="HP22" s="145"/>
      <c r="HQ22" s="145"/>
      <c r="HR22" s="145"/>
      <c r="HS22" s="145"/>
      <c r="HT22" s="145"/>
      <c r="HU22" s="145"/>
      <c r="HV22" s="145"/>
      <c r="HW22" s="145"/>
      <c r="HX22" s="145"/>
      <c r="HY22" s="145"/>
      <c r="HZ22" s="145"/>
      <c r="IA22" s="145"/>
      <c r="IB22" s="145"/>
      <c r="IC22" s="145"/>
      <c r="ID22" s="145"/>
      <c r="IE22" s="145"/>
      <c r="IF22" s="145"/>
      <c r="IG22" s="145"/>
      <c r="IH22" s="145"/>
      <c r="II22" s="145"/>
      <c r="IJ22" s="145"/>
      <c r="IK22" s="145"/>
      <c r="IL22" s="145"/>
      <c r="IM22" s="145"/>
      <c r="IN22" s="145"/>
      <c r="IO22" s="145"/>
      <c r="IP22" s="145" t="s">
        <v>108</v>
      </c>
      <c r="IQ22" s="145" t="s">
        <v>108</v>
      </c>
      <c r="IR22" s="145" t="s">
        <v>108</v>
      </c>
      <c r="IS22" s="145" t="s">
        <v>108</v>
      </c>
      <c r="IT22" s="145" t="s">
        <v>108</v>
      </c>
      <c r="IU22" s="145" t="s">
        <v>108</v>
      </c>
    </row>
    <row r="23" spans="1:174" s="20" customFormat="1" ht="12.75">
      <c r="A23" s="177"/>
      <c r="B23" s="334"/>
      <c r="C23" s="335"/>
      <c r="D23" s="335"/>
      <c r="E23" s="335"/>
      <c r="F23" s="335"/>
      <c r="G23" s="335"/>
      <c r="H23" s="335"/>
      <c r="I23" s="335"/>
      <c r="J23" s="335"/>
      <c r="K23" s="335"/>
      <c r="L23" s="336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</row>
    <row r="24" spans="1:174" s="20" customFormat="1" ht="12.75">
      <c r="A24" s="177" t="s">
        <v>107</v>
      </c>
      <c r="B24" s="334"/>
      <c r="C24" s="335">
        <f aca="true" t="shared" si="1" ref="C24:L24">+C9-(SUM(C14:C22))</f>
        <v>2034.2916484418165</v>
      </c>
      <c r="D24" s="335">
        <f t="shared" si="1"/>
        <v>2034.2916484418165</v>
      </c>
      <c r="E24" s="335">
        <f t="shared" si="1"/>
        <v>2034.2916484418165</v>
      </c>
      <c r="F24" s="335">
        <f t="shared" si="1"/>
        <v>2034.2916484418165</v>
      </c>
      <c r="G24" s="335">
        <f t="shared" si="1"/>
        <v>2034.2916484418165</v>
      </c>
      <c r="H24" s="335">
        <f t="shared" si="1"/>
        <v>19253.199999999997</v>
      </c>
      <c r="I24" s="335">
        <f t="shared" si="1"/>
        <v>19253.199999999997</v>
      </c>
      <c r="J24" s="335">
        <f t="shared" si="1"/>
        <v>19253.199999999997</v>
      </c>
      <c r="K24" s="335">
        <f t="shared" si="1"/>
        <v>19253.199999999997</v>
      </c>
      <c r="L24" s="335">
        <f t="shared" si="1"/>
        <v>19253.199999999997</v>
      </c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</row>
    <row r="25" spans="1:174" s="20" customFormat="1" ht="12.75">
      <c r="A25" s="177"/>
      <c r="B25" s="334"/>
      <c r="C25" s="335"/>
      <c r="D25" s="335"/>
      <c r="E25" s="335"/>
      <c r="F25" s="335"/>
      <c r="G25" s="335"/>
      <c r="H25" s="335"/>
      <c r="I25" s="335"/>
      <c r="J25" s="335"/>
      <c r="K25" s="335"/>
      <c r="L25" s="336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</row>
    <row r="26" spans="1:174" s="20" customFormat="1" ht="12.75">
      <c r="A26" s="177"/>
      <c r="B26" s="334"/>
      <c r="C26" s="335"/>
      <c r="D26" s="335"/>
      <c r="E26" s="335"/>
      <c r="F26" s="335"/>
      <c r="G26" s="335"/>
      <c r="H26" s="335"/>
      <c r="I26" s="335"/>
      <c r="J26" s="335"/>
      <c r="K26" s="335"/>
      <c r="L26" s="336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</row>
    <row r="27" spans="1:255" s="20" customFormat="1" ht="12.75">
      <c r="A27" s="176" t="s">
        <v>108</v>
      </c>
      <c r="B27" s="340"/>
      <c r="C27" s="335">
        <f>+'ANEXO3.1.3 DEP. ANUAL'!B24</f>
        <v>7472</v>
      </c>
      <c r="D27" s="335">
        <f>+'ANEXO3.1.3 DEP. ANUAL'!C24</f>
        <v>7472</v>
      </c>
      <c r="E27" s="335">
        <f>+'ANEXO3.1.3 DEP. ANUAL'!D24</f>
        <v>7472</v>
      </c>
      <c r="F27" s="335">
        <f>+'ANEXO3.1.3 DEP. ANUAL'!E24</f>
        <v>7472</v>
      </c>
      <c r="G27" s="335">
        <f>+'ANEXO3.1.3 DEP. ANUAL'!F24</f>
        <v>7472</v>
      </c>
      <c r="H27" s="335">
        <f>+'ANEXO3.1.3 DEP. ANUAL'!G24</f>
        <v>7472</v>
      </c>
      <c r="I27" s="335">
        <f>+'ANEXO3.1.3 DEP. ANUAL'!H24</f>
        <v>7472</v>
      </c>
      <c r="J27" s="335">
        <f>+'ANEXO3.1.3 DEP. ANUAL'!I24</f>
        <v>7472</v>
      </c>
      <c r="K27" s="335">
        <f>+'ANEXO3.1.3 DEP. ANUAL'!J24</f>
        <v>7472</v>
      </c>
      <c r="L27" s="336">
        <f>+'ANEXO3.1.3 DEP. ANUAL'!K24</f>
        <v>7472</v>
      </c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145"/>
      <c r="FU27" s="145"/>
      <c r="FV27" s="145"/>
      <c r="FW27" s="145"/>
      <c r="FX27" s="145"/>
      <c r="FY27" s="145"/>
      <c r="FZ27" s="145"/>
      <c r="GA27" s="145"/>
      <c r="GB27" s="145"/>
      <c r="GC27" s="145"/>
      <c r="GD27" s="145"/>
      <c r="GE27" s="145"/>
      <c r="GF27" s="145"/>
      <c r="GG27" s="145"/>
      <c r="GH27" s="145"/>
      <c r="GI27" s="145"/>
      <c r="GJ27" s="145"/>
      <c r="GK27" s="145"/>
      <c r="GL27" s="145"/>
      <c r="GM27" s="145"/>
      <c r="GN27" s="145"/>
      <c r="GO27" s="145"/>
      <c r="GP27" s="145"/>
      <c r="GQ27" s="145"/>
      <c r="GR27" s="145"/>
      <c r="GS27" s="145"/>
      <c r="GT27" s="145"/>
      <c r="GU27" s="145"/>
      <c r="GV27" s="145"/>
      <c r="GW27" s="145"/>
      <c r="GX27" s="145"/>
      <c r="GY27" s="145"/>
      <c r="GZ27" s="145"/>
      <c r="HA27" s="145"/>
      <c r="HB27" s="145"/>
      <c r="HC27" s="145"/>
      <c r="HD27" s="145"/>
      <c r="HE27" s="145"/>
      <c r="HF27" s="145"/>
      <c r="HG27" s="145"/>
      <c r="HH27" s="145"/>
      <c r="HI27" s="145"/>
      <c r="HJ27" s="145"/>
      <c r="HK27" s="145"/>
      <c r="HL27" s="145"/>
      <c r="HM27" s="145"/>
      <c r="HN27" s="145"/>
      <c r="HO27" s="145"/>
      <c r="HP27" s="145"/>
      <c r="HQ27" s="145"/>
      <c r="HR27" s="145"/>
      <c r="HS27" s="145"/>
      <c r="HT27" s="145"/>
      <c r="HU27" s="145"/>
      <c r="HV27" s="145"/>
      <c r="HW27" s="145"/>
      <c r="HX27" s="145"/>
      <c r="HY27" s="145"/>
      <c r="HZ27" s="145"/>
      <c r="IA27" s="145"/>
      <c r="IB27" s="145"/>
      <c r="IC27" s="145"/>
      <c r="ID27" s="145"/>
      <c r="IE27" s="145"/>
      <c r="IF27" s="145"/>
      <c r="IG27" s="145"/>
      <c r="IH27" s="145"/>
      <c r="II27" s="145"/>
      <c r="IJ27" s="145"/>
      <c r="IK27" s="145"/>
      <c r="IL27" s="145"/>
      <c r="IM27" s="145"/>
      <c r="IN27" s="145"/>
      <c r="IO27" s="145"/>
      <c r="IP27" s="145" t="s">
        <v>108</v>
      </c>
      <c r="IQ27" s="145" t="s">
        <v>108</v>
      </c>
      <c r="IR27" s="145" t="s">
        <v>108</v>
      </c>
      <c r="IS27" s="145" t="s">
        <v>108</v>
      </c>
      <c r="IT27" s="145" t="s">
        <v>108</v>
      </c>
      <c r="IU27" s="145" t="s">
        <v>108</v>
      </c>
    </row>
    <row r="28" spans="1:255" s="20" customFormat="1" ht="12.75">
      <c r="A28" s="176" t="s">
        <v>109</v>
      </c>
      <c r="B28" s="340"/>
      <c r="C28" s="341">
        <f>+'3.3.2 Flujo de caja con fin'!C27</f>
        <v>0</v>
      </c>
      <c r="D28" s="341">
        <f>+'3.3.2 Flujo de caja con fin'!D27</f>
        <v>0</v>
      </c>
      <c r="E28" s="341">
        <f>+'3.3.2 Flujo de caja con fin'!E27</f>
        <v>0</v>
      </c>
      <c r="F28" s="341">
        <f>+'3.3.2 Flujo de caja con fin'!F27</f>
        <v>0</v>
      </c>
      <c r="G28" s="341">
        <f>+'3.3.2 Flujo de caja con fin'!G27</f>
        <v>0</v>
      </c>
      <c r="H28" s="341">
        <f>+'3.3.2 Flujo de caja con fin'!H27</f>
        <v>0</v>
      </c>
      <c r="I28" s="341">
        <f>+'3.3.2 Flujo de caja con fin'!I27</f>
        <v>0</v>
      </c>
      <c r="J28" s="341">
        <f>+'3.3.2 Flujo de caja con fin'!J27</f>
        <v>0</v>
      </c>
      <c r="K28" s="341">
        <f>+'3.3.2 Flujo de caja con fin'!K27</f>
        <v>0</v>
      </c>
      <c r="L28" s="341">
        <f>+'3.3.2 Flujo de caja con fin'!L27</f>
        <v>42500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145"/>
      <c r="FU28" s="145"/>
      <c r="FV28" s="145"/>
      <c r="FW28" s="145"/>
      <c r="FX28" s="145"/>
      <c r="FY28" s="145"/>
      <c r="FZ28" s="145"/>
      <c r="GA28" s="145"/>
      <c r="GB28" s="145"/>
      <c r="GC28" s="145"/>
      <c r="GD28" s="145"/>
      <c r="GE28" s="145"/>
      <c r="GF28" s="145"/>
      <c r="GG28" s="145"/>
      <c r="GH28" s="145"/>
      <c r="GI28" s="145"/>
      <c r="GJ28" s="145"/>
      <c r="GK28" s="145"/>
      <c r="GL28" s="145"/>
      <c r="GM28" s="145"/>
      <c r="GN28" s="145"/>
      <c r="GO28" s="145"/>
      <c r="GP28" s="145"/>
      <c r="GQ28" s="145"/>
      <c r="GR28" s="145"/>
      <c r="GS28" s="145"/>
      <c r="GT28" s="145"/>
      <c r="GU28" s="145"/>
      <c r="GV28" s="145"/>
      <c r="GW28" s="145"/>
      <c r="GX28" s="145"/>
      <c r="GY28" s="145"/>
      <c r="GZ28" s="145"/>
      <c r="HA28" s="145"/>
      <c r="HB28" s="145"/>
      <c r="HC28" s="145"/>
      <c r="HD28" s="145"/>
      <c r="HE28" s="145"/>
      <c r="HF28" s="145"/>
      <c r="HG28" s="145"/>
      <c r="HH28" s="145"/>
      <c r="HI28" s="145"/>
      <c r="HJ28" s="145"/>
      <c r="HK28" s="145"/>
      <c r="HL28" s="145"/>
      <c r="HM28" s="145"/>
      <c r="HN28" s="145"/>
      <c r="HO28" s="145"/>
      <c r="HP28" s="145"/>
      <c r="HQ28" s="145"/>
      <c r="HR28" s="145"/>
      <c r="HS28" s="145"/>
      <c r="HT28" s="145"/>
      <c r="HU28" s="145"/>
      <c r="HV28" s="145"/>
      <c r="HW28" s="145"/>
      <c r="HX28" s="145"/>
      <c r="HY28" s="145"/>
      <c r="HZ28" s="145"/>
      <c r="IA28" s="145"/>
      <c r="IB28" s="145"/>
      <c r="IC28" s="145"/>
      <c r="ID28" s="145"/>
      <c r="IE28" s="145"/>
      <c r="IF28" s="145"/>
      <c r="IG28" s="145"/>
      <c r="IH28" s="145"/>
      <c r="II28" s="145"/>
      <c r="IJ28" s="145"/>
      <c r="IK28" s="145"/>
      <c r="IL28" s="145"/>
      <c r="IM28" s="145"/>
      <c r="IN28" s="145"/>
      <c r="IO28" s="145"/>
      <c r="IP28" s="145" t="s">
        <v>109</v>
      </c>
      <c r="IQ28" s="145" t="s">
        <v>109</v>
      </c>
      <c r="IR28" s="145" t="s">
        <v>109</v>
      </c>
      <c r="IS28" s="145" t="s">
        <v>109</v>
      </c>
      <c r="IT28" s="145" t="s">
        <v>109</v>
      </c>
      <c r="IU28" s="145" t="s">
        <v>109</v>
      </c>
    </row>
    <row r="29" spans="1:255" s="20" customFormat="1" ht="12.75">
      <c r="A29" s="176"/>
      <c r="B29" s="340"/>
      <c r="C29" s="340"/>
      <c r="D29" s="340"/>
      <c r="E29" s="340"/>
      <c r="F29" s="340"/>
      <c r="G29" s="340"/>
      <c r="H29" s="340"/>
      <c r="I29" s="340"/>
      <c r="J29" s="340"/>
      <c r="K29" s="340"/>
      <c r="L29" s="343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  <c r="IS29" s="51"/>
      <c r="IT29" s="51"/>
      <c r="IU29" s="51"/>
    </row>
    <row r="30" spans="1:12" s="20" customFormat="1" ht="12.75">
      <c r="A30" s="177"/>
      <c r="B30" s="341"/>
      <c r="C30" s="335"/>
      <c r="D30" s="335"/>
      <c r="E30" s="335"/>
      <c r="F30" s="335"/>
      <c r="G30" s="335"/>
      <c r="H30" s="335"/>
      <c r="I30" s="335"/>
      <c r="J30" s="335"/>
      <c r="K30" s="335"/>
      <c r="L30" s="336"/>
    </row>
    <row r="31" spans="1:12" s="20" customFormat="1" ht="12.75">
      <c r="A31" s="177" t="s">
        <v>110</v>
      </c>
      <c r="B31" s="335">
        <f>+'3.1 Inversiónes'!B13*-1</f>
        <v>-97440</v>
      </c>
      <c r="C31" s="344"/>
      <c r="D31" s="335"/>
      <c r="E31" s="335"/>
      <c r="F31" s="335"/>
      <c r="G31" s="335"/>
      <c r="H31" s="335"/>
      <c r="I31" s="335"/>
      <c r="J31" s="335"/>
      <c r="K31" s="335"/>
      <c r="L31" s="336"/>
    </row>
    <row r="32" spans="1:12" s="20" customFormat="1" ht="12.75">
      <c r="A32" s="177" t="s">
        <v>130</v>
      </c>
      <c r="B32" s="341">
        <f>+'3.3.2 Flujo de caja con fin'!B31</f>
        <v>68208</v>
      </c>
      <c r="C32" s="335"/>
      <c r="D32" s="335"/>
      <c r="E32" s="335"/>
      <c r="F32" s="335"/>
      <c r="G32" s="335"/>
      <c r="H32" s="335"/>
      <c r="I32" s="335"/>
      <c r="J32" s="335"/>
      <c r="K32" s="335"/>
      <c r="L32" s="336"/>
    </row>
    <row r="33" spans="1:12" s="20" customFormat="1" ht="13.5" thickBot="1">
      <c r="A33" s="179"/>
      <c r="B33" s="345"/>
      <c r="C33" s="346"/>
      <c r="D33" s="346"/>
      <c r="E33" s="346"/>
      <c r="F33" s="346"/>
      <c r="G33" s="346"/>
      <c r="H33" s="346"/>
      <c r="I33" s="346"/>
      <c r="J33" s="346"/>
      <c r="K33" s="346"/>
      <c r="L33" s="347"/>
    </row>
    <row r="34" spans="1:12" s="20" customFormat="1" ht="13.5" thickBot="1">
      <c r="A34" s="156" t="s">
        <v>118</v>
      </c>
      <c r="B34" s="348">
        <f>+B31+B32</f>
        <v>-29232</v>
      </c>
      <c r="C34" s="349">
        <f aca="true" t="shared" si="2" ref="C34:L34">+C24+C27+C28</f>
        <v>9506.291648441817</v>
      </c>
      <c r="D34" s="349">
        <f t="shared" si="2"/>
        <v>9506.291648441817</v>
      </c>
      <c r="E34" s="349">
        <f t="shared" si="2"/>
        <v>9506.291648441817</v>
      </c>
      <c r="F34" s="349">
        <f t="shared" si="2"/>
        <v>9506.291648441817</v>
      </c>
      <c r="G34" s="349">
        <f t="shared" si="2"/>
        <v>9506.291648441817</v>
      </c>
      <c r="H34" s="349">
        <f t="shared" si="2"/>
        <v>26725.199999999997</v>
      </c>
      <c r="I34" s="349">
        <f t="shared" si="2"/>
        <v>26725.199999999997</v>
      </c>
      <c r="J34" s="349">
        <f t="shared" si="2"/>
        <v>26725.199999999997</v>
      </c>
      <c r="K34" s="349">
        <f t="shared" si="2"/>
        <v>26725.199999999997</v>
      </c>
      <c r="L34" s="349">
        <f t="shared" si="2"/>
        <v>69225.2</v>
      </c>
    </row>
    <row r="35" spans="1:11" s="20" customFormat="1" ht="12.75">
      <c r="A35" s="27" t="s">
        <v>29</v>
      </c>
      <c r="B35" s="146"/>
      <c r="C35" s="22"/>
      <c r="D35" s="22"/>
      <c r="E35" s="22"/>
      <c r="F35" s="22"/>
      <c r="G35" s="22"/>
      <c r="H35" s="22"/>
      <c r="I35" s="22"/>
      <c r="J35" s="22"/>
      <c r="K35" s="22"/>
    </row>
    <row r="36" s="20" customFormat="1" ht="13.5" thickBot="1"/>
    <row r="37" spans="1:3" s="20" customFormat="1" ht="12.75">
      <c r="A37" s="12" t="s">
        <v>112</v>
      </c>
      <c r="B37" s="147">
        <f>+'3.3.2 Flujo de caja sin financi'!B35</f>
        <v>0.10450000000000001</v>
      </c>
      <c r="C37" s="11"/>
    </row>
    <row r="38" spans="1:6" s="20" customFormat="1" ht="18">
      <c r="A38" s="2" t="s">
        <v>113</v>
      </c>
      <c r="B38" s="261">
        <f>NPV(B37,C34:L34)+B34</f>
        <v>83056.09338457964</v>
      </c>
      <c r="C38" s="160"/>
      <c r="D38" s="27"/>
      <c r="E38" s="150"/>
      <c r="F38" s="153"/>
    </row>
    <row r="39" spans="1:6" s="20" customFormat="1" ht="18.75" thickBot="1">
      <c r="A39" s="24" t="s">
        <v>114</v>
      </c>
      <c r="B39" s="260">
        <f>IRR(B34:L34)</f>
        <v>0.418496534185641</v>
      </c>
      <c r="C39" s="160"/>
      <c r="D39" s="27"/>
      <c r="E39" s="150"/>
      <c r="F39" s="154"/>
    </row>
    <row r="40" spans="1:6" s="20" customFormat="1" ht="12.75">
      <c r="A40" s="150" t="s">
        <v>126</v>
      </c>
      <c r="B40"/>
      <c r="C40" s="151"/>
      <c r="D40" s="27"/>
      <c r="E40" s="150"/>
      <c r="F40" s="180"/>
    </row>
    <row r="41" spans="4:6" s="20" customFormat="1" ht="12.75">
      <c r="D41" s="27"/>
      <c r="E41" s="150"/>
      <c r="F41" s="181"/>
    </row>
    <row r="42" ht="21.75" customHeight="1"/>
    <row r="43" spans="1:6" ht="12.75" customHeight="1" thickBot="1">
      <c r="A43" s="494" t="s">
        <v>203</v>
      </c>
      <c r="B43" s="494"/>
      <c r="C43" s="494"/>
      <c r="D43" s="494"/>
      <c r="E43" s="494"/>
      <c r="F43" s="494"/>
    </row>
    <row r="44" spans="1:14" ht="39" thickBot="1">
      <c r="A44" s="271" t="s">
        <v>177</v>
      </c>
      <c r="B44" s="272">
        <v>-0.2</v>
      </c>
      <c r="C44" s="272">
        <v>-0.1</v>
      </c>
      <c r="D44" s="272">
        <v>0</v>
      </c>
      <c r="E44" s="272">
        <v>0.1</v>
      </c>
      <c r="F44" s="273">
        <v>0.2</v>
      </c>
      <c r="I44" s="53" t="s">
        <v>31</v>
      </c>
      <c r="J44" s="367" t="s">
        <v>194</v>
      </c>
      <c r="K44" s="367" t="s">
        <v>201</v>
      </c>
      <c r="L44" s="250" t="s">
        <v>195</v>
      </c>
      <c r="M44" s="370" t="s">
        <v>193</v>
      </c>
      <c r="N44" s="369" t="s">
        <v>192</v>
      </c>
    </row>
    <row r="45" spans="1:14" ht="12.75">
      <c r="A45" s="16" t="s">
        <v>135</v>
      </c>
      <c r="B45" s="374">
        <v>83056.09</v>
      </c>
      <c r="C45" s="374">
        <v>111988.37</v>
      </c>
      <c r="D45" s="374">
        <f>+'3.3.2 Flujo de caja con fin'!B37</f>
        <v>140920.64841052238</v>
      </c>
      <c r="E45" s="374">
        <v>169852.93</v>
      </c>
      <c r="F45" s="375">
        <v>198785.2</v>
      </c>
      <c r="I45" s="53">
        <v>1</v>
      </c>
      <c r="J45" s="250">
        <f>+ANEXOHORROSPLANTA!N4</f>
        <v>24000</v>
      </c>
      <c r="K45" s="250">
        <f aca="true" t="shared" si="3" ref="K45:K54">+J45*(1+$F$63)</f>
        <v>19200</v>
      </c>
      <c r="L45" s="53">
        <f>+'ANEXOCONSUMO DE AGUA ESPOL'!H3</f>
        <v>10215.083333333334</v>
      </c>
      <c r="M45" s="53">
        <f>+(K45+L45)*$K$57</f>
        <v>58830.16666666667</v>
      </c>
      <c r="N45" s="53">
        <f>+L45*$K$57</f>
        <v>20430.166666666668</v>
      </c>
    </row>
    <row r="46" spans="1:14" ht="12.75">
      <c r="A46" s="17" t="s">
        <v>114</v>
      </c>
      <c r="B46" s="276">
        <v>0.4185</v>
      </c>
      <c r="C46" s="276">
        <v>0.5515</v>
      </c>
      <c r="D46" s="276">
        <f>+'3.3.2 Flujo de caja con fin'!B38</f>
        <v>0.6945712375199459</v>
      </c>
      <c r="E46" s="276">
        <v>0.845</v>
      </c>
      <c r="F46" s="277">
        <v>1</v>
      </c>
      <c r="I46" s="53">
        <v>2</v>
      </c>
      <c r="J46" s="250">
        <f>+ANEXOHORROSPLANTA!N5</f>
        <v>24000</v>
      </c>
      <c r="K46" s="250">
        <f t="shared" si="3"/>
        <v>19200</v>
      </c>
      <c r="L46" s="53">
        <f>+'ANEXOCONSUMO DE AGUA ESPOL'!H4</f>
        <v>10215.083333333334</v>
      </c>
      <c r="M46" s="53">
        <f aca="true" t="shared" si="4" ref="M46:M54">+(K46+L46)*$K$57</f>
        <v>58830.16666666667</v>
      </c>
      <c r="N46" s="53">
        <f aca="true" t="shared" si="5" ref="N46:N54">+L46*$K$57</f>
        <v>20430.166666666668</v>
      </c>
    </row>
    <row r="47" spans="1:14" ht="13.5" thickBot="1">
      <c r="A47" s="18" t="s">
        <v>178</v>
      </c>
      <c r="B47" s="278">
        <f>+D47</f>
        <v>0.1395</v>
      </c>
      <c r="C47" s="278">
        <f>+B47</f>
        <v>0.1395</v>
      </c>
      <c r="D47" s="278">
        <f>+'3.2.3 Costos Financieros'!B7</f>
        <v>0.1395</v>
      </c>
      <c r="E47" s="278">
        <f>+D47</f>
        <v>0.1395</v>
      </c>
      <c r="F47" s="279">
        <f>+E47</f>
        <v>0.1395</v>
      </c>
      <c r="I47" s="53">
        <v>3</v>
      </c>
      <c r="J47" s="250">
        <f>+ANEXOHORROSPLANTA!N6</f>
        <v>24000</v>
      </c>
      <c r="K47" s="250">
        <f t="shared" si="3"/>
        <v>19200</v>
      </c>
      <c r="L47" s="53">
        <f>+'ANEXOCONSUMO DE AGUA ESPOL'!H5</f>
        <v>10215.083333333334</v>
      </c>
      <c r="M47" s="53">
        <f t="shared" si="4"/>
        <v>58830.16666666667</v>
      </c>
      <c r="N47" s="53">
        <f t="shared" si="5"/>
        <v>20430.166666666668</v>
      </c>
    </row>
    <row r="48" spans="1:14" ht="17.25" customHeight="1">
      <c r="A48" s="58" t="s">
        <v>29</v>
      </c>
      <c r="B48" s="376"/>
      <c r="C48" s="376"/>
      <c r="D48" s="376"/>
      <c r="E48" s="376"/>
      <c r="F48" s="376"/>
      <c r="I48" s="53">
        <v>4</v>
      </c>
      <c r="J48" s="250">
        <f>+ANEXOHORROSPLANTA!N7</f>
        <v>24000</v>
      </c>
      <c r="K48" s="250">
        <f t="shared" si="3"/>
        <v>19200</v>
      </c>
      <c r="L48" s="53">
        <f>+'ANEXOCONSUMO DE AGUA ESPOL'!H6</f>
        <v>10215.083333333334</v>
      </c>
      <c r="M48" s="53">
        <f t="shared" si="4"/>
        <v>58830.16666666667</v>
      </c>
      <c r="N48" s="53">
        <f t="shared" si="5"/>
        <v>20430.166666666668</v>
      </c>
    </row>
    <row r="49" spans="1:14" ht="13.5" thickBot="1">
      <c r="A49" s="495" t="s">
        <v>202</v>
      </c>
      <c r="B49" s="495"/>
      <c r="C49" s="495"/>
      <c r="D49" s="495"/>
      <c r="E49" s="495"/>
      <c r="F49" s="495"/>
      <c r="I49" s="53">
        <v>5</v>
      </c>
      <c r="J49" s="250">
        <f>+ANEXOHORROSPLANTA!N8</f>
        <v>24000</v>
      </c>
      <c r="K49" s="250">
        <f t="shared" si="3"/>
        <v>19200</v>
      </c>
      <c r="L49" s="53">
        <f>+'ANEXOCONSUMO DE AGUA ESPOL'!H7</f>
        <v>10215.083333333334</v>
      </c>
      <c r="M49" s="53">
        <f t="shared" si="4"/>
        <v>58830.16666666667</v>
      </c>
      <c r="N49" s="53">
        <f t="shared" si="5"/>
        <v>20430.166666666668</v>
      </c>
    </row>
    <row r="50" spans="1:14" ht="39" thickBot="1">
      <c r="A50" s="271" t="s">
        <v>179</v>
      </c>
      <c r="B50" s="272">
        <v>-0.2</v>
      </c>
      <c r="C50" s="272">
        <v>-0.1</v>
      </c>
      <c r="D50" s="272">
        <v>0</v>
      </c>
      <c r="E50" s="272">
        <v>0.1</v>
      </c>
      <c r="F50" s="273">
        <v>0.2</v>
      </c>
      <c r="I50" s="53">
        <v>6</v>
      </c>
      <c r="J50" s="250">
        <f>+ANEXOHORROSPLANTA!N9</f>
        <v>24000</v>
      </c>
      <c r="K50" s="250">
        <f t="shared" si="3"/>
        <v>19200</v>
      </c>
      <c r="L50" s="53">
        <f>+'ANEXOCONSUMO DE AGUA ESPOL'!H8</f>
        <v>10215.083333333334</v>
      </c>
      <c r="M50" s="53">
        <f>+(K50+L50)*$K$57</f>
        <v>58830.16666666667</v>
      </c>
      <c r="N50" s="53">
        <f t="shared" si="5"/>
        <v>20430.166666666668</v>
      </c>
    </row>
    <row r="51" spans="1:14" ht="12.75">
      <c r="A51" s="270" t="s">
        <v>135</v>
      </c>
      <c r="B51" s="374">
        <v>83056.09</v>
      </c>
      <c r="C51" s="274">
        <v>111988.37</v>
      </c>
      <c r="D51" s="274">
        <f>+D45</f>
        <v>140920.64841052238</v>
      </c>
      <c r="E51" s="374">
        <v>169852.93</v>
      </c>
      <c r="F51" s="275">
        <v>198785.2</v>
      </c>
      <c r="I51" s="53">
        <v>7</v>
      </c>
      <c r="J51" s="250">
        <f>+ANEXOHORROSPLANTA!N10</f>
        <v>24000</v>
      </c>
      <c r="K51" s="250">
        <f t="shared" si="3"/>
        <v>19200</v>
      </c>
      <c r="L51" s="53">
        <f>+'ANEXOCONSUMO DE AGUA ESPOL'!H9</f>
        <v>10215.083333333334</v>
      </c>
      <c r="M51" s="53">
        <f t="shared" si="4"/>
        <v>58830.16666666667</v>
      </c>
      <c r="N51" s="53">
        <f t="shared" si="5"/>
        <v>20430.166666666668</v>
      </c>
    </row>
    <row r="52" spans="1:14" ht="12.75">
      <c r="A52" s="17" t="s">
        <v>114</v>
      </c>
      <c r="B52" s="276">
        <v>0.4185</v>
      </c>
      <c r="C52" s="276">
        <v>0.5515</v>
      </c>
      <c r="D52" s="276">
        <f>+D46</f>
        <v>0.6945712375199459</v>
      </c>
      <c r="E52" s="276">
        <v>0.845</v>
      </c>
      <c r="F52" s="277">
        <v>1</v>
      </c>
      <c r="I52" s="53">
        <v>8</v>
      </c>
      <c r="J52" s="250">
        <f>+ANEXOHORROSPLANTA!N11</f>
        <v>24000</v>
      </c>
      <c r="K52" s="250">
        <f t="shared" si="3"/>
        <v>19200</v>
      </c>
      <c r="L52" s="53">
        <f>+'ANEXOCONSUMO DE AGUA ESPOL'!H10</f>
        <v>10215.083333333334</v>
      </c>
      <c r="M52" s="53">
        <f t="shared" si="4"/>
        <v>58830.16666666667</v>
      </c>
      <c r="N52" s="53">
        <f>+L52*$K$57</f>
        <v>20430.166666666668</v>
      </c>
    </row>
    <row r="53" spans="1:14" ht="13.5" customHeight="1" thickBot="1">
      <c r="A53" s="18" t="s">
        <v>178</v>
      </c>
      <c r="B53" s="278">
        <f>+D53</f>
        <v>0.1395</v>
      </c>
      <c r="C53" s="278">
        <f>+B53</f>
        <v>0.1395</v>
      </c>
      <c r="D53" s="278">
        <f>+D47</f>
        <v>0.1395</v>
      </c>
      <c r="E53" s="278">
        <f>+D53</f>
        <v>0.1395</v>
      </c>
      <c r="F53" s="279">
        <f>+E53</f>
        <v>0.1395</v>
      </c>
      <c r="I53" s="53">
        <v>9</v>
      </c>
      <c r="J53" s="250">
        <f>+ANEXOHORROSPLANTA!N12</f>
        <v>24000</v>
      </c>
      <c r="K53" s="250">
        <f t="shared" si="3"/>
        <v>19200</v>
      </c>
      <c r="L53" s="53">
        <f>+'ANEXOCONSUMO DE AGUA ESPOL'!H11</f>
        <v>10215.083333333334</v>
      </c>
      <c r="M53" s="53">
        <f t="shared" si="4"/>
        <v>58830.16666666667</v>
      </c>
      <c r="N53" s="53">
        <f t="shared" si="5"/>
        <v>20430.166666666668</v>
      </c>
    </row>
    <row r="54" spans="1:14" ht="15" customHeight="1">
      <c r="A54" s="58" t="s">
        <v>29</v>
      </c>
      <c r="I54" s="53">
        <v>10</v>
      </c>
      <c r="J54" s="250">
        <f>+ANEXOHORROSPLANTA!N13</f>
        <v>24000</v>
      </c>
      <c r="K54" s="250">
        <f t="shared" si="3"/>
        <v>19200</v>
      </c>
      <c r="L54" s="53">
        <f>+'ANEXOCONSUMO DE AGUA ESPOL'!H12</f>
        <v>10215.083333333334</v>
      </c>
      <c r="M54" s="53">
        <f t="shared" si="4"/>
        <v>58830.16666666667</v>
      </c>
      <c r="N54" s="53">
        <f t="shared" si="5"/>
        <v>20430.166666666668</v>
      </c>
    </row>
    <row r="55" spans="1:6" ht="13.5" thickBot="1">
      <c r="A55" s="495" t="s">
        <v>204</v>
      </c>
      <c r="B55" s="495"/>
      <c r="C55" s="495"/>
      <c r="D55" s="495"/>
      <c r="E55" s="495"/>
      <c r="F55" s="495"/>
    </row>
    <row r="56" spans="1:6" ht="31.5" customHeight="1" thickBot="1">
      <c r="A56" s="496" t="s">
        <v>136</v>
      </c>
      <c r="B56" s="497"/>
      <c r="C56" s="497"/>
      <c r="D56" s="497"/>
      <c r="E56" s="497"/>
      <c r="F56" s="498"/>
    </row>
    <row r="57" spans="1:11" ht="12.75">
      <c r="A57" s="499" t="s">
        <v>137</v>
      </c>
      <c r="B57" s="500"/>
      <c r="C57" s="500"/>
      <c r="D57" s="501"/>
      <c r="E57" s="490">
        <v>0.48</v>
      </c>
      <c r="F57" s="491"/>
      <c r="J57" s="53" t="s">
        <v>199</v>
      </c>
      <c r="K57" s="53">
        <f>+'ANEXOCONSUMO DE AGUA ESPOL'!D20*(1+F62)</f>
        <v>2</v>
      </c>
    </row>
    <row r="58" spans="1:6" ht="13.5" thickBot="1">
      <c r="A58" s="487" t="s">
        <v>138</v>
      </c>
      <c r="B58" s="488"/>
      <c r="C58" s="488"/>
      <c r="D58" s="489"/>
      <c r="E58" s="492">
        <v>0.48</v>
      </c>
      <c r="F58" s="493"/>
    </row>
    <row r="59" ht="12.75">
      <c r="A59" s="58" t="s">
        <v>29</v>
      </c>
    </row>
    <row r="60" ht="13.5" thickBot="1"/>
    <row r="61" spans="1:6" ht="12.75">
      <c r="A61" s="12" t="s">
        <v>112</v>
      </c>
      <c r="B61" s="280"/>
      <c r="C61" s="147">
        <f>+'4.4 Analisis de Sensibilidad'!B37</f>
        <v>0.10450000000000001</v>
      </c>
      <c r="E61" s="284" t="s">
        <v>180</v>
      </c>
      <c r="F61" s="285"/>
    </row>
    <row r="62" spans="1:6" ht="12.75">
      <c r="A62" s="2" t="s">
        <v>113</v>
      </c>
      <c r="B62" s="27"/>
      <c r="C62" s="261">
        <f>+'4.4 Analisis de Sensibilidad'!B38</f>
        <v>83056.09338457964</v>
      </c>
      <c r="E62" s="197" t="s">
        <v>141</v>
      </c>
      <c r="F62" s="282">
        <v>0</v>
      </c>
    </row>
    <row r="63" spans="1:6" ht="13.5" thickBot="1">
      <c r="A63" s="24" t="s">
        <v>114</v>
      </c>
      <c r="B63" s="281"/>
      <c r="C63" s="260">
        <f>+'4.4 Analisis de Sensibilidad'!B39</f>
        <v>0.418496534185641</v>
      </c>
      <c r="E63" s="199" t="s">
        <v>181</v>
      </c>
      <c r="F63" s="283">
        <v>-0.2</v>
      </c>
    </row>
  </sheetData>
  <mergeCells count="10">
    <mergeCell ref="A4:L4"/>
    <mergeCell ref="A2:L2"/>
    <mergeCell ref="A58:D58"/>
    <mergeCell ref="E57:F57"/>
    <mergeCell ref="E58:F58"/>
    <mergeCell ref="A43:F43"/>
    <mergeCell ref="A49:F49"/>
    <mergeCell ref="A55:F55"/>
    <mergeCell ref="A56:F56"/>
    <mergeCell ref="A57:D57"/>
  </mergeCells>
  <printOptions horizontalCentered="1" verticalCentered="1"/>
  <pageMargins left="0.5905511811023623" right="0.7874015748031497" top="0.15748031496062992" bottom="1.3385826771653544" header="0" footer="1.3385826771653544"/>
  <pageSetup horizontalDpi="300" verticalDpi="300" orientation="landscape" r:id="rId2"/>
  <ignoredErrors>
    <ignoredError sqref="D4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9"/>
  <sheetViews>
    <sheetView zoomScale="80" zoomScaleNormal="80" workbookViewId="0" topLeftCell="A1">
      <selection activeCell="C38" sqref="C38"/>
    </sheetView>
  </sheetViews>
  <sheetFormatPr defaultColWidth="11.421875" defaultRowHeight="12.75"/>
  <cols>
    <col min="1" max="1" width="32.57421875" style="20" bestFit="1" customWidth="1"/>
    <col min="2" max="8" width="9.8515625" style="20" bestFit="1" customWidth="1"/>
    <col min="9" max="9" width="9.8515625" style="27" bestFit="1" customWidth="1"/>
    <col min="10" max="11" width="9.8515625" style="20" bestFit="1" customWidth="1"/>
    <col min="12" max="16384" width="11.421875" style="20" customWidth="1"/>
  </cols>
  <sheetData>
    <row r="3" spans="1:11" ht="19.5">
      <c r="A3" s="423" t="s">
        <v>228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</row>
    <row r="4" ht="12.75">
      <c r="A4" s="3"/>
    </row>
    <row r="5" spans="1:11" ht="18.75" thickBot="1">
      <c r="A5" s="422" t="s">
        <v>30</v>
      </c>
      <c r="B5" s="422"/>
      <c r="C5" s="422"/>
      <c r="D5" s="422"/>
      <c r="E5" s="422"/>
      <c r="F5" s="422"/>
      <c r="G5" s="422"/>
      <c r="H5" s="422"/>
      <c r="I5" s="422"/>
      <c r="J5" s="422"/>
      <c r="K5" s="422"/>
    </row>
    <row r="6" spans="1:11" ht="13.5" thickBot="1">
      <c r="A6" s="52"/>
      <c r="B6" s="97" t="s">
        <v>16</v>
      </c>
      <c r="C6" s="4" t="s">
        <v>27</v>
      </c>
      <c r="D6" s="4" t="s">
        <v>17</v>
      </c>
      <c r="E6" s="4" t="s">
        <v>18</v>
      </c>
      <c r="F6" s="4" t="s">
        <v>19</v>
      </c>
      <c r="G6" s="4" t="s">
        <v>20</v>
      </c>
      <c r="H6" s="4" t="s">
        <v>21</v>
      </c>
      <c r="I6" s="4" t="s">
        <v>22</v>
      </c>
      <c r="J6" s="4" t="s">
        <v>23</v>
      </c>
      <c r="K6" s="4" t="s">
        <v>24</v>
      </c>
    </row>
    <row r="7" spans="1:11" ht="12.75">
      <c r="A7" s="91"/>
      <c r="B7" s="60"/>
      <c r="C7" s="98"/>
      <c r="D7" s="98"/>
      <c r="E7" s="98"/>
      <c r="F7" s="98"/>
      <c r="G7" s="98"/>
      <c r="H7" s="98"/>
      <c r="I7" s="98"/>
      <c r="J7" s="98"/>
      <c r="K7" s="98"/>
    </row>
    <row r="8" spans="1:11" ht="12.75">
      <c r="A8" s="92" t="s">
        <v>25</v>
      </c>
      <c r="B8" s="2"/>
      <c r="C8" s="96"/>
      <c r="D8" s="96"/>
      <c r="E8" s="96"/>
      <c r="F8" s="96"/>
      <c r="G8" s="96"/>
      <c r="H8" s="96"/>
      <c r="I8" s="96"/>
      <c r="J8" s="96"/>
      <c r="K8" s="96"/>
    </row>
    <row r="9" spans="1:11" ht="12.75">
      <c r="A9" s="91" t="s">
        <v>10</v>
      </c>
      <c r="B9" s="302">
        <f>+'3.1.3 DEPRE'!D8</f>
        <v>2172</v>
      </c>
      <c r="C9" s="303">
        <f>B9</f>
        <v>2172</v>
      </c>
      <c r="D9" s="303">
        <f aca="true" t="shared" si="0" ref="D9:K9">B9</f>
        <v>2172</v>
      </c>
      <c r="E9" s="303">
        <f t="shared" si="0"/>
        <v>2172</v>
      </c>
      <c r="F9" s="303">
        <f t="shared" si="0"/>
        <v>2172</v>
      </c>
      <c r="G9" s="303">
        <f t="shared" si="0"/>
        <v>2172</v>
      </c>
      <c r="H9" s="303">
        <f t="shared" si="0"/>
        <v>2172</v>
      </c>
      <c r="I9" s="303">
        <f t="shared" si="0"/>
        <v>2172</v>
      </c>
      <c r="J9" s="303">
        <f t="shared" si="0"/>
        <v>2172</v>
      </c>
      <c r="K9" s="303">
        <f t="shared" si="0"/>
        <v>2172</v>
      </c>
    </row>
    <row r="10" spans="1:11" ht="12.75">
      <c r="A10" s="91"/>
      <c r="B10" s="302"/>
      <c r="C10" s="303"/>
      <c r="D10" s="303"/>
      <c r="E10" s="303"/>
      <c r="F10" s="303"/>
      <c r="G10" s="303"/>
      <c r="H10" s="303"/>
      <c r="I10" s="303"/>
      <c r="J10" s="303"/>
      <c r="K10" s="303"/>
    </row>
    <row r="11" spans="1:11" ht="12.75">
      <c r="A11" s="92" t="s">
        <v>26</v>
      </c>
      <c r="B11" s="302"/>
      <c r="C11" s="303"/>
      <c r="D11" s="303"/>
      <c r="E11" s="303"/>
      <c r="F11" s="303"/>
      <c r="G11" s="303"/>
      <c r="H11" s="303"/>
      <c r="I11" s="303"/>
      <c r="J11" s="303"/>
      <c r="K11" s="303"/>
    </row>
    <row r="12" spans="1:11" ht="12.75">
      <c r="A12" s="93" t="s">
        <v>71</v>
      </c>
      <c r="B12" s="302">
        <f>+'3.1.3 DEPRE'!D11</f>
        <v>800</v>
      </c>
      <c r="C12" s="303">
        <f aca="true" t="shared" si="1" ref="C12:C17">B12</f>
        <v>800</v>
      </c>
      <c r="D12" s="303">
        <f aca="true" t="shared" si="2" ref="D12:K12">B12</f>
        <v>800</v>
      </c>
      <c r="E12" s="303">
        <f t="shared" si="2"/>
        <v>800</v>
      </c>
      <c r="F12" s="303">
        <f t="shared" si="2"/>
        <v>800</v>
      </c>
      <c r="G12" s="303">
        <f t="shared" si="2"/>
        <v>800</v>
      </c>
      <c r="H12" s="303">
        <f t="shared" si="2"/>
        <v>800</v>
      </c>
      <c r="I12" s="303">
        <f t="shared" si="2"/>
        <v>800</v>
      </c>
      <c r="J12" s="303">
        <f t="shared" si="2"/>
        <v>800</v>
      </c>
      <c r="K12" s="303">
        <f t="shared" si="2"/>
        <v>800</v>
      </c>
    </row>
    <row r="13" spans="1:11" ht="12.75">
      <c r="A13" s="93" t="s">
        <v>72</v>
      </c>
      <c r="B13" s="302">
        <f>+'3.1.3 DEPRE'!D12</f>
        <v>2800</v>
      </c>
      <c r="C13" s="303">
        <f t="shared" si="1"/>
        <v>2800</v>
      </c>
      <c r="D13" s="303">
        <f aca="true" t="shared" si="3" ref="D13:F14">C13</f>
        <v>2800</v>
      </c>
      <c r="E13" s="303">
        <f t="shared" si="3"/>
        <v>2800</v>
      </c>
      <c r="F13" s="303">
        <f t="shared" si="3"/>
        <v>2800</v>
      </c>
      <c r="G13" s="303">
        <f aca="true" t="shared" si="4" ref="G13:K17">F13</f>
        <v>2800</v>
      </c>
      <c r="H13" s="303">
        <f t="shared" si="4"/>
        <v>2800</v>
      </c>
      <c r="I13" s="303">
        <f t="shared" si="4"/>
        <v>2800</v>
      </c>
      <c r="J13" s="303">
        <f t="shared" si="4"/>
        <v>2800</v>
      </c>
      <c r="K13" s="303">
        <f t="shared" si="4"/>
        <v>2800</v>
      </c>
    </row>
    <row r="14" spans="1:11" ht="12.75">
      <c r="A14" s="93" t="s">
        <v>73</v>
      </c>
      <c r="B14" s="302">
        <f>+'3.1.3 DEPRE'!D13</f>
        <v>700</v>
      </c>
      <c r="C14" s="303">
        <f t="shared" si="1"/>
        <v>700</v>
      </c>
      <c r="D14" s="303">
        <f t="shared" si="3"/>
        <v>700</v>
      </c>
      <c r="E14" s="303">
        <f t="shared" si="3"/>
        <v>700</v>
      </c>
      <c r="F14" s="303">
        <f t="shared" si="3"/>
        <v>700</v>
      </c>
      <c r="G14" s="303">
        <f t="shared" si="4"/>
        <v>700</v>
      </c>
      <c r="H14" s="303">
        <f t="shared" si="4"/>
        <v>700</v>
      </c>
      <c r="I14" s="303">
        <f t="shared" si="4"/>
        <v>700</v>
      </c>
      <c r="J14" s="303">
        <f t="shared" si="4"/>
        <v>700</v>
      </c>
      <c r="K14" s="303">
        <f t="shared" si="4"/>
        <v>700</v>
      </c>
    </row>
    <row r="15" spans="1:11" ht="12.75">
      <c r="A15" s="93" t="s">
        <v>76</v>
      </c>
      <c r="B15" s="302">
        <f>+'3.1.3 DEPRE'!D14</f>
        <v>100</v>
      </c>
      <c r="C15" s="303">
        <f t="shared" si="1"/>
        <v>100</v>
      </c>
      <c r="D15" s="303">
        <f aca="true" t="shared" si="5" ref="D15:F17">C15</f>
        <v>100</v>
      </c>
      <c r="E15" s="303">
        <f t="shared" si="5"/>
        <v>100</v>
      </c>
      <c r="F15" s="303">
        <f t="shared" si="5"/>
        <v>100</v>
      </c>
      <c r="G15" s="303">
        <f t="shared" si="4"/>
        <v>100</v>
      </c>
      <c r="H15" s="303">
        <f t="shared" si="4"/>
        <v>100</v>
      </c>
      <c r="I15" s="303">
        <f t="shared" si="4"/>
        <v>100</v>
      </c>
      <c r="J15" s="303">
        <f t="shared" si="4"/>
        <v>100</v>
      </c>
      <c r="K15" s="303">
        <f t="shared" si="4"/>
        <v>100</v>
      </c>
    </row>
    <row r="16" spans="1:11" ht="12.75">
      <c r="A16" s="93" t="s">
        <v>74</v>
      </c>
      <c r="B16" s="302">
        <f>+'3.1.3 DEPRE'!D15</f>
        <v>500</v>
      </c>
      <c r="C16" s="303">
        <f t="shared" si="1"/>
        <v>500</v>
      </c>
      <c r="D16" s="303">
        <f t="shared" si="5"/>
        <v>500</v>
      </c>
      <c r="E16" s="303">
        <f t="shared" si="5"/>
        <v>500</v>
      </c>
      <c r="F16" s="303">
        <f t="shared" si="5"/>
        <v>500</v>
      </c>
      <c r="G16" s="303">
        <f t="shared" si="4"/>
        <v>500</v>
      </c>
      <c r="H16" s="303">
        <f t="shared" si="4"/>
        <v>500</v>
      </c>
      <c r="I16" s="303">
        <f t="shared" si="4"/>
        <v>500</v>
      </c>
      <c r="J16" s="303">
        <f t="shared" si="4"/>
        <v>500</v>
      </c>
      <c r="K16" s="303">
        <f t="shared" si="4"/>
        <v>500</v>
      </c>
    </row>
    <row r="17" spans="1:11" ht="12.75">
      <c r="A17" s="93" t="s">
        <v>75</v>
      </c>
      <c r="B17" s="302">
        <f>+'3.1.3 DEPRE'!D16</f>
        <v>400</v>
      </c>
      <c r="C17" s="303">
        <f t="shared" si="1"/>
        <v>400</v>
      </c>
      <c r="D17" s="303">
        <f t="shared" si="5"/>
        <v>400</v>
      </c>
      <c r="E17" s="303">
        <f t="shared" si="5"/>
        <v>400</v>
      </c>
      <c r="F17" s="303">
        <f t="shared" si="5"/>
        <v>400</v>
      </c>
      <c r="G17" s="303">
        <f t="shared" si="4"/>
        <v>400</v>
      </c>
      <c r="H17" s="303">
        <f t="shared" si="4"/>
        <v>400</v>
      </c>
      <c r="I17" s="303">
        <f t="shared" si="4"/>
        <v>400</v>
      </c>
      <c r="J17" s="303">
        <f t="shared" si="4"/>
        <v>400</v>
      </c>
      <c r="K17" s="303">
        <f t="shared" si="4"/>
        <v>400</v>
      </c>
    </row>
    <row r="18" spans="1:11" ht="12.75">
      <c r="A18" s="94"/>
      <c r="B18" s="302"/>
      <c r="C18" s="303"/>
      <c r="D18" s="303"/>
      <c r="E18" s="303"/>
      <c r="F18" s="303"/>
      <c r="G18" s="303"/>
      <c r="H18" s="303"/>
      <c r="I18" s="303"/>
      <c r="J18" s="303"/>
      <c r="K18" s="303"/>
    </row>
    <row r="19" spans="1:11" ht="12.75">
      <c r="A19" s="94"/>
      <c r="B19" s="302"/>
      <c r="C19" s="303"/>
      <c r="D19" s="303"/>
      <c r="E19" s="303"/>
      <c r="F19" s="303"/>
      <c r="G19" s="303"/>
      <c r="H19" s="303"/>
      <c r="I19" s="303"/>
      <c r="J19" s="303"/>
      <c r="K19" s="303"/>
    </row>
    <row r="20" spans="1:11" ht="12.75">
      <c r="A20" s="94"/>
      <c r="B20" s="302"/>
      <c r="C20" s="303"/>
      <c r="D20" s="303"/>
      <c r="E20" s="303"/>
      <c r="F20" s="303"/>
      <c r="G20" s="303"/>
      <c r="H20" s="303"/>
      <c r="I20" s="303"/>
      <c r="J20" s="303"/>
      <c r="K20" s="303"/>
    </row>
    <row r="21" spans="1:11" ht="12.75">
      <c r="A21" s="94"/>
      <c r="B21" s="302"/>
      <c r="C21" s="303"/>
      <c r="D21" s="303"/>
      <c r="E21" s="303"/>
      <c r="F21" s="303"/>
      <c r="G21" s="303"/>
      <c r="H21" s="303"/>
      <c r="I21" s="303"/>
      <c r="J21" s="303"/>
      <c r="K21" s="303"/>
    </row>
    <row r="22" spans="1:11" ht="12.75">
      <c r="A22" s="94"/>
      <c r="B22" s="302"/>
      <c r="C22" s="303"/>
      <c r="D22" s="303"/>
      <c r="E22" s="303"/>
      <c r="F22" s="303"/>
      <c r="G22" s="303"/>
      <c r="H22" s="303"/>
      <c r="I22" s="303"/>
      <c r="J22" s="303"/>
      <c r="K22" s="303"/>
    </row>
    <row r="23" spans="1:11" ht="13.5" thickBot="1">
      <c r="A23" s="95"/>
      <c r="B23" s="304"/>
      <c r="C23" s="305"/>
      <c r="D23" s="305"/>
      <c r="E23" s="305"/>
      <c r="F23" s="305"/>
      <c r="G23" s="305"/>
      <c r="H23" s="305"/>
      <c r="I23" s="305"/>
      <c r="J23" s="305"/>
      <c r="K23" s="305"/>
    </row>
    <row r="24" spans="1:11" ht="13.5" thickBot="1">
      <c r="A24" s="15" t="s">
        <v>6</v>
      </c>
      <c r="B24" s="306">
        <f>SUM(B9:B23)</f>
        <v>7472</v>
      </c>
      <c r="C24" s="306">
        <f aca="true" t="shared" si="6" ref="C24:J24">SUM(C9:C23)</f>
        <v>7472</v>
      </c>
      <c r="D24" s="306">
        <f t="shared" si="6"/>
        <v>7472</v>
      </c>
      <c r="E24" s="306">
        <f t="shared" si="6"/>
        <v>7472</v>
      </c>
      <c r="F24" s="306">
        <f t="shared" si="6"/>
        <v>7472</v>
      </c>
      <c r="G24" s="306">
        <f t="shared" si="6"/>
        <v>7472</v>
      </c>
      <c r="H24" s="306">
        <f t="shared" si="6"/>
        <v>7472</v>
      </c>
      <c r="I24" s="306">
        <f t="shared" si="6"/>
        <v>7472</v>
      </c>
      <c r="J24" s="306">
        <f t="shared" si="6"/>
        <v>7472</v>
      </c>
      <c r="K24" s="306">
        <f>SUM(K9:K23)</f>
        <v>7472</v>
      </c>
    </row>
    <row r="25" ht="12.75">
      <c r="A25" s="27" t="s">
        <v>29</v>
      </c>
    </row>
    <row r="26" ht="12.75">
      <c r="A26" s="27"/>
    </row>
    <row r="27" ht="12.75">
      <c r="A27" s="27"/>
    </row>
    <row r="28" ht="12.75">
      <c r="A28" s="27"/>
    </row>
    <row r="29" ht="12.75">
      <c r="A29" s="27"/>
    </row>
  </sheetData>
  <mergeCells count="2">
    <mergeCell ref="A5:K5"/>
    <mergeCell ref="A3:K3"/>
  </mergeCells>
  <printOptions horizontalCentered="1" verticalCentered="1"/>
  <pageMargins left="0.75" right="0.75" top="1" bottom="1" header="0" footer="0"/>
  <pageSetup fitToHeight="1" fitToWidth="1" horizontalDpi="300" verticalDpi="3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31"/>
  <sheetViews>
    <sheetView workbookViewId="0" topLeftCell="A1">
      <selection activeCell="G16" sqref="G16"/>
    </sheetView>
  </sheetViews>
  <sheetFormatPr defaultColWidth="11.421875" defaultRowHeight="12.75"/>
  <cols>
    <col min="1" max="1" width="11.00390625" style="0" bestFit="1" customWidth="1"/>
    <col min="2" max="2" width="12.28125" style="0" customWidth="1"/>
    <col min="3" max="3" width="19.28125" style="0" bestFit="1" customWidth="1"/>
    <col min="4" max="4" width="11.7109375" style="0" bestFit="1" customWidth="1"/>
    <col min="6" max="6" width="5.00390625" style="0" bestFit="1" customWidth="1"/>
    <col min="7" max="7" width="13.28125" style="0" customWidth="1"/>
    <col min="8" max="8" width="6.00390625" style="0" bestFit="1" customWidth="1"/>
    <col min="9" max="9" width="9.57421875" style="127" bestFit="1" customWidth="1"/>
  </cols>
  <sheetData>
    <row r="1" spans="1:80" ht="20.25" thickBot="1">
      <c r="A1" s="420" t="s">
        <v>214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397"/>
      <c r="M1" s="397"/>
      <c r="N1" s="397"/>
      <c r="O1" s="397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</row>
    <row r="2" spans="1:11" ht="33" customHeight="1" thickBot="1">
      <c r="A2" s="402" t="s">
        <v>67</v>
      </c>
      <c r="B2" s="403" t="s">
        <v>68</v>
      </c>
      <c r="C2" s="404" t="s">
        <v>69</v>
      </c>
      <c r="D2" s="181"/>
      <c r="E2" s="181"/>
      <c r="F2" s="398" t="s">
        <v>31</v>
      </c>
      <c r="G2" s="399" t="s">
        <v>196</v>
      </c>
      <c r="H2" s="399" t="s">
        <v>197</v>
      </c>
      <c r="I2" s="400" t="s">
        <v>191</v>
      </c>
      <c r="J2" s="399" t="s">
        <v>193</v>
      </c>
      <c r="K2" s="401" t="s">
        <v>192</v>
      </c>
    </row>
    <row r="3" spans="1:11" ht="12.75">
      <c r="A3" s="193">
        <v>37987</v>
      </c>
      <c r="B3" s="194">
        <v>11403</v>
      </c>
      <c r="C3" s="195">
        <f>+B3*$D$20</f>
        <v>22806</v>
      </c>
      <c r="F3" s="389">
        <v>1</v>
      </c>
      <c r="G3" s="181">
        <f>+ANEXOHORROSPLANTA!N4</f>
        <v>24000</v>
      </c>
      <c r="H3" s="181">
        <f>+B16*(1+$D$23)</f>
        <v>10215.083333333334</v>
      </c>
      <c r="I3" s="390">
        <f>+$B$16+ANEXOHORROSPLANTA!N4</f>
        <v>34215.083333333336</v>
      </c>
      <c r="J3" s="391">
        <f>+$C$16+ANEXOHORROSPLANTA!O4</f>
        <v>68430.16666666667</v>
      </c>
      <c r="K3" s="392">
        <f>+H3*$D$20</f>
        <v>20430.166666666668</v>
      </c>
    </row>
    <row r="4" spans="1:11" ht="12.75">
      <c r="A4" s="88">
        <v>38018</v>
      </c>
      <c r="B4" s="185">
        <v>9310</v>
      </c>
      <c r="C4" s="187">
        <f>+B4*$D$20</f>
        <v>18620</v>
      </c>
      <c r="F4" s="389">
        <v>2</v>
      </c>
      <c r="G4" s="181">
        <f>+ANEXOHORROSPLANTA!N5</f>
        <v>24000</v>
      </c>
      <c r="H4" s="181">
        <f>+H3*(1+$D$23)</f>
        <v>10215.083333333334</v>
      </c>
      <c r="I4" s="390">
        <f>+$B$16+ANEXOHORROSPLANTA!N5</f>
        <v>34215.083333333336</v>
      </c>
      <c r="J4" s="391">
        <f>+$C$16+ANEXOHORROSPLANTA!O5</f>
        <v>68430.16666666667</v>
      </c>
      <c r="K4" s="392">
        <f aca="true" t="shared" si="0" ref="K4:K12">+H4*$D$20</f>
        <v>20430.166666666668</v>
      </c>
    </row>
    <row r="5" spans="1:11" ht="12.75">
      <c r="A5" s="88">
        <v>38047</v>
      </c>
      <c r="B5" s="185">
        <v>9305</v>
      </c>
      <c r="C5" s="187">
        <f aca="true" t="shared" si="1" ref="C5:C14">+B5*$D$20</f>
        <v>18610</v>
      </c>
      <c r="F5" s="389">
        <v>3</v>
      </c>
      <c r="G5" s="181">
        <f>+ANEXOHORROSPLANTA!N6</f>
        <v>24000</v>
      </c>
      <c r="H5" s="181">
        <f aca="true" t="shared" si="2" ref="H5:H12">+H4*(1+$D$23)</f>
        <v>10215.083333333334</v>
      </c>
      <c r="I5" s="390">
        <f>+$B$16+ANEXOHORROSPLANTA!N6</f>
        <v>34215.083333333336</v>
      </c>
      <c r="J5" s="391">
        <f>+$C$16+ANEXOHORROSPLANTA!O6</f>
        <v>68430.16666666667</v>
      </c>
      <c r="K5" s="392">
        <f t="shared" si="0"/>
        <v>20430.166666666668</v>
      </c>
    </row>
    <row r="6" spans="1:11" ht="12.75">
      <c r="A6" s="88">
        <v>38078</v>
      </c>
      <c r="B6" s="185">
        <v>8269</v>
      </c>
      <c r="C6" s="187">
        <f t="shared" si="1"/>
        <v>16538</v>
      </c>
      <c r="F6" s="389">
        <v>4</v>
      </c>
      <c r="G6" s="181">
        <f>+ANEXOHORROSPLANTA!N7</f>
        <v>24000</v>
      </c>
      <c r="H6" s="181">
        <f t="shared" si="2"/>
        <v>10215.083333333334</v>
      </c>
      <c r="I6" s="390">
        <f>+$B$16+ANEXOHORROSPLANTA!N7</f>
        <v>34215.083333333336</v>
      </c>
      <c r="J6" s="391">
        <f>+$C$16+ANEXOHORROSPLANTA!O7</f>
        <v>68430.16666666667</v>
      </c>
      <c r="K6" s="392">
        <f t="shared" si="0"/>
        <v>20430.166666666668</v>
      </c>
    </row>
    <row r="7" spans="1:11" ht="12.75">
      <c r="A7" s="88">
        <v>38108</v>
      </c>
      <c r="B7" s="185">
        <v>8409</v>
      </c>
      <c r="C7" s="187">
        <f t="shared" si="1"/>
        <v>16818</v>
      </c>
      <c r="F7" s="389">
        <v>5</v>
      </c>
      <c r="G7" s="181">
        <f>+ANEXOHORROSPLANTA!N8</f>
        <v>24000</v>
      </c>
      <c r="H7" s="181">
        <f t="shared" si="2"/>
        <v>10215.083333333334</v>
      </c>
      <c r="I7" s="390">
        <f>+$B$16+ANEXOHORROSPLANTA!N8</f>
        <v>34215.083333333336</v>
      </c>
      <c r="J7" s="391">
        <f>+$C$16+ANEXOHORROSPLANTA!O8</f>
        <v>68430.16666666667</v>
      </c>
      <c r="K7" s="392">
        <f t="shared" si="0"/>
        <v>20430.166666666668</v>
      </c>
    </row>
    <row r="8" spans="1:11" ht="12.75">
      <c r="A8" s="88">
        <v>38139</v>
      </c>
      <c r="B8" s="185">
        <v>8257</v>
      </c>
      <c r="C8" s="187">
        <f t="shared" si="1"/>
        <v>16514</v>
      </c>
      <c r="F8" s="389">
        <v>6</v>
      </c>
      <c r="G8" s="181">
        <f>+ANEXOHORROSPLANTA!N9</f>
        <v>24000</v>
      </c>
      <c r="H8" s="181">
        <f t="shared" si="2"/>
        <v>10215.083333333334</v>
      </c>
      <c r="I8" s="390">
        <f>+$B$16+ANEXOHORROSPLANTA!N9</f>
        <v>34215.083333333336</v>
      </c>
      <c r="J8" s="391">
        <f>+$C$16+ANEXOHORROSPLANTA!O9</f>
        <v>68430.16666666667</v>
      </c>
      <c r="K8" s="392">
        <f t="shared" si="0"/>
        <v>20430.166666666668</v>
      </c>
    </row>
    <row r="9" spans="1:11" ht="12.75">
      <c r="A9" s="88">
        <v>38169</v>
      </c>
      <c r="B9" s="185">
        <v>11383</v>
      </c>
      <c r="C9" s="187">
        <f t="shared" si="1"/>
        <v>22766</v>
      </c>
      <c r="F9" s="389">
        <v>7</v>
      </c>
      <c r="G9" s="181">
        <f>+ANEXOHORROSPLANTA!N10</f>
        <v>24000</v>
      </c>
      <c r="H9" s="181">
        <f t="shared" si="2"/>
        <v>10215.083333333334</v>
      </c>
      <c r="I9" s="390">
        <f>+$B$16+ANEXOHORROSPLANTA!N10</f>
        <v>34215.083333333336</v>
      </c>
      <c r="J9" s="391">
        <f>+$C$16+ANEXOHORROSPLANTA!O10</f>
        <v>68430.16666666667</v>
      </c>
      <c r="K9" s="392">
        <f t="shared" si="0"/>
        <v>20430.166666666668</v>
      </c>
    </row>
    <row r="10" spans="1:11" ht="12.75">
      <c r="A10" s="88">
        <v>38200</v>
      </c>
      <c r="B10" s="185">
        <v>10722</v>
      </c>
      <c r="C10" s="187">
        <f t="shared" si="1"/>
        <v>21444</v>
      </c>
      <c r="F10" s="389">
        <v>8</v>
      </c>
      <c r="G10" s="181">
        <f>+ANEXOHORROSPLANTA!N11</f>
        <v>24000</v>
      </c>
      <c r="H10" s="181">
        <f t="shared" si="2"/>
        <v>10215.083333333334</v>
      </c>
      <c r="I10" s="390">
        <f>+$B$16+ANEXOHORROSPLANTA!N11</f>
        <v>34215.083333333336</v>
      </c>
      <c r="J10" s="391">
        <f>+$C$16+ANEXOHORROSPLANTA!O11</f>
        <v>68430.16666666667</v>
      </c>
      <c r="K10" s="392">
        <f t="shared" si="0"/>
        <v>20430.166666666668</v>
      </c>
    </row>
    <row r="11" spans="1:11" ht="12.75">
      <c r="A11" s="88">
        <v>38231</v>
      </c>
      <c r="B11" s="185">
        <v>11770</v>
      </c>
      <c r="C11" s="187">
        <f t="shared" si="1"/>
        <v>23540</v>
      </c>
      <c r="F11" s="389">
        <v>9</v>
      </c>
      <c r="G11" s="181">
        <f>+ANEXOHORROSPLANTA!N12</f>
        <v>24000</v>
      </c>
      <c r="H11" s="181">
        <f t="shared" si="2"/>
        <v>10215.083333333334</v>
      </c>
      <c r="I11" s="390">
        <f>+$B$16+ANEXOHORROSPLANTA!N12</f>
        <v>34215.083333333336</v>
      </c>
      <c r="J11" s="391">
        <f>+$C$16+ANEXOHORROSPLANTA!O12</f>
        <v>68430.16666666667</v>
      </c>
      <c r="K11" s="392">
        <f t="shared" si="0"/>
        <v>20430.166666666668</v>
      </c>
    </row>
    <row r="12" spans="1:11" ht="13.5" thickBot="1">
      <c r="A12" s="88">
        <v>38261</v>
      </c>
      <c r="B12" s="185">
        <v>11145</v>
      </c>
      <c r="C12" s="187">
        <f t="shared" si="1"/>
        <v>22290</v>
      </c>
      <c r="F12" s="393">
        <v>10</v>
      </c>
      <c r="G12" s="394">
        <f>+ANEXOHORROSPLANTA!N13</f>
        <v>24000</v>
      </c>
      <c r="H12" s="394">
        <f t="shared" si="2"/>
        <v>10215.083333333334</v>
      </c>
      <c r="I12" s="395">
        <f>+$B$16+ANEXOHORROSPLANTA!N13</f>
        <v>34215.083333333336</v>
      </c>
      <c r="J12" s="396">
        <f>+$C$16+ANEXOHORROSPLANTA!O13</f>
        <v>68430.16666666667</v>
      </c>
      <c r="K12" s="385">
        <f t="shared" si="0"/>
        <v>20430.166666666668</v>
      </c>
    </row>
    <row r="13" spans="1:6" ht="12.75">
      <c r="A13" s="88">
        <v>38292</v>
      </c>
      <c r="B13" s="185">
        <v>10301</v>
      </c>
      <c r="C13" s="187">
        <f t="shared" si="1"/>
        <v>20602</v>
      </c>
      <c r="F13" s="1" t="s">
        <v>29</v>
      </c>
    </row>
    <row r="14" spans="1:3" ht="13.5" thickBot="1">
      <c r="A14" s="88">
        <v>38322</v>
      </c>
      <c r="B14" s="185">
        <v>12307</v>
      </c>
      <c r="C14" s="187">
        <f t="shared" si="1"/>
        <v>24614</v>
      </c>
    </row>
    <row r="15" spans="1:3" ht="13.5" thickBot="1">
      <c r="A15" s="191" t="s">
        <v>6</v>
      </c>
      <c r="B15" s="192">
        <f>+SUM(B3:B14)</f>
        <v>122581</v>
      </c>
      <c r="C15" s="196">
        <f>+SUM(C3:C14)</f>
        <v>245162</v>
      </c>
    </row>
    <row r="16" spans="1:3" ht="13.5" thickBot="1">
      <c r="A16" s="89" t="s">
        <v>70</v>
      </c>
      <c r="B16" s="188">
        <f>+SUM(B3:B14)/12</f>
        <v>10215.083333333334</v>
      </c>
      <c r="C16" s="189">
        <f>+SUM(C3:C14)/12</f>
        <v>20430.166666666668</v>
      </c>
    </row>
    <row r="17" spans="1:3" ht="12.75">
      <c r="A17" s="1" t="s">
        <v>29</v>
      </c>
      <c r="B17" s="190"/>
      <c r="C17" s="186"/>
    </row>
    <row r="18" spans="1:5" ht="12.75">
      <c r="A18" s="1" t="s">
        <v>209</v>
      </c>
      <c r="B18" s="190"/>
      <c r="D18" s="186"/>
      <c r="E18" s="186"/>
    </row>
    <row r="19" ht="13.5" thickBot="1"/>
    <row r="20" spans="1:4" ht="12.75">
      <c r="A20" s="424" t="s">
        <v>213</v>
      </c>
      <c r="B20" s="425"/>
      <c r="C20" s="426"/>
      <c r="D20" s="430">
        <v>2</v>
      </c>
    </row>
    <row r="21" spans="1:4" ht="45" customHeight="1" thickBot="1">
      <c r="A21" s="427"/>
      <c r="B21" s="428"/>
      <c r="C21" s="429"/>
      <c r="D21" s="431"/>
    </row>
    <row r="22" ht="13.5" thickBot="1"/>
    <row r="23" spans="1:4" ht="13.5" thickBot="1">
      <c r="A23" s="432" t="s">
        <v>198</v>
      </c>
      <c r="B23" s="433"/>
      <c r="C23" s="434"/>
      <c r="D23" s="368">
        <v>0</v>
      </c>
    </row>
    <row r="27" ht="12.75">
      <c r="G27">
        <f>262.24/237</f>
        <v>1.1064978902953586</v>
      </c>
    </row>
    <row r="28" ht="12.75">
      <c r="G28">
        <f>228.28/206</f>
        <v>1.1081553398058253</v>
      </c>
    </row>
    <row r="29" ht="12.75">
      <c r="G29">
        <f>406/333</f>
        <v>1.2192192192192193</v>
      </c>
    </row>
    <row r="30" ht="12.75">
      <c r="G30">
        <f>224.4/203</f>
        <v>1.1054187192118228</v>
      </c>
    </row>
    <row r="31" ht="12.75">
      <c r="G31">
        <v>206</v>
      </c>
    </row>
  </sheetData>
  <mergeCells count="4">
    <mergeCell ref="A20:C21"/>
    <mergeCell ref="D20:D21"/>
    <mergeCell ref="A23:C23"/>
    <mergeCell ref="A1:K1"/>
  </mergeCells>
  <printOptions/>
  <pageMargins left="0.75" right="0.75" top="1" bottom="1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D16" sqref="D16"/>
    </sheetView>
  </sheetViews>
  <sheetFormatPr defaultColWidth="11.421875" defaultRowHeight="12.75"/>
  <cols>
    <col min="1" max="1" width="9.7109375" style="0" bestFit="1" customWidth="1"/>
    <col min="2" max="2" width="5.8515625" style="0" bestFit="1" customWidth="1"/>
    <col min="3" max="3" width="7.28125" style="0" bestFit="1" customWidth="1"/>
    <col min="4" max="4" width="6.140625" style="0" bestFit="1" customWidth="1"/>
    <col min="5" max="5" width="5.57421875" style="0" customWidth="1"/>
    <col min="6" max="6" width="5.57421875" style="0" bestFit="1" customWidth="1"/>
    <col min="7" max="7" width="5.28125" style="0" bestFit="1" customWidth="1"/>
    <col min="8" max="8" width="6.421875" style="0" customWidth="1"/>
    <col min="9" max="9" width="6.8515625" style="0" bestFit="1" customWidth="1"/>
    <col min="10" max="10" width="10.140625" style="0" customWidth="1"/>
    <col min="11" max="11" width="7.57421875" style="0" bestFit="1" customWidth="1"/>
    <col min="12" max="12" width="9.57421875" style="0" bestFit="1" customWidth="1"/>
    <col min="13" max="13" width="9.28125" style="0" bestFit="1" customWidth="1"/>
    <col min="14" max="14" width="9.8515625" style="0" bestFit="1" customWidth="1"/>
    <col min="15" max="15" width="11.421875" style="158" customWidth="1"/>
  </cols>
  <sheetData>
    <row r="1" spans="1:15" ht="20.25" thickBot="1">
      <c r="A1" s="418" t="s">
        <v>230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</row>
    <row r="2" spans="1:15" ht="13.5" thickBot="1">
      <c r="A2" s="419" t="s">
        <v>210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</row>
    <row r="3" spans="1:15" ht="13.5" thickBot="1">
      <c r="A3" s="365" t="s">
        <v>188</v>
      </c>
      <c r="B3" s="363">
        <v>38353</v>
      </c>
      <c r="C3" s="359">
        <v>38385</v>
      </c>
      <c r="D3" s="359">
        <v>38417</v>
      </c>
      <c r="E3" s="359">
        <v>38449</v>
      </c>
      <c r="F3" s="359">
        <v>38481</v>
      </c>
      <c r="G3" s="359">
        <v>38513</v>
      </c>
      <c r="H3" s="359">
        <v>38545</v>
      </c>
      <c r="I3" s="359">
        <v>38577</v>
      </c>
      <c r="J3" s="359">
        <v>38609</v>
      </c>
      <c r="K3" s="359">
        <v>38641</v>
      </c>
      <c r="L3" s="359">
        <v>38673</v>
      </c>
      <c r="M3" s="360">
        <v>38705</v>
      </c>
      <c r="N3" s="361" t="s">
        <v>189</v>
      </c>
      <c r="O3" s="362" t="s">
        <v>190</v>
      </c>
    </row>
    <row r="4" spans="1:15" ht="12.75">
      <c r="A4" s="379">
        <v>1</v>
      </c>
      <c r="B4" s="380">
        <v>0</v>
      </c>
      <c r="C4" s="381">
        <v>0</v>
      </c>
      <c r="D4" s="381">
        <v>0</v>
      </c>
      <c r="E4" s="381">
        <v>0</v>
      </c>
      <c r="F4" s="381">
        <v>3000</v>
      </c>
      <c r="G4" s="381">
        <v>3000</v>
      </c>
      <c r="H4" s="381">
        <v>3000</v>
      </c>
      <c r="I4" s="381">
        <v>3000</v>
      </c>
      <c r="J4" s="381">
        <v>3000</v>
      </c>
      <c r="K4" s="381">
        <v>3000</v>
      </c>
      <c r="L4" s="381">
        <v>3000</v>
      </c>
      <c r="M4" s="381">
        <v>3000</v>
      </c>
      <c r="N4" s="379">
        <f>+SUM(B4:M4)</f>
        <v>24000</v>
      </c>
      <c r="O4" s="382">
        <f>+N4*'ANEXOCONSUMO DE AGUA ESPOL'!$D$20</f>
        <v>48000</v>
      </c>
    </row>
    <row r="5" spans="1:15" ht="12.75">
      <c r="A5" s="356">
        <v>2</v>
      </c>
      <c r="B5" s="364">
        <v>0</v>
      </c>
      <c r="C5" s="358">
        <v>0</v>
      </c>
      <c r="D5" s="358">
        <v>0</v>
      </c>
      <c r="E5" s="358">
        <v>0</v>
      </c>
      <c r="F5" s="358">
        <v>3000</v>
      </c>
      <c r="G5" s="358">
        <v>3000</v>
      </c>
      <c r="H5" s="358">
        <v>3000</v>
      </c>
      <c r="I5" s="358">
        <v>3000</v>
      </c>
      <c r="J5" s="358">
        <v>3000</v>
      </c>
      <c r="K5" s="358">
        <v>3000</v>
      </c>
      <c r="L5" s="358">
        <v>3000</v>
      </c>
      <c r="M5" s="358">
        <v>3000</v>
      </c>
      <c r="N5" s="356">
        <f aca="true" t="shared" si="0" ref="N5:N13">+SUM(B5:M5)</f>
        <v>24000</v>
      </c>
      <c r="O5" s="366">
        <f>+N5*'ANEXOCONSUMO DE AGUA ESPOL'!$D$20</f>
        <v>48000</v>
      </c>
    </row>
    <row r="6" spans="1:15" ht="12.75">
      <c r="A6" s="356">
        <v>3</v>
      </c>
      <c r="B6" s="364">
        <v>0</v>
      </c>
      <c r="C6" s="358">
        <v>0</v>
      </c>
      <c r="D6" s="358">
        <v>0</v>
      </c>
      <c r="E6" s="358">
        <v>0</v>
      </c>
      <c r="F6" s="358">
        <v>3000</v>
      </c>
      <c r="G6" s="358">
        <v>3000</v>
      </c>
      <c r="H6" s="358">
        <v>3000</v>
      </c>
      <c r="I6" s="358">
        <v>3000</v>
      </c>
      <c r="J6" s="358">
        <v>3000</v>
      </c>
      <c r="K6" s="358">
        <v>3000</v>
      </c>
      <c r="L6" s="358">
        <v>3000</v>
      </c>
      <c r="M6" s="358">
        <v>3000</v>
      </c>
      <c r="N6" s="356">
        <f t="shared" si="0"/>
        <v>24000</v>
      </c>
      <c r="O6" s="366">
        <f>+N6*'ANEXOCONSUMO DE AGUA ESPOL'!$D$20</f>
        <v>48000</v>
      </c>
    </row>
    <row r="7" spans="1:15" ht="12.75">
      <c r="A7" s="356">
        <v>4</v>
      </c>
      <c r="B7" s="364">
        <v>0</v>
      </c>
      <c r="C7" s="358">
        <v>0</v>
      </c>
      <c r="D7" s="358">
        <v>0</v>
      </c>
      <c r="E7" s="358">
        <v>0</v>
      </c>
      <c r="F7" s="358">
        <v>3000</v>
      </c>
      <c r="G7" s="358">
        <v>3000</v>
      </c>
      <c r="H7" s="358">
        <v>3000</v>
      </c>
      <c r="I7" s="358">
        <v>3000</v>
      </c>
      <c r="J7" s="358">
        <v>3000</v>
      </c>
      <c r="K7" s="358">
        <v>3000</v>
      </c>
      <c r="L7" s="358">
        <v>3000</v>
      </c>
      <c r="M7" s="358">
        <v>3000</v>
      </c>
      <c r="N7" s="356">
        <f t="shared" si="0"/>
        <v>24000</v>
      </c>
      <c r="O7" s="366">
        <f>+N7*'ANEXOCONSUMO DE AGUA ESPOL'!$D$20</f>
        <v>48000</v>
      </c>
    </row>
    <row r="8" spans="1:15" ht="12.75">
      <c r="A8" s="356">
        <v>5</v>
      </c>
      <c r="B8" s="364">
        <v>0</v>
      </c>
      <c r="C8" s="358">
        <v>0</v>
      </c>
      <c r="D8" s="358">
        <v>0</v>
      </c>
      <c r="E8" s="358">
        <v>0</v>
      </c>
      <c r="F8" s="358">
        <v>3000</v>
      </c>
      <c r="G8" s="358">
        <v>3000</v>
      </c>
      <c r="H8" s="358">
        <v>3000</v>
      </c>
      <c r="I8" s="358">
        <v>3000</v>
      </c>
      <c r="J8" s="358">
        <v>3000</v>
      </c>
      <c r="K8" s="358">
        <v>3000</v>
      </c>
      <c r="L8" s="358">
        <v>3000</v>
      </c>
      <c r="M8" s="358">
        <v>3000</v>
      </c>
      <c r="N8" s="356">
        <f t="shared" si="0"/>
        <v>24000</v>
      </c>
      <c r="O8" s="366">
        <f>+N8*'ANEXOCONSUMO DE AGUA ESPOL'!$D$20</f>
        <v>48000</v>
      </c>
    </row>
    <row r="9" spans="1:15" ht="12.75">
      <c r="A9" s="356">
        <v>6</v>
      </c>
      <c r="B9" s="364">
        <v>0</v>
      </c>
      <c r="C9" s="358">
        <v>0</v>
      </c>
      <c r="D9" s="358">
        <v>0</v>
      </c>
      <c r="E9" s="358">
        <v>0</v>
      </c>
      <c r="F9" s="358">
        <v>3000</v>
      </c>
      <c r="G9" s="358">
        <v>3000</v>
      </c>
      <c r="H9" s="358">
        <v>3000</v>
      </c>
      <c r="I9" s="358">
        <v>3000</v>
      </c>
      <c r="J9" s="358">
        <v>3000</v>
      </c>
      <c r="K9" s="358">
        <v>3000</v>
      </c>
      <c r="L9" s="358">
        <v>3000</v>
      </c>
      <c r="M9" s="358">
        <v>3000</v>
      </c>
      <c r="N9" s="356">
        <f t="shared" si="0"/>
        <v>24000</v>
      </c>
      <c r="O9" s="366">
        <f>+N9*'ANEXOCONSUMO DE AGUA ESPOL'!$D$20</f>
        <v>48000</v>
      </c>
    </row>
    <row r="10" spans="1:15" ht="12.75">
      <c r="A10" s="356">
        <v>7</v>
      </c>
      <c r="B10" s="364">
        <v>0</v>
      </c>
      <c r="C10" s="358">
        <v>0</v>
      </c>
      <c r="D10" s="358">
        <v>0</v>
      </c>
      <c r="E10" s="358">
        <v>0</v>
      </c>
      <c r="F10" s="358">
        <v>3000</v>
      </c>
      <c r="G10" s="358">
        <v>3000</v>
      </c>
      <c r="H10" s="358">
        <v>3000</v>
      </c>
      <c r="I10" s="358">
        <v>3000</v>
      </c>
      <c r="J10" s="358">
        <v>3000</v>
      </c>
      <c r="K10" s="358">
        <v>3000</v>
      </c>
      <c r="L10" s="358">
        <v>3000</v>
      </c>
      <c r="M10" s="358">
        <v>3000</v>
      </c>
      <c r="N10" s="356">
        <f t="shared" si="0"/>
        <v>24000</v>
      </c>
      <c r="O10" s="366">
        <f>+N10*'ANEXOCONSUMO DE AGUA ESPOL'!$D$20</f>
        <v>48000</v>
      </c>
    </row>
    <row r="11" spans="1:15" ht="12.75">
      <c r="A11" s="356">
        <v>8</v>
      </c>
      <c r="B11" s="364">
        <v>0</v>
      </c>
      <c r="C11" s="358">
        <v>0</v>
      </c>
      <c r="D11" s="358">
        <v>0</v>
      </c>
      <c r="E11" s="358">
        <v>0</v>
      </c>
      <c r="F11" s="358">
        <v>3000</v>
      </c>
      <c r="G11" s="358">
        <v>3000</v>
      </c>
      <c r="H11" s="358">
        <v>3000</v>
      </c>
      <c r="I11" s="358">
        <v>3000</v>
      </c>
      <c r="J11" s="358">
        <v>3000</v>
      </c>
      <c r="K11" s="358">
        <v>3000</v>
      </c>
      <c r="L11" s="358">
        <v>3000</v>
      </c>
      <c r="M11" s="358">
        <v>3000</v>
      </c>
      <c r="N11" s="356">
        <f t="shared" si="0"/>
        <v>24000</v>
      </c>
      <c r="O11" s="366">
        <f>+N11*'ANEXOCONSUMO DE AGUA ESPOL'!$D$20</f>
        <v>48000</v>
      </c>
    </row>
    <row r="12" spans="1:15" ht="12.75">
      <c r="A12" s="356">
        <v>9</v>
      </c>
      <c r="B12" s="364">
        <v>0</v>
      </c>
      <c r="C12" s="358">
        <v>0</v>
      </c>
      <c r="D12" s="358">
        <v>0</v>
      </c>
      <c r="E12" s="358">
        <v>0</v>
      </c>
      <c r="F12" s="358">
        <v>3000</v>
      </c>
      <c r="G12" s="358">
        <v>3000</v>
      </c>
      <c r="H12" s="358">
        <v>3000</v>
      </c>
      <c r="I12" s="358">
        <v>3000</v>
      </c>
      <c r="J12" s="358">
        <v>3000</v>
      </c>
      <c r="K12" s="358">
        <v>3000</v>
      </c>
      <c r="L12" s="358">
        <v>3000</v>
      </c>
      <c r="M12" s="358">
        <v>3000</v>
      </c>
      <c r="N12" s="356">
        <f t="shared" si="0"/>
        <v>24000</v>
      </c>
      <c r="O12" s="366">
        <f>+N12*'ANEXOCONSUMO DE AGUA ESPOL'!$D$20</f>
        <v>48000</v>
      </c>
    </row>
    <row r="13" spans="1:15" ht="13.5" thickBot="1">
      <c r="A13" s="357">
        <v>10</v>
      </c>
      <c r="B13" s="383">
        <v>0</v>
      </c>
      <c r="C13" s="384">
        <v>0</v>
      </c>
      <c r="D13" s="384">
        <v>0</v>
      </c>
      <c r="E13" s="384">
        <v>0</v>
      </c>
      <c r="F13" s="384">
        <v>3000</v>
      </c>
      <c r="G13" s="384">
        <v>3000</v>
      </c>
      <c r="H13" s="384">
        <v>3000</v>
      </c>
      <c r="I13" s="384">
        <v>3000</v>
      </c>
      <c r="J13" s="384">
        <v>3000</v>
      </c>
      <c r="K13" s="384">
        <v>3000</v>
      </c>
      <c r="L13" s="384">
        <v>3000</v>
      </c>
      <c r="M13" s="384">
        <v>3000</v>
      </c>
      <c r="N13" s="357">
        <f t="shared" si="0"/>
        <v>24000</v>
      </c>
      <c r="O13" s="385">
        <f>+N13*'ANEXOCONSUMO DE AGUA ESPOL'!$D$20</f>
        <v>48000</v>
      </c>
    </row>
    <row r="14" ht="12.75">
      <c r="A14" s="1" t="s">
        <v>29</v>
      </c>
    </row>
    <row r="17" ht="13.5" thickBot="1"/>
    <row r="18" spans="1:8" ht="12.75">
      <c r="A18" s="424" t="s">
        <v>205</v>
      </c>
      <c r="B18" s="425"/>
      <c r="C18" s="425"/>
      <c r="D18" s="435"/>
      <c r="E18" s="435"/>
      <c r="F18" s="435"/>
      <c r="G18" s="436"/>
      <c r="H18" s="430">
        <v>2</v>
      </c>
    </row>
    <row r="19" spans="1:8" ht="47.25" customHeight="1" thickBot="1">
      <c r="A19" s="427"/>
      <c r="B19" s="428"/>
      <c r="C19" s="428"/>
      <c r="D19" s="437"/>
      <c r="E19" s="437"/>
      <c r="F19" s="437"/>
      <c r="G19" s="438"/>
      <c r="H19" s="431"/>
    </row>
    <row r="23" ht="12.75">
      <c r="A23" t="s">
        <v>211</v>
      </c>
    </row>
  </sheetData>
  <mergeCells count="4">
    <mergeCell ref="H18:H19"/>
    <mergeCell ref="A18:G19"/>
    <mergeCell ref="A1:O1"/>
    <mergeCell ref="A2:O2"/>
  </mergeCells>
  <printOptions/>
  <pageMargins left="0.75" right="0.75" top="1" bottom="1" header="0" footer="0"/>
  <pageSetup horizontalDpi="600" verticalDpi="600" orientation="landscape" r:id="rId1"/>
  <ignoredErrors>
    <ignoredError sqref="N4:N1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I22" sqref="I22"/>
    </sheetView>
  </sheetViews>
  <sheetFormatPr defaultColWidth="11.421875" defaultRowHeight="12.75"/>
  <cols>
    <col min="1" max="1" width="5.00390625" style="0" bestFit="1" customWidth="1"/>
    <col min="2" max="2" width="10.421875" style="127" customWidth="1"/>
    <col min="3" max="3" width="16.421875" style="127" bestFit="1" customWidth="1"/>
    <col min="4" max="4" width="15.421875" style="127" bestFit="1" customWidth="1"/>
    <col min="5" max="5" width="11.7109375" style="127" bestFit="1" customWidth="1"/>
    <col min="7" max="7" width="5.00390625" style="0" bestFit="1" customWidth="1"/>
    <col min="8" max="8" width="10.140625" style="0" bestFit="1" customWidth="1"/>
    <col min="9" max="9" width="18.28125" style="0" bestFit="1" customWidth="1"/>
    <col min="10" max="10" width="15.421875" style="0" bestFit="1" customWidth="1"/>
    <col min="11" max="11" width="11.7109375" style="0" bestFit="1" customWidth="1"/>
  </cols>
  <sheetData>
    <row r="1" spans="1:5" ht="13.5" thickBot="1">
      <c r="A1" s="445" t="s">
        <v>156</v>
      </c>
      <c r="B1" s="445"/>
      <c r="C1" s="445"/>
      <c r="D1" s="445"/>
      <c r="E1" s="445"/>
    </row>
    <row r="2" spans="1:11" ht="30.75" customHeight="1" thickBot="1">
      <c r="A2" s="417" t="s">
        <v>100</v>
      </c>
      <c r="B2" s="439"/>
      <c r="C2" s="439"/>
      <c r="D2" s="439"/>
      <c r="E2" s="440"/>
      <c r="G2" s="441" t="s">
        <v>103</v>
      </c>
      <c r="H2" s="419"/>
      <c r="I2" s="419"/>
      <c r="J2" s="419"/>
      <c r="K2" s="442"/>
    </row>
    <row r="3" spans="1:11" ht="26.25" thickBot="1">
      <c r="A3" s="114" t="s">
        <v>31</v>
      </c>
      <c r="B3" s="128" t="s">
        <v>96</v>
      </c>
      <c r="C3" s="128" t="s">
        <v>97</v>
      </c>
      <c r="D3" s="128" t="s">
        <v>98</v>
      </c>
      <c r="E3" s="128" t="s">
        <v>99</v>
      </c>
      <c r="G3" s="114" t="s">
        <v>31</v>
      </c>
      <c r="H3" s="114" t="s">
        <v>96</v>
      </c>
      <c r="I3" s="114" t="s">
        <v>97</v>
      </c>
      <c r="J3" s="114" t="s">
        <v>98</v>
      </c>
      <c r="K3" s="114" t="s">
        <v>99</v>
      </c>
    </row>
    <row r="4" spans="1:11" ht="12.75">
      <c r="A4" s="118">
        <v>1995</v>
      </c>
      <c r="B4" s="137">
        <v>6700</v>
      </c>
      <c r="C4" s="136">
        <v>350</v>
      </c>
      <c r="D4" s="136">
        <v>200</v>
      </c>
      <c r="E4" s="129">
        <f>+D4+C4+B4</f>
        <v>7250</v>
      </c>
      <c r="G4" s="115">
        <v>1996</v>
      </c>
      <c r="H4" s="121">
        <f>+((B5/B4)-1)</f>
        <v>0.014925373134328401</v>
      </c>
      <c r="I4" s="121">
        <f>+((C5/C4)-1)</f>
        <v>0.014285714285714235</v>
      </c>
      <c r="J4" s="121">
        <f>+((D5/D4)-1)</f>
        <v>0.030000000000000027</v>
      </c>
      <c r="K4" s="122">
        <f>+((E5/E4)-1)</f>
        <v>0.015310344827586198</v>
      </c>
    </row>
    <row r="5" spans="1:11" ht="12.75">
      <c r="A5" s="119">
        <v>1996</v>
      </c>
      <c r="B5" s="137">
        <v>6800</v>
      </c>
      <c r="C5" s="138">
        <v>355</v>
      </c>
      <c r="D5" s="138">
        <v>206</v>
      </c>
      <c r="E5" s="132">
        <f aca="true" t="shared" si="0" ref="E5:E23">+D5+C5+B5</f>
        <v>7361</v>
      </c>
      <c r="G5" s="116">
        <v>1997</v>
      </c>
      <c r="H5" s="123">
        <f aca="true" t="shared" si="1" ref="H5:H13">+((B6/B5)-1)</f>
        <v>0.014705882352941124</v>
      </c>
      <c r="I5" s="123">
        <f aca="true" t="shared" si="2" ref="I5:I13">+((C6/C5)-1)</f>
        <v>0.014084507042253502</v>
      </c>
      <c r="J5" s="123">
        <f aca="true" t="shared" si="3" ref="J5:J13">+((D6/D5)-1)</f>
        <v>0.029126213592232997</v>
      </c>
      <c r="K5" s="124">
        <f aca="true" t="shared" si="4" ref="K5:K13">+((E6/E5)-1)</f>
        <v>0.015079472897704171</v>
      </c>
    </row>
    <row r="6" spans="1:11" ht="12.75">
      <c r="A6" s="119">
        <v>1997</v>
      </c>
      <c r="B6" s="137">
        <v>6900</v>
      </c>
      <c r="C6" s="138">
        <v>360</v>
      </c>
      <c r="D6" s="138">
        <v>212</v>
      </c>
      <c r="E6" s="132">
        <f t="shared" si="0"/>
        <v>7472</v>
      </c>
      <c r="G6" s="116">
        <v>1998</v>
      </c>
      <c r="H6" s="123">
        <f t="shared" si="1"/>
        <v>0.01449275362318847</v>
      </c>
      <c r="I6" s="123">
        <f t="shared" si="2"/>
        <v>0.01388888888888884</v>
      </c>
      <c r="J6" s="123">
        <f t="shared" si="3"/>
        <v>0.028301886792452935</v>
      </c>
      <c r="K6" s="124">
        <f t="shared" si="4"/>
        <v>0.014855460385438946</v>
      </c>
    </row>
    <row r="7" spans="1:11" ht="12.75">
      <c r="A7" s="119">
        <v>1998</v>
      </c>
      <c r="B7" s="137">
        <v>7000</v>
      </c>
      <c r="C7" s="138">
        <v>365</v>
      </c>
      <c r="D7" s="138">
        <v>218</v>
      </c>
      <c r="E7" s="132">
        <f t="shared" si="0"/>
        <v>7583</v>
      </c>
      <c r="G7" s="116">
        <v>1999</v>
      </c>
      <c r="H7" s="123">
        <f t="shared" si="1"/>
        <v>0.014285714285714235</v>
      </c>
      <c r="I7" s="123">
        <f t="shared" si="2"/>
        <v>0.013698630136986356</v>
      </c>
      <c r="J7" s="123">
        <f t="shared" si="3"/>
        <v>0.02752293577981657</v>
      </c>
      <c r="K7" s="124">
        <f t="shared" si="4"/>
        <v>0.014638006066200804</v>
      </c>
    </row>
    <row r="8" spans="1:11" ht="12.75">
      <c r="A8" s="119">
        <v>1999</v>
      </c>
      <c r="B8" s="137">
        <v>7100</v>
      </c>
      <c r="C8" s="138">
        <v>370</v>
      </c>
      <c r="D8" s="138">
        <v>224</v>
      </c>
      <c r="E8" s="132">
        <f t="shared" si="0"/>
        <v>7694</v>
      </c>
      <c r="G8" s="116">
        <v>2000</v>
      </c>
      <c r="H8" s="123">
        <f t="shared" si="1"/>
        <v>0.014084507042253502</v>
      </c>
      <c r="I8" s="123">
        <f t="shared" si="2"/>
        <v>0.013513513513513598</v>
      </c>
      <c r="J8" s="123">
        <f t="shared" si="3"/>
        <v>0.02678571428571419</v>
      </c>
      <c r="K8" s="124">
        <f t="shared" si="4"/>
        <v>0.014426826098258294</v>
      </c>
    </row>
    <row r="9" spans="1:11" ht="12.75">
      <c r="A9" s="119">
        <v>2000</v>
      </c>
      <c r="B9" s="137">
        <v>7200</v>
      </c>
      <c r="C9" s="138">
        <v>375</v>
      </c>
      <c r="D9" s="138">
        <v>230</v>
      </c>
      <c r="E9" s="132">
        <f t="shared" si="0"/>
        <v>7805</v>
      </c>
      <c r="G9" s="116">
        <v>2001</v>
      </c>
      <c r="H9" s="123">
        <f t="shared" si="1"/>
        <v>0.01388888888888884</v>
      </c>
      <c r="I9" s="123">
        <f t="shared" si="2"/>
        <v>0.01333333333333342</v>
      </c>
      <c r="J9" s="123">
        <f t="shared" si="3"/>
        <v>0.026086956521739202</v>
      </c>
      <c r="K9" s="124">
        <f t="shared" si="4"/>
        <v>0.014221652786675198</v>
      </c>
    </row>
    <row r="10" spans="1:11" ht="12.75">
      <c r="A10" s="119">
        <v>2001</v>
      </c>
      <c r="B10" s="137">
        <v>7300</v>
      </c>
      <c r="C10" s="138">
        <v>380</v>
      </c>
      <c r="D10" s="138">
        <v>236</v>
      </c>
      <c r="E10" s="132">
        <f t="shared" si="0"/>
        <v>7916</v>
      </c>
      <c r="G10" s="116">
        <v>2002</v>
      </c>
      <c r="H10" s="123">
        <f t="shared" si="1"/>
        <v>0.013698630136986356</v>
      </c>
      <c r="I10" s="123">
        <f t="shared" si="2"/>
        <v>0.013157894736842035</v>
      </c>
      <c r="J10" s="123">
        <f t="shared" si="3"/>
        <v>0.025423728813559254</v>
      </c>
      <c r="K10" s="124">
        <f t="shared" si="4"/>
        <v>0.014022233451238098</v>
      </c>
    </row>
    <row r="11" spans="1:11" ht="12.75">
      <c r="A11" s="119">
        <v>2002</v>
      </c>
      <c r="B11" s="137">
        <v>7400</v>
      </c>
      <c r="C11" s="138">
        <v>385</v>
      </c>
      <c r="D11" s="138">
        <v>242</v>
      </c>
      <c r="E11" s="132">
        <f t="shared" si="0"/>
        <v>8027</v>
      </c>
      <c r="G11" s="116">
        <v>2003</v>
      </c>
      <c r="H11" s="123">
        <f t="shared" si="1"/>
        <v>0.013513513513513598</v>
      </c>
      <c r="I11" s="123">
        <f t="shared" si="2"/>
        <v>0.01298701298701288</v>
      </c>
      <c r="J11" s="123">
        <f t="shared" si="3"/>
        <v>0.024793388429751984</v>
      </c>
      <c r="K11" s="124">
        <f t="shared" si="4"/>
        <v>0.013828329388314353</v>
      </c>
    </row>
    <row r="12" spans="1:11" ht="12.75">
      <c r="A12" s="119">
        <v>2003</v>
      </c>
      <c r="B12" s="137">
        <v>7500</v>
      </c>
      <c r="C12" s="138">
        <v>390</v>
      </c>
      <c r="D12" s="138">
        <v>248</v>
      </c>
      <c r="E12" s="132">
        <f t="shared" si="0"/>
        <v>8138</v>
      </c>
      <c r="G12" s="116">
        <v>2004</v>
      </c>
      <c r="H12" s="123">
        <f t="shared" si="1"/>
        <v>0.01333333333333342</v>
      </c>
      <c r="I12" s="123">
        <f t="shared" si="2"/>
        <v>0.012820512820512775</v>
      </c>
      <c r="J12" s="123">
        <f t="shared" si="3"/>
        <v>0.024193548387096753</v>
      </c>
      <c r="K12" s="124">
        <f t="shared" si="4"/>
        <v>0.013639714917670132</v>
      </c>
    </row>
    <row r="13" spans="1:11" ht="13.5" thickBot="1">
      <c r="A13" s="119">
        <v>2004</v>
      </c>
      <c r="B13" s="137">
        <v>7600</v>
      </c>
      <c r="C13" s="138">
        <v>395</v>
      </c>
      <c r="D13" s="138">
        <v>254</v>
      </c>
      <c r="E13" s="132">
        <f t="shared" si="0"/>
        <v>8249</v>
      </c>
      <c r="G13" s="117">
        <v>2005</v>
      </c>
      <c r="H13" s="125">
        <f t="shared" si="1"/>
        <v>0.013157894736842035</v>
      </c>
      <c r="I13" s="125">
        <f t="shared" si="2"/>
        <v>0.012658227848101333</v>
      </c>
      <c r="J13" s="125">
        <f t="shared" si="3"/>
        <v>0.023622047244094446</v>
      </c>
      <c r="K13" s="126">
        <f t="shared" si="4"/>
        <v>0.01345617650624309</v>
      </c>
    </row>
    <row r="14" spans="1:5" ht="13.5" thickBot="1">
      <c r="A14" s="119">
        <v>2005</v>
      </c>
      <c r="B14" s="137">
        <v>7700</v>
      </c>
      <c r="C14" s="224">
        <v>400</v>
      </c>
      <c r="D14" s="224">
        <v>260</v>
      </c>
      <c r="E14" s="132">
        <f t="shared" si="0"/>
        <v>8360</v>
      </c>
    </row>
    <row r="15" spans="1:10" ht="13.5" thickBot="1">
      <c r="A15" s="119">
        <v>2006</v>
      </c>
      <c r="B15" s="130">
        <f>B14*(1+$J$16)</f>
        <v>7807.866598106953</v>
      </c>
      <c r="C15" s="131">
        <f>C14*(1+$J$17)</f>
        <v>405.37712942372633</v>
      </c>
      <c r="D15" s="131">
        <f>D14*(1+$J$18)</f>
        <v>266.91226691600787</v>
      </c>
      <c r="E15" s="132">
        <f t="shared" si="0"/>
        <v>8480.155994446686</v>
      </c>
      <c r="I15" s="443" t="s">
        <v>101</v>
      </c>
      <c r="J15" s="444"/>
    </row>
    <row r="16" spans="1:10" ht="12.75">
      <c r="A16" s="119">
        <v>2007</v>
      </c>
      <c r="B16" s="130">
        <f aca="true" t="shared" si="5" ref="B16:B24">B15*(1+$J$16)</f>
        <v>7917.244261536914</v>
      </c>
      <c r="C16" s="131">
        <f aca="true" t="shared" si="6" ref="C16:C24">C15*(1+$J$17)</f>
        <v>410.8265426495514</v>
      </c>
      <c r="D16" s="131">
        <f aca="true" t="shared" si="7" ref="D16:D24">D15*(1+$J$18)</f>
        <v>274.00830088554704</v>
      </c>
      <c r="E16" s="132">
        <f t="shared" si="0"/>
        <v>8602.079105072013</v>
      </c>
      <c r="I16" s="115" t="s">
        <v>96</v>
      </c>
      <c r="J16" s="122">
        <f>+AVERAGE(H4:H13)</f>
        <v>0.014008649104798997</v>
      </c>
    </row>
    <row r="17" spans="1:10" ht="12.75">
      <c r="A17" s="119">
        <v>2008</v>
      </c>
      <c r="B17" s="130">
        <f t="shared" si="5"/>
        <v>8028.154158273768</v>
      </c>
      <c r="C17" s="131">
        <f t="shared" si="6"/>
        <v>416.34921137587304</v>
      </c>
      <c r="D17" s="131">
        <f t="shared" si="7"/>
        <v>281.29298747371126</v>
      </c>
      <c r="E17" s="132">
        <f>+D17+C17+B17</f>
        <v>8725.796357123352</v>
      </c>
      <c r="I17" s="116" t="s">
        <v>102</v>
      </c>
      <c r="J17" s="124">
        <f>+AVERAGE(I4:I13)</f>
        <v>0.013442823559315897</v>
      </c>
    </row>
    <row r="18" spans="1:10" ht="12.75">
      <c r="A18" s="119">
        <v>2009</v>
      </c>
      <c r="B18" s="130">
        <f t="shared" si="5"/>
        <v>8140.617752836259</v>
      </c>
      <c r="C18" s="131">
        <f>C17*(1+$J$17)</f>
        <v>421.94612036345916</v>
      </c>
      <c r="D18" s="131">
        <f t="shared" si="7"/>
        <v>288.7713421314788</v>
      </c>
      <c r="E18" s="132">
        <f t="shared" si="0"/>
        <v>8851.335215331197</v>
      </c>
      <c r="I18" s="116" t="s">
        <v>98</v>
      </c>
      <c r="J18" s="124">
        <f>+AVERAGE(J4:J13)</f>
        <v>0.026585641984645837</v>
      </c>
    </row>
    <row r="19" spans="1:10" ht="13.5" thickBot="1">
      <c r="A19" s="119">
        <v>2010</v>
      </c>
      <c r="B19" s="130">
        <f t="shared" si="5"/>
        <v>8254.65681043204</v>
      </c>
      <c r="C19" s="131">
        <f t="shared" si="6"/>
        <v>427.618267611043</v>
      </c>
      <c r="D19" s="131">
        <f>D18*(1+$J$18)</f>
        <v>296.4485136488119</v>
      </c>
      <c r="E19" s="132">
        <f t="shared" si="0"/>
        <v>8978.723591691894</v>
      </c>
      <c r="I19" s="117" t="s">
        <v>104</v>
      </c>
      <c r="J19" s="126">
        <f>+AVERAGE(K4:K13)</f>
        <v>0.014347821732532929</v>
      </c>
    </row>
    <row r="20" spans="1:5" ht="12.75">
      <c r="A20" s="119">
        <v>2011</v>
      </c>
      <c r="B20" s="130">
        <f t="shared" si="5"/>
        <v>8370.293401169922</v>
      </c>
      <c r="C20" s="131">
        <f t="shared" si="6"/>
        <v>433.36666453327854</v>
      </c>
      <c r="D20" s="131">
        <f t="shared" si="7"/>
        <v>304.3297876995596</v>
      </c>
      <c r="E20" s="132">
        <f t="shared" si="0"/>
        <v>9107.98985340276</v>
      </c>
    </row>
    <row r="21" spans="1:5" ht="12.75">
      <c r="A21" s="119">
        <v>2012</v>
      </c>
      <c r="B21" s="130">
        <f t="shared" si="5"/>
        <v>8487.549904331127</v>
      </c>
      <c r="C21" s="131">
        <f t="shared" si="6"/>
        <v>439.1923361410886</v>
      </c>
      <c r="D21" s="131">
        <f>D20*(1+$J$18)</f>
        <v>312.4205904806033</v>
      </c>
      <c r="E21" s="132">
        <f>+D21+C21+B21</f>
        <v>9239.162830952819</v>
      </c>
    </row>
    <row r="22" spans="1:5" ht="12.75">
      <c r="A22" s="119">
        <v>2013</v>
      </c>
      <c r="B22" s="130">
        <f t="shared" si="5"/>
        <v>8606.449012700372</v>
      </c>
      <c r="C22" s="131">
        <f t="shared" si="6"/>
        <v>445.09632122443696</v>
      </c>
      <c r="D22" s="131">
        <f t="shared" si="7"/>
        <v>320.72649244775226</v>
      </c>
      <c r="E22" s="132">
        <f t="shared" si="0"/>
        <v>9372.271826372562</v>
      </c>
    </row>
    <row r="23" spans="1:5" ht="12.75">
      <c r="A23" s="119">
        <v>2014</v>
      </c>
      <c r="B23" s="130">
        <f t="shared" si="5"/>
        <v>8727.013736957635</v>
      </c>
      <c r="C23" s="131">
        <f t="shared" si="6"/>
        <v>451.0796725375576</v>
      </c>
      <c r="D23" s="131">
        <f t="shared" si="7"/>
        <v>329.25321215095937</v>
      </c>
      <c r="E23" s="132">
        <f t="shared" si="0"/>
        <v>9507.346621646153</v>
      </c>
    </row>
    <row r="24" spans="1:5" ht="13.5" thickBot="1">
      <c r="A24" s="120">
        <v>2015</v>
      </c>
      <c r="B24" s="133">
        <f t="shared" si="5"/>
        <v>8849.267410131435</v>
      </c>
      <c r="C24" s="134">
        <f t="shared" si="6"/>
        <v>457.1434569866739</v>
      </c>
      <c r="D24" s="134">
        <f t="shared" si="7"/>
        <v>338.0066201714994</v>
      </c>
      <c r="E24" s="135">
        <f>+D24+C24+B24</f>
        <v>9644.41748728961</v>
      </c>
    </row>
    <row r="27" ht="12.75">
      <c r="D27" s="127">
        <f>1100*2.5</f>
        <v>2750</v>
      </c>
    </row>
    <row r="28" ht="12.75">
      <c r="D28" s="127">
        <v>1600</v>
      </c>
    </row>
    <row r="29" ht="12.75">
      <c r="D29" s="127">
        <f>+D28*4</f>
        <v>6400</v>
      </c>
    </row>
    <row r="30" ht="12.75">
      <c r="D30" s="127">
        <v>4000</v>
      </c>
    </row>
    <row r="31" ht="12.75">
      <c r="D31" s="127">
        <f>+D30*0.7</f>
        <v>2800</v>
      </c>
    </row>
  </sheetData>
  <mergeCells count="4">
    <mergeCell ref="A2:E2"/>
    <mergeCell ref="G2:K2"/>
    <mergeCell ref="I15:J15"/>
    <mergeCell ref="A1:E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58"/>
  <sheetViews>
    <sheetView zoomScale="65" zoomScaleNormal="65" workbookViewId="0" topLeftCell="A1">
      <selection activeCell="J20" sqref="J4:J20"/>
    </sheetView>
  </sheetViews>
  <sheetFormatPr defaultColWidth="11.421875" defaultRowHeight="12.75"/>
  <cols>
    <col min="1" max="1" width="33.57421875" style="20" bestFit="1" customWidth="1"/>
    <col min="2" max="2" width="16.421875" style="20" bestFit="1" customWidth="1"/>
    <col min="3" max="3" width="21.421875" style="20" customWidth="1"/>
    <col min="4" max="4" width="13.140625" style="20" customWidth="1"/>
    <col min="5" max="5" width="25.8515625" style="20" customWidth="1"/>
    <col min="6" max="6" width="21.8515625" style="20" bestFit="1" customWidth="1"/>
    <col min="7" max="7" width="17.00390625" style="20" customWidth="1"/>
    <col min="8" max="16384" width="11.421875" style="20" customWidth="1"/>
  </cols>
  <sheetData>
    <row r="2" spans="1:3" ht="18">
      <c r="A2" s="449"/>
      <c r="B2" s="449"/>
      <c r="C2" s="449"/>
    </row>
    <row r="3" spans="1:3" ht="13.5" thickBot="1">
      <c r="A3" s="450" t="s">
        <v>143</v>
      </c>
      <c r="B3" s="445"/>
      <c r="C3" s="445"/>
    </row>
    <row r="4" spans="1:3" ht="18.75" thickBot="1">
      <c r="A4" s="446" t="s">
        <v>12</v>
      </c>
      <c r="B4" s="447"/>
      <c r="C4" s="448"/>
    </row>
    <row r="5" spans="1:3" ht="12.75">
      <c r="A5" s="4" t="s">
        <v>0</v>
      </c>
      <c r="B5" s="4" t="s">
        <v>1</v>
      </c>
      <c r="C5" s="4" t="s">
        <v>2</v>
      </c>
    </row>
    <row r="6" spans="1:7" ht="12.75">
      <c r="A6" s="5"/>
      <c r="B6" s="5" t="s">
        <v>15</v>
      </c>
      <c r="C6" s="5" t="s">
        <v>3</v>
      </c>
      <c r="E6" s="10"/>
      <c r="F6" s="21"/>
      <c r="G6" s="22"/>
    </row>
    <row r="7" spans="1:7" ht="12.75">
      <c r="A7" s="6"/>
      <c r="B7" s="6"/>
      <c r="C7" s="6"/>
      <c r="E7" s="10"/>
      <c r="F7" s="23"/>
      <c r="G7" s="23"/>
    </row>
    <row r="8" spans="1:3" ht="12.75">
      <c r="A8" s="7" t="s">
        <v>4</v>
      </c>
      <c r="B8" s="84">
        <f>('3.1.1 Inv. Fija'!C22)</f>
        <v>96440</v>
      </c>
      <c r="C8" s="82">
        <f>(B8/B13)</f>
        <v>0.9897372742200329</v>
      </c>
    </row>
    <row r="9" spans="1:3" ht="12.75">
      <c r="A9" s="8"/>
      <c r="B9" s="84"/>
      <c r="C9" s="77"/>
    </row>
    <row r="10" spans="1:3" ht="12.75">
      <c r="A10" s="7" t="s">
        <v>5</v>
      </c>
      <c r="B10" s="84">
        <v>1000</v>
      </c>
      <c r="C10" s="82">
        <f>(B10/B13)</f>
        <v>0.010262725779967159</v>
      </c>
    </row>
    <row r="11" spans="1:3" ht="12.75">
      <c r="A11" s="28"/>
      <c r="B11" s="85"/>
      <c r="C11" s="83"/>
    </row>
    <row r="12" spans="1:3" ht="12.75">
      <c r="A12" s="29" t="s">
        <v>9</v>
      </c>
      <c r="B12" s="86"/>
      <c r="C12" s="78"/>
    </row>
    <row r="13" spans="1:3" ht="13.5" thickBot="1">
      <c r="A13" s="9" t="s">
        <v>6</v>
      </c>
      <c r="B13" s="87">
        <f>+SUM(B8:B10)</f>
        <v>97440</v>
      </c>
      <c r="C13" s="79">
        <f>SUM(C8:C12)</f>
        <v>1</v>
      </c>
    </row>
    <row r="14" spans="1:3" ht="12.75">
      <c r="A14" s="1" t="s">
        <v>29</v>
      </c>
      <c r="B14" s="10"/>
      <c r="C14" s="10"/>
    </row>
    <row r="15" spans="2:3" ht="12.75">
      <c r="B15" s="10"/>
      <c r="C15" s="10"/>
    </row>
    <row r="16" spans="1:3" ht="13.5" customHeight="1" thickBot="1">
      <c r="A16" s="11"/>
      <c r="B16" s="10"/>
      <c r="C16" s="10"/>
    </row>
    <row r="17" spans="1:3" ht="12.75">
      <c r="A17" s="12" t="s">
        <v>33</v>
      </c>
      <c r="B17" s="13">
        <v>0.7</v>
      </c>
      <c r="C17" s="14">
        <f>B13*B17</f>
        <v>68208</v>
      </c>
    </row>
    <row r="18" spans="1:3" ht="13.5" thickBot="1">
      <c r="A18" s="24" t="s">
        <v>34</v>
      </c>
      <c r="B18" s="25">
        <f>100%-B17</f>
        <v>0.30000000000000004</v>
      </c>
      <c r="C18" s="26">
        <f>+B13*B18</f>
        <v>29232.000000000004</v>
      </c>
    </row>
    <row r="19" ht="12.75">
      <c r="A19" s="3"/>
    </row>
    <row r="20" ht="12.75">
      <c r="A20" s="3"/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8" ht="12.75">
      <c r="B58" s="3"/>
    </row>
  </sheetData>
  <mergeCells count="3">
    <mergeCell ref="A4:C4"/>
    <mergeCell ref="A2:C2"/>
    <mergeCell ref="A3:C3"/>
  </mergeCells>
  <printOptions horizontalCentered="1" verticalCentered="1"/>
  <pageMargins left="0.5511811023622047" right="0.7874015748031497" top="1.062992125984252" bottom="1.062992125984252" header="1.062992125984252" footer="2.2440944881889764"/>
  <pageSetup horizontalDpi="300" verticalDpi="300" orientation="landscape" paperSize="9" r:id="rId1"/>
  <headerFooter alignWithMargins="0">
    <oddHeader xml:space="preserve">&amp;C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D30"/>
  <sheetViews>
    <sheetView zoomScale="65" zoomScaleNormal="65" workbookViewId="0" topLeftCell="A1">
      <selection activeCell="A3" sqref="A3:D23"/>
    </sheetView>
  </sheetViews>
  <sheetFormatPr defaultColWidth="11.421875" defaultRowHeight="12.75"/>
  <cols>
    <col min="1" max="1" width="33.57421875" style="20" bestFit="1" customWidth="1"/>
    <col min="2" max="2" width="21.8515625" style="20" customWidth="1"/>
    <col min="3" max="3" width="17.00390625" style="20" customWidth="1"/>
    <col min="4" max="4" width="20.421875" style="81" bestFit="1" customWidth="1"/>
    <col min="5" max="16384" width="11.421875" style="20" customWidth="1"/>
  </cols>
  <sheetData>
    <row r="2" spans="1:4" ht="14.25" customHeight="1">
      <c r="A2" s="449"/>
      <c r="B2" s="449"/>
      <c r="C2" s="449"/>
      <c r="D2" s="449"/>
    </row>
    <row r="3" spans="1:4" ht="13.5" thickBot="1">
      <c r="A3" s="450" t="s">
        <v>144</v>
      </c>
      <c r="B3" s="450"/>
      <c r="C3" s="450"/>
      <c r="D3" s="450"/>
    </row>
    <row r="4" spans="1:4" ht="18.75" thickBot="1">
      <c r="A4" s="446" t="s">
        <v>13</v>
      </c>
      <c r="B4" s="447"/>
      <c r="C4" s="447"/>
      <c r="D4" s="448"/>
    </row>
    <row r="5" spans="1:4" ht="12.75">
      <c r="A5" s="31" t="s">
        <v>0</v>
      </c>
      <c r="B5" s="31"/>
      <c r="C5" s="31" t="s">
        <v>1</v>
      </c>
      <c r="D5" s="75" t="s">
        <v>8</v>
      </c>
    </row>
    <row r="6" spans="1:4" ht="12.75">
      <c r="A6" s="32"/>
      <c r="B6" s="32"/>
      <c r="C6" s="32" t="s">
        <v>14</v>
      </c>
      <c r="D6" s="76" t="s">
        <v>3</v>
      </c>
    </row>
    <row r="7" spans="1:4" ht="12.75">
      <c r="A7" s="33"/>
      <c r="B7" s="72"/>
      <c r="C7" s="72"/>
      <c r="D7" s="77"/>
    </row>
    <row r="8" spans="1:4" ht="12.75">
      <c r="A8" s="33" t="s">
        <v>64</v>
      </c>
      <c r="B8" s="72"/>
      <c r="C8" s="72">
        <f>+SUM(B9:B11)</f>
        <v>43440</v>
      </c>
      <c r="D8" s="77">
        <f>+C8/C22</f>
        <v>0.45043550394027376</v>
      </c>
    </row>
    <row r="9" spans="1:4" ht="12.75">
      <c r="A9" s="93" t="s">
        <v>65</v>
      </c>
      <c r="B9" s="72">
        <f>+'3.2.1 Costos Construccion'!C25</f>
        <v>21040</v>
      </c>
      <c r="C9" s="72"/>
      <c r="D9" s="77"/>
    </row>
    <row r="10" spans="1:4" ht="12.75">
      <c r="A10" s="93" t="s">
        <v>66</v>
      </c>
      <c r="B10" s="72">
        <v>19900</v>
      </c>
      <c r="C10" s="72"/>
      <c r="D10" s="77"/>
    </row>
    <row r="11" spans="1:4" ht="12.75">
      <c r="A11" s="93" t="s">
        <v>77</v>
      </c>
      <c r="B11" s="72">
        <v>2500</v>
      </c>
      <c r="C11" s="72"/>
      <c r="D11" s="77"/>
    </row>
    <row r="12" spans="1:4" ht="12.75">
      <c r="A12" s="93"/>
      <c r="B12" s="72"/>
      <c r="C12" s="72"/>
      <c r="D12" s="77"/>
    </row>
    <row r="13" spans="1:4" ht="12.75">
      <c r="A13" s="71"/>
      <c r="B13" s="72"/>
      <c r="C13" s="72"/>
      <c r="D13" s="77"/>
    </row>
    <row r="14" spans="1:4" ht="12.75">
      <c r="A14" s="33" t="s">
        <v>7</v>
      </c>
      <c r="B14" s="72"/>
      <c r="C14" s="72">
        <f>+SUM(B15:B20)</f>
        <v>53000</v>
      </c>
      <c r="D14" s="77">
        <f>+C14/C22</f>
        <v>0.5495644960597262</v>
      </c>
    </row>
    <row r="15" spans="1:4" ht="12.75">
      <c r="A15" s="71" t="s">
        <v>185</v>
      </c>
      <c r="B15" s="72">
        <v>8000</v>
      </c>
      <c r="C15" s="72"/>
      <c r="D15" s="77"/>
    </row>
    <row r="16" spans="1:4" ht="12.75">
      <c r="A16" s="71" t="s">
        <v>184</v>
      </c>
      <c r="B16" s="72">
        <v>28000</v>
      </c>
      <c r="C16" s="72"/>
      <c r="D16" s="77"/>
    </row>
    <row r="17" spans="1:4" ht="12.75">
      <c r="A17" s="71" t="s">
        <v>73</v>
      </c>
      <c r="B17" s="72">
        <v>7000</v>
      </c>
      <c r="C17" s="72"/>
      <c r="D17" s="77"/>
    </row>
    <row r="18" spans="1:4" ht="12.75">
      <c r="A18" s="71" t="s">
        <v>76</v>
      </c>
      <c r="B18" s="72">
        <v>1000</v>
      </c>
      <c r="C18" s="72"/>
      <c r="D18" s="77"/>
    </row>
    <row r="19" spans="1:4" ht="12.75">
      <c r="A19" s="71" t="s">
        <v>74</v>
      </c>
      <c r="B19" s="72">
        <v>5000</v>
      </c>
      <c r="C19" s="72"/>
      <c r="D19" s="77"/>
    </row>
    <row r="20" spans="1:4" ht="12.75">
      <c r="A20" s="71" t="s">
        <v>75</v>
      </c>
      <c r="B20" s="72">
        <v>4000</v>
      </c>
      <c r="C20" s="72"/>
      <c r="D20" s="77"/>
    </row>
    <row r="21" spans="1:4" ht="12.75">
      <c r="A21" s="37"/>
      <c r="B21" s="73"/>
      <c r="C21" s="73"/>
      <c r="D21" s="78"/>
    </row>
    <row r="22" spans="1:4" ht="13.5" thickBot="1">
      <c r="A22" s="34" t="s">
        <v>6</v>
      </c>
      <c r="B22" s="74"/>
      <c r="C22" s="74">
        <f>+SUM(C8:C20)</f>
        <v>96440</v>
      </c>
      <c r="D22" s="79">
        <f>SUM(D8:D21)</f>
        <v>1</v>
      </c>
    </row>
    <row r="23" spans="1:4" ht="12.75">
      <c r="A23" s="27" t="s">
        <v>29</v>
      </c>
      <c r="B23" s="27"/>
      <c r="C23" s="35"/>
      <c r="D23" s="80"/>
    </row>
    <row r="24" spans="1:3" ht="12.75">
      <c r="A24" s="27"/>
      <c r="B24" s="27"/>
      <c r="C24" s="35"/>
    </row>
    <row r="25" spans="1:4" ht="12.75">
      <c r="A25" s="35"/>
      <c r="B25" s="35"/>
      <c r="C25" s="35"/>
      <c r="D25" s="80"/>
    </row>
    <row r="30" ht="12.75">
      <c r="D30" s="80"/>
    </row>
  </sheetData>
  <mergeCells count="3">
    <mergeCell ref="A3:D3"/>
    <mergeCell ref="A4:D4"/>
    <mergeCell ref="A2:D2"/>
  </mergeCells>
  <printOptions horizontalCentered="1" verticalCentered="1"/>
  <pageMargins left="0.984251968503937" right="0.2755905511811024" top="0.5118110236220472" bottom="0.984251968503937" header="0.5118110236220472" footer="0.15748031496062992"/>
  <pageSetup horizontalDpi="300" verticalDpi="300" orientation="landscape" paperSize="9" scale="110" r:id="rId1"/>
  <headerFooter alignWithMargins="0">
    <oddHeader xml:space="preserve">&amp;C </oddHeader>
    <oddFooter xml:space="preserve"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zoomScale="75" zoomScaleNormal="75" workbookViewId="0" topLeftCell="A4">
      <selection activeCell="J44" sqref="J44"/>
    </sheetView>
  </sheetViews>
  <sheetFormatPr defaultColWidth="11.421875" defaultRowHeight="12.75"/>
  <cols>
    <col min="1" max="1" width="25.28125" style="44" customWidth="1"/>
    <col min="2" max="2" width="10.57421875" style="44" customWidth="1"/>
    <col min="3" max="3" width="6.57421875" style="44" bestFit="1" customWidth="1"/>
    <col min="4" max="4" width="9.7109375" style="44" bestFit="1" customWidth="1"/>
    <col min="5" max="5" width="11.7109375" style="44" customWidth="1"/>
    <col min="6" max="6" width="11.7109375" style="44" bestFit="1" customWidth="1"/>
    <col min="7" max="7" width="13.421875" style="44" customWidth="1"/>
    <col min="8" max="8" width="12.7109375" style="44" bestFit="1" customWidth="1"/>
    <col min="9" max="16384" width="11.421875" style="44" customWidth="1"/>
  </cols>
  <sheetData>
    <row r="1" ht="12.75">
      <c r="D1" s="62"/>
    </row>
    <row r="2" spans="1:8" ht="18">
      <c r="A2" s="454"/>
      <c r="B2" s="454"/>
      <c r="C2" s="454"/>
      <c r="D2" s="454"/>
      <c r="E2" s="454"/>
      <c r="F2" s="454"/>
      <c r="G2" s="454"/>
      <c r="H2" s="454"/>
    </row>
    <row r="3" spans="1:8" ht="13.5" thickBot="1">
      <c r="A3" s="455" t="s">
        <v>147</v>
      </c>
      <c r="B3" s="445"/>
      <c r="C3" s="445"/>
      <c r="D3" s="445"/>
      <c r="E3" s="445"/>
      <c r="F3" s="445"/>
      <c r="G3" s="445"/>
      <c r="H3" s="445"/>
    </row>
    <row r="4" spans="1:8" ht="18.75" thickBot="1">
      <c r="A4" s="451" t="s">
        <v>28</v>
      </c>
      <c r="B4" s="452"/>
      <c r="C4" s="452"/>
      <c r="D4" s="452"/>
      <c r="E4" s="452"/>
      <c r="F4" s="452"/>
      <c r="G4" s="452"/>
      <c r="H4" s="453"/>
    </row>
    <row r="5" spans="1:8" s="208" customFormat="1" ht="26.25" thickBot="1">
      <c r="A5" s="203"/>
      <c r="B5" s="204" t="s">
        <v>54</v>
      </c>
      <c r="C5" s="205" t="s">
        <v>11</v>
      </c>
      <c r="D5" s="204" t="s">
        <v>53</v>
      </c>
      <c r="E5" s="204" t="s">
        <v>24</v>
      </c>
      <c r="F5" s="206" t="s">
        <v>51</v>
      </c>
      <c r="G5" s="207" t="s">
        <v>50</v>
      </c>
      <c r="H5" s="207" t="s">
        <v>52</v>
      </c>
    </row>
    <row r="6" spans="1:8" ht="12.75">
      <c r="A6" s="46"/>
      <c r="B6" s="209"/>
      <c r="C6" s="210"/>
      <c r="D6" s="307"/>
      <c r="E6" s="308"/>
      <c r="F6" s="307"/>
      <c r="G6" s="309"/>
      <c r="H6" s="310"/>
    </row>
    <row r="7" spans="1:8" ht="25.5">
      <c r="A7" s="377" t="s">
        <v>25</v>
      </c>
      <c r="B7" s="211"/>
      <c r="C7" s="212"/>
      <c r="D7" s="311"/>
      <c r="E7" s="312"/>
      <c r="F7" s="311"/>
      <c r="G7" s="312"/>
      <c r="H7" s="311"/>
    </row>
    <row r="8" spans="1:8" ht="12.75">
      <c r="A8" s="90" t="s">
        <v>10</v>
      </c>
      <c r="B8" s="311">
        <f>+'3.1.1 Inv. Fija'!C8</f>
        <v>43440</v>
      </c>
      <c r="C8" s="213">
        <v>20</v>
      </c>
      <c r="D8" s="311">
        <f>B8/C8</f>
        <v>2172</v>
      </c>
      <c r="E8" s="312">
        <f>B8-(D8*10)</f>
        <v>21720</v>
      </c>
      <c r="F8" s="311">
        <v>20000</v>
      </c>
      <c r="G8" s="312">
        <f>F8-E8</f>
        <v>-1720</v>
      </c>
      <c r="H8" s="311">
        <f>+F8</f>
        <v>20000</v>
      </c>
    </row>
    <row r="9" spans="1:8" ht="12.75">
      <c r="A9" s="49"/>
      <c r="B9" s="311"/>
      <c r="C9" s="213"/>
      <c r="D9" s="311" t="s">
        <v>9</v>
      </c>
      <c r="E9" s="312" t="s">
        <v>9</v>
      </c>
      <c r="F9" s="311"/>
      <c r="G9" s="312" t="s">
        <v>9</v>
      </c>
      <c r="H9" s="311" t="str">
        <f>+G9</f>
        <v> </v>
      </c>
    </row>
    <row r="10" spans="1:8" ht="27.75" customHeight="1">
      <c r="A10" s="377" t="s">
        <v>26</v>
      </c>
      <c r="B10" s="311"/>
      <c r="C10" s="213"/>
      <c r="D10" s="311" t="s">
        <v>9</v>
      </c>
      <c r="E10" s="312" t="s">
        <v>9</v>
      </c>
      <c r="F10" s="311"/>
      <c r="G10" s="312" t="s">
        <v>9</v>
      </c>
      <c r="H10" s="311" t="str">
        <f>+G10</f>
        <v> </v>
      </c>
    </row>
    <row r="11" spans="1:8" ht="12.75">
      <c r="A11" s="71" t="s">
        <v>71</v>
      </c>
      <c r="B11" s="84">
        <f>+'3.1.1 Inv. Fija'!B15</f>
        <v>8000</v>
      </c>
      <c r="C11" s="213">
        <v>10</v>
      </c>
      <c r="D11" s="311">
        <f aca="true" t="shared" si="0" ref="D11:D16">B11/C11</f>
        <v>800</v>
      </c>
      <c r="E11" s="312">
        <f aca="true" t="shared" si="1" ref="E11:E16">B11-(D11*10)</f>
        <v>0</v>
      </c>
      <c r="F11" s="311">
        <v>3000</v>
      </c>
      <c r="G11" s="312">
        <f aca="true" t="shared" si="2" ref="G11:G16">F11-E11</f>
        <v>3000</v>
      </c>
      <c r="H11" s="311">
        <f aca="true" t="shared" si="3" ref="H11:H16">+F11</f>
        <v>3000</v>
      </c>
    </row>
    <row r="12" spans="1:8" ht="12.75">
      <c r="A12" s="71" t="s">
        <v>72</v>
      </c>
      <c r="B12" s="84">
        <f>+'3.1.1 Inv. Fija'!B16</f>
        <v>28000</v>
      </c>
      <c r="C12" s="213">
        <v>10</v>
      </c>
      <c r="D12" s="311">
        <f t="shared" si="0"/>
        <v>2800</v>
      </c>
      <c r="E12" s="312">
        <f t="shared" si="1"/>
        <v>0</v>
      </c>
      <c r="F12" s="311">
        <v>15000</v>
      </c>
      <c r="G12" s="312">
        <f t="shared" si="2"/>
        <v>15000</v>
      </c>
      <c r="H12" s="311">
        <f t="shared" si="3"/>
        <v>15000</v>
      </c>
    </row>
    <row r="13" spans="1:8" ht="12.75">
      <c r="A13" s="71" t="s">
        <v>73</v>
      </c>
      <c r="B13" s="84">
        <f>+'3.1.1 Inv. Fija'!B17</f>
        <v>7000</v>
      </c>
      <c r="C13" s="213">
        <v>10</v>
      </c>
      <c r="D13" s="311">
        <f t="shared" si="0"/>
        <v>700</v>
      </c>
      <c r="E13" s="312">
        <f t="shared" si="1"/>
        <v>0</v>
      </c>
      <c r="F13" s="311">
        <v>2000</v>
      </c>
      <c r="G13" s="312">
        <f t="shared" si="2"/>
        <v>2000</v>
      </c>
      <c r="H13" s="311">
        <f t="shared" si="3"/>
        <v>2000</v>
      </c>
    </row>
    <row r="14" spans="1:8" ht="12.75">
      <c r="A14" s="71" t="s">
        <v>76</v>
      </c>
      <c r="B14" s="84">
        <f>+'3.1.1 Inv. Fija'!B18</f>
        <v>1000</v>
      </c>
      <c r="C14" s="213">
        <v>10</v>
      </c>
      <c r="D14" s="311">
        <f t="shared" si="0"/>
        <v>100</v>
      </c>
      <c r="E14" s="312">
        <f t="shared" si="1"/>
        <v>0</v>
      </c>
      <c r="F14" s="311">
        <v>500</v>
      </c>
      <c r="G14" s="312">
        <f t="shared" si="2"/>
        <v>500</v>
      </c>
      <c r="H14" s="311">
        <f t="shared" si="3"/>
        <v>500</v>
      </c>
    </row>
    <row r="15" spans="1:8" ht="12.75">
      <c r="A15" s="71" t="s">
        <v>74</v>
      </c>
      <c r="B15" s="84">
        <f>+'3.1.1 Inv. Fija'!B19</f>
        <v>5000</v>
      </c>
      <c r="C15" s="213">
        <v>10</v>
      </c>
      <c r="D15" s="311">
        <f t="shared" si="0"/>
        <v>500</v>
      </c>
      <c r="E15" s="312">
        <f t="shared" si="1"/>
        <v>0</v>
      </c>
      <c r="F15" s="311">
        <v>1000</v>
      </c>
      <c r="G15" s="312">
        <f t="shared" si="2"/>
        <v>1000</v>
      </c>
      <c r="H15" s="311">
        <f t="shared" si="3"/>
        <v>1000</v>
      </c>
    </row>
    <row r="16" spans="1:8" ht="12.75">
      <c r="A16" s="71" t="s">
        <v>75</v>
      </c>
      <c r="B16" s="84">
        <f>+'3.1.1 Inv. Fija'!B20</f>
        <v>4000</v>
      </c>
      <c r="C16" s="213">
        <v>10</v>
      </c>
      <c r="D16" s="311">
        <f t="shared" si="0"/>
        <v>400</v>
      </c>
      <c r="E16" s="312">
        <f t="shared" si="1"/>
        <v>0</v>
      </c>
      <c r="F16" s="311">
        <v>1000</v>
      </c>
      <c r="G16" s="312">
        <f t="shared" si="2"/>
        <v>1000</v>
      </c>
      <c r="H16" s="311">
        <f t="shared" si="3"/>
        <v>1000</v>
      </c>
    </row>
    <row r="17" spans="1:8" ht="12.75">
      <c r="A17" s="71"/>
      <c r="B17" s="84"/>
      <c r="C17" s="213"/>
      <c r="D17" s="311"/>
      <c r="E17" s="312"/>
      <c r="F17" s="311"/>
      <c r="G17" s="312"/>
      <c r="H17" s="311"/>
    </row>
    <row r="18" spans="1:8" ht="12.75">
      <c r="A18" s="71" t="s">
        <v>6</v>
      </c>
      <c r="B18" s="313"/>
      <c r="C18" s="30"/>
      <c r="D18" s="313"/>
      <c r="E18" s="314"/>
      <c r="F18" s="313"/>
      <c r="G18" s="314"/>
      <c r="H18" s="378">
        <f>+H27</f>
        <v>42500</v>
      </c>
    </row>
    <row r="19" spans="1:8" ht="13.5" thickBot="1">
      <c r="A19" s="45"/>
      <c r="B19" s="50"/>
      <c r="C19" s="61"/>
      <c r="D19" s="315"/>
      <c r="E19" s="316"/>
      <c r="F19" s="315"/>
      <c r="G19" s="316"/>
      <c r="H19" s="315"/>
    </row>
    <row r="20" spans="1:7" ht="12.75">
      <c r="A20" s="51"/>
      <c r="B20" s="48"/>
      <c r="C20" s="48"/>
      <c r="D20" s="48"/>
      <c r="E20" s="48"/>
      <c r="F20" s="48"/>
      <c r="G20" s="48"/>
    </row>
    <row r="21" ht="12.75">
      <c r="A21" s="48" t="s">
        <v>29</v>
      </c>
    </row>
    <row r="27" ht="12.75">
      <c r="H27" s="63">
        <f>SUM(H8:H16)</f>
        <v>42500</v>
      </c>
    </row>
  </sheetData>
  <mergeCells count="3">
    <mergeCell ref="A4:H4"/>
    <mergeCell ref="A2:H2"/>
    <mergeCell ref="A3:H3"/>
  </mergeCells>
  <printOptions horizontalCentered="1" verticalCentered="1"/>
  <pageMargins left="0.6299212598425197" right="0.75" top="0.25" bottom="1" header="0" footer="0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zoomScale="75" zoomScaleNormal="75" workbookViewId="0" topLeftCell="A1">
      <selection activeCell="A2" sqref="A2:D26"/>
    </sheetView>
  </sheetViews>
  <sheetFormatPr defaultColWidth="11.421875" defaultRowHeight="12.75"/>
  <cols>
    <col min="1" max="1" width="40.00390625" style="27" customWidth="1"/>
    <col min="2" max="2" width="10.7109375" style="27" bestFit="1" customWidth="1"/>
    <col min="3" max="3" width="12.7109375" style="27" bestFit="1" customWidth="1"/>
    <col min="4" max="4" width="18.57421875" style="27" customWidth="1"/>
    <col min="5" max="16384" width="11.421875" style="27" customWidth="1"/>
  </cols>
  <sheetData>
    <row r="1" spans="1:4" ht="18">
      <c r="A1" s="449"/>
      <c r="B1" s="449"/>
      <c r="C1" s="449"/>
      <c r="D1" s="449"/>
    </row>
    <row r="2" spans="1:4" ht="13.5" thickBot="1">
      <c r="A2" s="456" t="s">
        <v>173</v>
      </c>
      <c r="B2" s="456"/>
      <c r="C2" s="456"/>
      <c r="D2" s="456"/>
    </row>
    <row r="3" spans="1:4" ht="18.75" thickBot="1">
      <c r="A3" s="446" t="s">
        <v>182</v>
      </c>
      <c r="B3" s="447"/>
      <c r="C3" s="447"/>
      <c r="D3" s="448"/>
    </row>
    <row r="4" spans="1:4" ht="18.75" thickBot="1">
      <c r="A4" s="70"/>
      <c r="B4" s="40"/>
      <c r="C4" s="4" t="s">
        <v>1</v>
      </c>
      <c r="D4" s="4" t="s">
        <v>2</v>
      </c>
    </row>
    <row r="5" spans="1:4" ht="13.5" thickBot="1">
      <c r="A5" s="40"/>
      <c r="B5" s="40"/>
      <c r="C5" s="4" t="s">
        <v>89</v>
      </c>
      <c r="D5" s="4" t="s">
        <v>3</v>
      </c>
    </row>
    <row r="6" spans="1:4" ht="12.75">
      <c r="A6" s="41"/>
      <c r="B6" s="59"/>
      <c r="C6" s="38"/>
      <c r="D6" s="101"/>
    </row>
    <row r="7" spans="1:4" ht="12.75">
      <c r="A7" s="19" t="s">
        <v>78</v>
      </c>
      <c r="B7" s="105"/>
      <c r="C7" s="72">
        <f>+SUM(B8:B10)</f>
        <v>2100</v>
      </c>
      <c r="D7" s="102">
        <f>+C7/$C$25</f>
        <v>0.09980988593155894</v>
      </c>
    </row>
    <row r="8" spans="1:4" ht="12.75">
      <c r="A8" s="99" t="s">
        <v>79</v>
      </c>
      <c r="B8" s="106">
        <v>520</v>
      </c>
      <c r="C8" s="72"/>
      <c r="D8" s="102"/>
    </row>
    <row r="9" spans="1:4" ht="12.75">
      <c r="A9" s="99" t="s">
        <v>80</v>
      </c>
      <c r="B9" s="106">
        <v>740</v>
      </c>
      <c r="C9" s="72"/>
      <c r="D9" s="102"/>
    </row>
    <row r="10" spans="1:4" ht="12.75">
      <c r="A10" s="99" t="s">
        <v>81</v>
      </c>
      <c r="B10" s="106">
        <v>840</v>
      </c>
      <c r="C10" s="72"/>
      <c r="D10" s="102"/>
    </row>
    <row r="11" spans="1:4" ht="12.75">
      <c r="A11" s="7"/>
      <c r="B11" s="106"/>
      <c r="C11" s="72"/>
      <c r="D11" s="102"/>
    </row>
    <row r="12" spans="1:4" ht="12.75">
      <c r="A12" s="19" t="s">
        <v>82</v>
      </c>
      <c r="B12" s="106"/>
      <c r="C12" s="72">
        <f>+SUM(B13:B16)</f>
        <v>8340</v>
      </c>
      <c r="D12" s="102">
        <f>+C12/$C$25</f>
        <v>0.39638783269961975</v>
      </c>
    </row>
    <row r="13" spans="1:4" ht="12.75">
      <c r="A13" s="99" t="s">
        <v>83</v>
      </c>
      <c r="B13" s="106">
        <v>4000</v>
      </c>
      <c r="C13" s="72"/>
      <c r="D13" s="102"/>
    </row>
    <row r="14" spans="1:4" ht="12.75">
      <c r="A14" s="99" t="s">
        <v>84</v>
      </c>
      <c r="B14" s="106">
        <v>750</v>
      </c>
      <c r="C14" s="72"/>
      <c r="D14" s="102"/>
    </row>
    <row r="15" spans="1:4" ht="12.75">
      <c r="A15" s="99" t="s">
        <v>85</v>
      </c>
      <c r="B15" s="106">
        <v>2400</v>
      </c>
      <c r="C15" s="72"/>
      <c r="D15" s="102"/>
    </row>
    <row r="16" spans="1:4" ht="15" customHeight="1">
      <c r="A16" s="99" t="s">
        <v>86</v>
      </c>
      <c r="B16" s="106">
        <v>1190</v>
      </c>
      <c r="C16" s="72"/>
      <c r="D16" s="102"/>
    </row>
    <row r="17" spans="1:4" ht="15" customHeight="1">
      <c r="A17" s="99"/>
      <c r="B17" s="106"/>
      <c r="C17" s="72"/>
      <c r="D17" s="102"/>
    </row>
    <row r="18" spans="1:4" ht="15" customHeight="1">
      <c r="A18" s="19" t="s">
        <v>87</v>
      </c>
      <c r="B18" s="106"/>
      <c r="C18" s="72">
        <f>+SUM(B19:B21)</f>
        <v>10600</v>
      </c>
      <c r="D18" s="102">
        <f>+C18/$C$25</f>
        <v>0.5038022813688213</v>
      </c>
    </row>
    <row r="19" spans="1:4" ht="15" customHeight="1">
      <c r="A19" s="99" t="s">
        <v>186</v>
      </c>
      <c r="B19" s="106">
        <v>4800</v>
      </c>
      <c r="C19" s="72"/>
      <c r="D19" s="102"/>
    </row>
    <row r="20" spans="1:4" ht="15" customHeight="1">
      <c r="A20" s="99" t="s">
        <v>187</v>
      </c>
      <c r="B20" s="106">
        <v>1800</v>
      </c>
      <c r="C20" s="72"/>
      <c r="D20" s="102"/>
    </row>
    <row r="21" spans="1:4" ht="15" customHeight="1">
      <c r="A21" s="99" t="s">
        <v>88</v>
      </c>
      <c r="B21" s="106">
        <v>4000</v>
      </c>
      <c r="C21" s="72"/>
      <c r="D21" s="102"/>
    </row>
    <row r="22" spans="1:4" ht="15" customHeight="1">
      <c r="A22" s="100"/>
      <c r="B22" s="106"/>
      <c r="C22" s="72"/>
      <c r="D22" s="102"/>
    </row>
    <row r="23" spans="1:4" ht="15" customHeight="1">
      <c r="A23" s="100"/>
      <c r="B23" s="106"/>
      <c r="C23" s="72"/>
      <c r="D23" s="102"/>
    </row>
    <row r="24" spans="1:4" ht="13.5" thickBot="1">
      <c r="A24" s="41"/>
      <c r="B24" s="107"/>
      <c r="C24" s="108"/>
      <c r="D24" s="103"/>
    </row>
    <row r="25" spans="1:4" ht="16.5" customHeight="1" thickBot="1">
      <c r="A25" s="42" t="s">
        <v>172</v>
      </c>
      <c r="B25" s="109"/>
      <c r="C25" s="110">
        <f>SUM(C7:C23)</f>
        <v>21040</v>
      </c>
      <c r="D25" s="104">
        <f>SUM(D7:D18)</f>
        <v>1</v>
      </c>
    </row>
    <row r="26" ht="12.75">
      <c r="A26" s="27" t="s">
        <v>29</v>
      </c>
    </row>
  </sheetData>
  <mergeCells count="3">
    <mergeCell ref="A2:D2"/>
    <mergeCell ref="A1:D1"/>
    <mergeCell ref="A3:D3"/>
  </mergeCells>
  <printOptions horizontalCentered="1" verticalCentered="1"/>
  <pageMargins left="0.35433070866141736" right="0.2362204724409449" top="1.3385826771653544" bottom="0.984251968503937" header="1.299212598425197" footer="0.5118110236220472"/>
  <pageSetup horizontalDpi="300" verticalDpi="300" orientation="landscape" paperSize="9" scale="90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CRISTHIAN GAVILANEZ G</dc:creator>
  <cp:keywords/>
  <dc:description/>
  <cp:lastModifiedBy>Roberto Orces</cp:lastModifiedBy>
  <cp:lastPrinted>2005-09-11T22:22:50Z</cp:lastPrinted>
  <dcterms:created xsi:type="dcterms:W3CDTF">1998-10-14T18:55:18Z</dcterms:created>
  <dcterms:modified xsi:type="dcterms:W3CDTF">2005-09-19T05:04:37Z</dcterms:modified>
  <cp:category/>
  <cp:version/>
  <cp:contentType/>
  <cp:contentStatus/>
</cp:coreProperties>
</file>