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9440" windowHeight="7695" tabRatio="795" firstSheet="9" activeTab="14"/>
  </bookViews>
  <sheets>
    <sheet name="CAPITAL y SUELDOS" sheetId="2" r:id="rId1"/>
    <sheet name="DETALLE INVERSION OFICINA" sheetId="11" r:id="rId2"/>
    <sheet name="MONTOS-INVERSION(OFICINA)" sheetId="3" r:id="rId3"/>
    <sheet name="DETALLE INVERSION (publicentro)" sheetId="13" r:id="rId4"/>
    <sheet name="MONTOS-INVERSION (PUBLICENTROS)" sheetId="12" r:id="rId5"/>
    <sheet name="ESI" sheetId="1" r:id="rId6"/>
    <sheet name="DEPRECIACION" sheetId="8" r:id="rId7"/>
    <sheet name="COSTOS" sheetId="5" r:id="rId8"/>
    <sheet name="INGRESOS-COSTOS TOTALES cuadro" sheetId="19" r:id="rId9"/>
    <sheet name="flujo efectivo PA SIN PRESTAMO" sheetId="17" r:id="rId10"/>
    <sheet name="flujo efectivo PA con prestamo" sheetId="14" r:id="rId11"/>
    <sheet name="Estado de Resultado PA" sheetId="18" r:id="rId12"/>
    <sheet name="Amortizacion " sheetId="16" r:id="rId13"/>
    <sheet name="Tasas de dESCUENTO  " sheetId="20" r:id="rId14"/>
    <sheet name="IC" sheetId="7" r:id="rId15"/>
    <sheet name="Punto de Equilibrio " sheetId="21" r:id="rId16"/>
    <sheet name="A.Sensibilidad Precio" sheetId="23" r:id="rId17"/>
    <sheet name="A. Sensibilidad Costo" sheetId="24" r:id="rId18"/>
    <sheet name="VAN-TIR=0" sheetId="25" r:id="rId19"/>
  </sheets>
  <externalReferences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J52" i="7" l="1"/>
  <c r="F62" i="7" l="1"/>
  <c r="N10" i="3"/>
  <c r="M10" i="3"/>
  <c r="M9" i="3"/>
  <c r="M8" i="3"/>
  <c r="M7" i="3"/>
  <c r="M6" i="3"/>
  <c r="M5" i="3"/>
  <c r="G15" i="12"/>
  <c r="G14" i="12"/>
  <c r="G13" i="12"/>
  <c r="M39" i="7"/>
  <c r="J39" i="7"/>
  <c r="K39" i="7" s="1"/>
  <c r="P39" i="7" s="1"/>
  <c r="J30" i="7"/>
  <c r="J31" i="7"/>
  <c r="J32" i="7" s="1"/>
  <c r="F27" i="24"/>
  <c r="F26" i="24"/>
  <c r="F25" i="24"/>
  <c r="E27" i="24"/>
  <c r="E26" i="24"/>
  <c r="E25" i="24"/>
  <c r="F24" i="24"/>
  <c r="E24" i="24"/>
  <c r="F23" i="24"/>
  <c r="E23" i="24"/>
  <c r="F22" i="24"/>
  <c r="E22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F33" i="23"/>
  <c r="F32" i="23"/>
  <c r="F31" i="23"/>
  <c r="F30" i="23"/>
  <c r="F15" i="23"/>
  <c r="F16" i="23"/>
  <c r="F17" i="23"/>
  <c r="F18" i="23"/>
  <c r="F29" i="23"/>
  <c r="F28" i="23"/>
  <c r="F27" i="23"/>
  <c r="F26" i="23"/>
  <c r="F25" i="23"/>
  <c r="F19" i="23"/>
  <c r="F20" i="23"/>
  <c r="F21" i="23"/>
  <c r="F22" i="23"/>
  <c r="F23" i="23"/>
  <c r="F24" i="23"/>
  <c r="E33" i="23"/>
  <c r="E32" i="23"/>
  <c r="E31" i="23"/>
  <c r="E30" i="23"/>
  <c r="E15" i="23"/>
  <c r="E24" i="23"/>
  <c r="E16" i="23"/>
  <c r="E17" i="23"/>
  <c r="E18" i="23"/>
  <c r="E29" i="23"/>
  <c r="E28" i="23"/>
  <c r="E27" i="23"/>
  <c r="E26" i="23"/>
  <c r="E25" i="23"/>
  <c r="E19" i="23"/>
  <c r="E20" i="23"/>
  <c r="E21" i="23"/>
  <c r="E22" i="23"/>
  <c r="E23" i="23"/>
  <c r="C16" i="20"/>
  <c r="C14" i="20"/>
  <c r="C57" i="20"/>
  <c r="C17" i="20" s="1"/>
  <c r="AW33" i="7"/>
  <c r="AV33" i="7"/>
  <c r="AU33" i="7"/>
  <c r="AT33" i="7"/>
  <c r="AS33" i="7"/>
  <c r="AR33" i="7"/>
  <c r="AQ33" i="7"/>
  <c r="AP33" i="7"/>
  <c r="AO33" i="7"/>
  <c r="AN33" i="7"/>
  <c r="AM33" i="7"/>
  <c r="AL33" i="7"/>
  <c r="AX32" i="7"/>
  <c r="AK37" i="7"/>
  <c r="AK36" i="7"/>
  <c r="B9" i="5"/>
  <c r="D14" i="2"/>
  <c r="D15" i="2" s="1"/>
  <c r="F13" i="2"/>
  <c r="D13" i="2"/>
  <c r="R41" i="7"/>
  <c r="D30" i="5"/>
  <c r="D31" i="5" s="1"/>
  <c r="H52" i="7"/>
  <c r="I52" i="7" s="1"/>
  <c r="H53" i="7"/>
  <c r="L52" i="7"/>
  <c r="J5" i="2"/>
  <c r="J6" i="2"/>
  <c r="J7" i="2"/>
  <c r="J8" i="2"/>
  <c r="J9" i="2"/>
  <c r="J10" i="2"/>
  <c r="J11" i="2"/>
  <c r="J12" i="2"/>
  <c r="J13" i="2" s="1"/>
  <c r="J14" i="2" s="1"/>
  <c r="J4" i="2"/>
  <c r="I5" i="2"/>
  <c r="I6" i="2"/>
  <c r="I7" i="2"/>
  <c r="I8" i="2"/>
  <c r="I9" i="2"/>
  <c r="I10" i="2"/>
  <c r="I11" i="2"/>
  <c r="I12" i="2"/>
  <c r="I13" i="2"/>
  <c r="I14" i="2"/>
  <c r="I4" i="2"/>
  <c r="I108" i="19"/>
  <c r="I107" i="19"/>
  <c r="I106" i="19"/>
  <c r="I105" i="19"/>
  <c r="I104" i="19"/>
  <c r="I109" i="19" s="1"/>
  <c r="I103" i="19"/>
  <c r="B94" i="19"/>
  <c r="C74" i="19"/>
  <c r="D69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C43" i="19"/>
  <c r="D43" i="19"/>
  <c r="E43" i="19" s="1"/>
  <c r="F43" i="19" s="1"/>
  <c r="G43" i="19" s="1"/>
  <c r="H43" i="19" s="1"/>
  <c r="B43" i="19"/>
  <c r="B42" i="19"/>
  <c r="C42" i="19"/>
  <c r="D42" i="19"/>
  <c r="E42" i="19" s="1"/>
  <c r="F42" i="19"/>
  <c r="G42" i="19" s="1"/>
  <c r="H42" i="19" s="1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B41" i="19"/>
  <c r="C41" i="19" s="1"/>
  <c r="D41" i="19" s="1"/>
  <c r="E41" i="19" s="1"/>
  <c r="F41" i="19" s="1"/>
  <c r="G41" i="19" s="1"/>
  <c r="H41" i="19" s="1"/>
  <c r="B40" i="19"/>
  <c r="C40" i="19" s="1"/>
  <c r="D40" i="19" s="1"/>
  <c r="E40" i="19" s="1"/>
  <c r="F40" i="19" s="1"/>
  <c r="G40" i="19" s="1"/>
  <c r="H40" i="19" s="1"/>
  <c r="D39" i="19"/>
  <c r="E39" i="19" s="1"/>
  <c r="F39" i="19" s="1"/>
  <c r="G39" i="19" s="1"/>
  <c r="H39" i="19" s="1"/>
  <c r="B39" i="19"/>
  <c r="C39" i="19" s="1"/>
  <c r="B38" i="19"/>
  <c r="C38" i="19" s="1"/>
  <c r="D38" i="19" s="1"/>
  <c r="E38" i="19" s="1"/>
  <c r="F38" i="19"/>
  <c r="G38" i="19" s="1"/>
  <c r="H38" i="19" s="1"/>
  <c r="P37" i="19"/>
  <c r="O37" i="19"/>
  <c r="E37" i="19"/>
  <c r="F37" i="19" s="1"/>
  <c r="G37" i="19" s="1"/>
  <c r="H37" i="19" s="1"/>
  <c r="B37" i="19"/>
  <c r="C37" i="19"/>
  <c r="D37" i="19" s="1"/>
  <c r="P36" i="19"/>
  <c r="O36" i="19"/>
  <c r="P35" i="19"/>
  <c r="O35" i="19"/>
  <c r="P34" i="19"/>
  <c r="O34" i="19"/>
  <c r="AE33" i="19"/>
  <c r="P33" i="19"/>
  <c r="O33" i="19"/>
  <c r="F33" i="19"/>
  <c r="G33" i="19" s="1"/>
  <c r="H33" i="19" s="1"/>
  <c r="B33" i="19"/>
  <c r="C33" i="19"/>
  <c r="D33" i="19" s="1"/>
  <c r="E33" i="19" s="1"/>
  <c r="P32" i="19"/>
  <c r="O32" i="19"/>
  <c r="B32" i="19"/>
  <c r="C32" i="19" s="1"/>
  <c r="D32" i="19" s="1"/>
  <c r="E32" i="19" s="1"/>
  <c r="F32" i="19" s="1"/>
  <c r="G32" i="19" s="1"/>
  <c r="H32" i="19" s="1"/>
  <c r="P31" i="19"/>
  <c r="O31" i="19"/>
  <c r="C31" i="19"/>
  <c r="D31" i="19" s="1"/>
  <c r="E31" i="19" s="1"/>
  <c r="F31" i="19" s="1"/>
  <c r="G31" i="19" s="1"/>
  <c r="H31" i="19" s="1"/>
  <c r="B31" i="19"/>
  <c r="U30" i="19"/>
  <c r="P30" i="19"/>
  <c r="O30" i="19"/>
  <c r="B30" i="19"/>
  <c r="C30" i="19"/>
  <c r="D30" i="19"/>
  <c r="E30" i="19"/>
  <c r="F30" i="19" s="1"/>
  <c r="G30" i="19" s="1"/>
  <c r="H30" i="19" s="1"/>
  <c r="P29" i="19"/>
  <c r="O29" i="19"/>
  <c r="B29" i="19"/>
  <c r="C29" i="19"/>
  <c r="D29" i="19"/>
  <c r="E29" i="19" s="1"/>
  <c r="F29" i="19" s="1"/>
  <c r="G29" i="19" s="1"/>
  <c r="H29" i="19" s="1"/>
  <c r="I24" i="19"/>
  <c r="B36" i="19"/>
  <c r="C36" i="19" s="1"/>
  <c r="D36" i="19" s="1"/>
  <c r="E36" i="19" s="1"/>
  <c r="F36" i="19" s="1"/>
  <c r="G36" i="19" s="1"/>
  <c r="H36" i="19" s="1"/>
  <c r="H24" i="19"/>
  <c r="B35" i="19"/>
  <c r="C35" i="19" s="1"/>
  <c r="D35" i="19" s="1"/>
  <c r="E35" i="19" s="1"/>
  <c r="F35" i="19" s="1"/>
  <c r="G35" i="19" s="1"/>
  <c r="H35" i="19" s="1"/>
  <c r="G24" i="19"/>
  <c r="B34" i="19"/>
  <c r="C34" i="19" s="1"/>
  <c r="D34" i="19" s="1"/>
  <c r="E34" i="19" s="1"/>
  <c r="F34" i="19" s="1"/>
  <c r="G34" i="19" s="1"/>
  <c r="H34" i="19" s="1"/>
  <c r="D28" i="5"/>
  <c r="E50" i="3"/>
  <c r="C22" i="14" s="1"/>
  <c r="B24" i="18"/>
  <c r="S121" i="3"/>
  <c r="N77" i="3"/>
  <c r="O78" i="3"/>
  <c r="N65" i="3"/>
  <c r="O60" i="3" s="1"/>
  <c r="O73" i="3" s="1"/>
  <c r="B32" i="17" s="1"/>
  <c r="P22" i="2"/>
  <c r="P21" i="2"/>
  <c r="D69" i="7"/>
  <c r="B94" i="7"/>
  <c r="C85" i="7"/>
  <c r="C74" i="7"/>
  <c r="B43" i="7"/>
  <c r="C43" i="7" s="1"/>
  <c r="D43" i="7"/>
  <c r="E43" i="7" s="1"/>
  <c r="F43" i="7" s="1"/>
  <c r="G43" i="7" s="1"/>
  <c r="H43" i="7"/>
  <c r="B42" i="7"/>
  <c r="C42" i="7" s="1"/>
  <c r="D42" i="7" s="1"/>
  <c r="E42" i="7" s="1"/>
  <c r="F42" i="7" s="1"/>
  <c r="G42" i="7" s="1"/>
  <c r="H42" i="7" s="1"/>
  <c r="B41" i="7"/>
  <c r="C41" i="7"/>
  <c r="D41" i="7"/>
  <c r="E41" i="7" s="1"/>
  <c r="F41" i="7"/>
  <c r="G41" i="7" s="1"/>
  <c r="H41" i="7" s="1"/>
  <c r="G65" i="7" s="1"/>
  <c r="B40" i="7"/>
  <c r="C40" i="7"/>
  <c r="D40" i="7" s="1"/>
  <c r="E40" i="7" s="1"/>
  <c r="F40" i="7" s="1"/>
  <c r="G40" i="7" s="1"/>
  <c r="H40" i="7" s="1"/>
  <c r="I40" i="7" s="1"/>
  <c r="H64" i="7" s="1"/>
  <c r="B39" i="7"/>
  <c r="C39" i="7" s="1"/>
  <c r="D39" i="7"/>
  <c r="E39" i="7"/>
  <c r="F39" i="7"/>
  <c r="G39" i="7" s="1"/>
  <c r="H39" i="7" s="1"/>
  <c r="G63" i="7" s="1"/>
  <c r="B38" i="7"/>
  <c r="C38" i="7" s="1"/>
  <c r="D38" i="7" s="1"/>
  <c r="E38" i="7" s="1"/>
  <c r="F38" i="7" s="1"/>
  <c r="G38" i="7" s="1"/>
  <c r="H38" i="7" s="1"/>
  <c r="B37" i="7"/>
  <c r="C37" i="7" s="1"/>
  <c r="D37" i="7" s="1"/>
  <c r="E37" i="7" s="1"/>
  <c r="F37" i="7" s="1"/>
  <c r="G37" i="7" s="1"/>
  <c r="H37" i="7" s="1"/>
  <c r="E36" i="7"/>
  <c r="F36" i="7" s="1"/>
  <c r="G36" i="7"/>
  <c r="H36" i="7" s="1"/>
  <c r="AE33" i="7"/>
  <c r="AX33" i="7" s="1"/>
  <c r="B33" i="7"/>
  <c r="C33" i="7"/>
  <c r="D33" i="7" s="1"/>
  <c r="E33" i="7" s="1"/>
  <c r="F33" i="7" s="1"/>
  <c r="G33" i="7"/>
  <c r="H33" i="7" s="1"/>
  <c r="B32" i="7"/>
  <c r="C32" i="7"/>
  <c r="D32" i="7"/>
  <c r="E32" i="7" s="1"/>
  <c r="F32" i="7" s="1"/>
  <c r="G32" i="7" s="1"/>
  <c r="H32" i="7" s="1"/>
  <c r="B31" i="7"/>
  <c r="C31" i="7" s="1"/>
  <c r="D31" i="7"/>
  <c r="E31" i="7" s="1"/>
  <c r="F31" i="7" s="1"/>
  <c r="G31" i="7" s="1"/>
  <c r="H31" i="7"/>
  <c r="U30" i="7"/>
  <c r="B30" i="7"/>
  <c r="C30" i="7" s="1"/>
  <c r="D30" i="7"/>
  <c r="E30" i="7"/>
  <c r="F30" i="7" s="1"/>
  <c r="G30" i="7" s="1"/>
  <c r="H30" i="7" s="1"/>
  <c r="B29" i="7"/>
  <c r="C29" i="7" s="1"/>
  <c r="D29" i="7"/>
  <c r="E29" i="7" s="1"/>
  <c r="F29" i="7" s="1"/>
  <c r="G29" i="7" s="1"/>
  <c r="H29" i="7" s="1"/>
  <c r="K29" i="7" s="1"/>
  <c r="L29" i="7" s="1"/>
  <c r="I24" i="7"/>
  <c r="B36" i="7" s="1"/>
  <c r="C36" i="7" s="1"/>
  <c r="D36" i="7" s="1"/>
  <c r="H24" i="7"/>
  <c r="B35" i="7"/>
  <c r="C35" i="7" s="1"/>
  <c r="D35" i="7" s="1"/>
  <c r="E35" i="7" s="1"/>
  <c r="F35" i="7" s="1"/>
  <c r="G35" i="7" s="1"/>
  <c r="H35" i="7" s="1"/>
  <c r="G24" i="7"/>
  <c r="B34" i="7" s="1"/>
  <c r="C34" i="7" s="1"/>
  <c r="D34" i="7" s="1"/>
  <c r="E34" i="7"/>
  <c r="F34" i="7" s="1"/>
  <c r="G34" i="7" s="1"/>
  <c r="H34" i="7" s="1"/>
  <c r="C71" i="7"/>
  <c r="C87" i="7"/>
  <c r="D42" i="5"/>
  <c r="D44" i="5" s="1"/>
  <c r="D43" i="5"/>
  <c r="B13" i="5"/>
  <c r="B12" i="5"/>
  <c r="H11" i="2"/>
  <c r="H15" i="2" s="1"/>
  <c r="B15" i="5" s="1"/>
  <c r="H12" i="2"/>
  <c r="H13" i="2"/>
  <c r="H14" i="2"/>
  <c r="G12" i="2"/>
  <c r="G11" i="2"/>
  <c r="E11" i="2"/>
  <c r="E12" i="2"/>
  <c r="E13" i="2"/>
  <c r="E14" i="2"/>
  <c r="B7" i="5"/>
  <c r="C4" i="5" s="1"/>
  <c r="D4" i="5"/>
  <c r="C13" i="17" s="1"/>
  <c r="I54" i="5"/>
  <c r="J7" i="3"/>
  <c r="D15" i="3"/>
  <c r="E15" i="3"/>
  <c r="L103" i="13"/>
  <c r="R102" i="13"/>
  <c r="P102" i="13"/>
  <c r="N102" i="13"/>
  <c r="R101" i="13"/>
  <c r="P101" i="13"/>
  <c r="N101" i="13"/>
  <c r="R100" i="13"/>
  <c r="P100" i="13"/>
  <c r="N100" i="13"/>
  <c r="R99" i="13"/>
  <c r="P99" i="13"/>
  <c r="N99" i="13"/>
  <c r="R98" i="13"/>
  <c r="P98" i="13"/>
  <c r="N98" i="13"/>
  <c r="N103" i="13" s="1"/>
  <c r="R97" i="13"/>
  <c r="P97" i="13"/>
  <c r="N97" i="13"/>
  <c r="R96" i="13"/>
  <c r="R103" i="13" s="1"/>
  <c r="P96" i="13"/>
  <c r="N96" i="13"/>
  <c r="R95" i="13"/>
  <c r="P95" i="13"/>
  <c r="P103" i="13" s="1"/>
  <c r="N95" i="13"/>
  <c r="L86" i="13"/>
  <c r="R85" i="13"/>
  <c r="P85" i="13"/>
  <c r="N85" i="13"/>
  <c r="R84" i="13"/>
  <c r="P84" i="13"/>
  <c r="N84" i="13"/>
  <c r="R83" i="13"/>
  <c r="P83" i="13"/>
  <c r="N83" i="13"/>
  <c r="R82" i="13"/>
  <c r="P82" i="13"/>
  <c r="N82" i="13"/>
  <c r="R81" i="13"/>
  <c r="P81" i="13"/>
  <c r="N81" i="13"/>
  <c r="R80" i="13"/>
  <c r="P80" i="13"/>
  <c r="N80" i="13"/>
  <c r="R79" i="13"/>
  <c r="P79" i="13"/>
  <c r="N79" i="13"/>
  <c r="R78" i="13"/>
  <c r="P78" i="13"/>
  <c r="N78" i="13"/>
  <c r="N86" i="13" s="1"/>
  <c r="L69" i="13"/>
  <c r="R68" i="13"/>
  <c r="P68" i="13"/>
  <c r="N68" i="13"/>
  <c r="R67" i="13"/>
  <c r="P67" i="13"/>
  <c r="N67" i="13"/>
  <c r="R66" i="13"/>
  <c r="P66" i="13"/>
  <c r="N66" i="13"/>
  <c r="R65" i="13"/>
  <c r="P65" i="13"/>
  <c r="N65" i="13"/>
  <c r="R64" i="13"/>
  <c r="P64" i="13"/>
  <c r="N64" i="13"/>
  <c r="R63" i="13"/>
  <c r="P63" i="13"/>
  <c r="N63" i="13"/>
  <c r="N69" i="13"/>
  <c r="R62" i="13"/>
  <c r="P62" i="13"/>
  <c r="N62" i="13"/>
  <c r="R61" i="13"/>
  <c r="R69" i="13" s="1"/>
  <c r="P61" i="13"/>
  <c r="N61" i="13"/>
  <c r="R50" i="13"/>
  <c r="R49" i="13"/>
  <c r="R48" i="13"/>
  <c r="R47" i="13"/>
  <c r="R46" i="13"/>
  <c r="R45" i="13"/>
  <c r="R44" i="13"/>
  <c r="P50" i="13"/>
  <c r="P49" i="13"/>
  <c r="P48" i="13"/>
  <c r="P47" i="13"/>
  <c r="P46" i="13"/>
  <c r="P45" i="13"/>
  <c r="P44" i="13"/>
  <c r="P43" i="13"/>
  <c r="R43" i="13"/>
  <c r="N50" i="13"/>
  <c r="N49" i="13"/>
  <c r="N48" i="13"/>
  <c r="N47" i="13"/>
  <c r="N46" i="13"/>
  <c r="N45" i="13"/>
  <c r="N44" i="13"/>
  <c r="N43" i="13"/>
  <c r="L51" i="13"/>
  <c r="B12" i="13"/>
  <c r="B11" i="13"/>
  <c r="B9" i="13"/>
  <c r="B8" i="13"/>
  <c r="B7" i="13"/>
  <c r="E6" i="12"/>
  <c r="E7" i="12"/>
  <c r="E11" i="12"/>
  <c r="E14" i="12"/>
  <c r="E15" i="12"/>
  <c r="E16" i="12"/>
  <c r="E17" i="12"/>
  <c r="E23" i="12"/>
  <c r="E24" i="12"/>
  <c r="E30" i="12"/>
  <c r="E31" i="12"/>
  <c r="E33" i="12" s="1"/>
  <c r="E32" i="12"/>
  <c r="B13" i="12"/>
  <c r="E13" i="12"/>
  <c r="B12" i="12"/>
  <c r="E12" i="12" s="1"/>
  <c r="B10" i="12"/>
  <c r="E10" i="12"/>
  <c r="B9" i="12"/>
  <c r="E9" i="12" s="1"/>
  <c r="B8" i="12"/>
  <c r="E8" i="12"/>
  <c r="J53" i="5"/>
  <c r="F20" i="18" s="1"/>
  <c r="J52" i="5"/>
  <c r="F18" i="17"/>
  <c r="I61" i="5"/>
  <c r="J51" i="5"/>
  <c r="E18" i="14"/>
  <c r="I60" i="5"/>
  <c r="J50" i="5"/>
  <c r="I59" i="5"/>
  <c r="J49" i="5"/>
  <c r="C10" i="5"/>
  <c r="D10" i="5" s="1"/>
  <c r="H5" i="2"/>
  <c r="H6" i="2"/>
  <c r="H7" i="2"/>
  <c r="H8" i="2"/>
  <c r="H9" i="2"/>
  <c r="H10" i="2"/>
  <c r="H4" i="2"/>
  <c r="G5" i="2"/>
  <c r="G6" i="2"/>
  <c r="G7" i="2"/>
  <c r="G8" i="2"/>
  <c r="G9" i="2"/>
  <c r="G10" i="2"/>
  <c r="G4" i="2"/>
  <c r="D40" i="5"/>
  <c r="B22" i="5"/>
  <c r="C19" i="5"/>
  <c r="D19" i="5" s="1"/>
  <c r="C41" i="5"/>
  <c r="D41" i="5" s="1"/>
  <c r="E10" i="2"/>
  <c r="E9" i="2"/>
  <c r="E5" i="2"/>
  <c r="E6" i="2"/>
  <c r="E7" i="2"/>
  <c r="E8" i="2"/>
  <c r="E4" i="2"/>
  <c r="E15" i="2" s="1"/>
  <c r="C9" i="5"/>
  <c r="D9" i="5" s="1"/>
  <c r="J28" i="3"/>
  <c r="J29" i="3"/>
  <c r="C9" i="8"/>
  <c r="E9" i="8" s="1"/>
  <c r="E30" i="3"/>
  <c r="E29" i="3"/>
  <c r="E34" i="3"/>
  <c r="E28" i="3"/>
  <c r="E35" i="3" s="1"/>
  <c r="J31" i="3" s="1"/>
  <c r="E33" i="3"/>
  <c r="E32" i="3"/>
  <c r="E31" i="3"/>
  <c r="E22" i="3"/>
  <c r="E21" i="3"/>
  <c r="E20" i="3"/>
  <c r="E19" i="3"/>
  <c r="E18" i="3"/>
  <c r="J21" i="3"/>
  <c r="J23" i="3"/>
  <c r="N9" i="3"/>
  <c r="E17" i="3"/>
  <c r="E16" i="3"/>
  <c r="E14" i="3"/>
  <c r="E13" i="3"/>
  <c r="E12" i="3"/>
  <c r="J15" i="3"/>
  <c r="E11" i="3"/>
  <c r="J14" i="3"/>
  <c r="E10" i="3"/>
  <c r="E9" i="3"/>
  <c r="E8" i="3"/>
  <c r="E7" i="3"/>
  <c r="E6" i="3"/>
  <c r="E23" i="3" s="1"/>
  <c r="J8" i="3"/>
  <c r="J6" i="3"/>
  <c r="R86" i="13"/>
  <c r="E25" i="12"/>
  <c r="H14" i="12" s="1"/>
  <c r="O67" i="3"/>
  <c r="C22" i="17"/>
  <c r="J9" i="3"/>
  <c r="AB44" i="19"/>
  <c r="X44" i="19"/>
  <c r="T44" i="19"/>
  <c r="AD44" i="19"/>
  <c r="Z44" i="19"/>
  <c r="V44" i="19"/>
  <c r="AA44" i="19"/>
  <c r="S44" i="19"/>
  <c r="Y44" i="19"/>
  <c r="U44" i="19"/>
  <c r="W44" i="19"/>
  <c r="AC44" i="19"/>
  <c r="AA42" i="19"/>
  <c r="W42" i="19"/>
  <c r="S42" i="19"/>
  <c r="AC42" i="19"/>
  <c r="Y42" i="19"/>
  <c r="U42" i="19"/>
  <c r="Z42" i="19"/>
  <c r="X42" i="19"/>
  <c r="AB42" i="19"/>
  <c r="AD42" i="19"/>
  <c r="V42" i="19"/>
  <c r="T42" i="19"/>
  <c r="AB48" i="19"/>
  <c r="X48" i="19"/>
  <c r="T48" i="19"/>
  <c r="AD48" i="19"/>
  <c r="Z48" i="19"/>
  <c r="V48" i="19"/>
  <c r="W48" i="19"/>
  <c r="AC48" i="19"/>
  <c r="U48" i="19"/>
  <c r="Y48" i="19"/>
  <c r="AA48" i="19"/>
  <c r="S48" i="19"/>
  <c r="AE48" i="19"/>
  <c r="AB45" i="19"/>
  <c r="X45" i="19"/>
  <c r="T45" i="19"/>
  <c r="AD45" i="19"/>
  <c r="Z45" i="19"/>
  <c r="V45" i="19"/>
  <c r="W45" i="19"/>
  <c r="AC45" i="19"/>
  <c r="U45" i="19"/>
  <c r="Y45" i="19"/>
  <c r="AA45" i="19"/>
  <c r="S45" i="19"/>
  <c r="AE45" i="19" s="1"/>
  <c r="E31" i="14"/>
  <c r="AE42" i="19"/>
  <c r="AB47" i="19"/>
  <c r="X47" i="19"/>
  <c r="T47" i="19"/>
  <c r="AD47" i="19"/>
  <c r="Z47" i="19"/>
  <c r="V47" i="19"/>
  <c r="AA47" i="19"/>
  <c r="S47" i="19"/>
  <c r="AE47" i="19" s="1"/>
  <c r="Y47" i="19"/>
  <c r="AC47" i="19"/>
  <c r="W47" i="19"/>
  <c r="U47" i="19"/>
  <c r="AB49" i="19"/>
  <c r="X49" i="19"/>
  <c r="T49" i="19"/>
  <c r="AD49" i="19"/>
  <c r="Z49" i="19"/>
  <c r="V49" i="19"/>
  <c r="AA49" i="19"/>
  <c r="S49" i="19"/>
  <c r="Y49" i="19"/>
  <c r="AC49" i="19"/>
  <c r="W49" i="19"/>
  <c r="U49" i="19"/>
  <c r="AB43" i="19"/>
  <c r="X43" i="19"/>
  <c r="T43" i="19"/>
  <c r="AD43" i="19"/>
  <c r="Z43" i="19"/>
  <c r="V43" i="19"/>
  <c r="W43" i="19"/>
  <c r="AC43" i="19"/>
  <c r="U43" i="19"/>
  <c r="AA43" i="19"/>
  <c r="S43" i="19"/>
  <c r="Y43" i="19"/>
  <c r="F18" i="14"/>
  <c r="G18" i="14"/>
  <c r="E20" i="18"/>
  <c r="E18" i="17"/>
  <c r="C16" i="14"/>
  <c r="C72" i="19"/>
  <c r="J16" i="3"/>
  <c r="K42" i="19"/>
  <c r="C91" i="19"/>
  <c r="C86" i="19"/>
  <c r="C81" i="19"/>
  <c r="C70" i="19"/>
  <c r="C66" i="19"/>
  <c r="C93" i="19"/>
  <c r="C82" i="19"/>
  <c r="C77" i="19"/>
  <c r="C71" i="19"/>
  <c r="C89" i="19"/>
  <c r="C78" i="19"/>
  <c r="C68" i="19"/>
  <c r="C92" i="19"/>
  <c r="C83" i="19"/>
  <c r="C73" i="19"/>
  <c r="C69" i="19"/>
  <c r="C84" i="19"/>
  <c r="C90" i="19"/>
  <c r="C80" i="19"/>
  <c r="C79" i="19"/>
  <c r="C85" i="19"/>
  <c r="C88" i="19"/>
  <c r="AE44" i="19"/>
  <c r="C18" i="17"/>
  <c r="C18" i="14"/>
  <c r="AC47" i="7" s="1"/>
  <c r="B20" i="18"/>
  <c r="J54" i="5"/>
  <c r="AE43" i="19"/>
  <c r="C93" i="7"/>
  <c r="C88" i="7"/>
  <c r="C82" i="7"/>
  <c r="C77" i="7"/>
  <c r="C72" i="7"/>
  <c r="C66" i="7"/>
  <c r="C91" i="7"/>
  <c r="C89" i="7"/>
  <c r="C84" i="7"/>
  <c r="C78" i="7"/>
  <c r="C73" i="7"/>
  <c r="C68" i="7"/>
  <c r="C92" i="7"/>
  <c r="C81" i="7"/>
  <c r="C70" i="7"/>
  <c r="C67" i="7"/>
  <c r="C83" i="7"/>
  <c r="C86" i="7"/>
  <c r="C76" i="7"/>
  <c r="C75" i="7"/>
  <c r="C90" i="7"/>
  <c r="C69" i="7"/>
  <c r="C80" i="7"/>
  <c r="C79" i="7"/>
  <c r="I53" i="7"/>
  <c r="J53" i="7" s="1"/>
  <c r="C7" i="14" s="1"/>
  <c r="H54" i="7"/>
  <c r="D20" i="18"/>
  <c r="F14" i="2"/>
  <c r="F15" i="2"/>
  <c r="B14" i="5" s="1"/>
  <c r="AD47" i="7"/>
  <c r="S47" i="7"/>
  <c r="X47" i="7"/>
  <c r="W47" i="7"/>
  <c r="T47" i="7"/>
  <c r="V47" i="7"/>
  <c r="U47" i="7"/>
  <c r="Y47" i="7"/>
  <c r="Z47" i="7"/>
  <c r="AD51" i="7"/>
  <c r="V51" i="7"/>
  <c r="AA51" i="7"/>
  <c r="N8" i="3"/>
  <c r="C7" i="17"/>
  <c r="Y45" i="7"/>
  <c r="B19" i="18"/>
  <c r="C17" i="17"/>
  <c r="C17" i="14"/>
  <c r="B15" i="18"/>
  <c r="C13" i="14"/>
  <c r="I41" i="7"/>
  <c r="H65" i="7" s="1"/>
  <c r="R30" i="7"/>
  <c r="AD36" i="7" s="1"/>
  <c r="AW36" i="7" s="1"/>
  <c r="B33" i="14"/>
  <c r="C8" i="1"/>
  <c r="K7" i="1" s="1"/>
  <c r="AD42" i="7"/>
  <c r="AA42" i="7"/>
  <c r="X42" i="7"/>
  <c r="Z42" i="7"/>
  <c r="V42" i="7"/>
  <c r="AC42" i="7"/>
  <c r="X46" i="7"/>
  <c r="V46" i="7"/>
  <c r="T46" i="7"/>
  <c r="W46" i="7"/>
  <c r="Y46" i="7"/>
  <c r="AA46" i="7"/>
  <c r="S46" i="7"/>
  <c r="AE46" i="7" s="1"/>
  <c r="AB46" i="7"/>
  <c r="U46" i="7"/>
  <c r="AD46" i="7"/>
  <c r="Z46" i="7"/>
  <c r="AC46" i="7"/>
  <c r="S36" i="7"/>
  <c r="V36" i="7"/>
  <c r="AO36" i="7" s="1"/>
  <c r="U36" i="7"/>
  <c r="AN36" i="7" s="1"/>
  <c r="Y36" i="7"/>
  <c r="AR36" i="7" s="1"/>
  <c r="AL36" i="7"/>
  <c r="J33" i="7" l="1"/>
  <c r="K32" i="7"/>
  <c r="P32" i="7" s="1"/>
  <c r="K30" i="7"/>
  <c r="K31" i="7"/>
  <c r="O31" i="7" s="1"/>
  <c r="M40" i="7"/>
  <c r="M41" i="7" s="1"/>
  <c r="M42" i="7" s="1"/>
  <c r="M43" i="7" s="1"/>
  <c r="O39" i="7"/>
  <c r="J40" i="7"/>
  <c r="K41" i="19"/>
  <c r="I41" i="19"/>
  <c r="P31" i="7"/>
  <c r="L31" i="7"/>
  <c r="O32" i="7"/>
  <c r="Q42" i="19"/>
  <c r="P42" i="19"/>
  <c r="L42" i="19"/>
  <c r="C20" i="17"/>
  <c r="C20" i="14"/>
  <c r="T49" i="7" s="1"/>
  <c r="B22" i="18"/>
  <c r="I39" i="19"/>
  <c r="K39" i="19"/>
  <c r="R30" i="19"/>
  <c r="I42" i="19"/>
  <c r="J41" i="7"/>
  <c r="J42" i="7" s="1"/>
  <c r="L30" i="7"/>
  <c r="AE49" i="19"/>
  <c r="G13" i="2"/>
  <c r="G14" i="2" s="1"/>
  <c r="G15" i="2"/>
  <c r="B16" i="5" s="1"/>
  <c r="C14" i="17"/>
  <c r="B16" i="18"/>
  <c r="C14" i="14"/>
  <c r="O29" i="7"/>
  <c r="P29" i="7"/>
  <c r="G62" i="7"/>
  <c r="I38" i="7"/>
  <c r="K38" i="7"/>
  <c r="I42" i="7"/>
  <c r="H66" i="7" s="1"/>
  <c r="G66" i="7"/>
  <c r="K38" i="19"/>
  <c r="I38" i="19"/>
  <c r="I44" i="19" s="1"/>
  <c r="K40" i="19"/>
  <c r="I40" i="19"/>
  <c r="I43" i="19"/>
  <c r="K43" i="19"/>
  <c r="J15" i="2"/>
  <c r="B18" i="5" s="1"/>
  <c r="L32" i="7"/>
  <c r="AB36" i="7"/>
  <c r="AU36" i="7" s="1"/>
  <c r="K40" i="7"/>
  <c r="D6" i="14" s="1"/>
  <c r="I43" i="7"/>
  <c r="H67" i="7" s="1"/>
  <c r="T42" i="7"/>
  <c r="Y42" i="7"/>
  <c r="U42" i="7"/>
  <c r="W42" i="7"/>
  <c r="S42" i="7"/>
  <c r="AB42" i="7"/>
  <c r="O42" i="19"/>
  <c r="H55" i="7"/>
  <c r="I54" i="7"/>
  <c r="B18" i="18"/>
  <c r="C16" i="17"/>
  <c r="E18" i="12"/>
  <c r="G67" i="7"/>
  <c r="V45" i="7"/>
  <c r="W45" i="7"/>
  <c r="U45" i="7"/>
  <c r="AB45" i="7"/>
  <c r="X45" i="7"/>
  <c r="S45" i="7"/>
  <c r="AA45" i="7"/>
  <c r="X36" i="7"/>
  <c r="AQ36" i="7" s="1"/>
  <c r="T36" i="7"/>
  <c r="AM36" i="7" s="1"/>
  <c r="W36" i="7"/>
  <c r="AP36" i="7" s="1"/>
  <c r="AA36" i="7"/>
  <c r="AT36" i="7" s="1"/>
  <c r="Z36" i="7"/>
  <c r="AS36" i="7" s="1"/>
  <c r="AC36" i="7"/>
  <c r="AV36" i="7" s="1"/>
  <c r="AC45" i="7"/>
  <c r="N5" i="3"/>
  <c r="N11" i="3" s="1"/>
  <c r="B23" i="18"/>
  <c r="C21" i="14"/>
  <c r="N6" i="3"/>
  <c r="C6" i="8"/>
  <c r="G64" i="7"/>
  <c r="I15" i="2"/>
  <c r="B17" i="5" s="1"/>
  <c r="B8" i="18"/>
  <c r="F9" i="21" s="1"/>
  <c r="G9" i="21" s="1"/>
  <c r="H9" i="21" s="1"/>
  <c r="I63" i="5"/>
  <c r="I62" i="5"/>
  <c r="G18" i="17"/>
  <c r="N51" i="13"/>
  <c r="P51" i="13"/>
  <c r="AC51" i="7"/>
  <c r="T51" i="7"/>
  <c r="Y51" i="7"/>
  <c r="W51" i="7"/>
  <c r="AE46" i="19"/>
  <c r="C19" i="20"/>
  <c r="C39" i="14" s="1"/>
  <c r="J9" i="14" s="1"/>
  <c r="I39" i="7"/>
  <c r="H63" i="7" s="1"/>
  <c r="L53" i="7"/>
  <c r="C20" i="18"/>
  <c r="D18" i="17"/>
  <c r="D18" i="14"/>
  <c r="H15" i="12"/>
  <c r="C7" i="8"/>
  <c r="E7" i="8" s="1"/>
  <c r="R51" i="13"/>
  <c r="P86" i="13"/>
  <c r="AE41" i="19"/>
  <c r="C75" i="19"/>
  <c r="C87" i="19"/>
  <c r="C67" i="19"/>
  <c r="C76" i="19"/>
  <c r="AB47" i="7"/>
  <c r="AA47" i="7"/>
  <c r="AE47" i="7" s="1"/>
  <c r="E30" i="17"/>
  <c r="N7" i="3"/>
  <c r="C8" i="8"/>
  <c r="E8" i="8" s="1"/>
  <c r="P69" i="13"/>
  <c r="AB50" i="7"/>
  <c r="AD50" i="7"/>
  <c r="Y50" i="7"/>
  <c r="AA50" i="7"/>
  <c r="S51" i="7"/>
  <c r="X51" i="7"/>
  <c r="AB51" i="7"/>
  <c r="Z51" i="7"/>
  <c r="U51" i="7"/>
  <c r="Y49" i="7"/>
  <c r="AD45" i="7"/>
  <c r="T45" i="7"/>
  <c r="Z45" i="7"/>
  <c r="J34" i="7" l="1"/>
  <c r="K33" i="7"/>
  <c r="O30" i="7"/>
  <c r="P30" i="7"/>
  <c r="K41" i="7"/>
  <c r="Q41" i="7" s="1"/>
  <c r="D6" i="17"/>
  <c r="Q43" i="19"/>
  <c r="L43" i="19"/>
  <c r="P43" i="19"/>
  <c r="O43" i="19"/>
  <c r="Q38" i="7"/>
  <c r="P38" i="7"/>
  <c r="L38" i="7"/>
  <c r="O38" i="7"/>
  <c r="AD49" i="7"/>
  <c r="AE45" i="7"/>
  <c r="C12" i="17"/>
  <c r="B12" i="18"/>
  <c r="F8" i="21" s="1"/>
  <c r="G8" i="21" s="1"/>
  <c r="C12" i="14"/>
  <c r="Z50" i="7"/>
  <c r="T50" i="7"/>
  <c r="W50" i="7"/>
  <c r="X50" i="7"/>
  <c r="AC50" i="7"/>
  <c r="U50" i="7"/>
  <c r="V50" i="7"/>
  <c r="H13" i="12"/>
  <c r="H16" i="12" s="1"/>
  <c r="E35" i="12"/>
  <c r="C21" i="17"/>
  <c r="H56" i="7"/>
  <c r="I55" i="7"/>
  <c r="AE42" i="7"/>
  <c r="C11" i="5"/>
  <c r="D11" i="5" s="1"/>
  <c r="Q40" i="19"/>
  <c r="O40" i="19"/>
  <c r="P40" i="19"/>
  <c r="L40" i="19"/>
  <c r="U36" i="19"/>
  <c r="V36" i="19"/>
  <c r="Z36" i="19"/>
  <c r="AC36" i="19"/>
  <c r="AA36" i="19"/>
  <c r="X36" i="19"/>
  <c r="AD36" i="19"/>
  <c r="T36" i="19"/>
  <c r="Y36" i="19"/>
  <c r="W36" i="19"/>
  <c r="AB36" i="19"/>
  <c r="S36" i="19"/>
  <c r="AB49" i="7"/>
  <c r="V49" i="7"/>
  <c r="Z49" i="7"/>
  <c r="W49" i="7"/>
  <c r="U49" i="7"/>
  <c r="AE49" i="7" s="1"/>
  <c r="S49" i="7"/>
  <c r="AA49" i="7"/>
  <c r="X49" i="7"/>
  <c r="E6" i="17"/>
  <c r="L41" i="7"/>
  <c r="D7" i="18"/>
  <c r="P41" i="7"/>
  <c r="E6" i="8"/>
  <c r="E10" i="8" s="1"/>
  <c r="C10" i="8"/>
  <c r="AE36" i="7"/>
  <c r="AX36" i="7" s="1"/>
  <c r="P40" i="7"/>
  <c r="O40" i="7"/>
  <c r="Q40" i="7"/>
  <c r="L40" i="7"/>
  <c r="P38" i="19"/>
  <c r="L38" i="19"/>
  <c r="Q38" i="19"/>
  <c r="O38" i="19"/>
  <c r="H62" i="7"/>
  <c r="I44" i="7"/>
  <c r="T43" i="7"/>
  <c r="AD43" i="7"/>
  <c r="Z43" i="7"/>
  <c r="W43" i="7"/>
  <c r="X43" i="7"/>
  <c r="AC43" i="7"/>
  <c r="Y43" i="7"/>
  <c r="U43" i="7"/>
  <c r="AB43" i="7"/>
  <c r="S43" i="7"/>
  <c r="V43" i="7"/>
  <c r="AA43" i="7"/>
  <c r="C7" i="18"/>
  <c r="L39" i="19"/>
  <c r="S30" i="19"/>
  <c r="O39" i="19"/>
  <c r="O47" i="19" s="1"/>
  <c r="Q39" i="19"/>
  <c r="P39" i="19"/>
  <c r="AC49" i="7"/>
  <c r="S50" i="7"/>
  <c r="AE50" i="7" s="1"/>
  <c r="C6" i="17"/>
  <c r="C8" i="17" s="1"/>
  <c r="S30" i="7"/>
  <c r="C6" i="14"/>
  <c r="C8" i="14" s="1"/>
  <c r="B7" i="18"/>
  <c r="L39" i="7"/>
  <c r="Q39" i="7"/>
  <c r="L54" i="7"/>
  <c r="J54" i="7"/>
  <c r="J43" i="7"/>
  <c r="K43" i="7" s="1"/>
  <c r="K42" i="7"/>
  <c r="P41" i="19"/>
  <c r="O41" i="19"/>
  <c r="Q41" i="19"/>
  <c r="L41" i="19"/>
  <c r="AE51" i="7"/>
  <c r="O33" i="7" l="1"/>
  <c r="L33" i="7"/>
  <c r="P33" i="7"/>
  <c r="J35" i="7"/>
  <c r="K34" i="7"/>
  <c r="O41" i="7"/>
  <c r="D10" i="18" s="1"/>
  <c r="E6" i="14"/>
  <c r="C8" i="18"/>
  <c r="D7" i="14"/>
  <c r="D8" i="14" s="1"/>
  <c r="D7" i="17"/>
  <c r="D8" i="17" s="1"/>
  <c r="C11" i="14"/>
  <c r="C11" i="17"/>
  <c r="B11" i="18"/>
  <c r="C12" i="18"/>
  <c r="D12" i="14"/>
  <c r="D12" i="17"/>
  <c r="C9" i="21"/>
  <c r="B6" i="18"/>
  <c r="X34" i="19"/>
  <c r="S34" i="19"/>
  <c r="W34" i="19"/>
  <c r="AC34" i="19"/>
  <c r="AA34" i="19"/>
  <c r="Z34" i="19"/>
  <c r="U34" i="19"/>
  <c r="Y34" i="19"/>
  <c r="T34" i="19"/>
  <c r="V34" i="19"/>
  <c r="AB34" i="19"/>
  <c r="AD34" i="19"/>
  <c r="F7" i="18"/>
  <c r="Q43" i="7"/>
  <c r="G6" i="14"/>
  <c r="L43" i="7"/>
  <c r="P43" i="7"/>
  <c r="G6" i="17"/>
  <c r="O43" i="7"/>
  <c r="X34" i="7"/>
  <c r="S34" i="7"/>
  <c r="AD34" i="7"/>
  <c r="Y34" i="7"/>
  <c r="W34" i="7"/>
  <c r="AA34" i="7"/>
  <c r="AC34" i="7"/>
  <c r="T34" i="7"/>
  <c r="U34" i="7"/>
  <c r="Z34" i="7"/>
  <c r="V34" i="7"/>
  <c r="AB34" i="7"/>
  <c r="C6" i="18"/>
  <c r="AE43" i="7"/>
  <c r="E10" i="14"/>
  <c r="D24" i="5"/>
  <c r="B17" i="18"/>
  <c r="C15" i="14"/>
  <c r="C15" i="17"/>
  <c r="D15" i="17" s="1"/>
  <c r="E15" i="17" s="1"/>
  <c r="B10" i="18"/>
  <c r="C10" i="14"/>
  <c r="C10" i="17"/>
  <c r="C19" i="14"/>
  <c r="G19" i="14"/>
  <c r="G30" i="14" s="1"/>
  <c r="E19" i="17"/>
  <c r="E29" i="17" s="1"/>
  <c r="C21" i="18"/>
  <c r="G19" i="17"/>
  <c r="G29" i="17" s="1"/>
  <c r="D19" i="17"/>
  <c r="D29" i="17" s="1"/>
  <c r="E19" i="14"/>
  <c r="E30" i="14" s="1"/>
  <c r="F19" i="17"/>
  <c r="F29" i="17" s="1"/>
  <c r="D19" i="14"/>
  <c r="D30" i="14" s="1"/>
  <c r="D21" i="18"/>
  <c r="F19" i="14"/>
  <c r="C19" i="17"/>
  <c r="C29" i="17" s="1"/>
  <c r="B21" i="18"/>
  <c r="F21" i="18"/>
  <c r="E21" i="18"/>
  <c r="B31" i="14"/>
  <c r="C7" i="1" s="1"/>
  <c r="K6" i="1" s="1"/>
  <c r="B30" i="17"/>
  <c r="H68" i="7"/>
  <c r="B39" i="17"/>
  <c r="F35" i="18"/>
  <c r="B42" i="14"/>
  <c r="C10" i="18"/>
  <c r="D10" i="17"/>
  <c r="D10" i="14"/>
  <c r="E11" i="14"/>
  <c r="E11" i="17"/>
  <c r="D11" i="18"/>
  <c r="AE36" i="19"/>
  <c r="L55" i="7"/>
  <c r="J55" i="7"/>
  <c r="F6" i="17"/>
  <c r="L42" i="7"/>
  <c r="Q42" i="7"/>
  <c r="P42" i="7"/>
  <c r="O42" i="7"/>
  <c r="F6" i="14"/>
  <c r="E7" i="18"/>
  <c r="C11" i="18"/>
  <c r="D11" i="14"/>
  <c r="D11" i="17"/>
  <c r="I56" i="7"/>
  <c r="H57" i="7"/>
  <c r="I57" i="7" s="1"/>
  <c r="AC41" i="7"/>
  <c r="AD41" i="7"/>
  <c r="Y41" i="7"/>
  <c r="W41" i="7"/>
  <c r="T41" i="7"/>
  <c r="S41" i="7"/>
  <c r="X41" i="7"/>
  <c r="V41" i="7"/>
  <c r="Z41" i="7"/>
  <c r="AA41" i="7"/>
  <c r="U41" i="7"/>
  <c r="AB41" i="7"/>
  <c r="P34" i="7" l="1"/>
  <c r="O34" i="7"/>
  <c r="L34" i="7"/>
  <c r="J36" i="7"/>
  <c r="K35" i="7"/>
  <c r="E10" i="17"/>
  <c r="L56" i="7"/>
  <c r="J56" i="7"/>
  <c r="F11" i="14"/>
  <c r="E11" i="18"/>
  <c r="F11" i="17"/>
  <c r="J8" i="14"/>
  <c r="F30" i="14"/>
  <c r="AM34" i="7"/>
  <c r="T39" i="7"/>
  <c r="T40" i="7"/>
  <c r="Y40" i="7"/>
  <c r="Y39" i="7"/>
  <c r="AR34" i="7"/>
  <c r="AB39" i="19"/>
  <c r="AB40" i="19"/>
  <c r="U40" i="19"/>
  <c r="U39" i="19"/>
  <c r="W40" i="19"/>
  <c r="W39" i="19"/>
  <c r="W38" i="19" s="1"/>
  <c r="W50" i="19" s="1"/>
  <c r="C15" i="21"/>
  <c r="F16" i="21" s="1"/>
  <c r="D9" i="21"/>
  <c r="E9" i="21" s="1"/>
  <c r="AE41" i="7"/>
  <c r="D12" i="18"/>
  <c r="E12" i="14"/>
  <c r="E12" i="17"/>
  <c r="C19" i="18"/>
  <c r="D19" i="18" s="1"/>
  <c r="E19" i="18" s="1"/>
  <c r="F19" i="18" s="1"/>
  <c r="C22" i="18"/>
  <c r="D22" i="18" s="1"/>
  <c r="E22" i="18" s="1"/>
  <c r="F22" i="18" s="1"/>
  <c r="C15" i="18"/>
  <c r="D15" i="18" s="1"/>
  <c r="E15" i="18" s="1"/>
  <c r="F15" i="18" s="1"/>
  <c r="C23" i="18"/>
  <c r="D23" i="18" s="1"/>
  <c r="E23" i="18" s="1"/>
  <c r="F23" i="18" s="1"/>
  <c r="C16" i="18"/>
  <c r="D16" i="18" s="1"/>
  <c r="E16" i="18" s="1"/>
  <c r="F16" i="18" s="1"/>
  <c r="C18" i="18"/>
  <c r="D18" i="18" s="1"/>
  <c r="E18" i="18" s="1"/>
  <c r="F18" i="18" s="1"/>
  <c r="C8" i="21"/>
  <c r="D8" i="21" s="1"/>
  <c r="B9" i="18"/>
  <c r="B13" i="18" s="1"/>
  <c r="C17" i="18"/>
  <c r="D17" i="18" s="1"/>
  <c r="E17" i="18" s="1"/>
  <c r="F17" i="18" s="1"/>
  <c r="V40" i="7"/>
  <c r="V39" i="7"/>
  <c r="V38" i="7" s="1"/>
  <c r="V52" i="7" s="1"/>
  <c r="AO38" i="7" s="1"/>
  <c r="AO34" i="7"/>
  <c r="AV34" i="7"/>
  <c r="AC39" i="7"/>
  <c r="AC40" i="7"/>
  <c r="AW34" i="7"/>
  <c r="AD39" i="7"/>
  <c r="AD40" i="7"/>
  <c r="V39" i="19"/>
  <c r="V38" i="19" s="1"/>
  <c r="V50" i="19" s="1"/>
  <c r="V40" i="19"/>
  <c r="Z39" i="19"/>
  <c r="Z40" i="19"/>
  <c r="S39" i="19"/>
  <c r="S40" i="19"/>
  <c r="AE34" i="19"/>
  <c r="D9" i="18"/>
  <c r="D17" i="17"/>
  <c r="E17" i="17" s="1"/>
  <c r="F17" i="17" s="1"/>
  <c r="G17" i="17" s="1"/>
  <c r="D13" i="17"/>
  <c r="E13" i="17" s="1"/>
  <c r="F13" i="17" s="1"/>
  <c r="G13" i="17" s="1"/>
  <c r="D14" i="17"/>
  <c r="E14" i="17" s="1"/>
  <c r="F14" i="17" s="1"/>
  <c r="G14" i="17" s="1"/>
  <c r="D16" i="17"/>
  <c r="E16" i="17" s="1"/>
  <c r="F16" i="17" s="1"/>
  <c r="G16" i="17" s="1"/>
  <c r="D20" i="17"/>
  <c r="E20" i="17" s="1"/>
  <c r="F20" i="17" s="1"/>
  <c r="G20" i="17" s="1"/>
  <c r="AC48" i="7"/>
  <c r="X48" i="7"/>
  <c r="T48" i="7"/>
  <c r="Y48" i="7"/>
  <c r="V48" i="7"/>
  <c r="C30" i="14"/>
  <c r="U48" i="7"/>
  <c r="AA48" i="7"/>
  <c r="Z48" i="7"/>
  <c r="W48" i="7"/>
  <c r="S48" i="7"/>
  <c r="AE48" i="7" s="1"/>
  <c r="AD48" i="7"/>
  <c r="AB48" i="7"/>
  <c r="D21" i="17"/>
  <c r="E21" i="17" s="1"/>
  <c r="F21" i="17" s="1"/>
  <c r="G21" i="17" s="1"/>
  <c r="Z40" i="7"/>
  <c r="AS34" i="7"/>
  <c r="Z39" i="7"/>
  <c r="AT34" i="7"/>
  <c r="AA39" i="7"/>
  <c r="AA40" i="7"/>
  <c r="AL34" i="7"/>
  <c r="S40" i="7"/>
  <c r="AE34" i="7"/>
  <c r="AX34" i="7" s="1"/>
  <c r="S39" i="7"/>
  <c r="F11" i="18"/>
  <c r="G11" i="17"/>
  <c r="G11" i="14"/>
  <c r="T39" i="19"/>
  <c r="T40" i="19"/>
  <c r="AA40" i="19"/>
  <c r="AA39" i="19"/>
  <c r="X40" i="19"/>
  <c r="X39" i="19"/>
  <c r="X38" i="19" s="1"/>
  <c r="X50" i="19" s="1"/>
  <c r="E7" i="17"/>
  <c r="E8" i="17" s="1"/>
  <c r="D8" i="18"/>
  <c r="D6" i="18" s="1"/>
  <c r="E7" i="14"/>
  <c r="E8" i="14" s="1"/>
  <c r="D17" i="14"/>
  <c r="E17" i="14" s="1"/>
  <c r="F17" i="14" s="1"/>
  <c r="G17" i="14" s="1"/>
  <c r="D13" i="14"/>
  <c r="E13" i="14" s="1"/>
  <c r="F13" i="14" s="1"/>
  <c r="G13" i="14" s="1"/>
  <c r="D16" i="14"/>
  <c r="E16" i="14" s="1"/>
  <c r="F16" i="14" s="1"/>
  <c r="G16" i="14" s="1"/>
  <c r="D14" i="14"/>
  <c r="E14" i="14" s="1"/>
  <c r="F14" i="14" s="1"/>
  <c r="G14" i="14" s="1"/>
  <c r="D21" i="14"/>
  <c r="E21" i="14" s="1"/>
  <c r="F21" i="14" s="1"/>
  <c r="G21" i="14" s="1"/>
  <c r="D20" i="14"/>
  <c r="E20" i="14" s="1"/>
  <c r="F20" i="14" s="1"/>
  <c r="G20" i="14" s="1"/>
  <c r="AD44" i="7"/>
  <c r="V44" i="7"/>
  <c r="Y44" i="7"/>
  <c r="D15" i="14"/>
  <c r="E15" i="14" s="1"/>
  <c r="F15" i="14" s="1"/>
  <c r="AC44" i="7"/>
  <c r="AB44" i="7"/>
  <c r="U44" i="7"/>
  <c r="T44" i="7"/>
  <c r="X44" i="7"/>
  <c r="W44" i="7"/>
  <c r="Z44" i="7"/>
  <c r="AA44" i="7"/>
  <c r="S44" i="7"/>
  <c r="AB40" i="7"/>
  <c r="AU34" i="7"/>
  <c r="AB39" i="7"/>
  <c r="G10" i="14"/>
  <c r="F10" i="18"/>
  <c r="G10" i="17"/>
  <c r="J57" i="7"/>
  <c r="L57" i="7"/>
  <c r="F10" i="14"/>
  <c r="F10" i="17"/>
  <c r="E10" i="18"/>
  <c r="C9" i="18"/>
  <c r="C13" i="18" s="1"/>
  <c r="C23" i="17"/>
  <c r="C24" i="17" s="1"/>
  <c r="C25" i="17" s="1"/>
  <c r="C26" i="17" s="1"/>
  <c r="C27" i="17" s="1"/>
  <c r="C28" i="17" s="1"/>
  <c r="C34" i="17" s="1"/>
  <c r="U40" i="7"/>
  <c r="U39" i="7"/>
  <c r="AN34" i="7"/>
  <c r="W40" i="7"/>
  <c r="AP34" i="7"/>
  <c r="W39" i="7"/>
  <c r="AQ34" i="7"/>
  <c r="X40" i="7"/>
  <c r="X39" i="7"/>
  <c r="AD40" i="19"/>
  <c r="AD39" i="19"/>
  <c r="AD38" i="19" s="1"/>
  <c r="AD50" i="19" s="1"/>
  <c r="Y40" i="19"/>
  <c r="Y39" i="19"/>
  <c r="AC39" i="19"/>
  <c r="AC40" i="19"/>
  <c r="F15" i="17"/>
  <c r="E23" i="17"/>
  <c r="E24" i="17" s="1"/>
  <c r="P35" i="7" l="1"/>
  <c r="L35" i="7"/>
  <c r="O35" i="7"/>
  <c r="J37" i="7"/>
  <c r="K37" i="7" s="1"/>
  <c r="K36" i="7"/>
  <c r="D13" i="18"/>
  <c r="C16" i="21"/>
  <c r="AB38" i="7"/>
  <c r="AA38" i="7"/>
  <c r="AT37" i="7" s="1"/>
  <c r="S38" i="19"/>
  <c r="S50" i="19" s="1"/>
  <c r="S51" i="19" s="1"/>
  <c r="AE39" i="19"/>
  <c r="AE40" i="7"/>
  <c r="D23" i="17"/>
  <c r="D24" i="17" s="1"/>
  <c r="D25" i="17" s="1"/>
  <c r="D26" i="17" s="1"/>
  <c r="AO37" i="7"/>
  <c r="Y38" i="19"/>
  <c r="Y50" i="19" s="1"/>
  <c r="X38" i="7"/>
  <c r="F12" i="18"/>
  <c r="G12" i="14"/>
  <c r="G12" i="17"/>
  <c r="AE44" i="7"/>
  <c r="AA38" i="19"/>
  <c r="AA50" i="19" s="1"/>
  <c r="AE39" i="7"/>
  <c r="S38" i="7"/>
  <c r="AE40" i="19"/>
  <c r="AD38" i="7"/>
  <c r="U38" i="19"/>
  <c r="U50" i="19" s="1"/>
  <c r="F7" i="14"/>
  <c r="F8" i="14" s="1"/>
  <c r="E8" i="18"/>
  <c r="E6" i="18" s="1"/>
  <c r="F7" i="17"/>
  <c r="F8" i="17" s="1"/>
  <c r="G7" i="17"/>
  <c r="G8" i="17" s="1"/>
  <c r="F8" i="18"/>
  <c r="F6" i="18" s="1"/>
  <c r="G7" i="14"/>
  <c r="G8" i="14" s="1"/>
  <c r="B52" i="14" s="1"/>
  <c r="AA52" i="7"/>
  <c r="AT38" i="7" s="1"/>
  <c r="T38" i="7"/>
  <c r="E12" i="18"/>
  <c r="E9" i="18" s="1"/>
  <c r="F12" i="14"/>
  <c r="F12" i="17"/>
  <c r="Z38" i="7"/>
  <c r="U38" i="7"/>
  <c r="Y38" i="7"/>
  <c r="AC38" i="19"/>
  <c r="AC50" i="19" s="1"/>
  <c r="F9" i="18"/>
  <c r="F13" i="18" s="1"/>
  <c r="W38" i="7"/>
  <c r="T38" i="19"/>
  <c r="T50" i="19" s="1"/>
  <c r="Z38" i="19"/>
  <c r="Z50" i="19" s="1"/>
  <c r="AC38" i="7"/>
  <c r="AB38" i="19"/>
  <c r="AB50" i="19" s="1"/>
  <c r="D27" i="17"/>
  <c r="D28" i="17" s="1"/>
  <c r="D34" i="17" s="1"/>
  <c r="G15" i="17"/>
  <c r="F23" i="17"/>
  <c r="G15" i="14"/>
  <c r="E25" i="17"/>
  <c r="E26" i="17" s="1"/>
  <c r="P36" i="7" l="1"/>
  <c r="O36" i="7"/>
  <c r="L36" i="7"/>
  <c r="O37" i="7"/>
  <c r="P37" i="7"/>
  <c r="L37" i="7"/>
  <c r="AB52" i="7"/>
  <c r="AU38" i="7" s="1"/>
  <c r="AU37" i="7"/>
  <c r="F24" i="17"/>
  <c r="AP37" i="7"/>
  <c r="W52" i="7"/>
  <c r="AP38" i="7" s="1"/>
  <c r="U52" i="7"/>
  <c r="AN38" i="7" s="1"/>
  <c r="AN37" i="7"/>
  <c r="E13" i="18"/>
  <c r="AQ37" i="7"/>
  <c r="X52" i="7"/>
  <c r="AQ38" i="7" s="1"/>
  <c r="AC52" i="7"/>
  <c r="AV38" i="7" s="1"/>
  <c r="AV37" i="7"/>
  <c r="Z52" i="7"/>
  <c r="AS38" i="7" s="1"/>
  <c r="AS37" i="7"/>
  <c r="T52" i="7"/>
  <c r="AM38" i="7" s="1"/>
  <c r="AM37" i="7"/>
  <c r="AL37" i="7"/>
  <c r="S52" i="7"/>
  <c r="AE38" i="19"/>
  <c r="AE50" i="19" s="1"/>
  <c r="G23" i="17"/>
  <c r="G24" i="17" s="1"/>
  <c r="AE38" i="7"/>
  <c r="T51" i="19"/>
  <c r="U51" i="19" s="1"/>
  <c r="V51" i="19" s="1"/>
  <c r="W51" i="19" s="1"/>
  <c r="X51" i="19" s="1"/>
  <c r="Y51" i="19" s="1"/>
  <c r="Z51" i="19" s="1"/>
  <c r="AA51" i="19" s="1"/>
  <c r="AB51" i="19" s="1"/>
  <c r="AC51" i="19" s="1"/>
  <c r="AD51" i="19" s="1"/>
  <c r="S53" i="19"/>
  <c r="Y52" i="7"/>
  <c r="AR38" i="7" s="1"/>
  <c r="AR37" i="7"/>
  <c r="AW37" i="7"/>
  <c r="AD52" i="7"/>
  <c r="AW38" i="7" s="1"/>
  <c r="F25" i="17"/>
  <c r="F26" i="17" s="1"/>
  <c r="E27" i="17"/>
  <c r="E28" i="17" s="1"/>
  <c r="E34" i="17" s="1"/>
  <c r="G25" i="17"/>
  <c r="G26" i="17" s="1"/>
  <c r="AE51" i="19" l="1"/>
  <c r="AL38" i="7"/>
  <c r="S53" i="7"/>
  <c r="AX37" i="7"/>
  <c r="AE52" i="7"/>
  <c r="AX38" i="7" s="1"/>
  <c r="G27" i="17"/>
  <c r="G28" i="17" s="1"/>
  <c r="F27" i="17"/>
  <c r="F28" i="17" s="1"/>
  <c r="F34" i="17" s="1"/>
  <c r="AL39" i="7" l="1"/>
  <c r="T53" i="7"/>
  <c r="AM39" i="7" l="1"/>
  <c r="U53" i="7"/>
  <c r="V53" i="7" l="1"/>
  <c r="AN39" i="7"/>
  <c r="W53" i="7" l="1"/>
  <c r="AO39" i="7"/>
  <c r="X53" i="7" l="1"/>
  <c r="AP39" i="7"/>
  <c r="Y53" i="7" l="1"/>
  <c r="AQ39" i="7"/>
  <c r="Z53" i="7" l="1"/>
  <c r="AR39" i="7"/>
  <c r="AS39" i="7" l="1"/>
  <c r="AA53" i="7"/>
  <c r="AB53" i="7" l="1"/>
  <c r="AT39" i="7"/>
  <c r="AU39" i="7" l="1"/>
  <c r="AC53" i="7"/>
  <c r="AD53" i="7" l="1"/>
  <c r="AV39" i="7"/>
  <c r="AW39" i="7" l="1"/>
  <c r="AE53" i="7"/>
  <c r="AX39" i="7" s="1"/>
  <c r="S54" i="7"/>
  <c r="B32" i="14" l="1"/>
  <c r="B31" i="17"/>
  <c r="B34" i="17" s="1"/>
  <c r="B46" i="17" l="1"/>
  <c r="B44" i="17"/>
  <c r="C44" i="17" s="1"/>
  <c r="D44" i="17" s="1"/>
  <c r="E44" i="17" s="1"/>
  <c r="F44" i="17" s="1"/>
  <c r="H44" i="17" s="1"/>
  <c r="I44" i="17" s="1"/>
  <c r="B45" i="17"/>
  <c r="D3" i="16"/>
  <c r="C6" i="1"/>
  <c r="F6" i="1" l="1"/>
  <c r="F7" i="16"/>
  <c r="B34" i="14"/>
  <c r="B37" i="14" s="1"/>
  <c r="K5" i="1"/>
  <c r="K8" i="1" s="1"/>
  <c r="C9" i="1"/>
  <c r="B46" i="14" l="1"/>
  <c r="B47" i="14"/>
  <c r="B48" i="14"/>
  <c r="C9" i="16"/>
  <c r="E8" i="16"/>
  <c r="C10" i="16"/>
  <c r="C12" i="16"/>
  <c r="C8" i="16"/>
  <c r="D8" i="16" s="1"/>
  <c r="C11" i="16"/>
  <c r="C11" i="20"/>
  <c r="N15" i="2"/>
  <c r="C35" i="14" l="1"/>
  <c r="F8" i="16"/>
  <c r="E9" i="16" s="1"/>
  <c r="D23" i="14" s="1"/>
  <c r="D24" i="14" s="1"/>
  <c r="O75" i="3"/>
  <c r="N22" i="2"/>
  <c r="O22" i="2" s="1"/>
  <c r="N17" i="2"/>
  <c r="F8" i="1"/>
  <c r="N21" i="2"/>
  <c r="B26" i="18"/>
  <c r="B27" i="18" s="1"/>
  <c r="C23" i="14"/>
  <c r="C24" i="14" s="1"/>
  <c r="C25" i="14" s="1"/>
  <c r="C26" i="14"/>
  <c r="C27" i="14" s="1"/>
  <c r="D9" i="16"/>
  <c r="C26" i="18" l="1"/>
  <c r="C27" i="18" s="1"/>
  <c r="C28" i="18" s="1"/>
  <c r="C30" i="18" s="1"/>
  <c r="N23" i="2"/>
  <c r="O21" i="2"/>
  <c r="O23" i="2" s="1"/>
  <c r="B28" i="18"/>
  <c r="B29" i="18" s="1"/>
  <c r="B30" i="18" s="1"/>
  <c r="C7" i="21"/>
  <c r="F7" i="21"/>
  <c r="C12" i="20"/>
  <c r="C20" i="20" s="1"/>
  <c r="C36" i="17" s="1"/>
  <c r="F9" i="1"/>
  <c r="B31" i="18"/>
  <c r="C28" i="14"/>
  <c r="C29" i="14" s="1"/>
  <c r="C37" i="14" s="1"/>
  <c r="C29" i="18"/>
  <c r="D35" i="14"/>
  <c r="F9" i="16"/>
  <c r="D25" i="14"/>
  <c r="B32" i="18" l="1"/>
  <c r="C10" i="21"/>
  <c r="D10" i="21" s="1"/>
  <c r="E10" i="21" s="1"/>
  <c r="D7" i="21"/>
  <c r="C45" i="17"/>
  <c r="C46" i="17" s="1"/>
  <c r="D46" i="17" s="1"/>
  <c r="B52" i="17"/>
  <c r="F45" i="17"/>
  <c r="D45" i="17"/>
  <c r="B51" i="17"/>
  <c r="E45" i="17"/>
  <c r="F10" i="21"/>
  <c r="G10" i="21" s="1"/>
  <c r="H10" i="21" s="1"/>
  <c r="G7" i="21"/>
  <c r="C47" i="14"/>
  <c r="C48" i="14" s="1"/>
  <c r="C46" i="14"/>
  <c r="D26" i="14"/>
  <c r="D27" i="14" s="1"/>
  <c r="E10" i="16"/>
  <c r="C31" i="18"/>
  <c r="C32" i="18" s="1"/>
  <c r="C51" i="17" l="1"/>
  <c r="E46" i="17"/>
  <c r="F46" i="17" s="1"/>
  <c r="D28" i="14"/>
  <c r="D29" i="14" s="1"/>
  <c r="D37" i="14" s="1"/>
  <c r="D46" i="14" s="1"/>
  <c r="E23" i="14"/>
  <c r="E24" i="14" s="1"/>
  <c r="D26" i="18"/>
  <c r="D27" i="18" s="1"/>
  <c r="D28" i="18" s="1"/>
  <c r="D10" i="16"/>
  <c r="E25" i="14" l="1"/>
  <c r="D29" i="18"/>
  <c r="D30" i="18" s="1"/>
  <c r="E35" i="14"/>
  <c r="F10" i="16"/>
  <c r="D47" i="14"/>
  <c r="D48" i="14" s="1"/>
  <c r="E11" i="16" l="1"/>
  <c r="D31" i="18"/>
  <c r="D32" i="18" s="1"/>
  <c r="E26" i="14"/>
  <c r="E27" i="14" s="1"/>
  <c r="E28" i="14" l="1"/>
  <c r="E29" i="14" s="1"/>
  <c r="E37" i="14" s="1"/>
  <c r="F23" i="14"/>
  <c r="F24" i="14" s="1"/>
  <c r="E26" i="18"/>
  <c r="E27" i="18" s="1"/>
  <c r="E28" i="18" s="1"/>
  <c r="D11" i="16"/>
  <c r="E47" i="14" l="1"/>
  <c r="E48" i="14" s="1"/>
  <c r="E46" i="14"/>
  <c r="F35" i="14"/>
  <c r="F11" i="16"/>
  <c r="F25" i="14"/>
  <c r="E29" i="18"/>
  <c r="E30" i="18" s="1"/>
  <c r="E12" i="16" l="1"/>
  <c r="F26" i="14"/>
  <c r="F27" i="14" s="1"/>
  <c r="E31" i="18"/>
  <c r="E32" i="18" s="1"/>
  <c r="F28" i="14" l="1"/>
  <c r="F29" i="14" s="1"/>
  <c r="F37" i="14" s="1"/>
  <c r="G23" i="14"/>
  <c r="G24" i="14" s="1"/>
  <c r="F26" i="18"/>
  <c r="F27" i="18" s="1"/>
  <c r="F28" i="18" s="1"/>
  <c r="D12" i="16"/>
  <c r="G35" i="14" l="1"/>
  <c r="F12" i="16"/>
  <c r="G25" i="14"/>
  <c r="B53" i="14"/>
  <c r="C52" i="14" s="1"/>
  <c r="J7" i="14"/>
  <c r="J6" i="14" s="1"/>
  <c r="F47" i="14"/>
  <c r="F48" i="14" s="1"/>
  <c r="F46" i="14"/>
  <c r="F29" i="18"/>
  <c r="F30" i="18" s="1"/>
  <c r="F31" i="18" l="1"/>
  <c r="F32" i="18" s="1"/>
  <c r="H46" i="14"/>
  <c r="I46" i="14" s="1"/>
  <c r="G33" i="17"/>
  <c r="G34" i="17" s="1"/>
  <c r="G36" i="14"/>
  <c r="G26" i="14"/>
  <c r="G27" i="14" s="1"/>
  <c r="G45" i="17" l="1"/>
  <c r="G46" i="17" s="1"/>
  <c r="H46" i="17" s="1"/>
  <c r="I46" i="17" s="1"/>
  <c r="B36" i="17"/>
  <c r="G44" i="17"/>
  <c r="B37" i="17"/>
  <c r="C51" i="7" s="1"/>
  <c r="G28" i="14"/>
  <c r="G29" i="14" s="1"/>
  <c r="G37" i="14" s="1"/>
  <c r="G47" i="14" l="1"/>
  <c r="G48" i="14" s="1"/>
  <c r="H48" i="14" s="1"/>
  <c r="I48" i="14" s="1"/>
  <c r="B40" i="14"/>
  <c r="C49" i="7" s="1"/>
  <c r="B39" i="14"/>
  <c r="G46" i="14"/>
  <c r="B49" i="17"/>
  <c r="D51" i="7"/>
  <c r="D49" i="7" l="1"/>
  <c r="B50" i="14"/>
</calcChain>
</file>

<file path=xl/comments1.xml><?xml version="1.0" encoding="utf-8"?>
<comments xmlns="http://schemas.openxmlformats.org/spreadsheetml/2006/main">
  <authors>
    <author>Usuario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compra anual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nuevo valor para inversion falta el gasto anual n patentes etc
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compra anual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Usuario:PAPELESA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PAPELESA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COMPUTRON
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PAPELESA
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PAPELESA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PAPELESA
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COMPUTRON
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compra anual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compra anual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PAPELESA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PAPELESA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compra anual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NOVICOMPU</t>
        </r>
      </text>
    </comment>
  </commentList>
</comments>
</file>

<file path=xl/comments5.xml><?xml version="1.0" encoding="utf-8"?>
<comments xmlns="http://schemas.openxmlformats.org/spreadsheetml/2006/main">
  <authors>
    <author>Usuario</author>
    <author>Silvia Cabrera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dscto pronto pago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$50 por fotocopiadora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Usuario:año 1 solamente</t>
        </r>
      </text>
    </comment>
    <comment ref="D44" authorId="1">
      <text>
        <r>
          <rPr>
            <b/>
            <sz val="9"/>
            <color indexed="81"/>
            <rFont val="Tahoma"/>
            <family val="2"/>
          </rPr>
          <t>Silvia Cabrera:</t>
        </r>
        <r>
          <rPr>
            <sz val="9"/>
            <color indexed="81"/>
            <rFont val="Tahoma"/>
            <family val="2"/>
          </rPr>
          <t xml:space="preserve">
todos los años</t>
        </r>
      </text>
    </comment>
  </commentList>
</comments>
</file>

<file path=xl/comments6.xml><?xml version="1.0" encoding="utf-8"?>
<comments xmlns="http://schemas.openxmlformats.org/spreadsheetml/2006/main">
  <authors>
    <author>VICTOR HUGO H</author>
    <author>Usuario</author>
  </authors>
  <commentList>
    <comment ref="E30" authorId="0">
      <text>
        <r>
          <rPr>
            <b/>
            <sz val="9"/>
            <color indexed="81"/>
            <rFont val="Tahoma"/>
            <family val="2"/>
          </rPr>
          <t>VICTOR HUGO H:</t>
        </r>
        <r>
          <rPr>
            <sz val="9"/>
            <color indexed="81"/>
            <rFont val="Tahoma"/>
            <family val="2"/>
          </rPr>
          <t xml:space="preserve">
POR COMPRA DE MAQUINAS,PORTATILES</t>
        </r>
      </text>
    </comment>
    <comment ref="C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Tasa de Interes Pasiva Banco Central en el caso que no se efectue negocio 
</t>
        </r>
      </text>
    </comment>
  </commentList>
</comments>
</file>

<file path=xl/comments7.xml><?xml version="1.0" encoding="utf-8"?>
<comments xmlns="http://schemas.openxmlformats.org/spreadsheetml/2006/main">
  <authors>
    <author>VICTOR HUGO H</author>
    <author>Usuario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VICTOR HUGO H:</t>
        </r>
        <r>
          <rPr>
            <sz val="9"/>
            <color indexed="81"/>
            <rFont val="Tahoma"/>
            <family val="2"/>
          </rPr>
          <t xml:space="preserve">
POR COMPRA DE MAQUINAS,PORTATILES</t>
        </r>
      </text>
    </comment>
    <comment ref="C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Tasa de Interes Pasiva Banco Central en el caso que no se efectue negocio 
</t>
        </r>
      </text>
    </comment>
  </commentList>
</comments>
</file>

<file path=xl/sharedStrings.xml><?xml version="1.0" encoding="utf-8"?>
<sst xmlns="http://schemas.openxmlformats.org/spreadsheetml/2006/main" count="1075" uniqueCount="545">
  <si>
    <t>TOTAL</t>
  </si>
  <si>
    <t>Equipos de Computacion</t>
  </si>
  <si>
    <t>CANTIDAD</t>
  </si>
  <si>
    <t>DETALLE</t>
  </si>
  <si>
    <t>Computadoras con software incluido</t>
  </si>
  <si>
    <t>Materiales de Oficina</t>
  </si>
  <si>
    <t>Computadoras MAC con sotware incluido</t>
  </si>
  <si>
    <t xml:space="preserve">Impresoras Multifuncion </t>
  </si>
  <si>
    <t>Archivadores</t>
  </si>
  <si>
    <t>Cajas de 500 Grapas</t>
  </si>
  <si>
    <t>Equipos de Oficina</t>
  </si>
  <si>
    <t xml:space="preserve">Cajas de Cartuchos BN </t>
  </si>
  <si>
    <t xml:space="preserve">Cajas de Cartuchos a Color </t>
  </si>
  <si>
    <t>Resmas de 500 Hojas</t>
  </si>
  <si>
    <t>Split</t>
  </si>
  <si>
    <t>Cajas de 10 Boligrafos</t>
  </si>
  <si>
    <t>Telefono</t>
  </si>
  <si>
    <t>Cajas de CD RW X 20</t>
  </si>
  <si>
    <t>Fotocopiadoras Multifuncion</t>
  </si>
  <si>
    <t>Separadores x 5</t>
  </si>
  <si>
    <t>Cajas de 100 Clips</t>
  </si>
  <si>
    <t>Instalaciones</t>
  </si>
  <si>
    <t>Resaltadores</t>
  </si>
  <si>
    <t>Borradores</t>
  </si>
  <si>
    <t>Cajas de 10 Lapiceros</t>
  </si>
  <si>
    <t>Correctores Liquidos</t>
  </si>
  <si>
    <t>Hub</t>
  </si>
  <si>
    <t>Grapadoras</t>
  </si>
  <si>
    <t>Perforadoras</t>
  </si>
  <si>
    <t>Tachos de Basura</t>
  </si>
  <si>
    <t>Cafetera</t>
  </si>
  <si>
    <t>Muebles de Oficina</t>
  </si>
  <si>
    <t>Juego de 12 Vasos</t>
  </si>
  <si>
    <t>Sillas para visitas</t>
  </si>
  <si>
    <t>Dispensador de Agua</t>
  </si>
  <si>
    <t>Sillas para empleados</t>
  </si>
  <si>
    <t>Escritorios</t>
  </si>
  <si>
    <t>Vehiculos</t>
  </si>
  <si>
    <t>Chevrolet VAN N200</t>
  </si>
  <si>
    <t>DETALLE DE LAS CUENTAS DE INVERSION</t>
  </si>
  <si>
    <t>Costos de Publicidad</t>
  </si>
  <si>
    <t xml:space="preserve">TOTAL MONTO DE INVERSION </t>
  </si>
  <si>
    <t xml:space="preserve">Utilidad Antes de Impuestos </t>
  </si>
  <si>
    <t>Gastos de Imprenta</t>
  </si>
  <si>
    <t>Tonner</t>
  </si>
  <si>
    <t>COSTOS MIXTOS</t>
  </si>
  <si>
    <t>Pen Drive de 8 GB</t>
  </si>
  <si>
    <t>Utilidad Neta</t>
  </si>
  <si>
    <t>Cantidad por mes</t>
  </si>
  <si>
    <t>Costo mensual</t>
  </si>
  <si>
    <t>Costo anual</t>
  </si>
  <si>
    <t>Agua (m^3)</t>
  </si>
  <si>
    <t>Juego de 6 Tazas</t>
  </si>
  <si>
    <t>Escritorio pequeño</t>
  </si>
  <si>
    <t>Combustible</t>
  </si>
  <si>
    <t>13 Sueldo</t>
  </si>
  <si>
    <t>14 Sueldo</t>
  </si>
  <si>
    <t>Contador</t>
  </si>
  <si>
    <t>Asistente Publicopias 1</t>
  </si>
  <si>
    <t>Asistente Publicopias 2</t>
  </si>
  <si>
    <t>$20 semanales</t>
  </si>
  <si>
    <t xml:space="preserve">Internet Banda Ancha de 512mb </t>
  </si>
  <si>
    <t>Aporte Patronal</t>
  </si>
  <si>
    <t>IECE/SECAP</t>
  </si>
  <si>
    <t>IECE-SECAP</t>
  </si>
  <si>
    <t>Notebook con software incluido</t>
  </si>
  <si>
    <t>Gastos Generales</t>
  </si>
  <si>
    <t>TMAR</t>
  </si>
  <si>
    <t>Detalle</t>
  </si>
  <si>
    <t>Ingresos</t>
  </si>
  <si>
    <t>Gastos</t>
  </si>
  <si>
    <t>Costos de Impresión</t>
  </si>
  <si>
    <t>Sueldos y Beneficios Sociales (Administracion/Operativos)</t>
  </si>
  <si>
    <t>Ingresos Operativos</t>
  </si>
  <si>
    <t>TIR (Tasa Interna de Retorno)</t>
  </si>
  <si>
    <t>VAN (Valor Actual Neto)</t>
  </si>
  <si>
    <t>Impuesto a la Renta (23%,22%;22%)</t>
  </si>
  <si>
    <t>Internet y Mantenimiento de Redes</t>
  </si>
  <si>
    <t>Alcantarillado (80% de agua pot.)</t>
  </si>
  <si>
    <t>Valor Casco</t>
  </si>
  <si>
    <t>Prima neta total</t>
  </si>
  <si>
    <t>Sup.Bancos 3,5%</t>
  </si>
  <si>
    <t>Seguro Campesino 0,5%</t>
  </si>
  <si>
    <t>Valor Asegurado</t>
  </si>
  <si>
    <t>Constitucion y Legal</t>
  </si>
  <si>
    <t>Gastos de Constitucion</t>
  </si>
  <si>
    <t>Gastos de Patente(Impuesto)</t>
  </si>
  <si>
    <t>1er año</t>
  </si>
  <si>
    <t>2do año</t>
  </si>
  <si>
    <t>3er año</t>
  </si>
  <si>
    <t>4to año</t>
  </si>
  <si>
    <t>5to año</t>
  </si>
  <si>
    <t xml:space="preserve">Ventilador metalico </t>
  </si>
  <si>
    <t>Banco plastico lider (PYCCA)</t>
  </si>
  <si>
    <t>Materia Prima</t>
  </si>
  <si>
    <t>Asientos(2)</t>
  </si>
  <si>
    <t>Ventilador (1)</t>
  </si>
  <si>
    <t>Notebook(1)</t>
  </si>
  <si>
    <t>Escritorio(1)</t>
  </si>
  <si>
    <t>Mat.Oficina</t>
  </si>
  <si>
    <t>Depósito Basura</t>
  </si>
  <si>
    <t>Seguridad.</t>
  </si>
  <si>
    <t>Estructura impositiva y legal.</t>
  </si>
  <si>
    <t>Disponibilidad de energía y otros suministros.</t>
  </si>
  <si>
    <t>Comunicaciones.</t>
  </si>
  <si>
    <t>Cercanía del mercado.</t>
  </si>
  <si>
    <t>Costos y disponibilidad del local.</t>
  </si>
  <si>
    <t>Zona A</t>
  </si>
  <si>
    <t>Zona B</t>
  </si>
  <si>
    <t>Zona C</t>
  </si>
  <si>
    <t>Total</t>
  </si>
  <si>
    <t>Peso</t>
  </si>
  <si>
    <t>Factor</t>
  </si>
  <si>
    <t>Cercanía de las fuentes de abastecimiento.</t>
  </si>
  <si>
    <t>Medios y costos de transporte.</t>
  </si>
  <si>
    <t>Oficina Administrativa</t>
  </si>
  <si>
    <t>Garzota II</t>
  </si>
  <si>
    <t>Urdesa Central</t>
  </si>
  <si>
    <t xml:space="preserve">Kennedy Norte </t>
  </si>
  <si>
    <t>FEN</t>
  </si>
  <si>
    <t>ICM</t>
  </si>
  <si>
    <t>FICT</t>
  </si>
  <si>
    <t>Paseo Comercial</t>
  </si>
  <si>
    <t>Bloque administrativo</t>
  </si>
  <si>
    <t>Banco Pichincha</t>
  </si>
  <si>
    <t>Diagonal Facultad Ciencias Administrativas</t>
  </si>
  <si>
    <t>Diagonal Malecon del Salado</t>
  </si>
  <si>
    <t>Diagonal Facultad de Educacion Fisica</t>
  </si>
  <si>
    <t>Publicentros ESPOL</t>
  </si>
  <si>
    <t>Publicentros UCSG</t>
  </si>
  <si>
    <t>Publicentros UG</t>
  </si>
  <si>
    <t>C</t>
  </si>
  <si>
    <t xml:space="preserve">C=CALIFICACION </t>
  </si>
  <si>
    <t>P=PONDERACION</t>
  </si>
  <si>
    <t>P</t>
  </si>
  <si>
    <t xml:space="preserve">Computadoras MAC </t>
  </si>
  <si>
    <t xml:space="preserve">Computadoras </t>
  </si>
  <si>
    <t>Cajas de 10 Bolígrafos</t>
  </si>
  <si>
    <t>Correctores Líquidos</t>
  </si>
  <si>
    <t>Cantidad</t>
  </si>
  <si>
    <t>P. Unitario</t>
  </si>
  <si>
    <t>P. Total</t>
  </si>
  <si>
    <t>Teléfono</t>
  </si>
  <si>
    <t>Equipos de Computación</t>
  </si>
  <si>
    <t>Banco plástico líder (PYCCA)</t>
  </si>
  <si>
    <t xml:space="preserve">Ventilador metálico </t>
  </si>
  <si>
    <t>Notebook</t>
  </si>
  <si>
    <t>Fotocopiadoras Multifunción</t>
  </si>
  <si>
    <t>Impresoras Multifunción Canon</t>
  </si>
  <si>
    <t>Vehículos</t>
  </si>
  <si>
    <t>Activo Tangible</t>
  </si>
  <si>
    <t>Depreciación Anual</t>
  </si>
  <si>
    <t xml:space="preserve">Valor de Adquisisión </t>
  </si>
  <si>
    <t>Vehículo</t>
  </si>
  <si>
    <t>Vida Útil (años)</t>
  </si>
  <si>
    <t>Depreciación de Activos Tangibles- Método Línea Recta</t>
  </si>
  <si>
    <t>Arriendo Publicentro UCSG</t>
  </si>
  <si>
    <t>Arriendo Publicentro UG</t>
  </si>
  <si>
    <t>Arriendo Publicentro ESPOL</t>
  </si>
  <si>
    <t>Arriendo Oficina Administrativa</t>
  </si>
  <si>
    <t>Arriendos</t>
  </si>
  <si>
    <t>Asistente Publicopias 3</t>
  </si>
  <si>
    <t>Asistente Publicopias 4</t>
  </si>
  <si>
    <t>Gerencia General</t>
  </si>
  <si>
    <t>Marketing y Ventas</t>
  </si>
  <si>
    <t>RRHH</t>
  </si>
  <si>
    <t>Producción y Calidad</t>
  </si>
  <si>
    <t>Sueldos</t>
  </si>
  <si>
    <t>Empleados</t>
  </si>
  <si>
    <t>Actividades tipo servicios Ramas de actividad económica Actividades en materia de gestión administrativa</t>
  </si>
  <si>
    <t>No se consideran cambios o variaciones en la nómina de empleados</t>
  </si>
  <si>
    <t>Las vacaciones serán consideradas para los periodos vacacionales de cada centros de educación superior donde se sitúe un Publicentro</t>
  </si>
  <si>
    <r>
      <rPr>
        <b/>
        <i/>
        <sz val="10"/>
        <color indexed="8"/>
        <rFont val="Arial"/>
        <family val="2"/>
      </rPr>
      <t>Fuente:</t>
    </r>
    <r>
      <rPr>
        <i/>
        <sz val="10"/>
        <color indexed="8"/>
        <rFont val="Arial"/>
        <family val="2"/>
      </rPr>
      <t xml:space="preserve"> Salarios mínimos sectoriales 2012 Ministerio de Relaciones Laborales</t>
    </r>
  </si>
  <si>
    <t>Tarjetas de Presentación</t>
  </si>
  <si>
    <t>Muestrario</t>
  </si>
  <si>
    <t>Página Web</t>
  </si>
  <si>
    <t>Gastos de Publicidad</t>
  </si>
  <si>
    <t>Sueldos y Beneficios Sociales</t>
  </si>
  <si>
    <t>S. Administrativos</t>
  </si>
  <si>
    <t>S. Operativos</t>
  </si>
  <si>
    <t>Beneficios Sociales</t>
  </si>
  <si>
    <t>Aportes Patronales</t>
  </si>
  <si>
    <t>Mant. Vehículo</t>
  </si>
  <si>
    <t>Mant. Equipos de Publicentros</t>
  </si>
  <si>
    <t>Valor Mensual</t>
  </si>
  <si>
    <t>Valor Anual</t>
  </si>
  <si>
    <t>Costos Fijos</t>
  </si>
  <si>
    <t>Costos Variables Producción</t>
  </si>
  <si>
    <t>Rubros</t>
  </si>
  <si>
    <t>Costo</t>
  </si>
  <si>
    <t>Por Fotocopia</t>
  </si>
  <si>
    <t>Rendimiento(en Fotocopias)</t>
  </si>
  <si>
    <t>Días</t>
  </si>
  <si>
    <t>Prima Total Vehículo</t>
  </si>
  <si>
    <t>Periodos</t>
  </si>
  <si>
    <t>Seguros Bolívar</t>
  </si>
  <si>
    <t>IVA</t>
  </si>
  <si>
    <t>Prima Total</t>
  </si>
  <si>
    <t>Derechos emisión</t>
  </si>
  <si>
    <t xml:space="preserve">Agua y Luz Eléctrica Publicentro ESPOL </t>
  </si>
  <si>
    <t>Luz Eléctrica,Climatización y Guardianía Publicentro UCSG</t>
  </si>
  <si>
    <t>PubliCopias Oficina Administrativa</t>
  </si>
  <si>
    <t>Teléfono (minutos)</t>
  </si>
  <si>
    <t>Luz Eléctrica (kwh)</t>
  </si>
  <si>
    <t>Gastos de Constitución</t>
  </si>
  <si>
    <t xml:space="preserve">Búsqueda de antecedentes del estado de la técnica </t>
  </si>
  <si>
    <t xml:space="preserve">Título de registro de diseños industriales y de concesión  </t>
  </si>
  <si>
    <t>Presentación de solicitudes para trámite de concesión</t>
  </si>
  <si>
    <t>Búsqueda a nivel nacional contenido</t>
  </si>
  <si>
    <t>Total Ingresos</t>
  </si>
  <si>
    <t>Egresos</t>
  </si>
  <si>
    <t>Alquiler (Oficina Administrativa/Publicentro)</t>
  </si>
  <si>
    <t>Mantenimiento de Equipos (Publicentros)</t>
  </si>
  <si>
    <t>Seguro Vehículo</t>
  </si>
  <si>
    <t>Mantenimiento Vehículo</t>
  </si>
  <si>
    <t>Total Egresos</t>
  </si>
  <si>
    <t>VARIABLES</t>
  </si>
  <si>
    <t>INVERSION EN PUBLICIDAD EMPRESAS DEL ECUADOR</t>
  </si>
  <si>
    <t xml:space="preserve">Tipo de Empresas </t>
  </si>
  <si>
    <t>Año</t>
  </si>
  <si>
    <t>Agricultura,Ganadería,Caza y Silvicultura</t>
  </si>
  <si>
    <t>Minas y Cantera</t>
  </si>
  <si>
    <t>Industria</t>
  </si>
  <si>
    <t>Electricidad y Gas</t>
  </si>
  <si>
    <t>Agua y Saneamiento</t>
  </si>
  <si>
    <t>Construccion</t>
  </si>
  <si>
    <t>Comercio</t>
  </si>
  <si>
    <t xml:space="preserve">Transporte y Almacenamiento </t>
  </si>
  <si>
    <t>Alojamiento y Comida</t>
  </si>
  <si>
    <t>Informacion y Comunicación</t>
  </si>
  <si>
    <t>Financiera y Seguros</t>
  </si>
  <si>
    <t>Actividades Inmoviliarias</t>
  </si>
  <si>
    <t xml:space="preserve">Actividades Profesionales </t>
  </si>
  <si>
    <t xml:space="preserve">Seminarios Administrativos </t>
  </si>
  <si>
    <t>Enseñansa</t>
  </si>
  <si>
    <t>Salud y Asistencia Social</t>
  </si>
  <si>
    <t>Artes y Recreacion</t>
  </si>
  <si>
    <t>Otros Servicios</t>
  </si>
  <si>
    <t>Org. Extraterritorial</t>
  </si>
  <si>
    <t>Inversion de publicidad en millones de dolares</t>
  </si>
  <si>
    <t>Inversion en publicidad</t>
  </si>
  <si>
    <t>Publicidad BTL en Ecuador (4%)</t>
  </si>
  <si>
    <t>% Empresas ubicadas en Guayas(47,01%)</t>
  </si>
  <si>
    <t>Probabilidad de Aceptacion de Empresas  (80%)</t>
  </si>
  <si>
    <t>Probabilidad que usen el Servicio(50%)</t>
  </si>
  <si>
    <t>Cantidad en hojas</t>
  </si>
  <si>
    <t>Ingreso anual</t>
  </si>
  <si>
    <t xml:space="preserve">Paquetes Vendidos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</si>
  <si>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</si>
  <si>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</si>
  <si>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</si>
  <si>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</si>
  <si>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</si>
  <si>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</si>
  <si>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</si>
  <si>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</si>
  <si>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</si>
  <si>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</si>
  <si>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</si>
  <si>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</si>
  <si>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</t>
  </si>
  <si>
    <t xml:space="preserve">Ingresos </t>
  </si>
  <si>
    <t xml:space="preserve">PROVINCIA / ACTIVIDAD ECONÓMICA      </t>
  </si>
  <si>
    <t>#</t>
  </si>
  <si>
    <t>COSTA</t>
  </si>
  <si>
    <t>EL ORO</t>
  </si>
  <si>
    <t>ESMERALDAS</t>
  </si>
  <si>
    <t>GUAYAS</t>
  </si>
  <si>
    <t>LOS RIOS</t>
  </si>
  <si>
    <t>MANABI</t>
  </si>
  <si>
    <t>SANTA ELENA</t>
  </si>
  <si>
    <t>SIERRA</t>
  </si>
  <si>
    <t>AZUAY</t>
  </si>
  <si>
    <t>BOLIVAR</t>
  </si>
  <si>
    <t>CAÑAR</t>
  </si>
  <si>
    <t>CARCHI</t>
  </si>
  <si>
    <t>COTOPAXI</t>
  </si>
  <si>
    <t>CHIMBORAZO</t>
  </si>
  <si>
    <t>IMBABURA</t>
  </si>
  <si>
    <t>LOJA</t>
  </si>
  <si>
    <t>PICHINCHA</t>
  </si>
  <si>
    <t>TUNGURAHUA</t>
  </si>
  <si>
    <t>SANTO DOMINGO DE LOS TSACHILAS</t>
  </si>
  <si>
    <t>ORIENTE</t>
  </si>
  <si>
    <t>MORONA SANTIAGO</t>
  </si>
  <si>
    <t>NAPO</t>
  </si>
  <si>
    <t>PASTAZA</t>
  </si>
  <si>
    <t>ZAMORA CHINCHIPE</t>
  </si>
  <si>
    <t>SUCUMBIOS</t>
  </si>
  <si>
    <t>ORELLANA</t>
  </si>
  <si>
    <t>INSULAR O GALAPAGOS</t>
  </si>
  <si>
    <t>GALAPAGOS</t>
  </si>
  <si>
    <t xml:space="preserve">TOTAL PAÍS </t>
  </si>
  <si>
    <t>Precio</t>
  </si>
  <si>
    <t>INGRESO</t>
  </si>
  <si>
    <t>Cantidad en paquetes Anuales</t>
  </si>
  <si>
    <t>Costo Publicidad</t>
  </si>
  <si>
    <t>Costo Impresión</t>
  </si>
  <si>
    <t>Costo Total Anual Publicidad</t>
  </si>
  <si>
    <t>Costo Total Anual Impresión</t>
  </si>
  <si>
    <t xml:space="preserve"> Empresas con Trayectoria Guayaquil(8,78%)</t>
  </si>
  <si>
    <t xml:space="preserve">Egresos </t>
  </si>
  <si>
    <t>Cuotas</t>
  </si>
  <si>
    <t>Capital</t>
  </si>
  <si>
    <t xml:space="preserve">Saldo </t>
  </si>
  <si>
    <t xml:space="preserve">Valor de Desecho </t>
  </si>
  <si>
    <t>((B-C)-Dep)/i</t>
  </si>
  <si>
    <t>B-C</t>
  </si>
  <si>
    <t>Dep</t>
  </si>
  <si>
    <t xml:space="preserve">I </t>
  </si>
  <si>
    <t xml:space="preserve">Promedio Incremental Anual </t>
  </si>
  <si>
    <t>Patrimonio</t>
  </si>
  <si>
    <t>Impuesto Fijo</t>
  </si>
  <si>
    <t xml:space="preserve">Gasto por Patente </t>
  </si>
  <si>
    <t xml:space="preserve">Gastos Operativos </t>
  </si>
  <si>
    <t xml:space="preserve">Gastos Financieros </t>
  </si>
  <si>
    <t>Detalle de Aporte de Capital</t>
  </si>
  <si>
    <t>Aportación de Capital:</t>
  </si>
  <si>
    <t>Valor por cada acción:</t>
  </si>
  <si>
    <t>Número de Acciones:</t>
  </si>
  <si>
    <t>Número de Accionistas</t>
  </si>
  <si>
    <t>Accionistas</t>
  </si>
  <si>
    <t>Aporte Individual</t>
  </si>
  <si>
    <t># Acciones</t>
  </si>
  <si>
    <t>Valor de c/Acción</t>
  </si>
  <si>
    <t>Constitución y Legal</t>
  </si>
  <si>
    <t>Impuesto Sobre Fracción</t>
  </si>
  <si>
    <t>Mantenimiento Anual ($12,00)</t>
  </si>
  <si>
    <t xml:space="preserve">Interés </t>
  </si>
  <si>
    <t>Monto de Préstamo:</t>
  </si>
  <si>
    <t>Años:</t>
  </si>
  <si>
    <t xml:space="preserve">Tasa Efectiva Anual: </t>
  </si>
  <si>
    <t>Inversión Capital de Trabajo</t>
  </si>
  <si>
    <t xml:space="preserve">Inversión de Activos Intangibles </t>
  </si>
  <si>
    <t>Utilidad Antes de Impuesto</t>
  </si>
  <si>
    <t>Flujo de Caja del Inversionista</t>
  </si>
  <si>
    <t>Flujo de Caja del Proyecto</t>
  </si>
  <si>
    <t>Depreciación de Activos Tangibles</t>
  </si>
  <si>
    <t xml:space="preserve">Inversión de Activos Tangibles </t>
  </si>
  <si>
    <t>Valor de Desecho</t>
  </si>
  <si>
    <t>Inversión de Capital de Trabajo</t>
  </si>
  <si>
    <t>Participación de Utilidades a Trabajadores</t>
  </si>
  <si>
    <t xml:space="preserve">Utilidad Antes Participación de Utilidades a Trabajadores </t>
  </si>
  <si>
    <t>Intereses Préstamo</t>
  </si>
  <si>
    <t>Préstamo</t>
  </si>
  <si>
    <t xml:space="preserve">Amortización de Capital </t>
  </si>
  <si>
    <t>Estado de Resultados</t>
  </si>
  <si>
    <t xml:space="preserve">Utilidad Antes de Participación e Impuestos </t>
  </si>
  <si>
    <t>Silvia Cabrera T.</t>
  </si>
  <si>
    <t>Víctor Hernández N.</t>
  </si>
  <si>
    <t>Saldos</t>
  </si>
  <si>
    <t>Saldo Acumulado</t>
  </si>
  <si>
    <t>Mes</t>
  </si>
  <si>
    <t xml:space="preserve">Cuota de Ventas Mensual </t>
  </si>
  <si>
    <t xml:space="preserve">% Cuota de Ventas Mensual </t>
  </si>
  <si>
    <t>Patente Municipal</t>
  </si>
  <si>
    <t>Activos</t>
  </si>
  <si>
    <t>Efectivo</t>
  </si>
  <si>
    <t>Activos Intangibles</t>
  </si>
  <si>
    <t xml:space="preserve">Total Activos </t>
  </si>
  <si>
    <t>Préstamo Bancario</t>
  </si>
  <si>
    <t xml:space="preserve">Total Pasivos + Patrimonio </t>
  </si>
  <si>
    <t>PubliCopias S.A.</t>
  </si>
  <si>
    <t>Propiedad, planta y equipo</t>
  </si>
  <si>
    <t>Capital Social</t>
  </si>
  <si>
    <t xml:space="preserve">Pasivos </t>
  </si>
  <si>
    <t xml:space="preserve">Estado de Situación Financiera </t>
  </si>
  <si>
    <t xml:space="preserve">Costos de Ventas </t>
  </si>
  <si>
    <t xml:space="preserve">Utilidad Bruta </t>
  </si>
  <si>
    <t xml:space="preserve">PubliCopias S.A. </t>
  </si>
  <si>
    <t xml:space="preserve">COSTOS </t>
  </si>
  <si>
    <t>Probabilidad de uso del Servicio(50%)</t>
  </si>
  <si>
    <t>Variacion %</t>
  </si>
  <si>
    <t>Cant en paquetes Anuales</t>
  </si>
  <si>
    <t>Cant en hojas</t>
  </si>
  <si>
    <t>Promedio</t>
  </si>
  <si>
    <t>Gasto en Publicidad 100%</t>
  </si>
  <si>
    <t>4% Publicidad BTL</t>
  </si>
  <si>
    <t>8,78% Empresas de Trayectoria  Gquil.</t>
  </si>
  <si>
    <t xml:space="preserve">4 % Publicidad BTL </t>
  </si>
  <si>
    <t>Resto del Pais</t>
  </si>
  <si>
    <t xml:space="preserve">47,01% Guayas </t>
  </si>
  <si>
    <t xml:space="preserve">80% aceptaria el servicio </t>
  </si>
  <si>
    <r>
      <t xml:space="preserve">50%  </t>
    </r>
    <r>
      <rPr>
        <b/>
        <sz val="10"/>
        <color indexed="8"/>
        <rFont val="Arial"/>
        <family val="2"/>
      </rPr>
      <t>SI</t>
    </r>
    <r>
      <rPr>
        <sz val="10"/>
        <color indexed="8"/>
        <rFont val="Arial"/>
        <family val="2"/>
      </rPr>
      <t xml:space="preserve"> usen el servicio </t>
    </r>
  </si>
  <si>
    <r>
      <t xml:space="preserve">50%  </t>
    </r>
    <r>
      <rPr>
        <b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usen el servicio </t>
    </r>
  </si>
  <si>
    <t>8,78% Empresas de Trayectoria en Guayaquil</t>
  </si>
  <si>
    <t xml:space="preserve">20% No aceptarian el servicio </t>
  </si>
  <si>
    <t xml:space="preserve">Crecimiento Anual </t>
  </si>
  <si>
    <t xml:space="preserve">Ingreso Anual </t>
  </si>
  <si>
    <t>Años</t>
  </si>
  <si>
    <t xml:space="preserve">Empresas Seguras </t>
  </si>
  <si>
    <t>al 1 de Enero del 2013</t>
  </si>
  <si>
    <t xml:space="preserve">Vacaciones </t>
  </si>
  <si>
    <t>Fondos de Reserva</t>
  </si>
  <si>
    <t>Vacaciones</t>
  </si>
  <si>
    <t>Fondo de Reserva</t>
  </si>
  <si>
    <t>Detalle de Sueldos  y Beneficios Sociales (en meses excepto 13 Sueldo,14 Sueldo y Vacaciones)</t>
  </si>
  <si>
    <t>Variación %</t>
  </si>
  <si>
    <t xml:space="preserve">Tasa de Crecimiento </t>
  </si>
  <si>
    <t xml:space="preserve">Otros Ingresos </t>
  </si>
  <si>
    <t xml:space="preserve">Precio por Fotocopia </t>
  </si>
  <si>
    <t xml:space="preserve">Demanda  Min. Estudiantil  20-30 hojas </t>
  </si>
  <si>
    <t xml:space="preserve">Costos de Imprenta </t>
  </si>
  <si>
    <t xml:space="preserve">Costos de Fotocopiado </t>
  </si>
  <si>
    <t xml:space="preserve">Costos de Fotocopias Adicionales </t>
  </si>
  <si>
    <t xml:space="preserve">Costo Fotocopia Adicional </t>
  </si>
  <si>
    <t xml:space="preserve">Costo Total </t>
  </si>
  <si>
    <t xml:space="preserve">Costo Fotocopias Adicionales </t>
  </si>
  <si>
    <t>Gasto de Constitucion</t>
  </si>
  <si>
    <t>Asistente Publicopias 6</t>
  </si>
  <si>
    <t>Asistente Publicopias 5</t>
  </si>
  <si>
    <t>Capital de Trabajo</t>
  </si>
  <si>
    <t>Activos Tangibles</t>
  </si>
  <si>
    <t>Total Inversiones</t>
  </si>
  <si>
    <t>Inversión de publicidad en millones de dolares</t>
  </si>
  <si>
    <t>Inversión en publicidad</t>
  </si>
  <si>
    <t>Probabilidad de Aceptación de Empresas  (80%)</t>
  </si>
  <si>
    <t>Variación Porcentual</t>
  </si>
  <si>
    <t>Prob Asistencia         (50%)</t>
  </si>
  <si>
    <t>FotoCopiadora(s):           Espol(2)                                      UCSG(2)                                      UG(2)</t>
  </si>
  <si>
    <t>Marchex, Inc</t>
  </si>
  <si>
    <t xml:space="preserve"> (MCHX)</t>
  </si>
  <si>
    <t>QuinStreet, Inc</t>
  </si>
  <si>
    <t>QNST</t>
  </si>
  <si>
    <t>ADN Brands, Inc</t>
  </si>
  <si>
    <t>DNAX.OB</t>
  </si>
  <si>
    <t>Omnicom Group, Inc</t>
  </si>
  <si>
    <t>MAC</t>
  </si>
  <si>
    <t>SearchMedia Holdings Ltd.</t>
  </si>
  <si>
    <t>IDI</t>
  </si>
  <si>
    <t>CMG Holdings, Inc</t>
  </si>
  <si>
    <t>CMGO.PK</t>
  </si>
  <si>
    <t>CNWHF.OB</t>
  </si>
  <si>
    <t>Constant Contact, Inc</t>
  </si>
  <si>
    <t>CTCT</t>
  </si>
  <si>
    <t>Focus Media Holding, Ltd</t>
  </si>
  <si>
    <t>FMCN</t>
  </si>
  <si>
    <t>Clear Chanel OutDoor Holdings, Inc</t>
  </si>
  <si>
    <t>CCO</t>
  </si>
  <si>
    <t>China Networks Inter Holdings, Ltd</t>
  </si>
  <si>
    <t>Beta</t>
  </si>
  <si>
    <t xml:space="preserve">Promedio Beta  del Mercado </t>
  </si>
  <si>
    <t xml:space="preserve">Rf </t>
  </si>
  <si>
    <t xml:space="preserve">Bonos del Tesoro Americano 5 años </t>
  </si>
  <si>
    <t xml:space="preserve">Rm </t>
  </si>
  <si>
    <t xml:space="preserve">Promedio Beta de empresas relacionadas </t>
  </si>
  <si>
    <t>Bi</t>
  </si>
  <si>
    <t xml:space="preserve">Agencias de Publicidad </t>
  </si>
  <si>
    <t>Servicios de Marketing</t>
  </si>
  <si>
    <t xml:space="preserve">Valor </t>
  </si>
  <si>
    <t>Ke</t>
  </si>
  <si>
    <t>Kd</t>
  </si>
  <si>
    <t>Ko</t>
  </si>
  <si>
    <t>(kd*(1-T)*(D/A))+(Ke(P/A))</t>
  </si>
  <si>
    <t>T</t>
  </si>
  <si>
    <t xml:space="preserve">Tasa de Impuesto Renta </t>
  </si>
  <si>
    <t>%Patrimonio</t>
  </si>
  <si>
    <t>(D/A)</t>
  </si>
  <si>
    <t>(P/A)</t>
  </si>
  <si>
    <t>Empresas de Publicidad y Marketing (USA)</t>
  </si>
  <si>
    <t>Nombre Bursátil</t>
  </si>
  <si>
    <t xml:space="preserve">CAMP-TMAR-Rentabilidad Eperada </t>
  </si>
  <si>
    <t xml:space="preserve">Riesgo País Ecuador </t>
  </si>
  <si>
    <t xml:space="preserve">Retorno mercado de USA de empresas parecidas </t>
  </si>
  <si>
    <t xml:space="preserve">Tasa del Préstamo </t>
  </si>
  <si>
    <t xml:space="preserve">Ke= (Rf+(E(Rm)-Rf)Bi)+ Riesgo País </t>
  </si>
  <si>
    <t xml:space="preserve">Riesgo País </t>
  </si>
  <si>
    <t>% Deuda</t>
  </si>
  <si>
    <t>Ko=(Kd*(1-T)*(D/A))+(Ke(P/A))</t>
  </si>
  <si>
    <t xml:space="preserve">E(Rm) </t>
  </si>
  <si>
    <t>Retorno del Mercado E(Rm)</t>
  </si>
  <si>
    <t xml:space="preserve">CAPM=TMAR=Ke= (Rf+(E(Rm)-Rf)Bi)+ Riesgo País </t>
  </si>
  <si>
    <t>Ke=Tmar=CAPM</t>
  </si>
  <si>
    <t>Retorno mercado de USA de empresas relacionadas</t>
  </si>
  <si>
    <t>Ko=WACC=CPPC</t>
  </si>
  <si>
    <t xml:space="preserve">Dada por la tasa Ko </t>
  </si>
  <si>
    <t>Dada por la tasa Ke</t>
  </si>
  <si>
    <t xml:space="preserve">Costos Variables Anuales </t>
  </si>
  <si>
    <t xml:space="preserve">Punto de Equilibrio </t>
  </si>
  <si>
    <t>$</t>
  </si>
  <si>
    <t xml:space="preserve">Cantidades </t>
  </si>
  <si>
    <t xml:space="preserve">Fotocopias con Publicidad </t>
  </si>
  <si>
    <t xml:space="preserve">Fotocopias Adicionales </t>
  </si>
  <si>
    <t>En Fotocopia</t>
  </si>
  <si>
    <t>En Paquete de 1000 hojas</t>
  </si>
  <si>
    <t xml:space="preserve">Proporcion al ingreso para determinar el costo fijo </t>
  </si>
  <si>
    <t>Van Inversionista</t>
  </si>
  <si>
    <t>$J$40</t>
  </si>
  <si>
    <t>$C$49</t>
  </si>
  <si>
    <t>Creado por Usuario el 06/04/2012</t>
  </si>
  <si>
    <t>Resumen de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</si>
  <si>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</si>
  <si>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</si>
  <si>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</si>
  <si>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</si>
  <si>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</si>
  <si>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</si>
  <si>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VAN</t>
  </si>
  <si>
    <t>$M$39</t>
  </si>
  <si>
    <t>Creado por PobliCopias el 06/04/2012</t>
  </si>
  <si>
    <t>Creado por Usuario el 06/04/2012
Modificado por Usuario el 06/04/2012</t>
  </si>
  <si>
    <t>Ingresos Totales</t>
  </si>
  <si>
    <t>Costos de Imprenta</t>
  </si>
  <si>
    <t>Costos de Fotocopiado</t>
  </si>
  <si>
    <t>Sueldos y Beneficios Sociales (Administración/Operativos)</t>
  </si>
  <si>
    <t>Costo Fotocopia adicional</t>
  </si>
  <si>
    <t>Otros Ingresos</t>
  </si>
  <si>
    <t>Costos Totales</t>
  </si>
  <si>
    <t>PayBack</t>
  </si>
  <si>
    <t>Nominal</t>
  </si>
  <si>
    <t>Descontado</t>
  </si>
  <si>
    <t>Acumulado</t>
  </si>
  <si>
    <t>PayBack(Periodo de Recuperación)</t>
  </si>
  <si>
    <t xml:space="preserve">$ Diarios </t>
  </si>
  <si>
    <t># Días</t>
  </si>
  <si>
    <t>Tasa de Retorno Contable (TRC)</t>
  </si>
  <si>
    <t>Razon Benmeficio-Costo (RBC)</t>
  </si>
  <si>
    <t>TIR</t>
  </si>
  <si>
    <t xml:space="preserve">Costos Fijos Anules </t>
  </si>
  <si>
    <t>N/D</t>
  </si>
  <si>
    <t>Costo de Producción</t>
  </si>
  <si>
    <t>Van Sin Deuda</t>
  </si>
  <si>
    <t>Van=0</t>
  </si>
  <si>
    <t>Tir=0</t>
  </si>
  <si>
    <t>Flujo</t>
  </si>
  <si>
    <t xml:space="preserve">Variable </t>
  </si>
  <si>
    <t>Con Préstamo</t>
  </si>
  <si>
    <t>Sin Préstamo</t>
  </si>
  <si>
    <t>Gastos de Servicios Básicos</t>
  </si>
  <si>
    <t>del año 2013 al 2017</t>
  </si>
  <si>
    <t>3 Años y 244 Días</t>
  </si>
  <si>
    <t>4 Años y 179 Días</t>
  </si>
  <si>
    <t>3 Años y 141 Días</t>
  </si>
  <si>
    <t>4 Años y 107 Días</t>
  </si>
  <si>
    <t>Método Déficit Máximo Acumulado-Capital de Trabajo PubliCopias</t>
  </si>
  <si>
    <t>INVERSION EN PUBLICIDAD EMPRESAS DEL ECUADOR-SUPERINTENDENCIA DE COMPAÑIAS</t>
  </si>
  <si>
    <t>EMPRESAS REGISTRADAS EN ECUADOR</t>
  </si>
  <si>
    <t xml:space="preserve">Cuentas de Inversion Publicentros </t>
  </si>
  <si>
    <t>Cuentas de Inversion Oficina</t>
  </si>
  <si>
    <t xml:space="preserve">Detalle </t>
  </si>
  <si>
    <t xml:space="preserve">Años </t>
  </si>
  <si>
    <t>Ingreso Anual</t>
  </si>
  <si>
    <t>Crecimiento Anual</t>
  </si>
  <si>
    <t>Patente IEPI</t>
  </si>
  <si>
    <t xml:space="preserve">Ingresos Históricos Reales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</si>
</sst>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 &quot;#,##0.00;[Red]&quot;$ -&quot;#,##0.00"/>
    <numFmt numFmtId="165" formatCode="&quot;$ &quot;#,##0.00;[Red]&quot;$ &quot;#,##0.00"/>
    <numFmt numFmtId="166" formatCode="_ [$€-2]\ * #,##0.00_ ;_ [$€-2]\ * \-#,##0.00_ ;_ [$€-2]\ * \-??_ "/>
    <numFmt numFmtId="167" formatCode="[$$-300A]\ #,##0.00;[$$-300A]&quot; -&quot;#,##0.00"/>
    <numFmt numFmtId="168" formatCode="_(* #,##0_);_(* \(#,##0\);_(* &quot;-&quot;??_);_(@_)"/>
    <numFmt numFmtId="169" formatCode="_(&quot;$&quot;\ * #,##0.000_);_(&quot;$&quot;\ * \(#,##0.000\);_(&quot;$&quot;\ * &quot;-&quot;??_);_(@_)"/>
    <numFmt numFmtId="170" formatCode="_(&quot;$&quot;\ * #,##0.0000_);_(&quot;$&quot;\ * \(#,##0.0000\);_(&quot;$&quot;\ 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%"/>
    <numFmt numFmtId="174" formatCode="#,##0.000"/>
    <numFmt numFmtId="175" formatCode="_(* #,##0.0000_);_(* \(#,##0.0000\);_(* &quot;-&quot;????_);_(@_)"/>
  </numFmts>
  <fonts count="4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9.5"/>
      <name val="Arial Narrow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rgb="FF0254A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92D050"/>
      </top>
      <bottom/>
      <diagonal/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 style="thick">
        <color rgb="FF92D050"/>
      </left>
      <right style="thin">
        <color rgb="FF92D050"/>
      </right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n">
        <color rgb="FF92D050"/>
      </bottom>
      <diagonal/>
    </border>
    <border>
      <left style="thick">
        <color rgb="FF92D050"/>
      </left>
      <right style="thin">
        <color rgb="FF92D050"/>
      </right>
      <top style="thick">
        <color rgb="FF92D050"/>
      </top>
      <bottom style="thin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thick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indexed="64"/>
      </right>
      <top/>
      <bottom style="thin">
        <color rgb="FF92D050"/>
      </bottom>
      <diagonal/>
    </border>
    <border>
      <left style="thick">
        <color rgb="FF92D050"/>
      </left>
      <right style="thin">
        <color rgb="FF92D050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/>
      <right style="thin">
        <color rgb="FF92D050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2D050"/>
      </top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thin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indexed="64"/>
      </bottom>
      <diagonal/>
    </border>
    <border>
      <left style="thin">
        <color rgb="FF92D050"/>
      </left>
      <right/>
      <top style="thin">
        <color indexed="64"/>
      </top>
      <bottom/>
      <diagonal/>
    </border>
    <border>
      <left style="thick">
        <color rgb="FF92D050"/>
      </left>
      <right style="thick">
        <color rgb="FF92D050"/>
      </right>
      <top style="thin">
        <color rgb="FF92D050"/>
      </top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n">
        <color indexed="64"/>
      </top>
      <bottom style="thin">
        <color rgb="FF92D050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9" fontId="18" fillId="0" borderId="0" applyFont="0" applyFill="0" applyBorder="0" applyAlignment="0" applyProtection="0"/>
  </cellStyleXfs>
  <cellXfs count="928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2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4" fontId="5" fillId="0" borderId="0" xfId="4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4" fontId="5" fillId="0" borderId="0" xfId="4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44" fontId="5" fillId="6" borderId="0" xfId="4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4" fontId="22" fillId="0" borderId="0" xfId="4" applyFont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22" fillId="0" borderId="0" xfId="0" applyNumberFormat="1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4" fontId="22" fillId="0" borderId="0" xfId="4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25" fillId="0" borderId="66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67" xfId="0" applyFont="1" applyBorder="1" applyAlignment="1">
      <alignment vertical="center" wrapText="1"/>
    </xf>
    <xf numFmtId="0" fontId="27" fillId="0" borderId="68" xfId="0" applyFont="1" applyBorder="1" applyAlignment="1">
      <alignment vertical="center" wrapText="1"/>
    </xf>
    <xf numFmtId="0" fontId="27" fillId="0" borderId="67" xfId="0" applyFont="1" applyBorder="1" applyAlignment="1">
      <alignment wrapText="1"/>
    </xf>
    <xf numFmtId="0" fontId="27" fillId="0" borderId="6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5" fillId="0" borderId="70" xfId="0" applyFont="1" applyBorder="1" applyAlignment="1">
      <alignment vertical="center" wrapText="1"/>
    </xf>
    <xf numFmtId="0" fontId="25" fillId="0" borderId="71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74" xfId="0" applyFont="1" applyBorder="1" applyAlignment="1">
      <alignment vertical="center" wrapText="1"/>
    </xf>
    <xf numFmtId="0" fontId="27" fillId="0" borderId="75" xfId="0" applyFont="1" applyBorder="1" applyAlignment="1">
      <alignment vertical="center" wrapText="1"/>
    </xf>
    <xf numFmtId="0" fontId="27" fillId="0" borderId="75" xfId="0" applyFont="1" applyBorder="1" applyAlignment="1">
      <alignment wrapText="1"/>
    </xf>
    <xf numFmtId="0" fontId="25" fillId="0" borderId="76" xfId="0" applyFont="1" applyBorder="1" applyAlignment="1">
      <alignment vertical="center" wrapText="1"/>
    </xf>
    <xf numFmtId="0" fontId="25" fillId="0" borderId="76" xfId="0" applyFont="1" applyBorder="1" applyAlignment="1">
      <alignment wrapText="1"/>
    </xf>
    <xf numFmtId="0" fontId="25" fillId="0" borderId="77" xfId="0" applyFont="1" applyBorder="1" applyAlignment="1">
      <alignment wrapText="1"/>
    </xf>
    <xf numFmtId="0" fontId="25" fillId="0" borderId="1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right" vertical="center" wrapText="1"/>
    </xf>
    <xf numFmtId="44" fontId="3" fillId="0" borderId="0" xfId="4" applyFont="1" applyFill="1" applyBorder="1" applyAlignment="1">
      <alignment vertical="center" wrapText="1"/>
    </xf>
    <xf numFmtId="44" fontId="3" fillId="0" borderId="26" xfId="4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6" borderId="25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44" fontId="3" fillId="0" borderId="8" xfId="4" applyFont="1" applyFill="1" applyBorder="1" applyAlignment="1">
      <alignment vertical="center" wrapText="1"/>
    </xf>
    <xf numFmtId="44" fontId="6" fillId="0" borderId="18" xfId="4" applyFont="1" applyFill="1" applyBorder="1" applyAlignment="1">
      <alignment vertical="center" wrapText="1"/>
    </xf>
    <xf numFmtId="44" fontId="3" fillId="0" borderId="0" xfId="4" applyFont="1" applyFill="1" applyBorder="1" applyAlignment="1">
      <alignment horizontal="right" vertical="center"/>
    </xf>
    <xf numFmtId="44" fontId="3" fillId="0" borderId="26" xfId="4" applyFont="1" applyFill="1" applyBorder="1" applyAlignment="1">
      <alignment horizontal="right" vertical="center"/>
    </xf>
    <xf numFmtId="0" fontId="3" fillId="6" borderId="0" xfId="0" applyFont="1" applyFill="1" applyBorder="1" applyAlignment="1">
      <alignment vertical="center"/>
    </xf>
    <xf numFmtId="44" fontId="3" fillId="6" borderId="0" xfId="4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6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44" fontId="6" fillId="0" borderId="8" xfId="4" applyFont="1" applyFill="1" applyBorder="1" applyAlignment="1">
      <alignment horizontal="right" vertical="center"/>
    </xf>
    <xf numFmtId="44" fontId="6" fillId="0" borderId="18" xfId="4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4" fontId="3" fillId="0" borderId="0" xfId="4" applyFont="1" applyFill="1" applyBorder="1" applyAlignment="1">
      <alignment horizontal="right" vertical="center" wrapText="1"/>
    </xf>
    <xf numFmtId="44" fontId="3" fillId="0" borderId="26" xfId="4" applyFont="1" applyFill="1" applyBorder="1" applyAlignment="1">
      <alignment horizontal="right" vertical="center" wrapText="1"/>
    </xf>
    <xf numFmtId="44" fontId="6" fillId="0" borderId="18" xfId="4" applyFont="1" applyFill="1" applyBorder="1" applyAlignment="1">
      <alignment horizontal="right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44" fontId="3" fillId="0" borderId="8" xfId="4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44" fontId="25" fillId="0" borderId="0" xfId="4" applyFont="1" applyBorder="1" applyAlignment="1">
      <alignment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4" fontId="25" fillId="0" borderId="0" xfId="0" applyNumberFormat="1" applyFont="1" applyBorder="1" applyAlignment="1">
      <alignment horizontal="right" vertical="center" wrapText="1"/>
    </xf>
    <xf numFmtId="168" fontId="25" fillId="0" borderId="0" xfId="3" applyNumberFormat="1" applyFont="1" applyBorder="1" applyAlignment="1">
      <alignment horizontal="right" vertical="center" wrapText="1"/>
    </xf>
    <xf numFmtId="44" fontId="25" fillId="0" borderId="26" xfId="4" applyFont="1" applyBorder="1" applyAlignment="1">
      <alignment horizontal="right" vertical="center" wrapText="1"/>
    </xf>
    <xf numFmtId="44" fontId="25" fillId="0" borderId="8" xfId="0" applyNumberFormat="1" applyFont="1" applyBorder="1" applyAlignment="1">
      <alignment horizontal="right" vertical="center" wrapText="1"/>
    </xf>
    <xf numFmtId="0" fontId="25" fillId="0" borderId="8" xfId="0" applyFont="1" applyBorder="1" applyAlignment="1">
      <alignment horizontal="right" vertical="center" wrapText="1"/>
    </xf>
    <xf numFmtId="44" fontId="25" fillId="0" borderId="18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4" fontId="25" fillId="0" borderId="1" xfId="4" applyFont="1" applyBorder="1" applyAlignment="1">
      <alignment horizontal="right" vertical="center"/>
    </xf>
    <xf numFmtId="44" fontId="25" fillId="0" borderId="1" xfId="0" applyNumberFormat="1" applyFont="1" applyBorder="1" applyAlignment="1">
      <alignment horizontal="right" vertical="center"/>
    </xf>
    <xf numFmtId="44" fontId="27" fillId="0" borderId="1" xfId="4" applyFont="1" applyBorder="1" applyAlignment="1">
      <alignment horizontal="right" vertical="center"/>
    </xf>
    <xf numFmtId="167" fontId="3" fillId="0" borderId="1" xfId="1" applyNumberFormat="1" applyFont="1" applyFill="1" applyBorder="1" applyAlignment="1" applyProtection="1"/>
    <xf numFmtId="44" fontId="3" fillId="0" borderId="1" xfId="4" applyFont="1" applyFill="1" applyBorder="1" applyAlignment="1" applyProtection="1">
      <alignment horizontal="right"/>
    </xf>
    <xf numFmtId="44" fontId="3" fillId="0" borderId="1" xfId="4" applyFont="1" applyBorder="1"/>
    <xf numFmtId="167" fontId="3" fillId="0" borderId="1" xfId="1" applyNumberFormat="1" applyFont="1" applyFill="1" applyBorder="1" applyAlignment="1" applyProtection="1">
      <alignment horizontal="left" indent="2"/>
    </xf>
    <xf numFmtId="167" fontId="6" fillId="0" borderId="1" xfId="1" applyNumberFormat="1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6" fillId="0" borderId="1" xfId="4" applyFont="1" applyBorder="1"/>
    <xf numFmtId="0" fontId="25" fillId="0" borderId="0" xfId="0" applyFont="1"/>
    <xf numFmtId="168" fontId="3" fillId="0" borderId="1" xfId="3" applyNumberFormat="1" applyFont="1" applyFill="1" applyBorder="1" applyAlignment="1">
      <alignment horizontal="right"/>
    </xf>
    <xf numFmtId="0" fontId="3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/>
    </xf>
    <xf numFmtId="0" fontId="29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4" fontId="27" fillId="0" borderId="1" xfId="4" applyFont="1" applyBorder="1" applyAlignment="1">
      <alignment horizontal="center" vertical="center" wrapText="1"/>
    </xf>
    <xf numFmtId="168" fontId="25" fillId="0" borderId="1" xfId="3" applyNumberFormat="1" applyFont="1" applyBorder="1" applyAlignment="1">
      <alignment horizontal="right"/>
    </xf>
    <xf numFmtId="168" fontId="26" fillId="0" borderId="1" xfId="3" applyNumberFormat="1" applyFont="1" applyBorder="1" applyAlignment="1">
      <alignment horizontal="right" vertical="top"/>
    </xf>
    <xf numFmtId="44" fontId="26" fillId="0" borderId="1" xfId="4" applyFont="1" applyBorder="1" applyAlignment="1">
      <alignment horizontal="right" vertical="top"/>
    </xf>
    <xf numFmtId="0" fontId="26" fillId="0" borderId="1" xfId="0" applyFont="1" applyFill="1" applyBorder="1" applyAlignment="1">
      <alignment horizontal="right" vertical="top"/>
    </xf>
    <xf numFmtId="0" fontId="29" fillId="0" borderId="1" xfId="0" applyFont="1" applyBorder="1" applyAlignment="1">
      <alignment horizontal="right" vertical="top"/>
    </xf>
    <xf numFmtId="44" fontId="29" fillId="0" borderId="1" xfId="4" applyFont="1" applyBorder="1" applyAlignment="1">
      <alignment horizontal="right" vertical="top"/>
    </xf>
    <xf numFmtId="0" fontId="25" fillId="0" borderId="1" xfId="0" applyFont="1" applyBorder="1" applyAlignment="1">
      <alignment horizontal="right" vertical="center" wrapText="1"/>
    </xf>
    <xf numFmtId="44" fontId="25" fillId="0" borderId="1" xfId="4" applyFont="1" applyBorder="1" applyAlignment="1">
      <alignment horizontal="right" vertical="center" wrapText="1"/>
    </xf>
    <xf numFmtId="44" fontId="27" fillId="0" borderId="1" xfId="4" applyFont="1" applyBorder="1" applyAlignment="1">
      <alignment horizontal="right" vertical="center" wrapText="1"/>
    </xf>
    <xf numFmtId="44" fontId="25" fillId="0" borderId="0" xfId="4" applyFont="1" applyAlignment="1">
      <alignment horizontal="right" vertical="center" wrapText="1"/>
    </xf>
    <xf numFmtId="44" fontId="25" fillId="0" borderId="28" xfId="4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top" indent="2"/>
    </xf>
    <xf numFmtId="0" fontId="26" fillId="0" borderId="1" xfId="0" applyFont="1" applyBorder="1" applyAlignment="1">
      <alignment horizontal="left" wrapText="1" indent="2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3" fillId="0" borderId="1" xfId="1" applyNumberFormat="1" applyFont="1" applyFill="1" applyBorder="1" applyAlignment="1" applyProtection="1">
      <alignment horizontal="left"/>
    </xf>
    <xf numFmtId="9" fontId="25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4" fontId="25" fillId="0" borderId="0" xfId="4" applyFont="1" applyAlignment="1">
      <alignment vertical="center" wrapText="1"/>
    </xf>
    <xf numFmtId="44" fontId="25" fillId="0" borderId="0" xfId="4" applyFont="1" applyFill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4" fontId="27" fillId="0" borderId="0" xfId="4" applyFont="1" applyBorder="1" applyAlignment="1">
      <alignment vertical="center" wrapText="1"/>
    </xf>
    <xf numFmtId="44" fontId="25" fillId="0" borderId="0" xfId="6" applyNumberFormat="1" applyFont="1" applyAlignment="1">
      <alignment vertical="center" wrapText="1"/>
    </xf>
    <xf numFmtId="44" fontId="25" fillId="0" borderId="0" xfId="0" applyNumberFormat="1" applyFont="1" applyAlignment="1">
      <alignment vertical="center" wrapText="1"/>
    </xf>
    <xf numFmtId="9" fontId="25" fillId="0" borderId="0" xfId="6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44" fontId="27" fillId="0" borderId="0" xfId="4" applyFont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44" fontId="27" fillId="0" borderId="0" xfId="0" applyNumberFormat="1" applyFont="1" applyBorder="1" applyAlignment="1">
      <alignment vertical="center" wrapText="1"/>
    </xf>
    <xf numFmtId="10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1" fillId="0" borderId="0" xfId="5" applyFont="1" applyFill="1" applyBorder="1" applyAlignment="1">
      <alignment wrapText="1"/>
    </xf>
    <xf numFmtId="0" fontId="31" fillId="0" borderId="0" xfId="5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44" fontId="3" fillId="0" borderId="1" xfId="4" applyFont="1" applyBorder="1" applyAlignment="1">
      <alignment horizontal="center"/>
    </xf>
    <xf numFmtId="44" fontId="3" fillId="2" borderId="1" xfId="4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44" fontId="25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4" fontId="18" fillId="0" borderId="0" xfId="4" applyFont="1" applyBorder="1"/>
    <xf numFmtId="3" fontId="0" fillId="0" borderId="0" xfId="0" applyNumberFormat="1" applyBorder="1"/>
    <xf numFmtId="0" fontId="0" fillId="0" borderId="0" xfId="0" applyFill="1" applyBorder="1"/>
    <xf numFmtId="10" fontId="25" fillId="0" borderId="0" xfId="6" applyNumberFormat="1" applyFont="1" applyAlignment="1">
      <alignment horizontal="center"/>
    </xf>
    <xf numFmtId="168" fontId="25" fillId="0" borderId="0" xfId="3" applyNumberFormat="1" applyFont="1" applyAlignment="1">
      <alignment horizontal="center"/>
    </xf>
    <xf numFmtId="44" fontId="0" fillId="0" borderId="0" xfId="0" applyNumberFormat="1" applyBorder="1"/>
    <xf numFmtId="44" fontId="25" fillId="0" borderId="0" xfId="4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2" borderId="2" xfId="5" applyFont="1" applyFill="1" applyBorder="1" applyAlignment="1">
      <alignment horizontal="left" vertical="center" wrapText="1"/>
    </xf>
    <xf numFmtId="3" fontId="12" fillId="2" borderId="16" xfId="5" applyNumberFormat="1" applyFont="1" applyFill="1" applyBorder="1" applyAlignment="1">
      <alignment horizontal="right"/>
    </xf>
    <xf numFmtId="10" fontId="6" fillId="0" borderId="17" xfId="6" applyNumberFormat="1" applyFont="1" applyBorder="1" applyAlignment="1">
      <alignment horizontal="center"/>
    </xf>
    <xf numFmtId="0" fontId="13" fillId="2" borderId="3" xfId="5" applyFont="1" applyFill="1" applyBorder="1" applyAlignment="1">
      <alignment horizontal="left" vertical="center" wrapText="1"/>
    </xf>
    <xf numFmtId="3" fontId="10" fillId="2" borderId="1" xfId="5" applyNumberFormat="1" applyFont="1" applyFill="1" applyBorder="1" applyAlignment="1">
      <alignment horizontal="right"/>
    </xf>
    <xf numFmtId="10" fontId="3" fillId="0" borderId="13" xfId="6" applyNumberFormat="1" applyFont="1" applyBorder="1" applyAlignment="1">
      <alignment horizontal="center"/>
    </xf>
    <xf numFmtId="0" fontId="14" fillId="2" borderId="3" xfId="5" applyFont="1" applyFill="1" applyBorder="1" applyAlignment="1">
      <alignment horizontal="left" vertical="center" wrapText="1"/>
    </xf>
    <xf numFmtId="3" fontId="12" fillId="2" borderId="1" xfId="5" applyNumberFormat="1" applyFont="1" applyFill="1" applyBorder="1" applyAlignment="1">
      <alignment horizontal="right"/>
    </xf>
    <xf numFmtId="10" fontId="6" fillId="0" borderId="13" xfId="6" applyNumberFormat="1" applyFont="1" applyBorder="1" applyAlignment="1">
      <alignment horizontal="center"/>
    </xf>
    <xf numFmtId="0" fontId="6" fillId="2" borderId="3" xfId="5" applyFont="1" applyFill="1" applyBorder="1" applyAlignment="1">
      <alignment horizontal="left" vertical="center" wrapText="1"/>
    </xf>
    <xf numFmtId="0" fontId="3" fillId="2" borderId="3" xfId="5" applyFont="1" applyFill="1" applyBorder="1" applyAlignment="1">
      <alignment horizontal="left" vertical="center" wrapText="1"/>
    </xf>
    <xf numFmtId="0" fontId="12" fillId="7" borderId="14" xfId="5" applyFont="1" applyFill="1" applyBorder="1" applyAlignment="1">
      <alignment horizontal="left" vertical="center" wrapText="1"/>
    </xf>
    <xf numFmtId="3" fontId="12" fillId="7" borderId="31" xfId="5" applyNumberFormat="1" applyFont="1" applyFill="1" applyBorder="1" applyAlignment="1">
      <alignment horizontal="right"/>
    </xf>
    <xf numFmtId="10" fontId="6" fillId="0" borderId="15" xfId="6" applyNumberFormat="1" applyFont="1" applyBorder="1" applyAlignment="1">
      <alignment horizontal="center"/>
    </xf>
    <xf numFmtId="8" fontId="0" fillId="0" borderId="0" xfId="0" applyNumberFormat="1" applyFill="1" applyBorder="1" applyAlignment="1"/>
    <xf numFmtId="8" fontId="0" fillId="0" borderId="0" xfId="0" applyNumberFormat="1" applyBorder="1"/>
    <xf numFmtId="8" fontId="33" fillId="0" borderId="0" xfId="0" applyNumberFormat="1" applyFont="1" applyFill="1" applyBorder="1" applyAlignment="1">
      <alignment horizontal="center"/>
    </xf>
    <xf numFmtId="1" fontId="25" fillId="8" borderId="0" xfId="0" applyNumberFormat="1" applyFont="1" applyFill="1" applyAlignment="1">
      <alignment horizontal="center"/>
    </xf>
    <xf numFmtId="10" fontId="18" fillId="0" borderId="0" xfId="6" applyNumberFormat="1" applyFont="1" applyFill="1" applyBorder="1" applyAlignment="1"/>
    <xf numFmtId="0" fontId="25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/>
    </xf>
    <xf numFmtId="44" fontId="25" fillId="0" borderId="0" xfId="0" applyNumberFormat="1" applyFont="1" applyBorder="1" applyAlignment="1">
      <alignment horizontal="center" vertical="center" wrapText="1"/>
    </xf>
    <xf numFmtId="10" fontId="25" fillId="0" borderId="0" xfId="6" applyNumberFormat="1" applyFont="1" applyBorder="1" applyAlignment="1">
      <alignment horizontal="center" vertical="center" wrapText="1"/>
    </xf>
    <xf numFmtId="10" fontId="25" fillId="0" borderId="0" xfId="0" applyNumberFormat="1" applyFont="1" applyAlignment="1">
      <alignment vertical="center" wrapText="1"/>
    </xf>
    <xf numFmtId="44" fontId="25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 vertical="center"/>
    </xf>
    <xf numFmtId="171" fontId="25" fillId="0" borderId="0" xfId="3" applyNumberFormat="1" applyFont="1" applyFill="1" applyBorder="1" applyAlignment="1">
      <alignment horizontal="center"/>
    </xf>
    <xf numFmtId="173" fontId="25" fillId="0" borderId="0" xfId="0" applyNumberFormat="1" applyFont="1" applyAlignment="1">
      <alignment horizontal="center"/>
    </xf>
    <xf numFmtId="44" fontId="27" fillId="0" borderId="0" xfId="4" applyFont="1" applyBorder="1" applyAlignment="1">
      <alignment horizontal="right" vertical="center" wrapText="1"/>
    </xf>
    <xf numFmtId="44" fontId="27" fillId="0" borderId="0" xfId="0" applyNumberFormat="1" applyFont="1" applyAlignment="1">
      <alignment vertical="center" wrapText="1"/>
    </xf>
    <xf numFmtId="44" fontId="27" fillId="0" borderId="28" xfId="4" applyFont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44" fontId="25" fillId="0" borderId="1" xfId="4" applyNumberFormat="1" applyFont="1" applyFill="1" applyBorder="1" applyAlignment="1">
      <alignment horizontal="right" vertical="center"/>
    </xf>
    <xf numFmtId="44" fontId="25" fillId="0" borderId="1" xfId="4" applyFont="1" applyFill="1" applyBorder="1" applyAlignment="1">
      <alignment horizontal="right" vertical="center"/>
    </xf>
    <xf numFmtId="44" fontId="27" fillId="0" borderId="1" xfId="4" applyFont="1" applyFill="1" applyBorder="1" applyAlignment="1">
      <alignment horizontal="right" vertical="center"/>
    </xf>
    <xf numFmtId="168" fontId="27" fillId="0" borderId="1" xfId="3" applyNumberFormat="1" applyFont="1" applyFill="1" applyBorder="1" applyAlignment="1">
      <alignment horizontal="right" vertical="center"/>
    </xf>
    <xf numFmtId="44" fontId="25" fillId="0" borderId="0" xfId="4" applyFont="1" applyFill="1" applyAlignment="1">
      <alignment horizontal="right" vertical="center"/>
    </xf>
    <xf numFmtId="168" fontId="25" fillId="0" borderId="0" xfId="3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left" vertical="center"/>
    </xf>
    <xf numFmtId="44" fontId="25" fillId="0" borderId="0" xfId="4" applyFont="1" applyBorder="1" applyAlignment="1">
      <alignment horizontal="right" vertical="center"/>
    </xf>
    <xf numFmtId="44" fontId="25" fillId="0" borderId="0" xfId="4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4" fontId="27" fillId="0" borderId="0" xfId="0" applyNumberFormat="1" applyFont="1" applyAlignment="1">
      <alignment vertical="center"/>
    </xf>
    <xf numFmtId="44" fontId="25" fillId="0" borderId="0" xfId="4" applyFont="1" applyAlignment="1">
      <alignment vertical="center"/>
    </xf>
    <xf numFmtId="44" fontId="27" fillId="0" borderId="0" xfId="4" applyFont="1" applyAlignment="1">
      <alignment vertical="center"/>
    </xf>
    <xf numFmtId="0" fontId="25" fillId="0" borderId="3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44" fontId="25" fillId="0" borderId="13" xfId="4" applyFont="1" applyBorder="1" applyAlignment="1">
      <alignment horizontal="right" vertical="center"/>
    </xf>
    <xf numFmtId="8" fontId="25" fillId="0" borderId="1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4" fontId="25" fillId="0" borderId="0" xfId="4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10" fontId="25" fillId="0" borderId="12" xfId="0" applyNumberFormat="1" applyFont="1" applyBorder="1" applyAlignment="1">
      <alignment horizontal="right" vertical="center"/>
    </xf>
    <xf numFmtId="0" fontId="27" fillId="0" borderId="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5" fillId="0" borderId="15" xfId="0" applyFont="1" applyBorder="1" applyAlignment="1">
      <alignment horizontal="right" vertical="center"/>
    </xf>
    <xf numFmtId="44" fontId="25" fillId="0" borderId="0" xfId="0" applyNumberFormat="1" applyFont="1" applyAlignment="1">
      <alignment horizontal="right" vertical="center"/>
    </xf>
    <xf numFmtId="10" fontId="25" fillId="0" borderId="15" xfId="0" applyNumberFormat="1" applyFont="1" applyBorder="1" applyAlignment="1">
      <alignment horizontal="right" vertical="center"/>
    </xf>
    <xf numFmtId="44" fontId="27" fillId="0" borderId="28" xfId="0" applyNumberFormat="1" applyFont="1" applyBorder="1" applyAlignment="1">
      <alignment vertical="center"/>
    </xf>
    <xf numFmtId="44" fontId="25" fillId="0" borderId="8" xfId="4" applyFont="1" applyBorder="1" applyAlignment="1">
      <alignment horizontal="right" vertical="center"/>
    </xf>
    <xf numFmtId="44" fontId="27" fillId="0" borderId="0" xfId="4" applyFont="1" applyFill="1" applyBorder="1" applyAlignment="1">
      <alignment horizontal="right" vertical="center"/>
    </xf>
    <xf numFmtId="44" fontId="25" fillId="0" borderId="0" xfId="4" applyFont="1" applyFill="1" applyBorder="1" applyAlignment="1">
      <alignment horizontal="right" vertical="center"/>
    </xf>
    <xf numFmtId="44" fontId="27" fillId="0" borderId="0" xfId="4" applyFont="1" applyAlignment="1">
      <alignment horizontal="right" vertical="center"/>
    </xf>
    <xf numFmtId="44" fontId="27" fillId="0" borderId="28" xfId="0" applyNumberFormat="1" applyFont="1" applyBorder="1" applyAlignment="1">
      <alignment horizontal="right" vertical="center"/>
    </xf>
    <xf numFmtId="10" fontId="27" fillId="0" borderId="1" xfId="0" applyNumberFormat="1" applyFont="1" applyBorder="1" applyAlignment="1">
      <alignment horizontal="right" vertical="center" wrapText="1"/>
    </xf>
    <xf numFmtId="44" fontId="25" fillId="0" borderId="0" xfId="0" applyNumberFormat="1" applyFont="1" applyFill="1" applyAlignment="1">
      <alignment horizontal="right" vertical="center"/>
    </xf>
    <xf numFmtId="4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/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44" fontId="25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9" fontId="25" fillId="0" borderId="0" xfId="6" applyFont="1" applyBorder="1" applyAlignment="1">
      <alignment horizontal="right"/>
    </xf>
    <xf numFmtId="9" fontId="25" fillId="0" borderId="0" xfId="6" applyFont="1" applyAlignment="1">
      <alignment horizontal="right"/>
    </xf>
    <xf numFmtId="168" fontId="25" fillId="0" borderId="0" xfId="3" applyNumberFormat="1" applyFont="1" applyBorder="1" applyAlignment="1">
      <alignment horizontal="right"/>
    </xf>
    <xf numFmtId="44" fontId="25" fillId="0" borderId="33" xfId="4" applyFont="1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vertical="center"/>
    </xf>
    <xf numFmtId="44" fontId="27" fillId="0" borderId="37" xfId="4" applyFont="1" applyBorder="1" applyAlignment="1">
      <alignment vertical="center"/>
    </xf>
    <xf numFmtId="44" fontId="25" fillId="0" borderId="0" xfId="0" applyNumberFormat="1" applyFont="1" applyAlignment="1">
      <alignment vertical="center"/>
    </xf>
    <xf numFmtId="44" fontId="25" fillId="0" borderId="8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4" fontId="3" fillId="0" borderId="38" xfId="4" applyFont="1" applyFill="1" applyBorder="1" applyAlignment="1">
      <alignment vertical="center"/>
    </xf>
    <xf numFmtId="44" fontId="3" fillId="0" borderId="19" xfId="4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7" fontId="3" fillId="0" borderId="16" xfId="1" applyNumberFormat="1" applyFont="1" applyFill="1" applyBorder="1" applyAlignment="1" applyProtection="1"/>
    <xf numFmtId="44" fontId="3" fillId="0" borderId="16" xfId="4" applyFont="1" applyFill="1" applyBorder="1" applyAlignment="1" applyProtection="1">
      <alignment horizontal="right"/>
    </xf>
    <xf numFmtId="44" fontId="3" fillId="0" borderId="16" xfId="4" applyFont="1" applyBorder="1"/>
    <xf numFmtId="167" fontId="6" fillId="0" borderId="11" xfId="1" applyNumberFormat="1" applyFont="1" applyFill="1" applyBorder="1" applyAlignment="1" applyProtection="1">
      <alignment horizontal="center" vertical="center" wrapText="1"/>
    </xf>
    <xf numFmtId="167" fontId="6" fillId="0" borderId="32" xfId="1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7" fontId="3" fillId="0" borderId="3" xfId="1" applyNumberFormat="1" applyFont="1" applyFill="1" applyBorder="1" applyAlignment="1" applyProtection="1"/>
    <xf numFmtId="44" fontId="3" fillId="0" borderId="13" xfId="4" applyFont="1" applyBorder="1"/>
    <xf numFmtId="167" fontId="3" fillId="0" borderId="3" xfId="1" applyNumberFormat="1" applyFont="1" applyFill="1" applyBorder="1" applyAlignment="1" applyProtection="1">
      <alignment horizontal="left" indent="2"/>
    </xf>
    <xf numFmtId="167" fontId="3" fillId="0" borderId="14" xfId="1" applyNumberFormat="1" applyFont="1" applyFill="1" applyBorder="1" applyAlignment="1" applyProtection="1">
      <alignment horizontal="left" indent="2"/>
    </xf>
    <xf numFmtId="44" fontId="3" fillId="0" borderId="31" xfId="4" applyFont="1" applyFill="1" applyBorder="1" applyAlignment="1" applyProtection="1">
      <alignment horizontal="right"/>
    </xf>
    <xf numFmtId="44" fontId="3" fillId="0" borderId="15" xfId="4" applyFont="1" applyBorder="1"/>
    <xf numFmtId="44" fontId="25" fillId="0" borderId="13" xfId="4" applyFont="1" applyBorder="1" applyAlignment="1">
      <alignment vertical="center"/>
    </xf>
    <xf numFmtId="10" fontId="25" fillId="0" borderId="15" xfId="0" applyNumberFormat="1" applyFont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44" fontId="6" fillId="0" borderId="0" xfId="4" applyFont="1" applyFill="1" applyBorder="1" applyAlignment="1">
      <alignment horizontal="right" vertical="center"/>
    </xf>
    <xf numFmtId="167" fontId="6" fillId="0" borderId="39" xfId="1" applyNumberFormat="1" applyFont="1" applyFill="1" applyBorder="1" applyAlignment="1" applyProtection="1">
      <alignment horizontal="center" vertical="center" wrapText="1"/>
    </xf>
    <xf numFmtId="167" fontId="6" fillId="0" borderId="40" xfId="1" applyNumberFormat="1" applyFont="1" applyFill="1" applyBorder="1" applyAlignment="1" applyProtection="1">
      <alignment horizontal="center" vertical="center" wrapText="1"/>
    </xf>
    <xf numFmtId="167" fontId="6" fillId="0" borderId="41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/>
    <xf numFmtId="44" fontId="3" fillId="0" borderId="16" xfId="4" applyFont="1" applyBorder="1" applyAlignment="1">
      <alignment horizontal="right"/>
    </xf>
    <xf numFmtId="168" fontId="3" fillId="0" borderId="16" xfId="3" applyNumberFormat="1" applyFont="1" applyFill="1" applyBorder="1" applyAlignment="1">
      <alignment horizontal="right"/>
    </xf>
    <xf numFmtId="0" fontId="3" fillId="0" borderId="3" xfId="0" applyFont="1" applyFill="1" applyBorder="1"/>
    <xf numFmtId="0" fontId="6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44" fontId="6" fillId="0" borderId="15" xfId="4" applyNumberFormat="1" applyFont="1" applyBorder="1" applyAlignment="1">
      <alignment horizontal="right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/>
    </xf>
    <xf numFmtId="44" fontId="25" fillId="0" borderId="0" xfId="4" applyFont="1" applyBorder="1" applyAlignment="1">
      <alignment horizontal="center"/>
    </xf>
    <xf numFmtId="44" fontId="25" fillId="0" borderId="35" xfId="4" applyFont="1" applyFill="1" applyBorder="1" applyAlignment="1">
      <alignment horizontal="center"/>
    </xf>
    <xf numFmtId="44" fontId="25" fillId="0" borderId="0" xfId="4" applyFont="1" applyFill="1" applyBorder="1" applyAlignment="1">
      <alignment horizontal="center"/>
    </xf>
    <xf numFmtId="44" fontId="25" fillId="0" borderId="33" xfId="4" applyFont="1" applyFill="1" applyBorder="1" applyAlignment="1">
      <alignment horizontal="center"/>
    </xf>
    <xf numFmtId="169" fontId="25" fillId="0" borderId="35" xfId="4" applyNumberFormat="1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44" fontId="26" fillId="0" borderId="0" xfId="4" applyFont="1" applyFill="1" applyBorder="1" applyAlignment="1">
      <alignment horizontal="center" readingOrder="1"/>
    </xf>
    <xf numFmtId="10" fontId="25" fillId="0" borderId="0" xfId="6" applyNumberFormat="1" applyFont="1" applyFill="1" applyBorder="1" applyAlignment="1">
      <alignment horizontal="center"/>
    </xf>
    <xf numFmtId="168" fontId="25" fillId="0" borderId="33" xfId="3" applyNumberFormat="1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44" fontId="26" fillId="0" borderId="42" xfId="4" applyFont="1" applyFill="1" applyBorder="1" applyAlignment="1">
      <alignment horizontal="center" readingOrder="1"/>
    </xf>
    <xf numFmtId="44" fontId="25" fillId="0" borderId="42" xfId="0" applyNumberFormat="1" applyFont="1" applyFill="1" applyBorder="1" applyAlignment="1">
      <alignment horizontal="center"/>
    </xf>
    <xf numFmtId="10" fontId="25" fillId="0" borderId="42" xfId="6" applyNumberFormat="1" applyFont="1" applyFill="1" applyBorder="1" applyAlignment="1">
      <alignment horizontal="center"/>
    </xf>
    <xf numFmtId="44" fontId="25" fillId="0" borderId="42" xfId="4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 vertical="center"/>
    </xf>
    <xf numFmtId="168" fontId="25" fillId="0" borderId="43" xfId="3" applyNumberFormat="1" applyFont="1" applyFill="1" applyBorder="1" applyAlignment="1">
      <alignment horizontal="center"/>
    </xf>
    <xf numFmtId="169" fontId="25" fillId="0" borderId="34" xfId="4" applyNumberFormat="1" applyFont="1" applyFill="1" applyBorder="1" applyAlignment="1">
      <alignment horizontal="center"/>
    </xf>
    <xf numFmtId="44" fontId="25" fillId="0" borderId="43" xfId="4" applyFont="1" applyFill="1" applyBorder="1" applyAlignment="1">
      <alignment horizontal="center"/>
    </xf>
    <xf numFmtId="0" fontId="25" fillId="9" borderId="44" xfId="0" applyFont="1" applyFill="1" applyBorder="1" applyAlignment="1">
      <alignment horizontal="center"/>
    </xf>
    <xf numFmtId="0" fontId="25" fillId="9" borderId="35" xfId="0" applyFont="1" applyFill="1" applyBorder="1" applyAlignment="1">
      <alignment horizontal="center"/>
    </xf>
    <xf numFmtId="0" fontId="25" fillId="9" borderId="33" xfId="0" applyFont="1" applyFill="1" applyBorder="1" applyAlignment="1">
      <alignment horizontal="center"/>
    </xf>
    <xf numFmtId="0" fontId="25" fillId="9" borderId="34" xfId="0" applyFont="1" applyFill="1" applyBorder="1" applyAlignment="1">
      <alignment horizontal="center"/>
    </xf>
    <xf numFmtId="0" fontId="25" fillId="9" borderId="43" xfId="0" applyFont="1" applyFill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44" fontId="25" fillId="0" borderId="33" xfId="4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44" fontId="25" fillId="0" borderId="42" xfId="4" applyFont="1" applyBorder="1" applyAlignment="1">
      <alignment horizontal="center"/>
    </xf>
    <xf numFmtId="44" fontId="25" fillId="0" borderId="43" xfId="4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173" fontId="25" fillId="0" borderId="0" xfId="6" applyNumberFormat="1" applyFont="1" applyBorder="1" applyAlignment="1">
      <alignment horizontal="center"/>
    </xf>
    <xf numFmtId="173" fontId="27" fillId="0" borderId="0" xfId="6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0" fontId="20" fillId="0" borderId="22" xfId="6" applyNumberFormat="1" applyFont="1" applyFill="1" applyBorder="1" applyAlignment="1"/>
    <xf numFmtId="0" fontId="25" fillId="0" borderId="0" xfId="0" applyFont="1" applyFill="1" applyAlignment="1">
      <alignment horizontal="center"/>
    </xf>
    <xf numFmtId="9" fontId="25" fillId="0" borderId="0" xfId="6" applyFont="1" applyBorder="1" applyAlignment="1">
      <alignment vertical="center" wrapText="1"/>
    </xf>
    <xf numFmtId="0" fontId="35" fillId="0" borderId="1" xfId="0" applyFont="1" applyFill="1" applyBorder="1" applyAlignment="1">
      <alignment horizontal="left"/>
    </xf>
    <xf numFmtId="44" fontId="3" fillId="0" borderId="1" xfId="4" applyFont="1" applyFill="1" applyBorder="1" applyAlignment="1">
      <alignment horizontal="center"/>
    </xf>
    <xf numFmtId="44" fontId="31" fillId="0" borderId="1" xfId="4" applyFont="1" applyFill="1" applyBorder="1" applyAlignment="1">
      <alignment horizontal="center" wrapText="1"/>
    </xf>
    <xf numFmtId="44" fontId="6" fillId="0" borderId="1" xfId="4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vertical="center"/>
    </xf>
    <xf numFmtId="44" fontId="18" fillId="0" borderId="0" xfId="4" applyFont="1" applyFill="1" applyBorder="1"/>
    <xf numFmtId="3" fontId="0" fillId="0" borderId="0" xfId="0" applyNumberForma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9" fontId="25" fillId="0" borderId="0" xfId="6" applyFont="1" applyFill="1" applyBorder="1" applyAlignment="1">
      <alignment horizontal="right"/>
    </xf>
    <xf numFmtId="9" fontId="25" fillId="0" borderId="0" xfId="6" applyFont="1" applyFill="1" applyAlignment="1">
      <alignment horizontal="right"/>
    </xf>
    <xf numFmtId="10" fontId="25" fillId="0" borderId="0" xfId="6" applyNumberFormat="1" applyFont="1" applyFill="1" applyAlignment="1">
      <alignment horizontal="center"/>
    </xf>
    <xf numFmtId="168" fontId="25" fillId="0" borderId="0" xfId="3" applyNumberFormat="1" applyFont="1" applyFill="1" applyBorder="1" applyAlignment="1">
      <alignment horizontal="right"/>
    </xf>
    <xf numFmtId="168" fontId="25" fillId="0" borderId="0" xfId="3" applyNumberFormat="1" applyFont="1" applyFill="1" applyAlignment="1">
      <alignment horizontal="center"/>
    </xf>
    <xf numFmtId="44" fontId="27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44" fontId="27" fillId="0" borderId="0" xfId="0" applyNumberFormat="1" applyFont="1" applyFill="1" applyAlignment="1">
      <alignment horizontal="right" vertical="center"/>
    </xf>
    <xf numFmtId="173" fontId="25" fillId="0" borderId="0" xfId="0" applyNumberFormat="1" applyFont="1" applyFill="1" applyAlignment="1">
      <alignment horizontal="center"/>
    </xf>
    <xf numFmtId="44" fontId="25" fillId="0" borderId="0" xfId="4" applyFont="1" applyFill="1" applyAlignment="1">
      <alignment horizontal="center"/>
    </xf>
    <xf numFmtId="44" fontId="0" fillId="0" borderId="0" xfId="0" applyNumberFormat="1" applyFill="1" applyBorder="1"/>
    <xf numFmtId="0" fontId="25" fillId="0" borderId="0" xfId="0" applyFont="1" applyFill="1" applyBorder="1" applyAlignment="1">
      <alignment vertical="center"/>
    </xf>
    <xf numFmtId="8" fontId="25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8" fontId="0" fillId="0" borderId="0" xfId="0" applyNumberFormat="1" applyFill="1" applyBorder="1"/>
    <xf numFmtId="0" fontId="3" fillId="0" borderId="1" xfId="0" applyFont="1" applyFill="1" applyBorder="1" applyAlignment="1">
      <alignment horizontal="left"/>
    </xf>
    <xf numFmtId="3" fontId="6" fillId="0" borderId="1" xfId="5" applyNumberFormat="1" applyFont="1" applyFill="1" applyBorder="1" applyAlignment="1">
      <alignment horizontal="center" wrapText="1"/>
    </xf>
    <xf numFmtId="44" fontId="6" fillId="0" borderId="1" xfId="4" applyFont="1" applyFill="1" applyBorder="1" applyAlignment="1">
      <alignment horizontal="center" wrapText="1"/>
    </xf>
    <xf numFmtId="44" fontId="27" fillId="8" borderId="0" xfId="0" applyNumberFormat="1" applyFont="1" applyFill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0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9" fontId="25" fillId="0" borderId="0" xfId="0" applyNumberFormat="1" applyFont="1" applyFill="1" applyAlignment="1">
      <alignment horizontal="center"/>
    </xf>
    <xf numFmtId="168" fontId="25" fillId="0" borderId="0" xfId="0" applyNumberFormat="1" applyFont="1" applyAlignment="1">
      <alignment horizontal="center"/>
    </xf>
    <xf numFmtId="0" fontId="3" fillId="0" borderId="4" xfId="0" applyFont="1" applyFill="1" applyBorder="1"/>
    <xf numFmtId="168" fontId="3" fillId="0" borderId="45" xfId="3" applyNumberFormat="1" applyFont="1" applyFill="1" applyBorder="1" applyAlignment="1">
      <alignment horizontal="right"/>
    </xf>
    <xf numFmtId="44" fontId="27" fillId="0" borderId="0" xfId="4" applyFont="1" applyFill="1" applyAlignment="1">
      <alignment vertical="center" wrapText="1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44" fontId="25" fillId="0" borderId="0" xfId="0" applyNumberFormat="1" applyFont="1" applyFill="1" applyAlignment="1">
      <alignment horizontal="center"/>
    </xf>
    <xf numFmtId="170" fontId="25" fillId="0" borderId="0" xfId="4" applyNumberFormat="1" applyFont="1" applyAlignment="1">
      <alignment horizontal="center"/>
    </xf>
    <xf numFmtId="9" fontId="25" fillId="0" borderId="0" xfId="0" applyNumberFormat="1" applyFont="1" applyAlignment="1">
      <alignment horizontal="right" vertical="center"/>
    </xf>
    <xf numFmtId="168" fontId="25" fillId="0" borderId="0" xfId="0" applyNumberFormat="1" applyFont="1" applyAlignment="1">
      <alignment horizontal="right" vertical="center"/>
    </xf>
    <xf numFmtId="44" fontId="27" fillId="0" borderId="28" xfId="0" applyNumberFormat="1" applyFont="1" applyFill="1" applyBorder="1" applyAlignment="1">
      <alignment horizontal="right" vertical="center"/>
    </xf>
    <xf numFmtId="0" fontId="21" fillId="0" borderId="35" xfId="0" applyFont="1" applyBorder="1"/>
    <xf numFmtId="0" fontId="21" fillId="0" borderId="33" xfId="0" applyFont="1" applyBorder="1"/>
    <xf numFmtId="0" fontId="25" fillId="0" borderId="35" xfId="0" applyFont="1" applyBorder="1" applyAlignment="1">
      <alignment vertical="center"/>
    </xf>
    <xf numFmtId="44" fontId="25" fillId="0" borderId="33" xfId="0" applyNumberFormat="1" applyFont="1" applyBorder="1" applyAlignment="1">
      <alignment horizontal="right" vertical="center"/>
    </xf>
    <xf numFmtId="44" fontId="27" fillId="0" borderId="37" xfId="0" applyNumberFormat="1" applyFont="1" applyBorder="1" applyAlignment="1">
      <alignment horizontal="right"/>
    </xf>
    <xf numFmtId="0" fontId="27" fillId="0" borderId="34" xfId="0" applyFont="1" applyBorder="1"/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Border="1"/>
    <xf numFmtId="0" fontId="25" fillId="0" borderId="0" xfId="0" applyFont="1" applyBorder="1"/>
    <xf numFmtId="8" fontId="25" fillId="0" borderId="0" xfId="0" applyNumberFormat="1" applyFont="1" applyBorder="1"/>
    <xf numFmtId="170" fontId="3" fillId="0" borderId="17" xfId="4" applyNumberFormat="1" applyFont="1" applyBorder="1" applyAlignment="1">
      <alignment horizontal="right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right" vertical="center"/>
    </xf>
    <xf numFmtId="0" fontId="27" fillId="0" borderId="24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0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4" fontId="0" fillId="0" borderId="0" xfId="0" applyNumberFormat="1" applyFill="1" applyBorder="1" applyAlignment="1"/>
    <xf numFmtId="44" fontId="0" fillId="0" borderId="42" xfId="0" applyNumberFormat="1" applyFill="1" applyBorder="1" applyAlignment="1"/>
    <xf numFmtId="0" fontId="36" fillId="3" borderId="8" xfId="0" applyFont="1" applyFill="1" applyBorder="1" applyAlignment="1">
      <alignment horizontal="left"/>
    </xf>
    <xf numFmtId="0" fontId="36" fillId="3" borderId="46" xfId="0" applyFont="1" applyFill="1" applyBorder="1" applyAlignment="1">
      <alignment horizontal="left"/>
    </xf>
    <xf numFmtId="0" fontId="0" fillId="0" borderId="9" xfId="0" applyFill="1" applyBorder="1" applyAlignment="1"/>
    <xf numFmtId="0" fontId="37" fillId="4" borderId="0" xfId="0" applyFont="1" applyFill="1" applyBorder="1" applyAlignment="1">
      <alignment horizontal="left"/>
    </xf>
    <xf numFmtId="0" fontId="38" fillId="4" borderId="9" xfId="0" applyFont="1" applyFill="1" applyBorder="1" applyAlignment="1">
      <alignment horizontal="left"/>
    </xf>
    <xf numFmtId="0" fontId="37" fillId="4" borderId="42" xfId="0" applyFont="1" applyFill="1" applyBorder="1" applyAlignment="1">
      <alignment horizontal="left"/>
    </xf>
    <xf numFmtId="0" fontId="39" fillId="3" borderId="46" xfId="0" applyFont="1" applyFill="1" applyBorder="1" applyAlignment="1">
      <alignment horizontal="right"/>
    </xf>
    <xf numFmtId="0" fontId="39" fillId="3" borderId="8" xfId="0" applyFont="1" applyFill="1" applyBorder="1" applyAlignment="1">
      <alignment horizontal="right"/>
    </xf>
    <xf numFmtId="44" fontId="0" fillId="5" borderId="0" xfId="0" applyNumberFormat="1" applyFill="1" applyBorder="1" applyAlignment="1"/>
    <xf numFmtId="0" fontId="40" fillId="0" borderId="0" xfId="0" applyFont="1" applyFill="1" applyBorder="1" applyAlignment="1">
      <alignment vertical="top" wrapText="1"/>
    </xf>
    <xf numFmtId="170" fontId="0" fillId="0" borderId="0" xfId="0" applyNumberFormat="1" applyFill="1" applyBorder="1" applyAlignment="1"/>
    <xf numFmtId="170" fontId="0" fillId="5" borderId="0" xfId="0" applyNumberFormat="1" applyFill="1" applyBorder="1" applyAlignment="1"/>
    <xf numFmtId="44" fontId="25" fillId="0" borderId="33" xfId="4" applyFont="1" applyBorder="1" applyAlignment="1">
      <alignment horizontal="right" vertical="center"/>
    </xf>
    <xf numFmtId="169" fontId="25" fillId="0" borderId="0" xfId="4" applyNumberFormat="1" applyFont="1" applyBorder="1" applyAlignment="1">
      <alignment horizontal="right" vertical="center"/>
    </xf>
    <xf numFmtId="8" fontId="25" fillId="0" borderId="0" xfId="0" applyNumberFormat="1" applyFont="1" applyFill="1" applyBorder="1" applyAlignment="1">
      <alignment horizontal="center" vertical="center"/>
    </xf>
    <xf numFmtId="168" fontId="25" fillId="0" borderId="0" xfId="3" applyNumberFormat="1" applyFont="1" applyFill="1" applyBorder="1" applyAlignment="1">
      <alignment horizontal="right" vertical="center"/>
    </xf>
    <xf numFmtId="168" fontId="25" fillId="0" borderId="0" xfId="0" applyNumberFormat="1" applyFont="1" applyFill="1" applyBorder="1" applyAlignment="1">
      <alignment horizontal="right" vertical="center"/>
    </xf>
    <xf numFmtId="168" fontId="25" fillId="0" borderId="42" xfId="3" applyNumberFormat="1" applyFont="1" applyFill="1" applyBorder="1" applyAlignment="1">
      <alignment horizontal="right" vertical="center"/>
    </xf>
    <xf numFmtId="168" fontId="25" fillId="0" borderId="42" xfId="0" applyNumberFormat="1" applyFont="1" applyFill="1" applyBorder="1" applyAlignment="1">
      <alignment horizontal="right" vertical="center"/>
    </xf>
    <xf numFmtId="44" fontId="25" fillId="0" borderId="33" xfId="4" applyFont="1" applyFill="1" applyBorder="1" applyAlignment="1">
      <alignment horizontal="right" vertical="center"/>
    </xf>
    <xf numFmtId="0" fontId="25" fillId="0" borderId="44" xfId="0" applyFont="1" applyBorder="1" applyAlignment="1">
      <alignment horizontal="right" vertical="center"/>
    </xf>
    <xf numFmtId="44" fontId="25" fillId="0" borderId="46" xfId="0" applyNumberFormat="1" applyFont="1" applyBorder="1" applyAlignment="1">
      <alignment horizontal="right" vertical="center"/>
    </xf>
    <xf numFmtId="0" fontId="25" fillId="0" borderId="46" xfId="0" applyFont="1" applyBorder="1" applyAlignment="1">
      <alignment horizontal="right" vertical="center"/>
    </xf>
    <xf numFmtId="44" fontId="25" fillId="0" borderId="46" xfId="4" applyFont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/>
    </xf>
    <xf numFmtId="168" fontId="25" fillId="0" borderId="36" xfId="3" applyNumberFormat="1" applyFont="1" applyBorder="1" applyAlignment="1">
      <alignment horizontal="right" vertical="center"/>
    </xf>
    <xf numFmtId="0" fontId="25" fillId="0" borderId="35" xfId="0" applyFont="1" applyBorder="1" applyAlignment="1">
      <alignment horizontal="right" vertical="center"/>
    </xf>
    <xf numFmtId="44" fontId="25" fillId="0" borderId="0" xfId="0" applyNumberFormat="1" applyFont="1" applyBorder="1" applyAlignment="1">
      <alignment horizontal="right" vertical="center"/>
    </xf>
    <xf numFmtId="10" fontId="25" fillId="0" borderId="0" xfId="6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8" fontId="25" fillId="0" borderId="33" xfId="3" applyNumberFormat="1" applyFont="1" applyBorder="1" applyAlignment="1">
      <alignment horizontal="right" vertical="center"/>
    </xf>
    <xf numFmtId="0" fontId="25" fillId="0" borderId="34" xfId="0" applyFont="1" applyBorder="1" applyAlignment="1">
      <alignment horizontal="right" vertical="center"/>
    </xf>
    <xf numFmtId="44" fontId="25" fillId="0" borderId="42" xfId="4" applyFont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right" vertical="center"/>
    </xf>
    <xf numFmtId="10" fontId="25" fillId="0" borderId="0" xfId="6" applyNumberFormat="1" applyFont="1" applyFill="1" applyBorder="1" applyAlignment="1">
      <alignment horizontal="right" vertical="center"/>
    </xf>
    <xf numFmtId="168" fontId="25" fillId="0" borderId="33" xfId="3" applyNumberFormat="1" applyFont="1" applyFill="1" applyBorder="1" applyAlignment="1">
      <alignment horizontal="right" vertical="center"/>
    </xf>
    <xf numFmtId="0" fontId="25" fillId="0" borderId="34" xfId="0" applyFont="1" applyFill="1" applyBorder="1" applyAlignment="1">
      <alignment horizontal="right" vertical="center"/>
    </xf>
    <xf numFmtId="10" fontId="25" fillId="0" borderId="42" xfId="6" applyNumberFormat="1" applyFont="1" applyFill="1" applyBorder="1" applyAlignment="1">
      <alignment horizontal="right" vertical="center"/>
    </xf>
    <xf numFmtId="168" fontId="25" fillId="0" borderId="43" xfId="3" applyNumberFormat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9" fontId="27" fillId="0" borderId="16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73" fontId="25" fillId="0" borderId="33" xfId="6" applyNumberFormat="1" applyFont="1" applyBorder="1" applyAlignment="1">
      <alignment horizontal="right" vertical="center"/>
    </xf>
    <xf numFmtId="173" fontId="25" fillId="0" borderId="43" xfId="6" applyNumberFormat="1" applyFont="1" applyBorder="1" applyAlignment="1">
      <alignment horizontal="right" vertical="center"/>
    </xf>
    <xf numFmtId="173" fontId="27" fillId="0" borderId="22" xfId="6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0" borderId="35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43" fontId="25" fillId="0" borderId="0" xfId="3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43" fontId="25" fillId="0" borderId="42" xfId="3" applyFont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44" fontId="25" fillId="0" borderId="35" xfId="4" applyFont="1" applyBorder="1" applyAlignment="1">
      <alignment horizontal="right" vertical="center" wrapText="1"/>
    </xf>
    <xf numFmtId="0" fontId="27" fillId="0" borderId="24" xfId="0" applyFont="1" applyBorder="1" applyAlignment="1">
      <alignment vertical="center" wrapText="1"/>
    </xf>
    <xf numFmtId="8" fontId="25" fillId="0" borderId="46" xfId="0" applyNumberFormat="1" applyFont="1" applyBorder="1" applyAlignment="1">
      <alignment vertical="center" wrapText="1"/>
    </xf>
    <xf numFmtId="8" fontId="25" fillId="0" borderId="42" xfId="0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5" fillId="0" borderId="48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173" fontId="25" fillId="0" borderId="0" xfId="6" applyNumberFormat="1" applyFont="1" applyAlignment="1">
      <alignment vertical="center"/>
    </xf>
    <xf numFmtId="10" fontId="25" fillId="0" borderId="0" xfId="6" applyNumberFormat="1" applyFont="1" applyAlignment="1">
      <alignment vertical="center"/>
    </xf>
    <xf numFmtId="0" fontId="25" fillId="0" borderId="23" xfId="0" applyFont="1" applyBorder="1" applyAlignment="1">
      <alignment vertical="center"/>
    </xf>
    <xf numFmtId="44" fontId="25" fillId="0" borderId="35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44" fontId="25" fillId="0" borderId="44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horizontal="right" vertical="center"/>
    </xf>
    <xf numFmtId="168" fontId="25" fillId="0" borderId="49" xfId="3" applyNumberFormat="1" applyFont="1" applyBorder="1" applyAlignment="1">
      <alignment horizontal="right" vertical="center"/>
    </xf>
    <xf numFmtId="44" fontId="27" fillId="0" borderId="42" xfId="0" applyNumberFormat="1" applyFont="1" applyBorder="1" applyAlignment="1">
      <alignment horizontal="right" vertical="center"/>
    </xf>
    <xf numFmtId="168" fontId="27" fillId="0" borderId="43" xfId="3" applyNumberFormat="1" applyFont="1" applyBorder="1" applyAlignment="1">
      <alignment horizontal="right" vertical="center"/>
    </xf>
    <xf numFmtId="0" fontId="27" fillId="0" borderId="4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0" fontId="27" fillId="0" borderId="34" xfId="6" applyNumberFormat="1" applyFont="1" applyBorder="1" applyAlignment="1">
      <alignment horizontal="right" vertical="center"/>
    </xf>
    <xf numFmtId="9" fontId="25" fillId="0" borderId="33" xfId="6" applyFont="1" applyBorder="1" applyAlignment="1">
      <alignment horizontal="right" vertical="center"/>
    </xf>
    <xf numFmtId="9" fontId="25" fillId="0" borderId="43" xfId="6" applyFont="1" applyBorder="1" applyAlignment="1">
      <alignment horizontal="right" vertical="center"/>
    </xf>
    <xf numFmtId="9" fontId="25" fillId="0" borderId="33" xfId="6" applyNumberFormat="1" applyFont="1" applyBorder="1" applyAlignment="1">
      <alignment horizontal="right" vertical="center"/>
    </xf>
    <xf numFmtId="9" fontId="25" fillId="0" borderId="43" xfId="6" applyNumberFormat="1" applyFont="1" applyBorder="1" applyAlignment="1">
      <alignment horizontal="right" vertical="center"/>
    </xf>
    <xf numFmtId="170" fontId="25" fillId="0" borderId="35" xfId="0" applyNumberFormat="1" applyFont="1" applyBorder="1" applyAlignment="1">
      <alignment horizontal="right" vertical="center"/>
    </xf>
    <xf numFmtId="44" fontId="41" fillId="0" borderId="46" xfId="4" applyFont="1" applyBorder="1" applyAlignment="1">
      <alignment horizontal="right" vertical="center"/>
    </xf>
    <xf numFmtId="10" fontId="25" fillId="0" borderId="46" xfId="6" applyNumberFormat="1" applyFont="1" applyBorder="1" applyAlignment="1">
      <alignment horizontal="right" vertical="center"/>
    </xf>
    <xf numFmtId="9" fontId="0" fillId="0" borderId="0" xfId="0" applyNumberFormat="1" applyFill="1" applyBorder="1" applyAlignment="1"/>
    <xf numFmtId="0" fontId="27" fillId="0" borderId="36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44" fontId="25" fillId="0" borderId="52" xfId="4" applyFont="1" applyBorder="1" applyAlignment="1">
      <alignment horizontal="righ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9" fontId="25" fillId="0" borderId="12" xfId="6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9" fontId="25" fillId="0" borderId="13" xfId="6" applyFont="1" applyBorder="1" applyAlignment="1">
      <alignment horizontal="right" vertical="center"/>
    </xf>
    <xf numFmtId="9" fontId="25" fillId="0" borderId="13" xfId="0" applyNumberFormat="1" applyFont="1" applyBorder="1" applyAlignment="1">
      <alignment horizontal="right" vertical="center"/>
    </xf>
    <xf numFmtId="10" fontId="25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0" fontId="25" fillId="0" borderId="31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10" fontId="25" fillId="0" borderId="17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10" fontId="25" fillId="0" borderId="16" xfId="0" applyNumberFormat="1" applyFont="1" applyBorder="1" applyAlignment="1">
      <alignment horizontal="right" vertical="center"/>
    </xf>
    <xf numFmtId="0" fontId="25" fillId="0" borderId="14" xfId="0" applyFont="1" applyBorder="1"/>
    <xf numFmtId="10" fontId="25" fillId="0" borderId="0" xfId="0" applyNumberFormat="1" applyFont="1" applyBorder="1" applyAlignment="1">
      <alignment horizontal="right" vertical="center"/>
    </xf>
    <xf numFmtId="9" fontId="27" fillId="0" borderId="1" xfId="0" applyNumberFormat="1" applyFont="1" applyBorder="1" applyAlignment="1">
      <alignment horizontal="right" vertical="center" wrapText="1"/>
    </xf>
    <xf numFmtId="0" fontId="25" fillId="0" borderId="33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44" fontId="3" fillId="6" borderId="1" xfId="4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44" fontId="3" fillId="6" borderId="13" xfId="4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3" fillId="2" borderId="4" xfId="5" applyFont="1" applyFill="1" applyBorder="1" applyAlignment="1">
      <alignment horizontal="left" vertical="center" wrapText="1"/>
    </xf>
    <xf numFmtId="3" fontId="10" fillId="2" borderId="45" xfId="5" applyNumberFormat="1" applyFont="1" applyFill="1" applyBorder="1" applyAlignment="1">
      <alignment horizontal="right"/>
    </xf>
    <xf numFmtId="10" fontId="3" fillId="0" borderId="53" xfId="6" applyNumberFormat="1" applyFont="1" applyBorder="1" applyAlignment="1">
      <alignment horizontal="center"/>
    </xf>
    <xf numFmtId="0" fontId="12" fillId="0" borderId="39" xfId="5" applyFont="1" applyFill="1" applyBorder="1" applyAlignment="1">
      <alignment horizontal="left" vertical="center" wrapText="1"/>
    </xf>
    <xf numFmtId="3" fontId="12" fillId="0" borderId="40" xfId="5" applyNumberFormat="1" applyFont="1" applyFill="1" applyBorder="1" applyAlignment="1">
      <alignment horizontal="right"/>
    </xf>
    <xf numFmtId="10" fontId="6" fillId="0" borderId="41" xfId="6" applyNumberFormat="1" applyFont="1" applyFill="1" applyBorder="1" applyAlignment="1">
      <alignment horizontal="center"/>
    </xf>
    <xf numFmtId="44" fontId="22" fillId="0" borderId="0" xfId="0" applyNumberFormat="1" applyFont="1" applyAlignment="1">
      <alignment vertical="center" wrapText="1"/>
    </xf>
    <xf numFmtId="0" fontId="27" fillId="0" borderId="23" xfId="0" applyFont="1" applyBorder="1" applyAlignment="1">
      <alignment horizontal="righ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wrapText="1"/>
    </xf>
    <xf numFmtId="44" fontId="25" fillId="0" borderId="33" xfId="0" applyNumberFormat="1" applyFont="1" applyBorder="1" applyAlignment="1">
      <alignment horizontal="right" vertical="center" wrapText="1"/>
    </xf>
    <xf numFmtId="44" fontId="27" fillId="0" borderId="24" xfId="0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left" vertical="center" wrapText="1"/>
    </xf>
    <xf numFmtId="44" fontId="27" fillId="0" borderId="24" xfId="0" applyNumberFormat="1" applyFont="1" applyBorder="1" applyAlignment="1">
      <alignment horizontal="right" vertical="center" wrapText="1"/>
    </xf>
    <xf numFmtId="0" fontId="25" fillId="0" borderId="33" xfId="0" applyFont="1" applyBorder="1" applyAlignment="1">
      <alignment vertical="center"/>
    </xf>
    <xf numFmtId="44" fontId="25" fillId="0" borderId="21" xfId="4" applyFont="1" applyBorder="1" applyAlignment="1">
      <alignment vertical="center"/>
    </xf>
    <xf numFmtId="44" fontId="27" fillId="0" borderId="24" xfId="4" applyFont="1" applyBorder="1" applyAlignment="1">
      <alignment vertical="center"/>
    </xf>
    <xf numFmtId="0" fontId="27" fillId="0" borderId="23" xfId="0" applyFont="1" applyBorder="1" applyAlignment="1">
      <alignment horizontal="right" vertical="center"/>
    </xf>
    <xf numFmtId="168" fontId="25" fillId="0" borderId="1" xfId="0" applyNumberFormat="1" applyFont="1" applyFill="1" applyBorder="1" applyAlignment="1">
      <alignment horizontal="right" vertical="center"/>
    </xf>
    <xf numFmtId="43" fontId="25" fillId="0" borderId="8" xfId="0" applyNumberFormat="1" applyFont="1" applyBorder="1" applyAlignment="1">
      <alignment horizontal="right" vertical="center"/>
    </xf>
    <xf numFmtId="43" fontId="25" fillId="0" borderId="0" xfId="0" applyNumberFormat="1" applyFont="1" applyAlignment="1">
      <alignment horizontal="right" vertical="center"/>
    </xf>
    <xf numFmtId="43" fontId="25" fillId="0" borderId="0" xfId="0" applyNumberFormat="1" applyFont="1" applyFill="1" applyAlignment="1">
      <alignment horizontal="right" vertical="center"/>
    </xf>
    <xf numFmtId="43" fontId="3" fillId="0" borderId="0" xfId="4" applyNumberFormat="1" applyFont="1" applyFill="1" applyBorder="1" applyAlignment="1">
      <alignment vertical="center" wrapText="1"/>
    </xf>
    <xf numFmtId="43" fontId="3" fillId="0" borderId="26" xfId="4" applyNumberFormat="1" applyFont="1" applyFill="1" applyBorder="1" applyAlignment="1">
      <alignment vertical="center" wrapText="1"/>
    </xf>
    <xf numFmtId="43" fontId="3" fillId="6" borderId="0" xfId="4" applyNumberFormat="1" applyFont="1" applyFill="1" applyBorder="1" applyAlignment="1">
      <alignment vertical="center" wrapText="1"/>
    </xf>
    <xf numFmtId="43" fontId="3" fillId="6" borderId="26" xfId="4" applyNumberFormat="1" applyFont="1" applyFill="1" applyBorder="1" applyAlignment="1">
      <alignment vertical="center" wrapText="1"/>
    </xf>
    <xf numFmtId="43" fontId="3" fillId="0" borderId="0" xfId="4" applyNumberFormat="1" applyFont="1" applyFill="1" applyBorder="1" applyAlignment="1">
      <alignment horizontal="right" vertical="center"/>
    </xf>
    <xf numFmtId="43" fontId="3" fillId="0" borderId="26" xfId="4" applyNumberFormat="1" applyFont="1" applyFill="1" applyBorder="1" applyAlignment="1">
      <alignment horizontal="right" vertical="center"/>
    </xf>
    <xf numFmtId="43" fontId="3" fillId="6" borderId="0" xfId="4" applyNumberFormat="1" applyFont="1" applyFill="1" applyBorder="1" applyAlignment="1">
      <alignment horizontal="right" vertical="center"/>
    </xf>
    <xf numFmtId="43" fontId="3" fillId="6" borderId="26" xfId="4" applyNumberFormat="1" applyFont="1" applyFill="1" applyBorder="1" applyAlignment="1">
      <alignment horizontal="right" vertical="center"/>
    </xf>
    <xf numFmtId="43" fontId="3" fillId="0" borderId="0" xfId="4" applyNumberFormat="1" applyFont="1" applyFill="1" applyBorder="1" applyAlignment="1">
      <alignment horizontal="right" vertical="center" wrapText="1"/>
    </xf>
    <xf numFmtId="43" fontId="3" fillId="0" borderId="26" xfId="4" applyNumberFormat="1" applyFont="1" applyFill="1" applyBorder="1" applyAlignment="1">
      <alignment horizontal="right" vertical="center" wrapText="1"/>
    </xf>
    <xf numFmtId="43" fontId="25" fillId="0" borderId="0" xfId="0" applyNumberFormat="1" applyFont="1" applyBorder="1" applyAlignment="1">
      <alignment horizontal="right" vertical="center" wrapText="1"/>
    </xf>
    <xf numFmtId="43" fontId="25" fillId="0" borderId="26" xfId="4" applyNumberFormat="1" applyFont="1" applyBorder="1" applyAlignment="1">
      <alignment horizontal="right" vertical="center" wrapText="1"/>
    </xf>
    <xf numFmtId="43" fontId="25" fillId="0" borderId="0" xfId="4" applyNumberFormat="1" applyFont="1" applyBorder="1" applyAlignment="1">
      <alignment horizontal="right" vertical="center"/>
    </xf>
    <xf numFmtId="0" fontId="25" fillId="0" borderId="42" xfId="0" applyFont="1" applyBorder="1" applyAlignment="1">
      <alignment vertical="center"/>
    </xf>
    <xf numFmtId="44" fontId="27" fillId="0" borderId="43" xfId="0" applyNumberFormat="1" applyFont="1" applyBorder="1" applyAlignment="1">
      <alignment horizontal="right" vertical="center"/>
    </xf>
    <xf numFmtId="43" fontId="25" fillId="0" borderId="0" xfId="4" applyNumberFormat="1" applyFont="1" applyBorder="1" applyAlignment="1">
      <alignment vertical="center"/>
    </xf>
    <xf numFmtId="0" fontId="27" fillId="0" borderId="34" xfId="0" applyFont="1" applyBorder="1" applyAlignment="1">
      <alignment vertical="center" wrapText="1"/>
    </xf>
    <xf numFmtId="44" fontId="3" fillId="0" borderId="42" xfId="4" applyFont="1" applyFill="1" applyBorder="1" applyAlignment="1">
      <alignment horizontal="center" vertical="center"/>
    </xf>
    <xf numFmtId="44" fontId="6" fillId="0" borderId="43" xfId="4" applyFont="1" applyFill="1" applyBorder="1" applyAlignment="1">
      <alignment horizontal="center" vertical="center"/>
    </xf>
    <xf numFmtId="43" fontId="25" fillId="0" borderId="33" xfId="0" applyNumberFormat="1" applyFont="1" applyBorder="1" applyAlignment="1">
      <alignment horizontal="right" vertical="center"/>
    </xf>
    <xf numFmtId="43" fontId="25" fillId="0" borderId="49" xfId="0" applyNumberFormat="1" applyFont="1" applyBorder="1" applyAlignment="1">
      <alignment horizontal="right" vertical="center"/>
    </xf>
    <xf numFmtId="43" fontId="25" fillId="0" borderId="1" xfId="4" applyNumberFormat="1" applyFont="1" applyFill="1" applyBorder="1" applyAlignment="1">
      <alignment horizontal="right" vertical="center"/>
    </xf>
    <xf numFmtId="40" fontId="25" fillId="0" borderId="1" xfId="0" applyNumberFormat="1" applyFont="1" applyBorder="1" applyAlignment="1">
      <alignment horizontal="right" vertical="center"/>
    </xf>
    <xf numFmtId="40" fontId="25" fillId="0" borderId="31" xfId="0" applyNumberFormat="1" applyFont="1" applyBorder="1" applyAlignment="1">
      <alignment horizontal="right" vertical="center"/>
    </xf>
    <xf numFmtId="43" fontId="25" fillId="0" borderId="1" xfId="0" applyNumberFormat="1" applyFont="1" applyBorder="1" applyAlignment="1">
      <alignment horizontal="right" vertical="center"/>
    </xf>
    <xf numFmtId="43" fontId="25" fillId="0" borderId="31" xfId="0" applyNumberFormat="1" applyFont="1" applyBorder="1" applyAlignment="1">
      <alignment horizontal="right" vertical="center"/>
    </xf>
    <xf numFmtId="43" fontId="25" fillId="0" borderId="13" xfId="0" applyNumberFormat="1" applyFont="1" applyBorder="1" applyAlignment="1">
      <alignment horizontal="right" vertical="center"/>
    </xf>
    <xf numFmtId="43" fontId="25" fillId="0" borderId="15" xfId="0" applyNumberFormat="1" applyFont="1" applyBorder="1" applyAlignment="1">
      <alignment horizontal="right" vertical="center"/>
    </xf>
    <xf numFmtId="43" fontId="25" fillId="0" borderId="0" xfId="0" applyNumberFormat="1" applyFont="1" applyAlignment="1">
      <alignment vertical="center"/>
    </xf>
    <xf numFmtId="43" fontId="25" fillId="0" borderId="8" xfId="0" applyNumberFormat="1" applyFont="1" applyBorder="1" applyAlignment="1">
      <alignment vertical="center"/>
    </xf>
    <xf numFmtId="43" fontId="25" fillId="0" borderId="0" xfId="0" applyNumberFormat="1" applyFont="1" applyBorder="1" applyAlignment="1">
      <alignment horizontal="right" vertical="center"/>
    </xf>
    <xf numFmtId="43" fontId="41" fillId="0" borderId="0" xfId="4" applyNumberFormat="1" applyFont="1" applyBorder="1" applyAlignment="1">
      <alignment horizontal="right" vertical="center"/>
    </xf>
    <xf numFmtId="43" fontId="25" fillId="0" borderId="0" xfId="0" applyNumberFormat="1" applyFont="1" applyFill="1" applyBorder="1" applyAlignment="1">
      <alignment horizontal="right" vertical="center"/>
    </xf>
    <xf numFmtId="43" fontId="25" fillId="0" borderId="42" xfId="0" applyNumberFormat="1" applyFont="1" applyFill="1" applyBorder="1" applyAlignment="1">
      <alignment horizontal="right" vertical="center"/>
    </xf>
    <xf numFmtId="43" fontId="25" fillId="0" borderId="42" xfId="4" applyNumberFormat="1" applyFont="1" applyBorder="1" applyAlignment="1">
      <alignment horizontal="right" vertical="center"/>
    </xf>
    <xf numFmtId="43" fontId="41" fillId="0" borderId="0" xfId="4" applyNumberFormat="1" applyFont="1" applyFill="1" applyBorder="1" applyAlignment="1">
      <alignment horizontal="right" vertical="center"/>
    </xf>
    <xf numFmtId="43" fontId="41" fillId="0" borderId="42" xfId="4" applyNumberFormat="1" applyFont="1" applyFill="1" applyBorder="1" applyAlignment="1">
      <alignment horizontal="right" vertical="center"/>
    </xf>
    <xf numFmtId="43" fontId="25" fillId="0" borderId="33" xfId="4" applyNumberFormat="1" applyFont="1" applyFill="1" applyBorder="1" applyAlignment="1">
      <alignment horizontal="right" vertical="center"/>
    </xf>
    <xf numFmtId="43" fontId="25" fillId="0" borderId="43" xfId="4" applyNumberFormat="1" applyFont="1" applyFill="1" applyBorder="1" applyAlignment="1">
      <alignment horizontal="right" vertical="center"/>
    </xf>
    <xf numFmtId="40" fontId="25" fillId="0" borderId="0" xfId="0" applyNumberFormat="1" applyFont="1" applyFill="1" applyBorder="1" applyAlignment="1">
      <alignment horizontal="center" vertical="center"/>
    </xf>
    <xf numFmtId="40" fontId="25" fillId="0" borderId="42" xfId="0" applyNumberFormat="1" applyFont="1" applyFill="1" applyBorder="1" applyAlignment="1">
      <alignment horizontal="center" vertical="center"/>
    </xf>
    <xf numFmtId="43" fontId="3" fillId="0" borderId="1" xfId="4" applyNumberFormat="1" applyFont="1" applyFill="1" applyBorder="1" applyAlignment="1">
      <alignment horizontal="right"/>
    </xf>
    <xf numFmtId="38" fontId="3" fillId="0" borderId="45" xfId="4" applyNumberFormat="1" applyFont="1" applyFill="1" applyBorder="1" applyAlignment="1">
      <alignment horizontal="right"/>
    </xf>
    <xf numFmtId="175" fontId="3" fillId="0" borderId="13" xfId="4" applyNumberFormat="1" applyFont="1" applyFill="1" applyBorder="1" applyAlignment="1">
      <alignment horizontal="right"/>
    </xf>
    <xf numFmtId="175" fontId="3" fillId="0" borderId="53" xfId="4" applyNumberFormat="1" applyFont="1" applyFill="1" applyBorder="1" applyAlignment="1">
      <alignment horizontal="right"/>
    </xf>
    <xf numFmtId="43" fontId="25" fillId="0" borderId="0" xfId="4" applyNumberFormat="1" applyFont="1" applyFill="1" applyAlignment="1">
      <alignment horizontal="center"/>
    </xf>
    <xf numFmtId="172" fontId="25" fillId="0" borderId="0" xfId="4" applyNumberFormat="1" applyFont="1" applyAlignment="1">
      <alignment horizontal="center"/>
    </xf>
    <xf numFmtId="172" fontId="25" fillId="0" borderId="0" xfId="4" applyNumberFormat="1" applyFont="1" applyFill="1" applyAlignment="1">
      <alignment horizontal="center"/>
    </xf>
    <xf numFmtId="43" fontId="25" fillId="0" borderId="33" xfId="4" applyNumberFormat="1" applyFont="1" applyBorder="1" applyAlignment="1">
      <alignment horizontal="right" vertical="center"/>
    </xf>
    <xf numFmtId="43" fontId="25" fillId="0" borderId="43" xfId="4" applyNumberFormat="1" applyFont="1" applyBorder="1" applyAlignment="1">
      <alignment horizontal="right" vertical="center"/>
    </xf>
    <xf numFmtId="171" fontId="25" fillId="0" borderId="0" xfId="4" applyNumberFormat="1" applyFont="1" applyBorder="1" applyAlignment="1">
      <alignment horizontal="right" vertical="center"/>
    </xf>
    <xf numFmtId="171" fontId="25" fillId="0" borderId="42" xfId="4" applyNumberFormat="1" applyFont="1" applyBorder="1" applyAlignment="1">
      <alignment horizontal="right" vertical="center"/>
    </xf>
    <xf numFmtId="43" fontId="3" fillId="0" borderId="1" xfId="4" applyNumberFormat="1" applyFont="1" applyFill="1" applyBorder="1" applyAlignment="1" applyProtection="1">
      <alignment horizontal="right"/>
    </xf>
    <xf numFmtId="43" fontId="3" fillId="0" borderId="31" xfId="4" applyNumberFormat="1" applyFont="1" applyFill="1" applyBorder="1" applyAlignment="1" applyProtection="1">
      <alignment horizontal="right"/>
    </xf>
    <xf numFmtId="43" fontId="26" fillId="0" borderId="1" xfId="4" applyNumberFormat="1" applyFont="1" applyBorder="1" applyAlignment="1">
      <alignment horizontal="right"/>
    </xf>
    <xf numFmtId="43" fontId="26" fillId="0" borderId="1" xfId="4" applyNumberFormat="1" applyFont="1" applyBorder="1" applyAlignment="1">
      <alignment horizontal="right" vertical="top"/>
    </xf>
    <xf numFmtId="43" fontId="26" fillId="0" borderId="1" xfId="4" applyNumberFormat="1" applyFont="1" applyFill="1" applyBorder="1" applyAlignment="1">
      <alignment horizontal="right" vertical="top"/>
    </xf>
    <xf numFmtId="43" fontId="25" fillId="0" borderId="1" xfId="4" applyNumberFormat="1" applyFont="1" applyBorder="1" applyAlignment="1">
      <alignment horizontal="right" vertical="center"/>
    </xf>
    <xf numFmtId="43" fontId="3" fillId="0" borderId="1" xfId="4" applyNumberFormat="1" applyFont="1" applyBorder="1"/>
    <xf numFmtId="43" fontId="25" fillId="0" borderId="1" xfId="4" applyNumberFormat="1" applyFont="1" applyBorder="1" applyAlignment="1">
      <alignment horizontal="right" vertical="center" wrapText="1"/>
    </xf>
    <xf numFmtId="43" fontId="25" fillId="0" borderId="0" xfId="4" applyNumberFormat="1" applyFont="1" applyAlignment="1">
      <alignment horizontal="right" vertical="center" wrapText="1"/>
    </xf>
    <xf numFmtId="44" fontId="25" fillId="0" borderId="0" xfId="0" applyNumberFormat="1" applyFont="1" applyBorder="1"/>
    <xf numFmtId="43" fontId="25" fillId="0" borderId="0" xfId="0" applyNumberFormat="1" applyFont="1" applyBorder="1"/>
    <xf numFmtId="10" fontId="25" fillId="0" borderId="33" xfId="0" applyNumberFormat="1" applyFont="1" applyBorder="1"/>
    <xf numFmtId="43" fontId="25" fillId="0" borderId="42" xfId="0" applyNumberFormat="1" applyFont="1" applyBorder="1"/>
    <xf numFmtId="10" fontId="25" fillId="0" borderId="43" xfId="0" applyNumberFormat="1" applyFont="1" applyBorder="1"/>
    <xf numFmtId="0" fontId="27" fillId="0" borderId="23" xfId="0" applyFont="1" applyBorder="1"/>
    <xf numFmtId="0" fontId="27" fillId="0" borderId="21" xfId="0" applyFont="1" applyBorder="1"/>
    <xf numFmtId="0" fontId="27" fillId="0" borderId="24" xfId="0" applyFont="1" applyBorder="1"/>
    <xf numFmtId="0" fontId="27" fillId="0" borderId="0" xfId="0" applyFont="1" applyBorder="1" applyAlignment="1">
      <alignment horizontal="right"/>
    </xf>
    <xf numFmtId="173" fontId="27" fillId="0" borderId="22" xfId="0" applyNumberFormat="1" applyFont="1" applyBorder="1"/>
    <xf numFmtId="43" fontId="25" fillId="0" borderId="13" xfId="0" applyNumberFormat="1" applyFont="1" applyBorder="1" applyAlignment="1">
      <alignment vertical="center"/>
    </xf>
    <xf numFmtId="43" fontId="25" fillId="0" borderId="0" xfId="4" applyNumberFormat="1" applyFont="1" applyFill="1" applyBorder="1" applyAlignment="1">
      <alignment vertical="center" wrapText="1"/>
    </xf>
    <xf numFmtId="43" fontId="25" fillId="0" borderId="0" xfId="4" applyNumberFormat="1" applyFont="1" applyBorder="1" applyAlignment="1">
      <alignment vertical="center" wrapText="1"/>
    </xf>
    <xf numFmtId="43" fontId="25" fillId="0" borderId="8" xfId="4" applyNumberFormat="1" applyFont="1" applyFill="1" applyBorder="1" applyAlignment="1">
      <alignment vertical="center" wrapText="1"/>
    </xf>
    <xf numFmtId="43" fontId="25" fillId="0" borderId="8" xfId="4" applyNumberFormat="1" applyFont="1" applyBorder="1" applyAlignment="1">
      <alignment vertical="center" wrapText="1"/>
    </xf>
    <xf numFmtId="43" fontId="25" fillId="0" borderId="0" xfId="4" applyNumberFormat="1" applyFont="1" applyFill="1" applyAlignment="1">
      <alignment vertical="center" wrapText="1"/>
    </xf>
    <xf numFmtId="43" fontId="25" fillId="0" borderId="0" xfId="4" applyNumberFormat="1" applyFont="1" applyAlignment="1">
      <alignment vertical="center" wrapText="1"/>
    </xf>
    <xf numFmtId="43" fontId="25" fillId="0" borderId="0" xfId="0" applyNumberFormat="1" applyFont="1" applyAlignment="1">
      <alignment vertical="center" wrapText="1"/>
    </xf>
    <xf numFmtId="44" fontId="27" fillId="0" borderId="0" xfId="4" applyNumberFormat="1" applyFont="1" applyFill="1" applyAlignment="1">
      <alignment vertical="center" wrapText="1"/>
    </xf>
    <xf numFmtId="44" fontId="27" fillId="0" borderId="0" xfId="4" applyNumberFormat="1" applyFont="1" applyAlignment="1">
      <alignment vertical="center" wrapText="1"/>
    </xf>
    <xf numFmtId="43" fontId="25" fillId="0" borderId="8" xfId="4" applyNumberFormat="1" applyFont="1" applyFill="1" applyBorder="1" applyAlignment="1">
      <alignment horizontal="right" vertical="center"/>
    </xf>
    <xf numFmtId="43" fontId="25" fillId="0" borderId="8" xfId="4" applyNumberFormat="1" applyFont="1" applyBorder="1" applyAlignment="1">
      <alignment horizontal="right" vertical="center"/>
    </xf>
    <xf numFmtId="43" fontId="25" fillId="0" borderId="0" xfId="4" applyNumberFormat="1" applyFont="1" applyFill="1" applyAlignment="1">
      <alignment horizontal="right" vertical="center"/>
    </xf>
    <xf numFmtId="43" fontId="25" fillId="0" borderId="0" xfId="4" applyNumberFormat="1" applyFont="1" applyAlignment="1">
      <alignment horizontal="right" vertical="center"/>
    </xf>
    <xf numFmtId="43" fontId="25" fillId="0" borderId="0" xfId="4" applyNumberFormat="1" applyFont="1" applyFill="1" applyBorder="1" applyAlignment="1">
      <alignment horizontal="right" vertical="center"/>
    </xf>
    <xf numFmtId="43" fontId="27" fillId="0" borderId="8" xfId="4" applyNumberFormat="1" applyFont="1" applyBorder="1" applyAlignment="1">
      <alignment horizontal="right" vertical="center"/>
    </xf>
    <xf numFmtId="43" fontId="27" fillId="0" borderId="0" xfId="4" applyNumberFormat="1" applyFont="1" applyAlignment="1">
      <alignment horizontal="right" vertical="center"/>
    </xf>
    <xf numFmtId="44" fontId="25" fillId="0" borderId="0" xfId="4" applyNumberFormat="1" applyFont="1" applyAlignment="1">
      <alignment horizontal="right" vertical="center"/>
    </xf>
    <xf numFmtId="44" fontId="27" fillId="0" borderId="0" xfId="4" applyNumberFormat="1" applyFont="1" applyAlignment="1">
      <alignment horizontal="right" vertical="center"/>
    </xf>
    <xf numFmtId="44" fontId="25" fillId="0" borderId="0" xfId="4" applyNumberFormat="1" applyFont="1" applyFill="1" applyAlignment="1">
      <alignment horizontal="right" vertical="center"/>
    </xf>
    <xf numFmtId="43" fontId="25" fillId="0" borderId="54" xfId="4" applyNumberFormat="1" applyFont="1" applyBorder="1" applyAlignment="1">
      <alignment horizontal="right" vertical="center" wrapText="1"/>
    </xf>
    <xf numFmtId="43" fontId="25" fillId="0" borderId="37" xfId="4" applyNumberFormat="1" applyFont="1" applyBorder="1" applyAlignment="1">
      <alignment horizontal="right" vertical="center" wrapText="1"/>
    </xf>
    <xf numFmtId="43" fontId="25" fillId="0" borderId="35" xfId="4" applyNumberFormat="1" applyFont="1" applyBorder="1" applyAlignment="1">
      <alignment horizontal="right" vertical="center" wrapText="1"/>
    </xf>
    <xf numFmtId="43" fontId="25" fillId="0" borderId="42" xfId="0" applyNumberFormat="1" applyFont="1" applyBorder="1" applyAlignment="1">
      <alignment horizontal="right" vertical="center"/>
    </xf>
    <xf numFmtId="43" fontId="25" fillId="0" borderId="34" xfId="4" applyNumberFormat="1" applyFont="1" applyBorder="1" applyAlignment="1">
      <alignment horizontal="right" vertical="center" wrapText="1"/>
    </xf>
    <xf numFmtId="43" fontId="25" fillId="0" borderId="43" xfId="0" applyNumberFormat="1" applyFont="1" applyBorder="1" applyAlignment="1">
      <alignment horizontal="right" vertical="center"/>
    </xf>
    <xf numFmtId="43" fontId="25" fillId="0" borderId="35" xfId="0" applyNumberFormat="1" applyFont="1" applyBorder="1" applyAlignment="1">
      <alignment horizontal="right" vertical="center"/>
    </xf>
    <xf numFmtId="43" fontId="27" fillId="0" borderId="48" xfId="0" applyNumberFormat="1" applyFont="1" applyBorder="1" applyAlignment="1">
      <alignment horizontal="right" vertical="center"/>
    </xf>
    <xf numFmtId="43" fontId="25" fillId="0" borderId="8" xfId="3" applyNumberFormat="1" applyFont="1" applyBorder="1" applyAlignment="1">
      <alignment horizontal="right" vertical="center"/>
    </xf>
    <xf numFmtId="43" fontId="25" fillId="0" borderId="48" xfId="0" applyNumberFormat="1" applyFont="1" applyBorder="1" applyAlignment="1">
      <alignment horizontal="right" vertical="center"/>
    </xf>
    <xf numFmtId="43" fontId="25" fillId="0" borderId="34" xfId="0" applyNumberFormat="1" applyFont="1" applyBorder="1" applyAlignment="1">
      <alignment horizontal="right" vertical="center"/>
    </xf>
    <xf numFmtId="43" fontId="27" fillId="0" borderId="0" xfId="0" applyNumberFormat="1" applyFont="1" applyAlignment="1">
      <alignment horizontal="right" vertical="center"/>
    </xf>
    <xf numFmtId="43" fontId="25" fillId="0" borderId="0" xfId="0" applyNumberFormat="1" applyFont="1" applyFill="1" applyAlignment="1">
      <alignment horizontal="center"/>
    </xf>
    <xf numFmtId="43" fontId="25" fillId="0" borderId="0" xfId="0" applyNumberFormat="1" applyFont="1" applyAlignment="1">
      <alignment horizontal="center"/>
    </xf>
    <xf numFmtId="43" fontId="27" fillId="0" borderId="0" xfId="0" applyNumberFormat="1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left"/>
    </xf>
    <xf numFmtId="0" fontId="3" fillId="6" borderId="45" xfId="0" applyFont="1" applyFill="1" applyBorder="1" applyAlignment="1">
      <alignment horizontal="left"/>
    </xf>
    <xf numFmtId="3" fontId="3" fillId="6" borderId="39" xfId="5" applyNumberFormat="1" applyFont="1" applyFill="1" applyBorder="1" applyAlignment="1">
      <alignment horizontal="center" wrapText="1"/>
    </xf>
    <xf numFmtId="44" fontId="6" fillId="6" borderId="40" xfId="4" applyFont="1" applyFill="1" applyBorder="1" applyAlignment="1">
      <alignment horizontal="center" wrapText="1"/>
    </xf>
    <xf numFmtId="44" fontId="6" fillId="6" borderId="40" xfId="4" applyFont="1" applyFill="1" applyBorder="1" applyAlignment="1">
      <alignment horizontal="center"/>
    </xf>
    <xf numFmtId="44" fontId="6" fillId="6" borderId="41" xfId="4" applyFont="1" applyFill="1" applyBorder="1" applyAlignment="1">
      <alignment horizontal="center"/>
    </xf>
    <xf numFmtId="43" fontId="3" fillId="6" borderId="1" xfId="4" applyNumberFormat="1" applyFont="1" applyFill="1" applyBorder="1" applyAlignment="1">
      <alignment horizontal="center"/>
    </xf>
    <xf numFmtId="43" fontId="3" fillId="6" borderId="13" xfId="4" applyNumberFormat="1" applyFont="1" applyFill="1" applyBorder="1" applyAlignment="1">
      <alignment horizontal="center"/>
    </xf>
    <xf numFmtId="43" fontId="3" fillId="6" borderId="45" xfId="4" applyNumberFormat="1" applyFont="1" applyFill="1" applyBorder="1" applyAlignment="1">
      <alignment horizontal="center"/>
    </xf>
    <xf numFmtId="43" fontId="3" fillId="6" borderId="53" xfId="4" applyNumberFormat="1" applyFont="1" applyFill="1" applyBorder="1" applyAlignment="1">
      <alignment horizontal="center"/>
    </xf>
    <xf numFmtId="43" fontId="25" fillId="0" borderId="33" xfId="0" applyNumberFormat="1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0" xfId="4" applyFont="1" applyFill="1" applyBorder="1" applyAlignment="1">
      <alignment horizontal="center" vertical="center" wrapText="1"/>
    </xf>
    <xf numFmtId="44" fontId="3" fillId="0" borderId="26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textRotation="255" wrapText="1"/>
    </xf>
    <xf numFmtId="0" fontId="25" fillId="0" borderId="81" xfId="0" applyFont="1" applyBorder="1" applyAlignment="1">
      <alignment horizontal="center" vertical="center" textRotation="255" wrapText="1"/>
    </xf>
    <xf numFmtId="0" fontId="25" fillId="0" borderId="82" xfId="0" applyFont="1" applyBorder="1" applyAlignment="1">
      <alignment horizontal="center" vertical="center" textRotation="255" wrapText="1"/>
    </xf>
    <xf numFmtId="0" fontId="27" fillId="0" borderId="4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44" fontId="3" fillId="2" borderId="1" xfId="4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6" fillId="7" borderId="57" xfId="5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3" fontId="11" fillId="7" borderId="39" xfId="5" applyNumberFormat="1" applyFont="1" applyFill="1" applyBorder="1" applyAlignment="1">
      <alignment horizontal="center" vertical="justify" wrapText="1"/>
    </xf>
    <xf numFmtId="3" fontId="11" fillId="7" borderId="41" xfId="5" applyNumberFormat="1" applyFont="1" applyFill="1" applyBorder="1" applyAlignment="1">
      <alignment horizontal="center" vertical="justify" wrapText="1"/>
    </xf>
    <xf numFmtId="9" fontId="27" fillId="0" borderId="0" xfId="0" applyNumberFormat="1" applyFont="1" applyBorder="1" applyAlignment="1">
      <alignment horizontal="center" vertical="center"/>
    </xf>
    <xf numFmtId="9" fontId="27" fillId="0" borderId="42" xfId="0" applyNumberFormat="1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7" fillId="0" borderId="42" xfId="0" applyFont="1" applyBorder="1" applyAlignment="1">
      <alignment horizontal="center" wrapText="1"/>
    </xf>
    <xf numFmtId="0" fontId="27" fillId="0" borderId="2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10" borderId="47" xfId="0" applyFont="1" applyFill="1" applyBorder="1" applyAlignment="1">
      <alignment horizontal="center" vertical="center" wrapText="1"/>
    </xf>
    <xf numFmtId="0" fontId="25" fillId="10" borderId="58" xfId="0" applyFont="1" applyFill="1" applyBorder="1" applyAlignment="1">
      <alignment horizontal="center" vertical="center" wrapText="1"/>
    </xf>
    <xf numFmtId="0" fontId="25" fillId="10" borderId="30" xfId="0" applyFont="1" applyFill="1" applyBorder="1" applyAlignment="1">
      <alignment horizontal="center" vertical="center" wrapText="1"/>
    </xf>
    <xf numFmtId="0" fontId="25" fillId="11" borderId="47" xfId="0" applyFont="1" applyFill="1" applyBorder="1" applyAlignment="1">
      <alignment horizontal="center" vertical="center"/>
    </xf>
    <xf numFmtId="0" fontId="25" fillId="11" borderId="58" xfId="0" applyFont="1" applyFill="1" applyBorder="1" applyAlignment="1">
      <alignment horizontal="center" vertical="center"/>
    </xf>
    <xf numFmtId="0" fontId="25" fillId="11" borderId="30" xfId="0" applyFont="1" applyFill="1" applyBorder="1" applyAlignment="1">
      <alignment horizontal="center" vertical="center"/>
    </xf>
    <xf numFmtId="0" fontId="25" fillId="12" borderId="44" xfId="0" applyFont="1" applyFill="1" applyBorder="1" applyAlignment="1">
      <alignment horizontal="center" vertical="center" wrapText="1"/>
    </xf>
    <xf numFmtId="0" fontId="25" fillId="12" borderId="35" xfId="0" applyFont="1" applyFill="1" applyBorder="1" applyAlignment="1">
      <alignment horizontal="center" vertical="center" wrapText="1"/>
    </xf>
    <xf numFmtId="0" fontId="25" fillId="12" borderId="34" xfId="0" applyFont="1" applyFill="1" applyBorder="1" applyAlignment="1">
      <alignment horizontal="center" vertical="center" wrapText="1"/>
    </xf>
    <xf numFmtId="0" fontId="25" fillId="13" borderId="44" xfId="0" applyFont="1" applyFill="1" applyBorder="1" applyAlignment="1">
      <alignment horizontal="center" wrapText="1"/>
    </xf>
    <xf numFmtId="0" fontId="25" fillId="13" borderId="36" xfId="0" applyFont="1" applyFill="1" applyBorder="1" applyAlignment="1">
      <alignment horizontal="center" wrapText="1"/>
    </xf>
    <xf numFmtId="0" fontId="25" fillId="13" borderId="35" xfId="0" applyFont="1" applyFill="1" applyBorder="1" applyAlignment="1">
      <alignment horizontal="center" vertical="center" wrapText="1"/>
    </xf>
    <xf numFmtId="0" fontId="25" fillId="13" borderId="34" xfId="0" applyFont="1" applyFill="1" applyBorder="1" applyAlignment="1">
      <alignment horizontal="center" vertical="center" wrapText="1"/>
    </xf>
    <xf numFmtId="0" fontId="25" fillId="13" borderId="58" xfId="0" applyFont="1" applyFill="1" applyBorder="1" applyAlignment="1">
      <alignment horizontal="center" vertical="center" wrapText="1"/>
    </xf>
    <xf numFmtId="0" fontId="25" fillId="13" borderId="30" xfId="0" applyFont="1" applyFill="1" applyBorder="1" applyAlignment="1">
      <alignment horizontal="center" vertical="center" wrapText="1"/>
    </xf>
    <xf numFmtId="0" fontId="25" fillId="12" borderId="44" xfId="0" applyFont="1" applyFill="1" applyBorder="1" applyAlignment="1">
      <alignment horizontal="center" wrapText="1"/>
    </xf>
    <xf numFmtId="0" fontId="25" fillId="12" borderId="35" xfId="0" applyFont="1" applyFill="1" applyBorder="1" applyAlignment="1">
      <alignment horizontal="center" wrapText="1"/>
    </xf>
    <xf numFmtId="0" fontId="25" fillId="12" borderId="34" xfId="0" applyFont="1" applyFill="1" applyBorder="1" applyAlignment="1">
      <alignment horizontal="center" wrapText="1"/>
    </xf>
    <xf numFmtId="0" fontId="25" fillId="14" borderId="44" xfId="0" applyFont="1" applyFill="1" applyBorder="1" applyAlignment="1">
      <alignment horizontal="center"/>
    </xf>
    <xf numFmtId="0" fontId="25" fillId="14" borderId="36" xfId="0" applyFont="1" applyFill="1" applyBorder="1" applyAlignment="1">
      <alignment horizontal="center"/>
    </xf>
    <xf numFmtId="0" fontId="25" fillId="14" borderId="35" xfId="0" applyFont="1" applyFill="1" applyBorder="1" applyAlignment="1">
      <alignment horizontal="center"/>
    </xf>
    <xf numFmtId="0" fontId="25" fillId="14" borderId="33" xfId="0" applyFont="1" applyFill="1" applyBorder="1" applyAlignment="1">
      <alignment horizontal="center"/>
    </xf>
    <xf numFmtId="0" fontId="25" fillId="14" borderId="34" xfId="0" applyFont="1" applyFill="1" applyBorder="1" applyAlignment="1">
      <alignment horizontal="center"/>
    </xf>
    <xf numFmtId="0" fontId="25" fillId="14" borderId="43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3" fontId="27" fillId="0" borderId="36" xfId="3" applyNumberFormat="1" applyFont="1" applyBorder="1" applyAlignment="1">
      <alignment horizontal="center" vertical="center" wrapText="1"/>
    </xf>
    <xf numFmtId="43" fontId="27" fillId="0" borderId="43" xfId="3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6" fillId="0" borderId="57" xfId="5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3" fontId="11" fillId="0" borderId="39" xfId="5" applyNumberFormat="1" applyFont="1" applyFill="1" applyBorder="1" applyAlignment="1">
      <alignment horizontal="center" vertical="justify" wrapText="1"/>
    </xf>
    <xf numFmtId="3" fontId="11" fillId="0" borderId="41" xfId="5" applyNumberFormat="1" applyFont="1" applyFill="1" applyBorder="1" applyAlignment="1">
      <alignment horizontal="center" vertical="justify" wrapText="1"/>
    </xf>
    <xf numFmtId="0" fontId="27" fillId="0" borderId="0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3" fontId="3" fillId="6" borderId="1" xfId="4" applyNumberFormat="1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4" fontId="20" fillId="0" borderId="0" xfId="0" applyNumberFormat="1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center"/>
    </xf>
    <xf numFmtId="0" fontId="25" fillId="0" borderId="0" xfId="0" applyFont="1" applyAlignment="1">
      <alignment horizontal="center"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5" fillId="0" borderId="21" xfId="0" applyFont="1" applyBorder="1" applyAlignment="1">
      <alignment horizontal="right" vertical="center"/>
    </xf>
    <xf numFmtId="0" fontId="25" fillId="0" borderId="24" xfId="0" applyFont="1" applyBorder="1" applyAlignment="1">
      <alignment horizontal="right" vertical="center"/>
    </xf>
    <xf numFmtId="0" fontId="25" fillId="0" borderId="5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0" fillId="0" borderId="21" xfId="0" applyBorder="1" applyAlignment="1"/>
    <xf numFmtId="0" fontId="27" fillId="0" borderId="24" xfId="0" applyFont="1" applyBorder="1" applyAlignment="1">
      <alignment vertical="center"/>
    </xf>
  </cellXfs>
  <cellStyles count="7">
    <cellStyle name="Euro" xfId="1"/>
    <cellStyle name="Hipervínculo" xfId="2" builtinId="8"/>
    <cellStyle name="Millares" xfId="3" builtinId="3"/>
    <cellStyle name="Moneda" xfId="4" builtinId="4"/>
    <cellStyle name="Normal" xfId="0" builtinId="0"/>
    <cellStyle name="Normal 26" xfId="5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Gasto Publicidad Empresas Ecuador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774103237095375"/>
                  <c:y val="0.119450862055416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</c:trendlineLbl>
          </c:trendline>
          <c:xVal>
            <c:numRef>
              <c:f>[2]Hoja1!$A$29:$A$36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xVal>
          <c:yVal>
            <c:numRef>
              <c:f>[2]Hoja1!$B$29:$B$36</c:f>
              <c:numCache>
                <c:formatCode>General</c:formatCode>
                <c:ptCount val="8"/>
                <c:pt idx="0">
                  <c:v>429.56015500000001</c:v>
                </c:pt>
                <c:pt idx="1">
                  <c:v>499.81680999999998</c:v>
                </c:pt>
                <c:pt idx="2">
                  <c:v>614.253916</c:v>
                </c:pt>
                <c:pt idx="3">
                  <c:v>686.11415489000001</c:v>
                </c:pt>
                <c:pt idx="4">
                  <c:v>779.20677710000007</c:v>
                </c:pt>
                <c:pt idx="5">
                  <c:v>750.56702627000016</c:v>
                </c:pt>
                <c:pt idx="6">
                  <c:v>734.13849463999986</c:v>
                </c:pt>
                <c:pt idx="7">
                  <c:v>767.91013780999992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94688"/>
        <c:axId val="122996608"/>
      </c:scatterChart>
      <c:valAx>
        <c:axId val="122994688"/>
        <c:scaling>
          <c:orientation val="minMax"/>
        </c:scaling>
        <c:delete val="0"/>
        <c:axPos val="b"/>
        <c:title>
          <c:layout/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s-EC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22996608"/>
        <c:crosses val="autoZero"/>
        <c:crossBetween val="midCat"/>
      </c:valAx>
      <c:valAx>
        <c:axId val="122996608"/>
        <c:scaling>
          <c:orientation val="minMax"/>
        </c:scaling>
        <c:delete val="0"/>
        <c:axPos val="l"/>
        <c:majorGridlines/>
        <c:minorGridlines/>
        <c:title>
          <c:layout/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s-EC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2299468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Gasto Publicidad Empresas Ecuador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774103237095375"/>
                  <c:y val="0.119450862055416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</c:trendlineLbl>
          </c:trendline>
          <c:xVal>
            <c:numRef>
              <c:f>[2]Hoja1!$A$29:$A$36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xVal>
          <c:yVal>
            <c:numRef>
              <c:f>[2]Hoja1!$B$29:$B$36</c:f>
              <c:numCache>
                <c:formatCode>General</c:formatCode>
                <c:ptCount val="8"/>
                <c:pt idx="0">
                  <c:v>429.56015500000001</c:v>
                </c:pt>
                <c:pt idx="1">
                  <c:v>499.81680999999998</c:v>
                </c:pt>
                <c:pt idx="2">
                  <c:v>614.253916</c:v>
                </c:pt>
                <c:pt idx="3">
                  <c:v>686.11415489000001</c:v>
                </c:pt>
                <c:pt idx="4">
                  <c:v>779.20677710000007</c:v>
                </c:pt>
                <c:pt idx="5">
                  <c:v>750.56702627000016</c:v>
                </c:pt>
                <c:pt idx="6">
                  <c:v>734.13849463999986</c:v>
                </c:pt>
                <c:pt idx="7">
                  <c:v>767.91013780999992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52000"/>
        <c:axId val="124353920"/>
      </c:scatterChart>
      <c:valAx>
        <c:axId val="124352000"/>
        <c:scaling>
          <c:orientation val="minMax"/>
        </c:scaling>
        <c:delete val="0"/>
        <c:axPos val="b"/>
        <c:title>
          <c:layout/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s-EC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24353920"/>
        <c:crosses val="autoZero"/>
        <c:crossBetween val="midCat"/>
      </c:valAx>
      <c:valAx>
        <c:axId val="124353920"/>
        <c:scaling>
          <c:orientation val="minMax"/>
        </c:scaling>
        <c:delete val="0"/>
        <c:axPos val="l"/>
        <c:majorGridlines/>
        <c:minorGridlines/>
        <c:title>
          <c:layout/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s-EC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24352000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A.Sensibilidad-Precio vs VAN</a:t>
            </a:r>
          </a:p>
        </c:rich>
      </c:tx>
      <c:layout>
        <c:manualLayout>
          <c:xMode val="edge"/>
          <c:yMode val="edge"/>
          <c:x val="0.35443224957930586"/>
          <c:y val="7.906922572178477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numRef>
              <c:f>'A.Sensibilidad Precio'!$E$15:$E$33</c:f>
              <c:numCache>
                <c:formatCode>_(* #,##0.00_);_(* \(#,##0.00\);_(* "-"??_);_(@_)</c:formatCode>
                <c:ptCount val="19"/>
                <c:pt idx="0" formatCode="_(&quot;$&quot;* #,##0.00_);_(&quot;$&quot;* \(#,##0.00\);_(&quot;$&quot;* &quot;-&quot;??_);_(@_)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138</c:v>
                </c:pt>
                <c:pt idx="5">
                  <c:v>139</c:v>
                </c:pt>
                <c:pt idx="6">
                  <c:v>139.25</c:v>
                </c:pt>
                <c:pt idx="7">
                  <c:v>139.5</c:v>
                </c:pt>
                <c:pt idx="8">
                  <c:v>139.75</c:v>
                </c:pt>
                <c:pt idx="9">
                  <c:v>140</c:v>
                </c:pt>
                <c:pt idx="10">
                  <c:v>140.25</c:v>
                </c:pt>
                <c:pt idx="11">
                  <c:v>140.5</c:v>
                </c:pt>
                <c:pt idx="12">
                  <c:v>140.75</c:v>
                </c:pt>
                <c:pt idx="13">
                  <c:v>141</c:v>
                </c:pt>
                <c:pt idx="14">
                  <c:v>142</c:v>
                </c:pt>
                <c:pt idx="15">
                  <c:v>145</c:v>
                </c:pt>
                <c:pt idx="16">
                  <c:v>150</c:v>
                </c:pt>
                <c:pt idx="17">
                  <c:v>155</c:v>
                </c:pt>
                <c:pt idx="18">
                  <c:v>160</c:v>
                </c:pt>
              </c:numCache>
            </c:numRef>
          </c:cat>
          <c:val>
            <c:numRef>
              <c:f>'A.Sensibilidad Precio'!$F$15:$F$33</c:f>
              <c:numCache>
                <c:formatCode>_(* #,##0.00_);_(* \(#,##0.00\);_(* "-"??_);_(@_)</c:formatCode>
                <c:ptCount val="19"/>
                <c:pt idx="0" formatCode="_(&quot;$&quot;* #,##0.00_);_(&quot;$&quot;* \(#,##0.00\);_(&quot;$&quot;* &quot;-&quot;??_);_(@_)">
                  <c:v>-724039.07</c:v>
                </c:pt>
                <c:pt idx="1">
                  <c:v>-507035.54</c:v>
                </c:pt>
                <c:pt idx="2">
                  <c:v>-310836.08</c:v>
                </c:pt>
                <c:pt idx="3">
                  <c:v>-132093.72</c:v>
                </c:pt>
                <c:pt idx="4">
                  <c:v>-36004.6</c:v>
                </c:pt>
                <c:pt idx="5">
                  <c:v>-13518.01</c:v>
                </c:pt>
                <c:pt idx="6">
                  <c:v>-8021.75</c:v>
                </c:pt>
                <c:pt idx="7">
                  <c:v>-2545.11</c:v>
                </c:pt>
                <c:pt idx="8">
                  <c:v>2911.89</c:v>
                </c:pt>
                <c:pt idx="9">
                  <c:v>8063.14</c:v>
                </c:pt>
                <c:pt idx="10">
                  <c:v>13000.17</c:v>
                </c:pt>
                <c:pt idx="11">
                  <c:v>17919.63</c:v>
                </c:pt>
                <c:pt idx="12">
                  <c:v>22821.61</c:v>
                </c:pt>
                <c:pt idx="13">
                  <c:v>27706.21</c:v>
                </c:pt>
                <c:pt idx="14">
                  <c:v>47072.62</c:v>
                </c:pt>
                <c:pt idx="15">
                  <c:v>103569.1</c:v>
                </c:pt>
                <c:pt idx="16">
                  <c:v>190701.5</c:v>
                </c:pt>
                <c:pt idx="17">
                  <c:v>270239.34999999998</c:v>
                </c:pt>
                <c:pt idx="18">
                  <c:v>344806.08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25686528"/>
        <c:axId val="125688064"/>
      </c:lineChart>
      <c:catAx>
        <c:axId val="125686528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688064"/>
        <c:crosses val="autoZero"/>
        <c:auto val="1"/>
        <c:lblAlgn val="ctr"/>
        <c:lblOffset val="100"/>
        <c:noMultiLvlLbl val="0"/>
      </c:catAx>
      <c:valAx>
        <c:axId val="12568806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686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A.Sensibilidad-Precio vs TIR</a:t>
            </a:r>
          </a:p>
        </c:rich>
      </c:tx>
      <c:layout>
        <c:manualLayout>
          <c:xMode val="edge"/>
          <c:yMode val="edge"/>
          <c:x val="0.33927189089695176"/>
          <c:y val="5.092582605256534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'A.Sensibilidad Precio'!$E$20:$E$33</c:f>
              <c:numCache>
                <c:formatCode>_(* #,##0.00_);_(* \(#,##0.00\);_(* "-"??_);_(@_)</c:formatCode>
                <c:ptCount val="14"/>
                <c:pt idx="0">
                  <c:v>139</c:v>
                </c:pt>
                <c:pt idx="1">
                  <c:v>139.25</c:v>
                </c:pt>
                <c:pt idx="2">
                  <c:v>139.5</c:v>
                </c:pt>
                <c:pt idx="3">
                  <c:v>139.75</c:v>
                </c:pt>
                <c:pt idx="4">
                  <c:v>140</c:v>
                </c:pt>
                <c:pt idx="5">
                  <c:v>140.25</c:v>
                </c:pt>
                <c:pt idx="6">
                  <c:v>140.5</c:v>
                </c:pt>
                <c:pt idx="7">
                  <c:v>140.75</c:v>
                </c:pt>
                <c:pt idx="8">
                  <c:v>141</c:v>
                </c:pt>
                <c:pt idx="9">
                  <c:v>142</c:v>
                </c:pt>
                <c:pt idx="10">
                  <c:v>145</c:v>
                </c:pt>
                <c:pt idx="11">
                  <c:v>150</c:v>
                </c:pt>
                <c:pt idx="12">
                  <c:v>155</c:v>
                </c:pt>
                <c:pt idx="13">
                  <c:v>160</c:v>
                </c:pt>
              </c:numCache>
            </c:numRef>
          </c:cat>
          <c:val>
            <c:numRef>
              <c:f>'A.Sensibilidad Precio'!$G$20:$G$33</c:f>
              <c:numCache>
                <c:formatCode>0%</c:formatCode>
                <c:ptCount val="14"/>
                <c:pt idx="0">
                  <c:v>-0.17</c:v>
                </c:pt>
                <c:pt idx="1">
                  <c:v>0.01</c:v>
                </c:pt>
                <c:pt idx="2">
                  <c:v>0.11</c:v>
                </c:pt>
                <c:pt idx="3">
                  <c:v>0.2</c:v>
                </c:pt>
                <c:pt idx="4">
                  <c:v>0.26</c:v>
                </c:pt>
                <c:pt idx="5">
                  <c:v>0.32</c:v>
                </c:pt>
                <c:pt idx="6">
                  <c:v>0.38</c:v>
                </c:pt>
                <c:pt idx="7">
                  <c:v>0.43</c:v>
                </c:pt>
                <c:pt idx="8">
                  <c:v>0.47</c:v>
                </c:pt>
                <c:pt idx="9">
                  <c:v>0.64</c:v>
                </c:pt>
                <c:pt idx="10">
                  <c:v>1.08</c:v>
                </c:pt>
                <c:pt idx="11">
                  <c:v>1.74</c:v>
                </c:pt>
                <c:pt idx="12">
                  <c:v>2.35</c:v>
                </c:pt>
                <c:pt idx="13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25769600"/>
        <c:axId val="125771136"/>
      </c:lineChart>
      <c:catAx>
        <c:axId val="12576960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771136"/>
        <c:crosses val="autoZero"/>
        <c:auto val="1"/>
        <c:lblAlgn val="ctr"/>
        <c:lblOffset val="100"/>
        <c:noMultiLvlLbl val="0"/>
      </c:catAx>
      <c:valAx>
        <c:axId val="125771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769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A.Sensibilidad Costo de Producción vs VAN</a:t>
            </a:r>
          </a:p>
        </c:rich>
      </c:tx>
      <c:layout>
        <c:manualLayout>
          <c:xMode val="edge"/>
          <c:yMode val="edge"/>
          <c:x val="0.38313798104004126"/>
          <c:y val="6.26175959979924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434776450877"/>
          <c:y val="4.1797283176593522E-2"/>
          <c:w val="0.85621763984438803"/>
          <c:h val="0.90804597701149425"/>
        </c:manualLayout>
      </c:layout>
      <c:lineChart>
        <c:grouping val="standard"/>
        <c:varyColors val="0"/>
        <c:ser>
          <c:idx val="1"/>
          <c:order val="0"/>
          <c:tx>
            <c:strRef>
              <c:f>'A. Sensibilidad Costo'!$F$15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cat>
            <c:numRef>
              <c:f>'A. Sensibilidad Costo'!$E$16:$E$27</c:f>
              <c:numCache>
                <c:formatCode>_(* #,##0.00_);_(* \(#,##0.00\);_(* "-"??_);_(@_)</c:formatCode>
                <c:ptCount val="12"/>
                <c:pt idx="0" formatCode="_(&quot;$&quot;\ * #,##0.0000_);_(&quot;$&quot;\ * \(#,##0.0000\);_(&quot;$&quot;\ * &quot;-&quot;??_);_(@_)">
                  <c:v>7.0000000000000007E-2</c:v>
                </c:pt>
                <c:pt idx="1">
                  <c:v>0.08</c:v>
                </c:pt>
                <c:pt idx="2">
                  <c:v>0.09</c:v>
                </c:pt>
                <c:pt idx="3">
                  <c:v>9.9500000000000005E-2</c:v>
                </c:pt>
                <c:pt idx="4">
                  <c:v>9.98E-2</c:v>
                </c:pt>
                <c:pt idx="5">
                  <c:v>9.9900000000000003E-2</c:v>
                </c:pt>
                <c:pt idx="6">
                  <c:v>0.1</c:v>
                </c:pt>
                <c:pt idx="7">
                  <c:v>0.10100000000000001</c:v>
                </c:pt>
                <c:pt idx="8">
                  <c:v>0.105</c:v>
                </c:pt>
                <c:pt idx="9">
                  <c:v>0.11</c:v>
                </c:pt>
                <c:pt idx="10">
                  <c:v>0.12</c:v>
                </c:pt>
                <c:pt idx="11">
                  <c:v>0.13</c:v>
                </c:pt>
              </c:numCache>
            </c:numRef>
          </c:cat>
          <c:val>
            <c:numRef>
              <c:f>'A. Sensibilidad Costo'!$F$16:$F$27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687406.53</c:v>
                </c:pt>
                <c:pt idx="1">
                  <c:v>462381.6</c:v>
                </c:pt>
                <c:pt idx="2">
                  <c:v>237356.67</c:v>
                </c:pt>
                <c:pt idx="3">
                  <c:v>17499.849999999999</c:v>
                </c:pt>
                <c:pt idx="4">
                  <c:v>10422.32</c:v>
                </c:pt>
                <c:pt idx="5">
                  <c:v>8063.14</c:v>
                </c:pt>
                <c:pt idx="6">
                  <c:v>5703.96</c:v>
                </c:pt>
                <c:pt idx="7">
                  <c:v>-20130.39</c:v>
                </c:pt>
                <c:pt idx="8">
                  <c:v>-160542.06</c:v>
                </c:pt>
                <c:pt idx="9">
                  <c:v>-352023.98</c:v>
                </c:pt>
                <c:pt idx="10">
                  <c:v>-745163.78</c:v>
                </c:pt>
                <c:pt idx="11">
                  <c:v>-1141251.99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25829120"/>
        <c:axId val="125830656"/>
      </c:lineChart>
      <c:catAx>
        <c:axId val="125829120"/>
        <c:scaling>
          <c:orientation val="minMax"/>
        </c:scaling>
        <c:delete val="0"/>
        <c:axPos val="b"/>
        <c:numFmt formatCode="_(&quot;$&quot;\ * #,##0.0000_);_(&quot;$&quot;\ * \(#,##0.0000\);_(&quot;$&quot;\ 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830656"/>
        <c:crosses val="autoZero"/>
        <c:auto val="1"/>
        <c:lblAlgn val="ctr"/>
        <c:lblOffset val="100"/>
        <c:noMultiLvlLbl val="0"/>
      </c:catAx>
      <c:valAx>
        <c:axId val="12583065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829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A.Sensibilidad Costo de Producción vs TIR</a:t>
            </a:r>
          </a:p>
        </c:rich>
      </c:tx>
      <c:layout>
        <c:manualLayout>
          <c:xMode val="edge"/>
          <c:yMode val="edge"/>
          <c:x val="0.32615973198917281"/>
          <c:y val="5.5555555555555552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'A. Sensibilidad Costo'!$E$16:$E$27</c:f>
              <c:numCache>
                <c:formatCode>_(* #,##0.00_);_(* \(#,##0.00\);_(* "-"??_);_(@_)</c:formatCode>
                <c:ptCount val="12"/>
                <c:pt idx="0" formatCode="_(&quot;$&quot;\ * #,##0.0000_);_(&quot;$&quot;\ * \(#,##0.0000\);_(&quot;$&quot;\ * &quot;-&quot;??_);_(@_)">
                  <c:v>7.0000000000000007E-2</c:v>
                </c:pt>
                <c:pt idx="1">
                  <c:v>0.08</c:v>
                </c:pt>
                <c:pt idx="2">
                  <c:v>0.09</c:v>
                </c:pt>
                <c:pt idx="3">
                  <c:v>9.9500000000000005E-2</c:v>
                </c:pt>
                <c:pt idx="4">
                  <c:v>9.98E-2</c:v>
                </c:pt>
                <c:pt idx="5">
                  <c:v>9.9900000000000003E-2</c:v>
                </c:pt>
                <c:pt idx="6">
                  <c:v>0.1</c:v>
                </c:pt>
                <c:pt idx="7">
                  <c:v>0.10100000000000001</c:v>
                </c:pt>
                <c:pt idx="8">
                  <c:v>0.105</c:v>
                </c:pt>
                <c:pt idx="9">
                  <c:v>0.11</c:v>
                </c:pt>
                <c:pt idx="10">
                  <c:v>0.12</c:v>
                </c:pt>
                <c:pt idx="11">
                  <c:v>0.13</c:v>
                </c:pt>
              </c:numCache>
            </c:numRef>
          </c:cat>
          <c:val>
            <c:numRef>
              <c:f>'A. Sensibilidad Costo'!$G$16:$G$27</c:f>
              <c:numCache>
                <c:formatCode>0%</c:formatCode>
                <c:ptCount val="12"/>
                <c:pt idx="0">
                  <c:v>6.4</c:v>
                </c:pt>
                <c:pt idx="1">
                  <c:v>4</c:v>
                </c:pt>
                <c:pt idx="2">
                  <c:v>2.09</c:v>
                </c:pt>
                <c:pt idx="3">
                  <c:v>0.37</c:v>
                </c:pt>
                <c:pt idx="4">
                  <c:v>0.28999999999999998</c:v>
                </c:pt>
                <c:pt idx="5">
                  <c:v>0.26</c:v>
                </c:pt>
                <c:pt idx="6">
                  <c:v>0.23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25853056"/>
        <c:axId val="125858944"/>
      </c:lineChart>
      <c:catAx>
        <c:axId val="125853056"/>
        <c:scaling>
          <c:orientation val="minMax"/>
        </c:scaling>
        <c:delete val="0"/>
        <c:axPos val="b"/>
        <c:numFmt formatCode="_(&quot;$&quot;\ * #,##0.0000_);_(&quot;$&quot;\ * \(#,##0.0000\);_(&quot;$&quot;\ 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858944"/>
        <c:crosses val="autoZero"/>
        <c:auto val="1"/>
        <c:lblAlgn val="ctr"/>
        <c:lblOffset val="100"/>
        <c:noMultiLvlLbl val="0"/>
      </c:catAx>
      <c:valAx>
        <c:axId val="125858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5853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32</xdr:row>
      <xdr:rowOff>9525</xdr:rowOff>
    </xdr:from>
    <xdr:to>
      <xdr:col>9</xdr:col>
      <xdr:colOff>838200</xdr:colOff>
      <xdr:row>48</xdr:row>
      <xdr:rowOff>95250</xdr:rowOff>
    </xdr:to>
    <xdr:pic>
      <xdr:nvPicPr>
        <xdr:cNvPr id="2187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5210175"/>
          <a:ext cx="5057775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32</xdr:row>
      <xdr:rowOff>38100</xdr:rowOff>
    </xdr:from>
    <xdr:to>
      <xdr:col>11</xdr:col>
      <xdr:colOff>314325</xdr:colOff>
      <xdr:row>48</xdr:row>
      <xdr:rowOff>123825</xdr:rowOff>
    </xdr:to>
    <xdr:pic>
      <xdr:nvPicPr>
        <xdr:cNvPr id="176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4525" y="5257800"/>
          <a:ext cx="5057775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457200</xdr:colOff>
      <xdr:row>56</xdr:row>
      <xdr:rowOff>114300</xdr:rowOff>
    </xdr:from>
    <xdr:to>
      <xdr:col>10</xdr:col>
      <xdr:colOff>457200</xdr:colOff>
      <xdr:row>69</xdr:row>
      <xdr:rowOff>142875</xdr:rowOff>
    </xdr:to>
    <xdr:pic>
      <xdr:nvPicPr>
        <xdr:cNvPr id="176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15100" y="9248775"/>
          <a:ext cx="3648075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9525</xdr:rowOff>
    </xdr:from>
    <xdr:to>
      <xdr:col>4</xdr:col>
      <xdr:colOff>400050</xdr:colOff>
      <xdr:row>60</xdr:row>
      <xdr:rowOff>123825</xdr:rowOff>
    </xdr:to>
    <xdr:graphicFrame macro="">
      <xdr:nvGraphicFramePr>
        <xdr:cNvPr id="3027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952500</xdr:colOff>
      <xdr:row>96</xdr:row>
      <xdr:rowOff>171450</xdr:rowOff>
    </xdr:from>
    <xdr:to>
      <xdr:col>3</xdr:col>
      <xdr:colOff>419100</xdr:colOff>
      <xdr:row>96</xdr:row>
      <xdr:rowOff>171450</xdr:rowOff>
    </xdr:to>
    <xdr:cxnSp macro="">
      <xdr:nvCxnSpPr>
        <xdr:cNvPr id="3" name="2 Conector recto de flecha"/>
        <xdr:cNvCxnSpPr/>
      </xdr:nvCxnSpPr>
      <xdr:spPr>
        <a:xfrm>
          <a:off x="2857500" y="18468975"/>
          <a:ext cx="695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96</xdr:row>
      <xdr:rowOff>161925</xdr:rowOff>
    </xdr:from>
    <xdr:to>
      <xdr:col>5</xdr:col>
      <xdr:colOff>123825</xdr:colOff>
      <xdr:row>96</xdr:row>
      <xdr:rowOff>161925</xdr:rowOff>
    </xdr:to>
    <xdr:cxnSp macro="">
      <xdr:nvCxnSpPr>
        <xdr:cNvPr id="4" name="3 Conector recto de flecha"/>
        <xdr:cNvCxnSpPr/>
      </xdr:nvCxnSpPr>
      <xdr:spPr>
        <a:xfrm>
          <a:off x="4876800" y="18459450"/>
          <a:ext cx="59055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4</xdr:col>
      <xdr:colOff>285750</xdr:colOff>
      <xdr:row>8</xdr:row>
      <xdr:rowOff>180975</xdr:rowOff>
    </xdr:to>
    <xdr:pic>
      <xdr:nvPicPr>
        <xdr:cNvPr id="54069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5275"/>
          <a:ext cx="48196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581025</xdr:colOff>
      <xdr:row>0</xdr:row>
      <xdr:rowOff>85725</xdr:rowOff>
    </xdr:from>
    <xdr:to>
      <xdr:col>8</xdr:col>
      <xdr:colOff>361950</xdr:colOff>
      <xdr:row>24</xdr:row>
      <xdr:rowOff>76200</xdr:rowOff>
    </xdr:to>
    <xdr:pic>
      <xdr:nvPicPr>
        <xdr:cNvPr id="54069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76925" y="85725"/>
          <a:ext cx="20669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714375</xdr:colOff>
      <xdr:row>1</xdr:row>
      <xdr:rowOff>171450</xdr:rowOff>
    </xdr:from>
    <xdr:to>
      <xdr:col>13</xdr:col>
      <xdr:colOff>361950</xdr:colOff>
      <xdr:row>12</xdr:row>
      <xdr:rowOff>133350</xdr:rowOff>
    </xdr:to>
    <xdr:pic>
      <xdr:nvPicPr>
        <xdr:cNvPr id="54070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58275" y="361950"/>
          <a:ext cx="4562475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26920</xdr:colOff>
      <xdr:row>42</xdr:row>
      <xdr:rowOff>38100</xdr:rowOff>
    </xdr:from>
    <xdr:to>
      <xdr:col>6</xdr:col>
      <xdr:colOff>297998</xdr:colOff>
      <xdr:row>46</xdr:row>
      <xdr:rowOff>38100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74920" y="8039100"/>
          <a:ext cx="1795078" cy="8953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3</xdr:col>
      <xdr:colOff>711694</xdr:colOff>
      <xdr:row>48</xdr:row>
      <xdr:rowOff>9524</xdr:rowOff>
    </xdr:from>
    <xdr:to>
      <xdr:col>6</xdr:col>
      <xdr:colOff>276225</xdr:colOff>
      <xdr:row>53</xdr:row>
      <xdr:rowOff>31271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97694" y="9153524"/>
          <a:ext cx="1850531" cy="97424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10</xdr:col>
      <xdr:colOff>1508349</xdr:colOff>
      <xdr:row>42</xdr:row>
      <xdr:rowOff>133350</xdr:rowOff>
    </xdr:from>
    <xdr:to>
      <xdr:col>12</xdr:col>
      <xdr:colOff>19050</xdr:colOff>
      <xdr:row>47</xdr:row>
      <xdr:rowOff>104774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14249" y="8134350"/>
          <a:ext cx="2177826" cy="105727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3</xdr:col>
      <xdr:colOff>685800</xdr:colOff>
      <xdr:row>54</xdr:row>
      <xdr:rowOff>0</xdr:rowOff>
    </xdr:from>
    <xdr:to>
      <xdr:col>7</xdr:col>
      <xdr:colOff>295275</xdr:colOff>
      <xdr:row>60</xdr:row>
      <xdr:rowOff>101871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457700" y="10420350"/>
          <a:ext cx="2657475" cy="126392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6</xdr:col>
      <xdr:colOff>430884</xdr:colOff>
      <xdr:row>42</xdr:row>
      <xdr:rowOff>76200</xdr:rowOff>
    </xdr:from>
    <xdr:to>
      <xdr:col>8</xdr:col>
      <xdr:colOff>704134</xdr:colOff>
      <xdr:row>46</xdr:row>
      <xdr:rowOff>133349</xdr:rowOff>
    </xdr:to>
    <xdr:pic>
      <xdr:nvPicPr>
        <xdr:cNvPr id="10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88784" y="8077200"/>
          <a:ext cx="1797250" cy="9524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9</xdr:col>
      <xdr:colOff>228600</xdr:colOff>
      <xdr:row>48</xdr:row>
      <xdr:rowOff>23429</xdr:rowOff>
    </xdr:from>
    <xdr:to>
      <xdr:col>10</xdr:col>
      <xdr:colOff>1371600</xdr:colOff>
      <xdr:row>54</xdr:row>
      <xdr:rowOff>150588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572500" y="9300779"/>
          <a:ext cx="1905000" cy="127015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9</xdr:col>
      <xdr:colOff>123825</xdr:colOff>
      <xdr:row>42</xdr:row>
      <xdr:rowOff>104775</xdr:rowOff>
    </xdr:from>
    <xdr:to>
      <xdr:col>10</xdr:col>
      <xdr:colOff>1390497</xdr:colOff>
      <xdr:row>46</xdr:row>
      <xdr:rowOff>108386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467725" y="8105775"/>
          <a:ext cx="2028672" cy="89896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7</xdr:col>
      <xdr:colOff>438150</xdr:colOff>
      <xdr:row>55</xdr:row>
      <xdr:rowOff>12351</xdr:rowOff>
    </xdr:from>
    <xdr:to>
      <xdr:col>10</xdr:col>
      <xdr:colOff>698160</xdr:colOff>
      <xdr:row>60</xdr:row>
      <xdr:rowOff>183201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258050" y="10623201"/>
          <a:ext cx="2546010" cy="1142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10</xdr:col>
      <xdr:colOff>1543049</xdr:colOff>
      <xdr:row>48</xdr:row>
      <xdr:rowOff>95250</xdr:rowOff>
    </xdr:from>
    <xdr:to>
      <xdr:col>12</xdr:col>
      <xdr:colOff>283129</xdr:colOff>
      <xdr:row>54</xdr:row>
      <xdr:rowOff>105947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648949" y="9372600"/>
          <a:ext cx="2407205" cy="115369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20</xdr:col>
      <xdr:colOff>238125</xdr:colOff>
      <xdr:row>4</xdr:row>
      <xdr:rowOff>171450</xdr:rowOff>
    </xdr:from>
    <xdr:to>
      <xdr:col>24</xdr:col>
      <xdr:colOff>104775</xdr:colOff>
      <xdr:row>12</xdr:row>
      <xdr:rowOff>38100</xdr:rowOff>
    </xdr:to>
    <xdr:pic>
      <xdr:nvPicPr>
        <xdr:cNvPr id="540710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145500" y="933450"/>
          <a:ext cx="29146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417933</xdr:colOff>
      <xdr:row>47</xdr:row>
      <xdr:rowOff>180975</xdr:rowOff>
    </xdr:from>
    <xdr:to>
      <xdr:col>9</xdr:col>
      <xdr:colOff>95251</xdr:colOff>
      <xdr:row>53</xdr:row>
      <xdr:rowOff>57150</xdr:rowOff>
    </xdr:to>
    <xdr:pic>
      <xdr:nvPicPr>
        <xdr:cNvPr id="18" name="17 Image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989933" y="9134475"/>
          <a:ext cx="1963318" cy="10191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/>
      </xdr:spPr>
    </xdr:pic>
    <xdr:clientData/>
  </xdr:twoCellAnchor>
  <xdr:twoCellAnchor editAs="oneCell">
    <xdr:from>
      <xdr:col>1</xdr:col>
      <xdr:colOff>457200</xdr:colOff>
      <xdr:row>26</xdr:row>
      <xdr:rowOff>66675</xdr:rowOff>
    </xdr:from>
    <xdr:to>
      <xdr:col>4</xdr:col>
      <xdr:colOff>742950</xdr:colOff>
      <xdr:row>36</xdr:row>
      <xdr:rowOff>38100</xdr:rowOff>
    </xdr:to>
    <xdr:pic>
      <xdr:nvPicPr>
        <xdr:cNvPr id="540712" name="18 Image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619375" y="5076825"/>
          <a:ext cx="26574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26</xdr:row>
      <xdr:rowOff>57150</xdr:rowOff>
    </xdr:from>
    <xdr:to>
      <xdr:col>1</xdr:col>
      <xdr:colOff>323850</xdr:colOff>
      <xdr:row>36</xdr:row>
      <xdr:rowOff>0</xdr:rowOff>
    </xdr:to>
    <xdr:pic>
      <xdr:nvPicPr>
        <xdr:cNvPr id="540713" name="19 Image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0" y="5067300"/>
          <a:ext cx="23907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65</xdr:row>
      <xdr:rowOff>9525</xdr:rowOff>
    </xdr:from>
    <xdr:to>
      <xdr:col>10</xdr:col>
      <xdr:colOff>800100</xdr:colOff>
      <xdr:row>71</xdr:row>
      <xdr:rowOff>9524</xdr:rowOff>
    </xdr:to>
    <xdr:pic>
      <xdr:nvPicPr>
        <xdr:cNvPr id="1844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5675" y="12049125"/>
          <a:ext cx="30765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71438</xdr:colOff>
      <xdr:row>3</xdr:row>
      <xdr:rowOff>47626</xdr:rowOff>
    </xdr:from>
    <xdr:to>
      <xdr:col>13</xdr:col>
      <xdr:colOff>890588</xdr:colOff>
      <xdr:row>22</xdr:row>
      <xdr:rowOff>19051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15</xdr:row>
      <xdr:rowOff>28575</xdr:rowOff>
    </xdr:from>
    <xdr:to>
      <xdr:col>12</xdr:col>
      <xdr:colOff>152400</xdr:colOff>
      <xdr:row>31</xdr:row>
      <xdr:rowOff>28575</xdr:rowOff>
    </xdr:to>
    <xdr:graphicFrame macro="">
      <xdr:nvGraphicFramePr>
        <xdr:cNvPr id="13020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31</xdr:row>
      <xdr:rowOff>123825</xdr:rowOff>
    </xdr:from>
    <xdr:to>
      <xdr:col>16</xdr:col>
      <xdr:colOff>95250</xdr:colOff>
      <xdr:row>49</xdr:row>
      <xdr:rowOff>161925</xdr:rowOff>
    </xdr:to>
    <xdr:graphicFrame macro="">
      <xdr:nvGraphicFramePr>
        <xdr:cNvPr id="13020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14</xdr:row>
      <xdr:rowOff>0</xdr:rowOff>
    </xdr:from>
    <xdr:to>
      <xdr:col>16</xdr:col>
      <xdr:colOff>47625</xdr:colOff>
      <xdr:row>29</xdr:row>
      <xdr:rowOff>28575</xdr:rowOff>
    </xdr:to>
    <xdr:graphicFrame macro="">
      <xdr:nvGraphicFramePr>
        <xdr:cNvPr id="13736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29</xdr:row>
      <xdr:rowOff>123825</xdr:rowOff>
    </xdr:from>
    <xdr:to>
      <xdr:col>14</xdr:col>
      <xdr:colOff>800100</xdr:colOff>
      <xdr:row>44</xdr:row>
      <xdr:rowOff>9525</xdr:rowOff>
    </xdr:to>
    <xdr:graphicFrame macro="">
      <xdr:nvGraphicFramePr>
        <xdr:cNvPr id="13737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%20HUGO%20H/Desktop/publicopias%20emprendimiento%20financiero%20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%20HUGO%20H/Desktop/Users/VICTOR%20HUGO%20H/Desktop/Estimacion%20de%20la%20dema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I"/>
      <sheetName val="#ACCIONES"/>
      <sheetName val="MONTOS-INVERSION(local) lata"/>
      <sheetName val="MONTOS-INVERSION(local)"/>
      <sheetName val="MONTOS-INVERSION (isla) (2)"/>
      <sheetName val="MONTOS-INVERSION (publice) lata"/>
      <sheetName val="MONTOS-INVERSION (isla)"/>
      <sheetName val="INTERESES "/>
      <sheetName val="DEPRECIACION"/>
      <sheetName val="COSTOS"/>
      <sheetName val="INGRESOS "/>
      <sheetName val="INGRESOS-COSTOS TOTALES"/>
      <sheetName val="flujo efectivo PA SIN PRESTAMO"/>
      <sheetName val="flujo efectivo PA con prestamo"/>
      <sheetName val="Estado de Resultado PA"/>
      <sheetName val="FLUJOEFECTIVO "/>
      <sheetName val="Amortizacio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1">
          <cell r="C11">
            <v>14712</v>
          </cell>
        </row>
        <row r="12">
          <cell r="C12">
            <v>4398.83</v>
          </cell>
        </row>
        <row r="13">
          <cell r="C13">
            <v>51322.544000000002</v>
          </cell>
        </row>
        <row r="14">
          <cell r="C14">
            <v>2400</v>
          </cell>
        </row>
        <row r="15">
          <cell r="C15">
            <v>600</v>
          </cell>
        </row>
        <row r="16">
          <cell r="C16">
            <v>957.13</v>
          </cell>
        </row>
        <row r="17">
          <cell r="C17">
            <v>5442.8253333333332</v>
          </cell>
        </row>
        <row r="18">
          <cell r="C18">
            <v>392.72</v>
          </cell>
        </row>
        <row r="19">
          <cell r="C19">
            <v>618.93999999999994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ortizacion"/>
      <sheetName val="publicartilla "/>
    </sheetNames>
    <sheetDataSet>
      <sheetData sheetId="0">
        <row r="29">
          <cell r="A29">
            <v>2003</v>
          </cell>
          <cell r="B29">
            <v>429.56015500000001</v>
          </cell>
        </row>
        <row r="30">
          <cell r="A30">
            <v>2004</v>
          </cell>
          <cell r="B30">
            <v>499.81680999999998</v>
          </cell>
        </row>
        <row r="31">
          <cell r="A31">
            <v>2005</v>
          </cell>
          <cell r="B31">
            <v>614.253916</v>
          </cell>
        </row>
        <row r="32">
          <cell r="A32">
            <v>2006</v>
          </cell>
          <cell r="B32">
            <v>686.11415489000001</v>
          </cell>
        </row>
        <row r="33">
          <cell r="A33">
            <v>2007</v>
          </cell>
          <cell r="B33">
            <v>779.20677710000007</v>
          </cell>
        </row>
        <row r="34">
          <cell r="A34">
            <v>2008</v>
          </cell>
          <cell r="B34">
            <v>750.56702627000016</v>
          </cell>
        </row>
        <row r="35">
          <cell r="A35">
            <v>2009</v>
          </cell>
          <cell r="B35">
            <v>734.13849463999986</v>
          </cell>
        </row>
        <row r="36">
          <cell r="A36">
            <v>2010</v>
          </cell>
          <cell r="B36">
            <v>767.91013780999992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GridLines="0" zoomScale="90" zoomScaleNormal="90" workbookViewId="0">
      <selection activeCell="E26" sqref="E26"/>
    </sheetView>
  </sheetViews>
  <sheetFormatPr baseColWidth="10" defaultRowHeight="12.75" x14ac:dyDescent="0.25"/>
  <cols>
    <col min="1" max="1" width="11.42578125" style="7"/>
    <col min="2" max="2" width="3" style="7" bestFit="1" customWidth="1"/>
    <col min="3" max="3" width="21.140625" style="7" customWidth="1"/>
    <col min="4" max="4" width="15.42578125" style="7" bestFit="1" customWidth="1"/>
    <col min="5" max="5" width="11.5703125" style="7" bestFit="1" customWidth="1"/>
    <col min="6" max="6" width="14.140625" style="7" bestFit="1" customWidth="1"/>
    <col min="7" max="7" width="15.28515625" style="7" bestFit="1" customWidth="1"/>
    <col min="8" max="9" width="12" style="7" bestFit="1" customWidth="1"/>
    <col min="10" max="10" width="18.42578125" style="7" bestFit="1" customWidth="1"/>
    <col min="11" max="11" width="11.42578125" style="7"/>
    <col min="12" max="12" width="2" style="7" bestFit="1" customWidth="1"/>
    <col min="13" max="13" width="19.140625" style="7" customWidth="1"/>
    <col min="14" max="14" width="16.7109375" style="7" bestFit="1" customWidth="1"/>
    <col min="15" max="15" width="10.7109375" style="7" bestFit="1" customWidth="1"/>
    <col min="16" max="16" width="17.140625" style="7" bestFit="1" customWidth="1"/>
    <col min="17" max="16384" width="11.42578125" style="7"/>
  </cols>
  <sheetData>
    <row r="1" spans="2:18" x14ac:dyDescent="0.25">
      <c r="B1" s="772" t="s">
        <v>396</v>
      </c>
      <c r="C1" s="772"/>
      <c r="D1" s="772"/>
      <c r="E1" s="772"/>
      <c r="F1" s="772"/>
      <c r="G1" s="772"/>
      <c r="H1" s="772"/>
      <c r="I1" s="772"/>
      <c r="J1" s="772"/>
    </row>
    <row r="2" spans="2:18" x14ac:dyDescent="0.25">
      <c r="B2" s="163"/>
      <c r="C2" s="152"/>
      <c r="D2" s="152"/>
      <c r="E2" s="164"/>
      <c r="F2" s="164"/>
      <c r="G2" s="164"/>
      <c r="H2" s="164"/>
    </row>
    <row r="3" spans="2:18" x14ac:dyDescent="0.25">
      <c r="B3" s="165"/>
      <c r="C3" s="165" t="s">
        <v>168</v>
      </c>
      <c r="D3" s="165" t="s">
        <v>167</v>
      </c>
      <c r="E3" s="165" t="s">
        <v>55</v>
      </c>
      <c r="F3" s="165" t="s">
        <v>56</v>
      </c>
      <c r="G3" s="166" t="s">
        <v>62</v>
      </c>
      <c r="H3" s="166" t="s">
        <v>63</v>
      </c>
      <c r="I3" s="460" t="s">
        <v>392</v>
      </c>
      <c r="J3" s="460" t="s">
        <v>393</v>
      </c>
    </row>
    <row r="4" spans="2:18" x14ac:dyDescent="0.25">
      <c r="B4" s="167">
        <v>1</v>
      </c>
      <c r="C4" s="168" t="s">
        <v>163</v>
      </c>
      <c r="D4" s="171">
        <v>500</v>
      </c>
      <c r="E4" s="171">
        <f t="shared" ref="E4:E12" si="0">+D4*12/12</f>
        <v>500</v>
      </c>
      <c r="F4" s="171">
        <v>292</v>
      </c>
      <c r="G4" s="172">
        <f>D4*11.15%</f>
        <v>55.75</v>
      </c>
      <c r="H4" s="172">
        <f>D4*1%</f>
        <v>5</v>
      </c>
      <c r="I4" s="172">
        <f>+D4*12/24</f>
        <v>250</v>
      </c>
      <c r="J4" s="172">
        <f>+D4/12</f>
        <v>41.666666666666664</v>
      </c>
    </row>
    <row r="5" spans="2:18" x14ac:dyDescent="0.25">
      <c r="B5" s="167">
        <v>2</v>
      </c>
      <c r="C5" s="168" t="s">
        <v>57</v>
      </c>
      <c r="D5" s="711">
        <v>500</v>
      </c>
      <c r="E5" s="711">
        <f t="shared" si="0"/>
        <v>500</v>
      </c>
      <c r="F5" s="711">
        <v>292</v>
      </c>
      <c r="G5" s="678">
        <f t="shared" ref="G5:G12" si="1">D5*11.15%</f>
        <v>55.75</v>
      </c>
      <c r="H5" s="678">
        <f t="shared" ref="H5:H12" si="2">D5*1%</f>
        <v>5</v>
      </c>
      <c r="I5" s="678">
        <f>+D5*12/24</f>
        <v>250</v>
      </c>
      <c r="J5" s="678">
        <f t="shared" ref="J5:J12" si="3">+D5/12</f>
        <v>41.666666666666664</v>
      </c>
    </row>
    <row r="6" spans="2:18" x14ac:dyDescent="0.25">
      <c r="B6" s="167">
        <v>3</v>
      </c>
      <c r="C6" s="168" t="s">
        <v>164</v>
      </c>
      <c r="D6" s="711">
        <v>400</v>
      </c>
      <c r="E6" s="711">
        <f t="shared" si="0"/>
        <v>400</v>
      </c>
      <c r="F6" s="711">
        <v>292</v>
      </c>
      <c r="G6" s="678">
        <f t="shared" si="1"/>
        <v>44.6</v>
      </c>
      <c r="H6" s="678">
        <f t="shared" si="2"/>
        <v>4</v>
      </c>
      <c r="I6" s="678">
        <f t="shared" ref="I6:I12" si="4">+D6*12/24</f>
        <v>200</v>
      </c>
      <c r="J6" s="678">
        <f t="shared" si="3"/>
        <v>33.333333333333336</v>
      </c>
    </row>
    <row r="7" spans="2:18" x14ac:dyDescent="0.25">
      <c r="B7" s="167">
        <v>4</v>
      </c>
      <c r="C7" s="168" t="s">
        <v>165</v>
      </c>
      <c r="D7" s="711">
        <v>400</v>
      </c>
      <c r="E7" s="711">
        <f t="shared" si="0"/>
        <v>400</v>
      </c>
      <c r="F7" s="711">
        <v>292</v>
      </c>
      <c r="G7" s="678">
        <f t="shared" si="1"/>
        <v>44.6</v>
      </c>
      <c r="H7" s="678">
        <f t="shared" si="2"/>
        <v>4</v>
      </c>
      <c r="I7" s="678">
        <f t="shared" si="4"/>
        <v>200</v>
      </c>
      <c r="J7" s="678">
        <f t="shared" si="3"/>
        <v>33.333333333333336</v>
      </c>
    </row>
    <row r="8" spans="2:18" x14ac:dyDescent="0.25">
      <c r="B8" s="167">
        <v>5</v>
      </c>
      <c r="C8" s="168" t="s">
        <v>166</v>
      </c>
      <c r="D8" s="711">
        <v>400</v>
      </c>
      <c r="E8" s="711">
        <f t="shared" si="0"/>
        <v>400</v>
      </c>
      <c r="F8" s="711">
        <v>292</v>
      </c>
      <c r="G8" s="678">
        <f t="shared" si="1"/>
        <v>44.6</v>
      </c>
      <c r="H8" s="678">
        <f t="shared" si="2"/>
        <v>4</v>
      </c>
      <c r="I8" s="678">
        <f t="shared" si="4"/>
        <v>200</v>
      </c>
      <c r="J8" s="678">
        <f t="shared" si="3"/>
        <v>33.333333333333336</v>
      </c>
    </row>
    <row r="9" spans="2:18" x14ac:dyDescent="0.25">
      <c r="B9" s="167">
        <v>6</v>
      </c>
      <c r="C9" s="168" t="s">
        <v>58</v>
      </c>
      <c r="D9" s="711">
        <v>292</v>
      </c>
      <c r="E9" s="711">
        <f t="shared" si="0"/>
        <v>292</v>
      </c>
      <c r="F9" s="711">
        <v>292</v>
      </c>
      <c r="G9" s="678">
        <f t="shared" si="1"/>
        <v>32.558</v>
      </c>
      <c r="H9" s="678">
        <f t="shared" si="2"/>
        <v>2.92</v>
      </c>
      <c r="I9" s="678">
        <f t="shared" si="4"/>
        <v>146</v>
      </c>
      <c r="J9" s="678">
        <f t="shared" si="3"/>
        <v>24.333333333333332</v>
      </c>
    </row>
    <row r="10" spans="2:18" x14ac:dyDescent="0.25">
      <c r="B10" s="167">
        <v>7</v>
      </c>
      <c r="C10" s="168" t="s">
        <v>59</v>
      </c>
      <c r="D10" s="711">
        <v>292</v>
      </c>
      <c r="E10" s="711">
        <f t="shared" si="0"/>
        <v>292</v>
      </c>
      <c r="F10" s="711">
        <v>292</v>
      </c>
      <c r="G10" s="678">
        <f t="shared" si="1"/>
        <v>32.558</v>
      </c>
      <c r="H10" s="678">
        <f t="shared" si="2"/>
        <v>2.92</v>
      </c>
      <c r="I10" s="678">
        <f t="shared" si="4"/>
        <v>146</v>
      </c>
      <c r="J10" s="678">
        <f t="shared" si="3"/>
        <v>24.333333333333332</v>
      </c>
      <c r="L10" s="164"/>
      <c r="M10" s="164"/>
      <c r="N10" s="164"/>
      <c r="O10" s="164"/>
      <c r="P10" s="164"/>
      <c r="Q10" s="164"/>
      <c r="R10" s="164"/>
    </row>
    <row r="11" spans="2:18" x14ac:dyDescent="0.25">
      <c r="B11" s="167">
        <v>8</v>
      </c>
      <c r="C11" s="168" t="s">
        <v>161</v>
      </c>
      <c r="D11" s="711">
        <v>292</v>
      </c>
      <c r="E11" s="711">
        <f t="shared" si="0"/>
        <v>292</v>
      </c>
      <c r="F11" s="711">
        <v>292</v>
      </c>
      <c r="G11" s="678">
        <f t="shared" si="1"/>
        <v>32.558</v>
      </c>
      <c r="H11" s="678">
        <f t="shared" si="2"/>
        <v>2.92</v>
      </c>
      <c r="I11" s="678">
        <f t="shared" si="4"/>
        <v>146</v>
      </c>
      <c r="J11" s="678">
        <f t="shared" si="3"/>
        <v>24.333333333333332</v>
      </c>
      <c r="L11" s="164"/>
      <c r="M11" s="164"/>
      <c r="N11" s="164"/>
      <c r="O11" s="164"/>
      <c r="P11" s="164"/>
      <c r="Q11" s="164"/>
      <c r="R11" s="164"/>
    </row>
    <row r="12" spans="2:18" x14ac:dyDescent="0.25">
      <c r="B12" s="167">
        <v>9</v>
      </c>
      <c r="C12" s="168" t="s">
        <v>162</v>
      </c>
      <c r="D12" s="711">
        <v>292</v>
      </c>
      <c r="E12" s="711">
        <f t="shared" si="0"/>
        <v>292</v>
      </c>
      <c r="F12" s="711">
        <v>292</v>
      </c>
      <c r="G12" s="678">
        <f t="shared" si="1"/>
        <v>32.558</v>
      </c>
      <c r="H12" s="678">
        <f t="shared" si="2"/>
        <v>2.92</v>
      </c>
      <c r="I12" s="678">
        <f t="shared" si="4"/>
        <v>146</v>
      </c>
      <c r="J12" s="678">
        <f t="shared" si="3"/>
        <v>24.333333333333332</v>
      </c>
      <c r="L12" s="164"/>
      <c r="M12" s="164"/>
      <c r="N12" s="164"/>
      <c r="O12" s="164"/>
      <c r="P12" s="164"/>
      <c r="Q12" s="164"/>
      <c r="R12" s="164"/>
    </row>
    <row r="13" spans="2:18" x14ac:dyDescent="0.25">
      <c r="B13" s="167">
        <v>10</v>
      </c>
      <c r="C13" s="168" t="s">
        <v>410</v>
      </c>
      <c r="D13" s="711">
        <f>D12</f>
        <v>292</v>
      </c>
      <c r="E13" s="711">
        <f t="shared" ref="E13:J14" si="5">E12</f>
        <v>292</v>
      </c>
      <c r="F13" s="711">
        <f t="shared" si="5"/>
        <v>292</v>
      </c>
      <c r="G13" s="711">
        <f t="shared" si="5"/>
        <v>32.558</v>
      </c>
      <c r="H13" s="711">
        <f t="shared" si="5"/>
        <v>2.92</v>
      </c>
      <c r="I13" s="711">
        <f t="shared" si="5"/>
        <v>146</v>
      </c>
      <c r="J13" s="711">
        <f t="shared" si="5"/>
        <v>24.333333333333332</v>
      </c>
      <c r="L13" s="773" t="s">
        <v>316</v>
      </c>
      <c r="M13" s="773"/>
      <c r="N13" s="773"/>
      <c r="O13" s="773"/>
      <c r="P13" s="773"/>
      <c r="Q13" s="164"/>
      <c r="R13" s="164"/>
    </row>
    <row r="14" spans="2:18" x14ac:dyDescent="0.25">
      <c r="B14" s="167">
        <v>11</v>
      </c>
      <c r="C14" s="168" t="s">
        <v>409</v>
      </c>
      <c r="D14" s="711">
        <f>D13</f>
        <v>292</v>
      </c>
      <c r="E14" s="711">
        <f t="shared" si="5"/>
        <v>292</v>
      </c>
      <c r="F14" s="711">
        <f t="shared" si="5"/>
        <v>292</v>
      </c>
      <c r="G14" s="711">
        <f t="shared" si="5"/>
        <v>32.558</v>
      </c>
      <c r="H14" s="711">
        <f t="shared" si="5"/>
        <v>2.92</v>
      </c>
      <c r="I14" s="711">
        <f t="shared" si="5"/>
        <v>146</v>
      </c>
      <c r="J14" s="711">
        <f t="shared" si="5"/>
        <v>24.333333333333332</v>
      </c>
      <c r="L14" s="290"/>
      <c r="M14" s="278"/>
      <c r="N14" s="278"/>
      <c r="O14" s="278"/>
      <c r="P14" s="278"/>
      <c r="Q14" s="164"/>
      <c r="R14" s="164"/>
    </row>
    <row r="15" spans="2:18" x14ac:dyDescent="0.25">
      <c r="B15" s="168"/>
      <c r="C15" s="165" t="s">
        <v>110</v>
      </c>
      <c r="D15" s="173">
        <f>SUM(D4:D14)</f>
        <v>3952</v>
      </c>
      <c r="E15" s="173">
        <f t="shared" ref="E15:J15" si="6">SUM(E4:E14)</f>
        <v>3952</v>
      </c>
      <c r="F15" s="173">
        <f t="shared" si="6"/>
        <v>3212</v>
      </c>
      <c r="G15" s="173">
        <f t="shared" si="6"/>
        <v>440.64799999999997</v>
      </c>
      <c r="H15" s="173">
        <f t="shared" si="6"/>
        <v>39.52000000000001</v>
      </c>
      <c r="I15" s="173">
        <f t="shared" si="6"/>
        <v>1976</v>
      </c>
      <c r="J15" s="173">
        <f t="shared" si="6"/>
        <v>329.33333333333331</v>
      </c>
      <c r="L15" s="774" t="s">
        <v>317</v>
      </c>
      <c r="M15" s="774"/>
      <c r="N15" s="296">
        <f>+ESI!F6</f>
        <v>23667.678053027135</v>
      </c>
      <c r="O15" s="278"/>
      <c r="P15" s="278"/>
      <c r="Q15" s="164"/>
      <c r="R15" s="164"/>
    </row>
    <row r="16" spans="2:18" x14ac:dyDescent="0.25">
      <c r="B16" s="164"/>
      <c r="C16" s="169" t="s">
        <v>172</v>
      </c>
      <c r="D16" s="164"/>
      <c r="E16" s="164"/>
      <c r="F16" s="164"/>
      <c r="L16" s="774" t="s">
        <v>318</v>
      </c>
      <c r="M16" s="774"/>
      <c r="N16" s="296">
        <v>10</v>
      </c>
      <c r="O16" s="278"/>
      <c r="P16" s="278"/>
      <c r="Q16" s="164"/>
      <c r="R16" s="164"/>
    </row>
    <row r="17" spans="2:18" x14ac:dyDescent="0.25">
      <c r="B17" s="164"/>
      <c r="C17" s="170" t="s">
        <v>169</v>
      </c>
      <c r="D17" s="164"/>
      <c r="E17" s="164"/>
      <c r="F17" s="164"/>
      <c r="G17" s="164"/>
      <c r="H17" s="164"/>
      <c r="L17" s="774" t="s">
        <v>319</v>
      </c>
      <c r="M17" s="774"/>
      <c r="N17" s="297">
        <f>N15/N16</f>
        <v>2366.7678053027134</v>
      </c>
      <c r="O17" s="278"/>
      <c r="P17" s="278"/>
      <c r="Q17" s="164"/>
      <c r="R17" s="164"/>
    </row>
    <row r="18" spans="2:18" x14ac:dyDescent="0.25">
      <c r="B18" s="164"/>
      <c r="C18" s="164"/>
      <c r="D18" s="164"/>
      <c r="E18" s="164"/>
      <c r="F18" s="164"/>
      <c r="G18" s="164"/>
      <c r="H18" s="164"/>
      <c r="L18" s="771" t="s">
        <v>320</v>
      </c>
      <c r="M18" s="771"/>
      <c r="N18" s="298">
        <v>2</v>
      </c>
      <c r="O18" s="278"/>
      <c r="P18" s="278"/>
      <c r="Q18" s="164"/>
      <c r="R18" s="164"/>
    </row>
    <row r="19" spans="2:18" x14ac:dyDescent="0.25">
      <c r="B19" s="164"/>
      <c r="C19" s="164" t="s">
        <v>171</v>
      </c>
      <c r="D19" s="164"/>
      <c r="E19" s="164"/>
      <c r="F19" s="164"/>
      <c r="G19" s="164"/>
      <c r="H19" s="164"/>
      <c r="L19" s="301"/>
      <c r="M19" s="301"/>
      <c r="N19" s="298"/>
      <c r="O19" s="278"/>
      <c r="P19" s="278"/>
      <c r="Q19" s="164"/>
      <c r="R19" s="164"/>
    </row>
    <row r="20" spans="2:18" x14ac:dyDescent="0.25">
      <c r="B20" s="164"/>
      <c r="C20" s="164"/>
      <c r="D20" s="164"/>
      <c r="E20" s="164"/>
      <c r="F20" s="164"/>
      <c r="G20" s="164"/>
      <c r="H20" s="164"/>
      <c r="L20" s="291"/>
      <c r="M20" s="166" t="s">
        <v>321</v>
      </c>
      <c r="N20" s="166" t="s">
        <v>322</v>
      </c>
      <c r="O20" s="166" t="s">
        <v>323</v>
      </c>
      <c r="P20" s="166" t="s">
        <v>324</v>
      </c>
      <c r="Q20" s="164"/>
      <c r="R20" s="164"/>
    </row>
    <row r="21" spans="2:18" x14ac:dyDescent="0.25">
      <c r="B21" s="164"/>
      <c r="C21" s="164" t="s">
        <v>170</v>
      </c>
      <c r="D21" s="164"/>
      <c r="E21" s="164"/>
      <c r="F21" s="164"/>
      <c r="G21" s="164"/>
      <c r="H21" s="164"/>
      <c r="L21" s="300">
        <v>1</v>
      </c>
      <c r="M21" s="299" t="s">
        <v>348</v>
      </c>
      <c r="N21" s="292">
        <f>$N$15/$N$18</f>
        <v>11833.839026513568</v>
      </c>
      <c r="O21" s="650">
        <f>N21/P21</f>
        <v>1183.3839026513567</v>
      </c>
      <c r="P21" s="293">
        <f>$N$16</f>
        <v>10</v>
      </c>
      <c r="Q21" s="164"/>
      <c r="R21" s="164"/>
    </row>
    <row r="22" spans="2:18" x14ac:dyDescent="0.25">
      <c r="G22" s="164"/>
      <c r="H22" s="164"/>
      <c r="L22" s="300">
        <v>2</v>
      </c>
      <c r="M22" s="299" t="s">
        <v>349</v>
      </c>
      <c r="N22" s="675">
        <f>$N$15/$N$18</f>
        <v>11833.839026513568</v>
      </c>
      <c r="O22" s="650">
        <f>N22/P22</f>
        <v>1183.3839026513567</v>
      </c>
      <c r="P22" s="675">
        <f>$N$16</f>
        <v>10</v>
      </c>
      <c r="Q22" s="164"/>
      <c r="R22" s="164"/>
    </row>
    <row r="23" spans="2:18" x14ac:dyDescent="0.25">
      <c r="L23" s="291"/>
      <c r="M23" s="166" t="s">
        <v>110</v>
      </c>
      <c r="N23" s="294">
        <f>SUM(N21:N22)</f>
        <v>23667.678053027135</v>
      </c>
      <c r="O23" s="295">
        <f>SUM(O21:O22)</f>
        <v>2366.7678053027134</v>
      </c>
      <c r="P23" s="293"/>
      <c r="Q23" s="164"/>
      <c r="R23" s="164"/>
    </row>
    <row r="24" spans="2:18" x14ac:dyDescent="0.25">
      <c r="L24" s="164"/>
      <c r="M24" s="164"/>
      <c r="N24" s="164"/>
      <c r="O24" s="164"/>
      <c r="P24" s="164"/>
      <c r="Q24" s="164"/>
      <c r="R24" s="164"/>
    </row>
    <row r="25" spans="2:18" x14ac:dyDescent="0.25">
      <c r="L25" s="164"/>
      <c r="M25" s="164"/>
      <c r="N25" s="164"/>
      <c r="O25" s="164"/>
      <c r="P25" s="164"/>
      <c r="Q25" s="164"/>
      <c r="R25" s="164"/>
    </row>
    <row r="26" spans="2:18" x14ac:dyDescent="0.25">
      <c r="L26" s="164"/>
      <c r="M26" s="164"/>
      <c r="N26" s="164"/>
      <c r="O26" s="164"/>
      <c r="P26" s="164"/>
      <c r="Q26" s="164"/>
      <c r="R26" s="164"/>
    </row>
  </sheetData>
  <mergeCells count="6">
    <mergeCell ref="L18:M18"/>
    <mergeCell ref="B1:J1"/>
    <mergeCell ref="L13:P13"/>
    <mergeCell ref="L15:M15"/>
    <mergeCell ref="L16:M16"/>
    <mergeCell ref="L17:M17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58"/>
  <sheetViews>
    <sheetView showGridLines="0" zoomScaleNormal="100" workbookViewId="0">
      <selection activeCell="A2" sqref="A2:G2"/>
    </sheetView>
  </sheetViews>
  <sheetFormatPr baseColWidth="10" defaultRowHeight="12.75" x14ac:dyDescent="0.25"/>
  <cols>
    <col min="1" max="1" width="33.140625" style="51" customWidth="1"/>
    <col min="2" max="2" width="13.85546875" style="51" bestFit="1" customWidth="1"/>
    <col min="3" max="7" width="12.85546875" style="51" bestFit="1" customWidth="1"/>
    <col min="8" max="8" width="9.42578125" style="51" bestFit="1" customWidth="1"/>
    <col min="9" max="9" width="11.28515625" style="51" customWidth="1"/>
    <col min="10" max="10" width="16.42578125" style="51" bestFit="1" customWidth="1"/>
    <col min="11" max="11" width="25.5703125" style="51" bestFit="1" customWidth="1"/>
    <col min="12" max="12" width="18.140625" style="51" bestFit="1" customWidth="1"/>
    <col min="13" max="13" width="20.28515625" style="51" bestFit="1" customWidth="1"/>
    <col min="14" max="14" width="23.7109375" style="51" bestFit="1" customWidth="1"/>
    <col min="15" max="15" width="28.85546875" style="51" bestFit="1" customWidth="1"/>
    <col min="16" max="16384" width="11.42578125" style="51"/>
  </cols>
  <sheetData>
    <row r="2" spans="1:18" x14ac:dyDescent="0.25">
      <c r="A2" s="882" t="s">
        <v>336</v>
      </c>
      <c r="B2" s="882"/>
      <c r="C2" s="882"/>
      <c r="D2" s="882"/>
      <c r="E2" s="882"/>
      <c r="F2" s="882"/>
      <c r="G2" s="882"/>
      <c r="K2" s="213"/>
    </row>
    <row r="4" spans="1:18" x14ac:dyDescent="0.25">
      <c r="B4" s="214">
        <v>2012</v>
      </c>
      <c r="C4" s="214">
        <v>2013</v>
      </c>
      <c r="D4" s="214">
        <v>2014</v>
      </c>
      <c r="E4" s="214">
        <v>2015</v>
      </c>
      <c r="F4" s="214">
        <v>2016</v>
      </c>
      <c r="G4" s="214">
        <v>2017</v>
      </c>
      <c r="H4" s="214"/>
      <c r="I4" s="67"/>
      <c r="J4" s="67"/>
      <c r="K4" s="67"/>
    </row>
    <row r="5" spans="1:18" ht="15.75" customHeight="1" x14ac:dyDescent="0.25">
      <c r="A5" s="204" t="s">
        <v>69</v>
      </c>
      <c r="B5" s="215"/>
      <c r="C5" s="216"/>
      <c r="D5" s="215"/>
      <c r="E5" s="215"/>
      <c r="I5" s="891"/>
      <c r="J5" s="891"/>
      <c r="K5" s="67"/>
    </row>
    <row r="6" spans="1:18" x14ac:dyDescent="0.25">
      <c r="A6" s="67" t="s">
        <v>73</v>
      </c>
      <c r="B6" s="302"/>
      <c r="C6" s="328">
        <f>IC!K39*IC!J39</f>
        <v>640954.40762879839</v>
      </c>
      <c r="D6" s="302">
        <f>IC!J40*IC!K40</f>
        <v>672732.68624639523</v>
      </c>
      <c r="E6" s="302">
        <f>IC!K41*IC!J41</f>
        <v>704510.9648639923</v>
      </c>
      <c r="F6" s="302">
        <f>IC!K42*IC!J42</f>
        <v>736289.24348159868</v>
      </c>
      <c r="G6" s="302">
        <f>IC!K43*IC!J43</f>
        <v>768067.52209919575</v>
      </c>
      <c r="H6" s="150"/>
      <c r="I6" s="217"/>
      <c r="J6" s="302"/>
      <c r="K6" s="67"/>
    </row>
    <row r="7" spans="1:18" x14ac:dyDescent="0.25">
      <c r="A7" s="67" t="s">
        <v>399</v>
      </c>
      <c r="B7" s="326"/>
      <c r="C7" s="735">
        <f>IC!J53</f>
        <v>3528.5824853999998</v>
      </c>
      <c r="D7" s="736">
        <f>IC!J54</f>
        <v>3600.5655681021594</v>
      </c>
      <c r="E7" s="736">
        <f>IC!J55</f>
        <v>3674.0171056914432</v>
      </c>
      <c r="F7" s="736">
        <f>IC!J56</f>
        <v>3748.967054647549</v>
      </c>
      <c r="G7" s="736">
        <f>IC!J57</f>
        <v>3825.4459825623589</v>
      </c>
      <c r="H7" s="150"/>
      <c r="I7" s="217"/>
      <c r="J7" s="526"/>
      <c r="K7" s="67"/>
    </row>
    <row r="8" spans="1:18" x14ac:dyDescent="0.25">
      <c r="A8" s="217" t="s">
        <v>209</v>
      </c>
      <c r="B8" s="302"/>
      <c r="C8" s="327">
        <f>SUM(C6:C7)</f>
        <v>644482.99011419842</v>
      </c>
      <c r="D8" s="327">
        <f>SUM(D6:D7)</f>
        <v>676333.2518144974</v>
      </c>
      <c r="E8" s="327">
        <f>SUM(E6:E7)</f>
        <v>708184.98196968378</v>
      </c>
      <c r="F8" s="327">
        <f>SUM(F6:F7)</f>
        <v>740038.21053624619</v>
      </c>
      <c r="G8" s="327">
        <f>SUM(G6:G7)</f>
        <v>771892.96808175812</v>
      </c>
      <c r="H8" s="218"/>
      <c r="I8" s="217"/>
      <c r="J8" s="526"/>
      <c r="K8" s="427"/>
      <c r="L8" s="67"/>
      <c r="M8" s="67"/>
      <c r="N8" s="67"/>
      <c r="O8" s="67"/>
      <c r="P8" s="67"/>
      <c r="Q8" s="67"/>
      <c r="R8" s="67"/>
    </row>
    <row r="9" spans="1:18" x14ac:dyDescent="0.25">
      <c r="A9" s="204" t="s">
        <v>210</v>
      </c>
      <c r="B9" s="316"/>
      <c r="C9" s="296"/>
      <c r="D9" s="316"/>
      <c r="E9" s="316"/>
      <c r="F9" s="316"/>
      <c r="G9" s="316"/>
      <c r="H9" s="215"/>
      <c r="I9" s="217"/>
      <c r="J9" s="620"/>
      <c r="K9" s="427"/>
      <c r="L9" s="67"/>
      <c r="M9" s="67"/>
      <c r="N9" s="67"/>
      <c r="O9" s="67"/>
      <c r="P9" s="67"/>
      <c r="Q9" s="67"/>
      <c r="R9" s="67"/>
    </row>
    <row r="10" spans="1:18" x14ac:dyDescent="0.25">
      <c r="A10" s="51" t="s">
        <v>402</v>
      </c>
      <c r="B10" s="316"/>
      <c r="C10" s="737">
        <f>IC!O39</f>
        <v>457366.75230083539</v>
      </c>
      <c r="D10" s="738">
        <f>IC!O40</f>
        <v>480042.8239715349</v>
      </c>
      <c r="E10" s="738">
        <f>IC!O41</f>
        <v>502718.89564223448</v>
      </c>
      <c r="F10" s="738">
        <f>IC!O42</f>
        <v>525394.96731294086</v>
      </c>
      <c r="G10" s="738">
        <f>IC!O43</f>
        <v>548071.03898364038</v>
      </c>
      <c r="H10" s="215"/>
      <c r="I10" s="67"/>
      <c r="J10" s="67"/>
      <c r="K10" s="427"/>
      <c r="L10" s="67"/>
      <c r="M10" s="67"/>
      <c r="N10" s="67"/>
      <c r="O10" s="67"/>
      <c r="P10" s="67"/>
      <c r="Q10" s="67"/>
      <c r="R10" s="67"/>
    </row>
    <row r="11" spans="1:18" x14ac:dyDescent="0.25">
      <c r="A11" s="51" t="s">
        <v>403</v>
      </c>
      <c r="B11" s="316"/>
      <c r="C11" s="737">
        <f>IC!P39</f>
        <v>80119.300953599799</v>
      </c>
      <c r="D11" s="738">
        <f>IC!P40</f>
        <v>84091.585780799418</v>
      </c>
      <c r="E11" s="738">
        <f>IC!P41</f>
        <v>88063.870607999052</v>
      </c>
      <c r="F11" s="738">
        <f>IC!P42</f>
        <v>92036.155435199849</v>
      </c>
      <c r="G11" s="738">
        <f>IC!P43</f>
        <v>96008.440262399468</v>
      </c>
      <c r="H11" s="215"/>
      <c r="I11" s="67"/>
      <c r="J11" s="67"/>
      <c r="K11" s="427"/>
      <c r="L11" s="67"/>
      <c r="M11" s="67"/>
      <c r="N11" s="67"/>
      <c r="O11" s="67"/>
      <c r="P11" s="67"/>
      <c r="Q11" s="67"/>
      <c r="R11" s="67"/>
    </row>
    <row r="12" spans="1:18" x14ac:dyDescent="0.25">
      <c r="A12" s="51" t="s">
        <v>404</v>
      </c>
      <c r="B12" s="316"/>
      <c r="C12" s="737">
        <f>IC!L53</f>
        <v>1411.4329941600001</v>
      </c>
      <c r="D12" s="738">
        <f>IC!L54</f>
        <v>1440.2262272408639</v>
      </c>
      <c r="E12" s="738">
        <f>IC!L55</f>
        <v>1469.6068422765775</v>
      </c>
      <c r="F12" s="738">
        <f>IC!L56</f>
        <v>1499.5868218590197</v>
      </c>
      <c r="G12" s="738">
        <f>IC!L57</f>
        <v>1530.1783930249437</v>
      </c>
      <c r="H12" s="215"/>
      <c r="K12" s="221"/>
      <c r="L12" s="67"/>
      <c r="M12" s="67"/>
      <c r="N12" s="67"/>
      <c r="O12" s="67"/>
      <c r="P12" s="67"/>
      <c r="Q12" s="67"/>
      <c r="R12" s="67"/>
    </row>
    <row r="13" spans="1:18" ht="25.5" x14ac:dyDescent="0.25">
      <c r="A13" s="51" t="s">
        <v>211</v>
      </c>
      <c r="B13" s="316"/>
      <c r="C13" s="737">
        <f>COSTOS!D4</f>
        <v>14712</v>
      </c>
      <c r="D13" s="738">
        <f>C13*(1+$B$39)</f>
        <v>15428.688181648831</v>
      </c>
      <c r="E13" s="738">
        <f t="shared" ref="E13:G17" si="0">D13*(1+$B$39)</f>
        <v>16180.289492016742</v>
      </c>
      <c r="F13" s="738">
        <f t="shared" si="0"/>
        <v>16968.504707798769</v>
      </c>
      <c r="G13" s="738">
        <f t="shared" si="0"/>
        <v>17795.117458229161</v>
      </c>
      <c r="H13" s="215"/>
      <c r="K13" s="221"/>
      <c r="L13" s="67"/>
      <c r="M13" s="67"/>
      <c r="N13" s="67"/>
      <c r="O13" s="67"/>
      <c r="P13" s="67"/>
      <c r="Q13" s="67"/>
      <c r="R13" s="67"/>
    </row>
    <row r="14" spans="1:18" x14ac:dyDescent="0.25">
      <c r="A14" s="51" t="s">
        <v>66</v>
      </c>
      <c r="B14" s="316"/>
      <c r="C14" s="737">
        <f>+COSTOS!D44</f>
        <v>4398.83</v>
      </c>
      <c r="D14" s="738">
        <f>C14*(1+$B$39)</f>
        <v>4613.1169408701962</v>
      </c>
      <c r="E14" s="738">
        <f t="shared" si="0"/>
        <v>4837.8427695872761</v>
      </c>
      <c r="F14" s="738">
        <f t="shared" si="0"/>
        <v>5073.5160116779807</v>
      </c>
      <c r="G14" s="738">
        <f t="shared" si="0"/>
        <v>5320.6699652516436</v>
      </c>
      <c r="H14" s="215"/>
      <c r="K14" s="221"/>
      <c r="L14" s="67"/>
      <c r="M14" s="67"/>
      <c r="N14" s="67"/>
      <c r="O14" s="67"/>
      <c r="P14" s="67"/>
      <c r="Q14" s="67"/>
      <c r="R14" s="67"/>
    </row>
    <row r="15" spans="1:18" ht="25.5" x14ac:dyDescent="0.25">
      <c r="A15" s="51" t="s">
        <v>504</v>
      </c>
      <c r="B15" s="316"/>
      <c r="C15" s="737">
        <f>COSTOS!D11</f>
        <v>59270.016000000003</v>
      </c>
      <c r="D15" s="738">
        <f>C15*(1+$B$39)</f>
        <v>62157.327038155054</v>
      </c>
      <c r="E15" s="738">
        <f t="shared" si="0"/>
        <v>65185.292079694416</v>
      </c>
      <c r="F15" s="738">
        <f t="shared" si="0"/>
        <v>68360.763018441299</v>
      </c>
      <c r="G15" s="738">
        <f t="shared" si="0"/>
        <v>71690.92553501371</v>
      </c>
      <c r="H15" s="215"/>
      <c r="K15" s="221"/>
      <c r="L15" s="67"/>
      <c r="M15" s="67"/>
      <c r="N15" s="67"/>
      <c r="O15" s="67"/>
      <c r="P15" s="67"/>
      <c r="Q15" s="67"/>
      <c r="R15" s="67"/>
    </row>
    <row r="16" spans="1:18" ht="25.5" x14ac:dyDescent="0.25">
      <c r="A16" s="51" t="s">
        <v>212</v>
      </c>
      <c r="B16" s="316"/>
      <c r="C16" s="737">
        <f>COSTOS!D9</f>
        <v>7200</v>
      </c>
      <c r="D16" s="738">
        <f>C16*(1+$B$39)</f>
        <v>7550.7446239716955</v>
      </c>
      <c r="E16" s="738">
        <f t="shared" si="0"/>
        <v>7918.5756078385366</v>
      </c>
      <c r="F16" s="738">
        <f t="shared" si="0"/>
        <v>8304.3253056111425</v>
      </c>
      <c r="G16" s="738">
        <f t="shared" si="0"/>
        <v>8708.8666190354779</v>
      </c>
      <c r="H16" s="215"/>
      <c r="K16" s="221"/>
      <c r="L16" s="153"/>
      <c r="M16" s="153"/>
      <c r="N16" s="153"/>
      <c r="O16" s="153"/>
      <c r="P16" s="67"/>
      <c r="Q16" s="67"/>
      <c r="R16" s="67"/>
    </row>
    <row r="17" spans="1:18" x14ac:dyDescent="0.25">
      <c r="A17" s="51" t="s">
        <v>214</v>
      </c>
      <c r="B17" s="316"/>
      <c r="C17" s="737">
        <f>+COSTOS!D10</f>
        <v>1200</v>
      </c>
      <c r="D17" s="738">
        <f>C17*(1+$B$39)</f>
        <v>1258.4574373286159</v>
      </c>
      <c r="E17" s="738">
        <f t="shared" si="0"/>
        <v>1319.7626013064228</v>
      </c>
      <c r="F17" s="738">
        <f t="shared" si="0"/>
        <v>1384.0542176018573</v>
      </c>
      <c r="G17" s="738">
        <f t="shared" si="0"/>
        <v>1451.4777698392465</v>
      </c>
      <c r="H17" s="215"/>
      <c r="K17" s="221"/>
      <c r="L17" s="153"/>
      <c r="M17" s="153"/>
      <c r="N17" s="153"/>
      <c r="O17" s="153"/>
      <c r="P17" s="67"/>
      <c r="Q17" s="67"/>
      <c r="R17" s="67"/>
    </row>
    <row r="18" spans="1:18" x14ac:dyDescent="0.25">
      <c r="A18" s="51" t="s">
        <v>213</v>
      </c>
      <c r="B18" s="316"/>
      <c r="C18" s="737">
        <f>+COSTOS!J49</f>
        <v>957.13</v>
      </c>
      <c r="D18" s="737">
        <f>+COSTOS!J50</f>
        <v>813.62</v>
      </c>
      <c r="E18" s="737">
        <f>+COSTOS!J51</f>
        <v>691.67</v>
      </c>
      <c r="F18" s="737">
        <f>+COSTOS!J52</f>
        <v>587.99</v>
      </c>
      <c r="G18" s="737">
        <f>+COSTOS!J53</f>
        <v>105.85</v>
      </c>
      <c r="H18" s="215"/>
      <c r="K18" s="221"/>
      <c r="L18" s="153"/>
      <c r="M18" s="153"/>
      <c r="N18" s="153"/>
      <c r="O18" s="153"/>
      <c r="P18" s="67"/>
      <c r="Q18" s="67"/>
      <c r="R18" s="67"/>
    </row>
    <row r="19" spans="1:18" x14ac:dyDescent="0.25">
      <c r="A19" s="222" t="s">
        <v>337</v>
      </c>
      <c r="B19" s="296"/>
      <c r="C19" s="737">
        <f>DEPRECIACION!$E$10</f>
        <v>6049.2253333333329</v>
      </c>
      <c r="D19" s="737">
        <f>DEPRECIACION!$E$10</f>
        <v>6049.2253333333329</v>
      </c>
      <c r="E19" s="737">
        <f>DEPRECIACION!$E$10</f>
        <v>6049.2253333333329</v>
      </c>
      <c r="F19" s="737">
        <f>DEPRECIACION!$E$10</f>
        <v>6049.2253333333329</v>
      </c>
      <c r="G19" s="737">
        <f>DEPRECIACION!$E$10</f>
        <v>6049.2253333333329</v>
      </c>
      <c r="H19" s="216"/>
      <c r="K19" s="221"/>
      <c r="L19" s="372"/>
      <c r="M19" s="280"/>
      <c r="N19" s="280"/>
      <c r="O19" s="281"/>
      <c r="P19" s="67"/>
      <c r="Q19" s="67"/>
      <c r="R19" s="67"/>
    </row>
    <row r="20" spans="1:18" x14ac:dyDescent="0.25">
      <c r="A20" s="51" t="s">
        <v>176</v>
      </c>
      <c r="B20" s="316"/>
      <c r="C20" s="737">
        <f>COSTOS!D19</f>
        <v>892.72</v>
      </c>
      <c r="D20" s="738">
        <f t="shared" ref="D20:G21" si="1">C20*(1+$B$39)</f>
        <v>936.20843621000165</v>
      </c>
      <c r="E20" s="738">
        <f t="shared" si="1"/>
        <v>981.81539119855802</v>
      </c>
      <c r="F20" s="738">
        <f t="shared" si="1"/>
        <v>1029.6440676146083</v>
      </c>
      <c r="G20" s="738">
        <f t="shared" si="1"/>
        <v>1079.8026955757434</v>
      </c>
      <c r="H20" s="215"/>
      <c r="K20" s="221"/>
      <c r="L20" s="372"/>
      <c r="M20" s="280"/>
      <c r="N20" s="280"/>
      <c r="O20" s="281"/>
      <c r="P20" s="67"/>
      <c r="Q20" s="67"/>
      <c r="R20" s="67"/>
    </row>
    <row r="21" spans="1:18" x14ac:dyDescent="0.25">
      <c r="A21" s="67" t="s">
        <v>5</v>
      </c>
      <c r="B21" s="302"/>
      <c r="C21" s="739">
        <f>(+'MONTOS-INVERSION(OFICINA)'!$E$23+'MONTOS-INVERSION (PUBLICENTROS)'!$E$18)</f>
        <v>618.93999999999994</v>
      </c>
      <c r="D21" s="738">
        <f t="shared" si="1"/>
        <v>649.0913718834779</v>
      </c>
      <c r="E21" s="738">
        <f t="shared" si="1"/>
        <v>680.7115537104977</v>
      </c>
      <c r="F21" s="738">
        <f t="shared" si="1"/>
        <v>713.8720978687445</v>
      </c>
      <c r="G21" s="738">
        <f t="shared" si="1"/>
        <v>748.64804238691931</v>
      </c>
      <c r="H21" s="150"/>
      <c r="K21" s="221"/>
      <c r="L21" s="372"/>
      <c r="M21" s="280"/>
      <c r="N21" s="280"/>
      <c r="O21" s="281"/>
      <c r="P21" s="67"/>
      <c r="Q21" s="67"/>
      <c r="R21" s="67"/>
    </row>
    <row r="22" spans="1:18" x14ac:dyDescent="0.25">
      <c r="A22" s="67" t="s">
        <v>204</v>
      </c>
      <c r="B22" s="326"/>
      <c r="C22" s="735">
        <f>'MONTOS-INVERSION(OFICINA)'!E50</f>
        <v>450</v>
      </c>
      <c r="D22" s="735">
        <v>0</v>
      </c>
      <c r="E22" s="736">
        <v>0</v>
      </c>
      <c r="F22" s="736">
        <v>0</v>
      </c>
      <c r="G22" s="736">
        <v>0</v>
      </c>
      <c r="H22" s="150"/>
      <c r="K22" s="221"/>
      <c r="L22" s="372"/>
      <c r="M22" s="280"/>
      <c r="N22" s="280"/>
      <c r="O22" s="281"/>
      <c r="P22" s="67"/>
      <c r="Q22" s="67"/>
      <c r="R22" s="67"/>
    </row>
    <row r="23" spans="1:18" ht="11.25" customHeight="1" x14ac:dyDescent="0.25">
      <c r="A23" s="204" t="s">
        <v>215</v>
      </c>
      <c r="B23" s="742"/>
      <c r="C23" s="743">
        <f>SUM(C10:C22)</f>
        <v>634646.34758192836</v>
      </c>
      <c r="D23" s="743">
        <f>SUM(D10:D22)</f>
        <v>665031.11534297664</v>
      </c>
      <c r="E23" s="743">
        <f>SUM(E10:E22)</f>
        <v>696097.5579211961</v>
      </c>
      <c r="F23" s="743">
        <f>SUM(F10:F22)</f>
        <v>727402.6043299475</v>
      </c>
      <c r="G23" s="743">
        <f>SUM(G10:G22)</f>
        <v>758560.24105773005</v>
      </c>
      <c r="H23" s="223"/>
      <c r="I23" s="219"/>
      <c r="J23" s="220"/>
      <c r="K23" s="221"/>
      <c r="L23" s="67"/>
      <c r="M23" s="67"/>
      <c r="N23" s="67"/>
      <c r="O23" s="67"/>
      <c r="P23" s="67"/>
      <c r="Q23" s="67"/>
      <c r="R23" s="67"/>
    </row>
    <row r="24" spans="1:18" ht="13.5" customHeight="1" x14ac:dyDescent="0.25">
      <c r="A24" s="217" t="s">
        <v>342</v>
      </c>
      <c r="B24" s="326"/>
      <c r="C24" s="740">
        <f>C8-C23</f>
        <v>9836.6425322700525</v>
      </c>
      <c r="D24" s="740">
        <f>D8-D23</f>
        <v>11302.13647152076</v>
      </c>
      <c r="E24" s="740">
        <f>E8-E23</f>
        <v>12087.424048487679</v>
      </c>
      <c r="F24" s="740">
        <f>F8-F23</f>
        <v>12635.606206298689</v>
      </c>
      <c r="G24" s="740">
        <f>G8-G23</f>
        <v>13332.727024028078</v>
      </c>
      <c r="H24" s="150"/>
      <c r="K24" s="221"/>
      <c r="L24" s="67"/>
      <c r="M24" s="67"/>
      <c r="N24" s="67"/>
      <c r="O24" s="67"/>
      <c r="P24" s="67"/>
      <c r="Q24" s="67"/>
      <c r="R24" s="67"/>
    </row>
    <row r="25" spans="1:18" ht="25.5" x14ac:dyDescent="0.25">
      <c r="A25" s="51" t="s">
        <v>341</v>
      </c>
      <c r="B25" s="316"/>
      <c r="C25" s="316">
        <f>IF(C24&gt;0,C24*15%,0)</f>
        <v>1475.4963798405079</v>
      </c>
      <c r="D25" s="316">
        <f>IF(D24&gt;0,D24*15%,0)</f>
        <v>1695.3204707281141</v>
      </c>
      <c r="E25" s="316">
        <f>IF(E24&gt;0,E24*15%,0)</f>
        <v>1813.1136072731517</v>
      </c>
      <c r="F25" s="316">
        <f>IF(F24&gt;0,F24*15%,0)</f>
        <v>1895.3409309448034</v>
      </c>
      <c r="G25" s="316">
        <f>IF(G24&gt;0,G24*15%,0)</f>
        <v>1999.9090536042115</v>
      </c>
      <c r="H25" s="223"/>
      <c r="I25" s="219"/>
      <c r="J25" s="220"/>
      <c r="K25" s="221"/>
      <c r="L25" s="67"/>
      <c r="M25" s="67"/>
      <c r="N25" s="67"/>
      <c r="O25" s="67"/>
      <c r="P25" s="67"/>
      <c r="Q25" s="67"/>
      <c r="R25" s="67"/>
    </row>
    <row r="26" spans="1:18" x14ac:dyDescent="0.25">
      <c r="A26" s="217" t="s">
        <v>334</v>
      </c>
      <c r="B26" s="736"/>
      <c r="C26" s="740">
        <f>C24-C25</f>
        <v>8361.1461524295446</v>
      </c>
      <c r="D26" s="740">
        <f>D24-D25</f>
        <v>9606.8160007926454</v>
      </c>
      <c r="E26" s="740">
        <f>E24-E25</f>
        <v>10274.310441214528</v>
      </c>
      <c r="F26" s="740">
        <f>F24-F25</f>
        <v>10740.265275353886</v>
      </c>
      <c r="G26" s="740">
        <f>G24-G25</f>
        <v>11332.817970423866</v>
      </c>
      <c r="H26" s="150"/>
      <c r="K26" s="221"/>
      <c r="L26" s="67"/>
      <c r="M26" s="67"/>
      <c r="N26" s="67"/>
      <c r="O26" s="67"/>
      <c r="P26" s="67"/>
      <c r="Q26" s="67"/>
      <c r="R26" s="67"/>
    </row>
    <row r="27" spans="1:18" x14ac:dyDescent="0.25">
      <c r="A27" s="51" t="s">
        <v>76</v>
      </c>
      <c r="B27" s="316"/>
      <c r="C27" s="316">
        <f>IF(C26&gt;0,C26*22%,0)</f>
        <v>1839.4521535344998</v>
      </c>
      <c r="D27" s="316">
        <f>IF(D26&gt;0,D26*22%,0)</f>
        <v>2113.4995201743818</v>
      </c>
      <c r="E27" s="316">
        <f>IF(E26&gt;0,E26*22%,0)</f>
        <v>2260.3482970671962</v>
      </c>
      <c r="F27" s="316">
        <f>IF(F26&gt;0,F26*22%,0)</f>
        <v>2362.8583605778549</v>
      </c>
      <c r="G27" s="316">
        <f>IF(G26&gt;0,G26*22%,0)</f>
        <v>2493.2199534932506</v>
      </c>
      <c r="H27" s="223"/>
      <c r="I27" s="219"/>
      <c r="J27" s="220"/>
      <c r="K27" s="221"/>
      <c r="L27" s="67"/>
      <c r="M27" s="67"/>
      <c r="N27" s="67"/>
      <c r="O27" s="67"/>
      <c r="P27" s="67"/>
      <c r="Q27" s="67"/>
      <c r="R27" s="67"/>
    </row>
    <row r="28" spans="1:18" x14ac:dyDescent="0.25">
      <c r="A28" s="204" t="s">
        <v>47</v>
      </c>
      <c r="B28" s="741"/>
      <c r="C28" s="741">
        <f>C26-C27</f>
        <v>6521.6939988950453</v>
      </c>
      <c r="D28" s="741">
        <f>D26-D27</f>
        <v>7493.3164806182631</v>
      </c>
      <c r="E28" s="741">
        <f>E26-E27</f>
        <v>8013.9621441473319</v>
      </c>
      <c r="F28" s="741">
        <f>F26-F27</f>
        <v>8377.406914776031</v>
      </c>
      <c r="G28" s="741">
        <f>G26-G27</f>
        <v>8839.5980169306167</v>
      </c>
      <c r="H28" s="223"/>
      <c r="I28" s="219"/>
      <c r="J28" s="220"/>
      <c r="K28" s="221"/>
      <c r="L28" s="67"/>
      <c r="M28" s="67"/>
      <c r="N28" s="67"/>
      <c r="O28" s="67"/>
      <c r="P28" s="67"/>
      <c r="Q28" s="67"/>
      <c r="R28" s="67"/>
    </row>
    <row r="29" spans="1:18" x14ac:dyDescent="0.25">
      <c r="A29" s="222" t="s">
        <v>337</v>
      </c>
      <c r="B29" s="738"/>
      <c r="C29" s="738">
        <f>C19</f>
        <v>6049.2253333333329</v>
      </c>
      <c r="D29" s="738">
        <f>D19</f>
        <v>6049.2253333333329</v>
      </c>
      <c r="E29" s="738">
        <f>E19</f>
        <v>6049.2253333333329</v>
      </c>
      <c r="F29" s="738">
        <f>F19</f>
        <v>6049.2253333333329</v>
      </c>
      <c r="G29" s="738">
        <f>G19</f>
        <v>6049.2253333333329</v>
      </c>
      <c r="H29" s="215"/>
      <c r="K29" s="221"/>
      <c r="L29" s="67"/>
      <c r="M29" s="67"/>
      <c r="N29" s="67"/>
      <c r="O29" s="67"/>
      <c r="P29" s="67"/>
      <c r="Q29" s="67"/>
      <c r="R29" s="67"/>
    </row>
    <row r="30" spans="1:18" x14ac:dyDescent="0.25">
      <c r="A30" s="51" t="s">
        <v>338</v>
      </c>
      <c r="B30" s="744">
        <f>'MONTOS-INVERSION(OFICINA)'!J31+'MONTOS-INVERSION (PUBLICENTROS)'!E35</f>
        <v>40329.86</v>
      </c>
      <c r="C30" s="738"/>
      <c r="D30" s="738"/>
      <c r="E30" s="738">
        <f>SUM('MONTOS-INVERSION(OFICINA)'!J9+'MONTOS-INVERSION(OFICINA)'!E31)</f>
        <v>2492</v>
      </c>
      <c r="F30" s="738"/>
      <c r="G30" s="738"/>
      <c r="H30" s="215"/>
      <c r="K30" s="221"/>
      <c r="L30" s="67"/>
      <c r="M30" s="67"/>
      <c r="N30" s="67"/>
      <c r="O30" s="67"/>
      <c r="P30" s="67"/>
      <c r="Q30" s="67"/>
      <c r="R30" s="67"/>
    </row>
    <row r="31" spans="1:18" x14ac:dyDescent="0.25">
      <c r="A31" s="51" t="s">
        <v>340</v>
      </c>
      <c r="B31" s="738">
        <f>-IC!$S$54</f>
        <v>4464.0561060542677</v>
      </c>
      <c r="C31" s="738"/>
      <c r="D31" s="738"/>
      <c r="E31" s="738"/>
      <c r="F31" s="738"/>
      <c r="G31" s="738"/>
      <c r="H31" s="215"/>
      <c r="K31" s="221"/>
      <c r="L31" s="67"/>
      <c r="M31" s="67"/>
      <c r="N31" s="67"/>
      <c r="O31" s="67"/>
      <c r="P31" s="67"/>
      <c r="Q31" s="67"/>
      <c r="R31" s="67"/>
    </row>
    <row r="32" spans="1:18" x14ac:dyDescent="0.25">
      <c r="A32" s="51" t="s">
        <v>333</v>
      </c>
      <c r="B32" s="738">
        <f>'MONTOS-INVERSION(OFICINA)'!O73</f>
        <v>2541.44</v>
      </c>
      <c r="C32" s="738"/>
      <c r="D32" s="738"/>
      <c r="E32" s="738"/>
      <c r="F32" s="738"/>
      <c r="G32" s="738"/>
      <c r="H32" s="215"/>
      <c r="K32" s="221"/>
      <c r="L32" s="67"/>
      <c r="M32" s="67"/>
      <c r="N32" s="67"/>
      <c r="O32" s="67"/>
      <c r="P32" s="67"/>
      <c r="Q32" s="67"/>
      <c r="R32" s="67"/>
    </row>
    <row r="33" spans="1:18" x14ac:dyDescent="0.25">
      <c r="A33" s="51" t="s">
        <v>339</v>
      </c>
      <c r="B33" s="738"/>
      <c r="C33" s="738"/>
      <c r="D33" s="738"/>
      <c r="E33" s="738"/>
      <c r="F33" s="738"/>
      <c r="G33" s="738">
        <f>+'flujo efectivo PA con prestamo'!J6</f>
        <v>14822.873152952407</v>
      </c>
      <c r="H33" s="215"/>
      <c r="L33" s="67"/>
      <c r="M33" s="67"/>
      <c r="N33" s="67"/>
      <c r="O33" s="67"/>
      <c r="P33" s="67"/>
      <c r="Q33" s="67"/>
      <c r="R33" s="67"/>
    </row>
    <row r="34" spans="1:18" ht="13.5" thickBot="1" x14ac:dyDescent="0.3">
      <c r="A34" s="224" t="s">
        <v>336</v>
      </c>
      <c r="B34" s="330">
        <f t="shared" ref="B34:G34" si="2">B28+B29-B30-B31-B32+B33</f>
        <v>-47335.356106054271</v>
      </c>
      <c r="C34" s="330">
        <f t="shared" si="2"/>
        <v>12570.919332228379</v>
      </c>
      <c r="D34" s="330">
        <f t="shared" si="2"/>
        <v>13542.541813951597</v>
      </c>
      <c r="E34" s="330">
        <f t="shared" si="2"/>
        <v>11571.187477480664</v>
      </c>
      <c r="F34" s="330">
        <f t="shared" si="2"/>
        <v>14426.632248109363</v>
      </c>
      <c r="G34" s="330">
        <f t="shared" si="2"/>
        <v>29711.696503216357</v>
      </c>
      <c r="H34" s="225"/>
    </row>
    <row r="35" spans="1:18" ht="13.5" thickTop="1" x14ac:dyDescent="0.25"/>
    <row r="36" spans="1:18" x14ac:dyDescent="0.25">
      <c r="A36" s="227" t="s">
        <v>74</v>
      </c>
      <c r="B36" s="621">
        <f>IRR(B34:G34)</f>
        <v>0.18419946958887667</v>
      </c>
      <c r="C36" s="331">
        <f>+'Tasas de dESCUENTO  '!C20</f>
        <v>0.12307525</v>
      </c>
      <c r="D36" s="883" t="s">
        <v>475</v>
      </c>
      <c r="E36" s="884"/>
    </row>
    <row r="37" spans="1:18" x14ac:dyDescent="0.25">
      <c r="A37" s="227" t="s">
        <v>75</v>
      </c>
      <c r="B37" s="200">
        <f>NPV(C36,C34:G34)+B34</f>
        <v>8461.6317822686106</v>
      </c>
      <c r="C37" s="227" t="s">
        <v>67</v>
      </c>
      <c r="D37" s="885"/>
      <c r="E37" s="886"/>
    </row>
    <row r="39" spans="1:18" x14ac:dyDescent="0.25">
      <c r="A39" s="227" t="s">
        <v>310</v>
      </c>
      <c r="B39" s="226">
        <f>IC!I44</f>
        <v>4.8714531107179826E-2</v>
      </c>
    </row>
    <row r="42" spans="1:18" ht="13.5" thickBot="1" x14ac:dyDescent="0.3"/>
    <row r="43" spans="1:18" ht="26.25" thickBot="1" x14ac:dyDescent="0.3">
      <c r="A43" s="574" t="s">
        <v>512</v>
      </c>
      <c r="B43" s="556">
        <v>0</v>
      </c>
      <c r="C43" s="556">
        <v>1</v>
      </c>
      <c r="D43" s="556">
        <v>2</v>
      </c>
      <c r="E43" s="556">
        <v>3</v>
      </c>
      <c r="F43" s="556">
        <v>4</v>
      </c>
      <c r="G43" s="556">
        <v>5</v>
      </c>
      <c r="H43" s="567" t="s">
        <v>513</v>
      </c>
      <c r="I43" s="568" t="s">
        <v>514</v>
      </c>
      <c r="J43" s="569" t="s">
        <v>508</v>
      </c>
    </row>
    <row r="44" spans="1:18" x14ac:dyDescent="0.25">
      <c r="A44" s="558" t="s">
        <v>509</v>
      </c>
      <c r="B44" s="526">
        <f>$B$34</f>
        <v>-47335.356106054271</v>
      </c>
      <c r="C44" s="526">
        <f>B44+C34</f>
        <v>-34764.436773825888</v>
      </c>
      <c r="D44" s="526">
        <f>C44+D34</f>
        <v>-21221.894959874291</v>
      </c>
      <c r="E44" s="526">
        <f>D44+E34</f>
        <v>-9650.7074823936273</v>
      </c>
      <c r="F44" s="526">
        <f>E44+F34</f>
        <v>4775.9247657157357</v>
      </c>
      <c r="G44" s="479">
        <f>F44+G34</f>
        <v>34487.621268932096</v>
      </c>
      <c r="H44" s="570">
        <f>(F44-E44)/365</f>
        <v>39.525019857833868</v>
      </c>
      <c r="I44" s="564">
        <f>E44/H44</f>
        <v>-244.16704955761975</v>
      </c>
      <c r="J44" s="562" t="s">
        <v>530</v>
      </c>
    </row>
    <row r="45" spans="1:18" x14ac:dyDescent="0.25">
      <c r="A45" s="558" t="s">
        <v>510</v>
      </c>
      <c r="B45" s="684">
        <f>$B$34</f>
        <v>-47335.356106054271</v>
      </c>
      <c r="C45" s="666">
        <f>(C34*((1+$C$36)^-C43))</f>
        <v>11193.301011867528</v>
      </c>
      <c r="D45" s="666">
        <f>(D34*((1+$C$36)^-D43))</f>
        <v>10736.988110404809</v>
      </c>
      <c r="E45" s="666">
        <f>(E34*((1+$C$36)^-E43))</f>
        <v>8168.6701684492073</v>
      </c>
      <c r="F45" s="666">
        <f>(F34*((1+$C$36)^-F43))</f>
        <v>9068.3763421418007</v>
      </c>
      <c r="G45" s="702">
        <f>(G34*((1+$C$36)^-G43))</f>
        <v>16629.652255459536</v>
      </c>
      <c r="H45" s="747"/>
      <c r="I45" s="565"/>
      <c r="J45" s="562"/>
    </row>
    <row r="46" spans="1:18" ht="13.5" thickBot="1" x14ac:dyDescent="0.3">
      <c r="A46" s="559" t="s">
        <v>511</v>
      </c>
      <c r="B46" s="748">
        <f>$B$34</f>
        <v>-47335.356106054271</v>
      </c>
      <c r="C46" s="748">
        <f>B46+C45</f>
        <v>-36142.05509418674</v>
      </c>
      <c r="D46" s="748">
        <f>C46+D45</f>
        <v>-25405.06698378193</v>
      </c>
      <c r="E46" s="748">
        <f>D46+E45</f>
        <v>-17236.396815332722</v>
      </c>
      <c r="F46" s="748">
        <f>E46+F45</f>
        <v>-8168.0204731909216</v>
      </c>
      <c r="G46" s="750">
        <f>F46+G45</f>
        <v>8461.6317822686142</v>
      </c>
      <c r="H46" s="749">
        <f>(G46-F46)/365</f>
        <v>45.56069111084804</v>
      </c>
      <c r="I46" s="566">
        <f>F46/H46</f>
        <v>-179.27780009566425</v>
      </c>
      <c r="J46" s="563" t="s">
        <v>531</v>
      </c>
    </row>
    <row r="48" spans="1:18" ht="13.5" thickBot="1" x14ac:dyDescent="0.3"/>
    <row r="49" spans="1:3" ht="13.5" thickBot="1" x14ac:dyDescent="0.3">
      <c r="A49" s="561" t="s">
        <v>515</v>
      </c>
      <c r="B49" s="571">
        <f>B36/(1-((1/(1+B36)))^G43)</f>
        <v>0.3228247917400473</v>
      </c>
    </row>
    <row r="50" spans="1:3" ht="13.5" thickBot="1" x14ac:dyDescent="0.3"/>
    <row r="51" spans="1:3" x14ac:dyDescent="0.25">
      <c r="A51" s="889" t="s">
        <v>516</v>
      </c>
      <c r="B51" s="572">
        <f>NPV(C36,C8:G8)</f>
        <v>2507224.6156868967</v>
      </c>
      <c r="C51" s="887">
        <f>B51/B52</f>
        <v>1.0168956617850369</v>
      </c>
    </row>
    <row r="52" spans="1:3" ht="13.5" thickBot="1" x14ac:dyDescent="0.3">
      <c r="A52" s="890"/>
      <c r="B52" s="573">
        <f>NPV(C36,C23:G23)</f>
        <v>2465567.2257326464</v>
      </c>
      <c r="C52" s="888"/>
    </row>
    <row r="58" spans="1:3" x14ac:dyDescent="0.25">
      <c r="A58" s="51">
        <v>2</v>
      </c>
    </row>
  </sheetData>
  <mergeCells count="5">
    <mergeCell ref="A2:G2"/>
    <mergeCell ref="D36:E37"/>
    <mergeCell ref="C51:C52"/>
    <mergeCell ref="A51:A52"/>
    <mergeCell ref="I5:J5"/>
  </mergeCells>
  <pageMargins left="0.7" right="0.7" top="0.75" bottom="0.75" header="0.3" footer="0.3"/>
  <pageSetup orientation="portrait" horizontalDpi="4294967293" verticalDpi="0" r:id="rId1"/>
  <ignoredErrors>
    <ignoredError sqref="C27:G27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57"/>
  <sheetViews>
    <sheetView showGridLines="0" zoomScaleNormal="100" workbookViewId="0">
      <selection activeCell="A2" sqref="A2:G2"/>
    </sheetView>
  </sheetViews>
  <sheetFormatPr baseColWidth="10" defaultRowHeight="12.75" x14ac:dyDescent="0.25"/>
  <cols>
    <col min="1" max="1" width="34.7109375" style="51" customWidth="1"/>
    <col min="2" max="2" width="13.85546875" style="51" bestFit="1" customWidth="1"/>
    <col min="3" max="7" width="12.85546875" style="51" bestFit="1" customWidth="1"/>
    <col min="8" max="8" width="9.42578125" style="51" bestFit="1" customWidth="1"/>
    <col min="9" max="9" width="10.5703125" style="51" customWidth="1"/>
    <col min="10" max="10" width="16.42578125" style="51" bestFit="1" customWidth="1"/>
    <col min="11" max="11" width="25.5703125" style="51" bestFit="1" customWidth="1"/>
    <col min="12" max="12" width="18.140625" style="51" bestFit="1" customWidth="1"/>
    <col min="13" max="13" width="20.28515625" style="51" bestFit="1" customWidth="1"/>
    <col min="14" max="14" width="23.7109375" style="51" bestFit="1" customWidth="1"/>
    <col min="15" max="15" width="28.85546875" style="51" bestFit="1" customWidth="1"/>
    <col min="16" max="16384" width="11.42578125" style="51"/>
  </cols>
  <sheetData>
    <row r="2" spans="1:17" x14ac:dyDescent="0.25">
      <c r="A2" s="882" t="s">
        <v>335</v>
      </c>
      <c r="B2" s="882"/>
      <c r="C2" s="882"/>
      <c r="D2" s="882"/>
      <c r="E2" s="882"/>
      <c r="F2" s="882"/>
      <c r="G2" s="882"/>
      <c r="K2" s="213"/>
    </row>
    <row r="3" spans="1:17" ht="13.5" thickBot="1" x14ac:dyDescent="0.3"/>
    <row r="4" spans="1:17" x14ac:dyDescent="0.25">
      <c r="B4" s="214">
        <v>2012</v>
      </c>
      <c r="C4" s="214">
        <v>2013</v>
      </c>
      <c r="D4" s="214">
        <v>2014</v>
      </c>
      <c r="E4" s="214">
        <v>2015</v>
      </c>
      <c r="F4" s="214">
        <v>2016</v>
      </c>
      <c r="G4" s="214">
        <v>2017</v>
      </c>
      <c r="H4" s="214"/>
      <c r="I4" s="892" t="s">
        <v>306</v>
      </c>
      <c r="J4" s="893"/>
    </row>
    <row r="5" spans="1:17" x14ac:dyDescent="0.25">
      <c r="A5" s="204" t="s">
        <v>69</v>
      </c>
      <c r="B5" s="215"/>
      <c r="C5" s="216"/>
      <c r="D5" s="215"/>
      <c r="E5" s="215"/>
      <c r="I5" s="894"/>
      <c r="J5" s="895"/>
    </row>
    <row r="6" spans="1:17" x14ac:dyDescent="0.25">
      <c r="A6" s="67" t="s">
        <v>73</v>
      </c>
      <c r="B6" s="302"/>
      <c r="C6" s="328">
        <f>IC!K39*IC!J39</f>
        <v>640954.40762879839</v>
      </c>
      <c r="D6" s="302">
        <f>IC!J40*IC!K40</f>
        <v>672732.68624639523</v>
      </c>
      <c r="E6" s="302">
        <f>IC!K41*IC!J41</f>
        <v>704510.9648639923</v>
      </c>
      <c r="F6" s="302">
        <f>IC!K42*IC!J42</f>
        <v>736289.24348159868</v>
      </c>
      <c r="G6" s="302">
        <f>IC!K43*IC!J43</f>
        <v>768067.52209919575</v>
      </c>
      <c r="H6" s="150"/>
      <c r="I6" s="320" t="s">
        <v>305</v>
      </c>
      <c r="J6" s="368">
        <f>(J7-J8)/J9</f>
        <v>14822.873152952407</v>
      </c>
    </row>
    <row r="7" spans="1:17" x14ac:dyDescent="0.25">
      <c r="A7" s="67" t="s">
        <v>399</v>
      </c>
      <c r="B7" s="326"/>
      <c r="C7" s="735">
        <f>IC!J53</f>
        <v>3528.5824853999998</v>
      </c>
      <c r="D7" s="736">
        <f>IC!J54</f>
        <v>3600.5655681021594</v>
      </c>
      <c r="E7" s="736">
        <f>IC!J55</f>
        <v>3674.0171056914432</v>
      </c>
      <c r="F7" s="736">
        <f>IC!J56</f>
        <v>3748.967054647549</v>
      </c>
      <c r="G7" s="736">
        <f>IC!J57</f>
        <v>3825.4459825623589</v>
      </c>
      <c r="H7" s="150"/>
      <c r="I7" s="320" t="s">
        <v>307</v>
      </c>
      <c r="J7" s="725">
        <f>F37</f>
        <v>8330.1171740536138</v>
      </c>
    </row>
    <row r="8" spans="1:17" x14ac:dyDescent="0.25">
      <c r="A8" s="217" t="s">
        <v>209</v>
      </c>
      <c r="B8" s="302"/>
      <c r="C8" s="327">
        <f>SUM(C6:C7)</f>
        <v>644482.99011419842</v>
      </c>
      <c r="D8" s="327">
        <f>SUM(D6:D7)</f>
        <v>676333.2518144974</v>
      </c>
      <c r="E8" s="327">
        <f>SUM(E6:E7)</f>
        <v>708184.98196968378</v>
      </c>
      <c r="F8" s="327">
        <f>SUM(F6:F7)</f>
        <v>740038.21053624619</v>
      </c>
      <c r="G8" s="327">
        <f>SUM(G6:G7)</f>
        <v>771892.96808175812</v>
      </c>
      <c r="H8" s="218"/>
      <c r="I8" s="320" t="s">
        <v>308</v>
      </c>
      <c r="J8" s="725">
        <f>F19</f>
        <v>6049.2253333333329</v>
      </c>
      <c r="K8" s="221"/>
    </row>
    <row r="9" spans="1:17" ht="13.5" thickBot="1" x14ac:dyDescent="0.3">
      <c r="A9" s="204" t="s">
        <v>210</v>
      </c>
      <c r="B9" s="316"/>
      <c r="C9" s="296"/>
      <c r="D9" s="316"/>
      <c r="E9" s="316"/>
      <c r="F9" s="316"/>
      <c r="G9" s="316"/>
      <c r="H9" s="215"/>
      <c r="I9" s="321" t="s">
        <v>309</v>
      </c>
      <c r="J9" s="369">
        <f>+C39</f>
        <v>0.1538765</v>
      </c>
      <c r="K9" s="427"/>
      <c r="L9" s="67"/>
      <c r="M9" s="67"/>
      <c r="N9" s="67"/>
      <c r="O9" s="67"/>
      <c r="P9" s="67"/>
      <c r="Q9" s="67"/>
    </row>
    <row r="10" spans="1:17" x14ac:dyDescent="0.25">
      <c r="A10" s="51" t="s">
        <v>502</v>
      </c>
      <c r="B10" s="316"/>
      <c r="C10" s="737">
        <f>IC!O39</f>
        <v>457366.75230083539</v>
      </c>
      <c r="D10" s="738">
        <f>IC!O40</f>
        <v>480042.8239715349</v>
      </c>
      <c r="E10" s="738">
        <f>IC!O41</f>
        <v>502718.89564223448</v>
      </c>
      <c r="F10" s="738">
        <f>IC!O42</f>
        <v>525394.96731294086</v>
      </c>
      <c r="G10" s="738">
        <f>IC!O43</f>
        <v>548071.03898364038</v>
      </c>
      <c r="H10" s="215"/>
      <c r="K10" s="427"/>
      <c r="L10" s="67"/>
      <c r="M10" s="67"/>
      <c r="N10" s="67"/>
      <c r="O10" s="67"/>
      <c r="P10" s="67"/>
      <c r="Q10" s="67"/>
    </row>
    <row r="11" spans="1:17" x14ac:dyDescent="0.25">
      <c r="A11" s="51" t="s">
        <v>503</v>
      </c>
      <c r="B11" s="316"/>
      <c r="C11" s="737">
        <f>IC!P39</f>
        <v>80119.300953599799</v>
      </c>
      <c r="D11" s="738">
        <f>IC!P40</f>
        <v>84091.585780799418</v>
      </c>
      <c r="E11" s="738">
        <f>IC!P41</f>
        <v>88063.870607999052</v>
      </c>
      <c r="F11" s="738">
        <f>IC!P42</f>
        <v>92036.155435199849</v>
      </c>
      <c r="G11" s="738">
        <f>IC!P43</f>
        <v>96008.440262399468</v>
      </c>
      <c r="H11" s="215"/>
      <c r="K11" s="427"/>
      <c r="L11" s="67"/>
      <c r="M11" s="67"/>
      <c r="N11" s="67"/>
      <c r="O11" s="67"/>
      <c r="P11" s="67"/>
      <c r="Q11" s="67"/>
    </row>
    <row r="12" spans="1:17" x14ac:dyDescent="0.25">
      <c r="A12" s="51" t="s">
        <v>404</v>
      </c>
      <c r="B12" s="316"/>
      <c r="C12" s="737">
        <f>IC!L53</f>
        <v>1411.4329941600001</v>
      </c>
      <c r="D12" s="738">
        <f>IC!L54</f>
        <v>1440.2262272408639</v>
      </c>
      <c r="E12" s="738">
        <f>IC!L55</f>
        <v>1469.6068422765775</v>
      </c>
      <c r="F12" s="738">
        <f>IC!L56</f>
        <v>1499.5868218590197</v>
      </c>
      <c r="G12" s="738">
        <f>IC!L57</f>
        <v>1530.1783930249437</v>
      </c>
      <c r="H12" s="215"/>
      <c r="K12" s="427"/>
      <c r="L12" s="67"/>
      <c r="M12" s="67"/>
      <c r="N12" s="67"/>
      <c r="O12" s="67"/>
      <c r="P12" s="67"/>
      <c r="Q12" s="67"/>
    </row>
    <row r="13" spans="1:17" ht="25.5" x14ac:dyDescent="0.25">
      <c r="A13" s="51" t="s">
        <v>211</v>
      </c>
      <c r="B13" s="316"/>
      <c r="C13" s="737">
        <f>COSTOS!D4</f>
        <v>14712</v>
      </c>
      <c r="D13" s="738">
        <f>C13*(1+$B$42)</f>
        <v>15428.688181648831</v>
      </c>
      <c r="E13" s="738">
        <f t="shared" ref="E13:G17" si="0">D13*(1+$B$42)</f>
        <v>16180.289492016742</v>
      </c>
      <c r="F13" s="738">
        <f t="shared" si="0"/>
        <v>16968.504707798769</v>
      </c>
      <c r="G13" s="738">
        <f t="shared" si="0"/>
        <v>17795.117458229161</v>
      </c>
      <c r="H13" s="215"/>
      <c r="K13" s="427"/>
      <c r="L13" s="67"/>
      <c r="M13" s="67"/>
      <c r="N13" s="67"/>
      <c r="O13" s="67"/>
      <c r="P13" s="67"/>
      <c r="Q13" s="67"/>
    </row>
    <row r="14" spans="1:17" x14ac:dyDescent="0.25">
      <c r="A14" s="51" t="s">
        <v>66</v>
      </c>
      <c r="B14" s="316"/>
      <c r="C14" s="737">
        <f>+COSTOS!D44</f>
        <v>4398.83</v>
      </c>
      <c r="D14" s="738">
        <f>C14*(1+$B$42)</f>
        <v>4613.1169408701962</v>
      </c>
      <c r="E14" s="738">
        <f t="shared" si="0"/>
        <v>4837.8427695872761</v>
      </c>
      <c r="F14" s="738">
        <f t="shared" si="0"/>
        <v>5073.5160116779807</v>
      </c>
      <c r="G14" s="738">
        <f t="shared" si="0"/>
        <v>5320.6699652516436</v>
      </c>
      <c r="H14" s="215"/>
      <c r="K14" s="427"/>
      <c r="L14" s="67"/>
      <c r="M14" s="67"/>
      <c r="N14" s="67"/>
      <c r="O14" s="67"/>
      <c r="P14" s="67"/>
      <c r="Q14" s="67"/>
    </row>
    <row r="15" spans="1:17" ht="25.5" x14ac:dyDescent="0.25">
      <c r="A15" s="51" t="s">
        <v>72</v>
      </c>
      <c r="B15" s="316"/>
      <c r="C15" s="737">
        <f>COSTOS!D11</f>
        <v>59270.016000000003</v>
      </c>
      <c r="D15" s="738">
        <f>C15*(1+$B$42)</f>
        <v>62157.327038155054</v>
      </c>
      <c r="E15" s="738">
        <f t="shared" si="0"/>
        <v>65185.292079694416</v>
      </c>
      <c r="F15" s="738">
        <f t="shared" si="0"/>
        <v>68360.763018441299</v>
      </c>
      <c r="G15" s="738">
        <f t="shared" si="0"/>
        <v>71690.92553501371</v>
      </c>
      <c r="H15" s="215"/>
      <c r="K15" s="427"/>
      <c r="L15" s="67"/>
      <c r="M15" s="67"/>
      <c r="N15" s="67"/>
      <c r="O15" s="67"/>
      <c r="P15" s="67"/>
      <c r="Q15" s="67"/>
    </row>
    <row r="16" spans="1:17" ht="25.5" x14ac:dyDescent="0.25">
      <c r="A16" s="51" t="s">
        <v>212</v>
      </c>
      <c r="B16" s="316"/>
      <c r="C16" s="737">
        <f>COSTOS!D9</f>
        <v>7200</v>
      </c>
      <c r="D16" s="738">
        <f>C16*(1+$B$42)</f>
        <v>7550.7446239716955</v>
      </c>
      <c r="E16" s="738">
        <f t="shared" si="0"/>
        <v>7918.5756078385366</v>
      </c>
      <c r="F16" s="738">
        <f t="shared" si="0"/>
        <v>8304.3253056111425</v>
      </c>
      <c r="G16" s="738">
        <f t="shared" si="0"/>
        <v>8708.8666190354779</v>
      </c>
      <c r="H16" s="215"/>
      <c r="K16" s="427"/>
      <c r="L16" s="153"/>
      <c r="M16" s="153"/>
      <c r="N16" s="153"/>
      <c r="O16" s="153"/>
      <c r="P16" s="67"/>
      <c r="Q16" s="67"/>
    </row>
    <row r="17" spans="1:17" x14ac:dyDescent="0.25">
      <c r="A17" s="51" t="s">
        <v>214</v>
      </c>
      <c r="B17" s="316"/>
      <c r="C17" s="737">
        <f>+COSTOS!D10</f>
        <v>1200</v>
      </c>
      <c r="D17" s="738">
        <f>C17*(1+$B$42)</f>
        <v>1258.4574373286159</v>
      </c>
      <c r="E17" s="738">
        <f t="shared" si="0"/>
        <v>1319.7626013064228</v>
      </c>
      <c r="F17" s="738">
        <f t="shared" si="0"/>
        <v>1384.0542176018573</v>
      </c>
      <c r="G17" s="738">
        <f t="shared" si="0"/>
        <v>1451.4777698392465</v>
      </c>
      <c r="H17" s="215"/>
      <c r="K17" s="427"/>
      <c r="L17" s="153"/>
      <c r="M17" s="153"/>
      <c r="N17" s="153"/>
      <c r="O17" s="153"/>
      <c r="P17" s="67"/>
      <c r="Q17" s="67"/>
    </row>
    <row r="18" spans="1:17" x14ac:dyDescent="0.25">
      <c r="A18" s="51" t="s">
        <v>213</v>
      </c>
      <c r="B18" s="316"/>
      <c r="C18" s="737">
        <f>+COSTOS!J49</f>
        <v>957.13</v>
      </c>
      <c r="D18" s="737">
        <f>+COSTOS!J50</f>
        <v>813.62</v>
      </c>
      <c r="E18" s="737">
        <f>+COSTOS!J51</f>
        <v>691.67</v>
      </c>
      <c r="F18" s="737">
        <f>+COSTOS!J52</f>
        <v>587.99</v>
      </c>
      <c r="G18" s="737">
        <f>+COSTOS!J53</f>
        <v>105.85</v>
      </c>
      <c r="H18" s="215"/>
      <c r="K18" s="427"/>
      <c r="L18" s="153"/>
      <c r="M18" s="153"/>
      <c r="N18" s="153"/>
      <c r="O18" s="153"/>
      <c r="P18" s="67"/>
      <c r="Q18" s="67"/>
    </row>
    <row r="19" spans="1:17" x14ac:dyDescent="0.25">
      <c r="A19" s="222" t="s">
        <v>337</v>
      </c>
      <c r="B19" s="296"/>
      <c r="C19" s="737">
        <f>DEPRECIACION!$E$10</f>
        <v>6049.2253333333329</v>
      </c>
      <c r="D19" s="737">
        <f>DEPRECIACION!$E$10</f>
        <v>6049.2253333333329</v>
      </c>
      <c r="E19" s="737">
        <f>DEPRECIACION!$E$10</f>
        <v>6049.2253333333329</v>
      </c>
      <c r="F19" s="737">
        <f>DEPRECIACION!$E$10</f>
        <v>6049.2253333333329</v>
      </c>
      <c r="G19" s="737">
        <f>DEPRECIACION!$E$10</f>
        <v>6049.2253333333329</v>
      </c>
      <c r="H19" s="216"/>
      <c r="K19" s="427"/>
      <c r="L19" s="372"/>
      <c r="M19" s="280"/>
      <c r="N19" s="280"/>
      <c r="O19" s="281"/>
      <c r="P19" s="67"/>
      <c r="Q19" s="67"/>
    </row>
    <row r="20" spans="1:17" x14ac:dyDescent="0.25">
      <c r="A20" s="51" t="s">
        <v>176</v>
      </c>
      <c r="B20" s="316"/>
      <c r="C20" s="737">
        <f>COSTOS!D19</f>
        <v>892.72</v>
      </c>
      <c r="D20" s="738">
        <f t="shared" ref="D20:G21" si="1">C20*(1+$B$42)</f>
        <v>936.20843621000165</v>
      </c>
      <c r="E20" s="738">
        <f t="shared" si="1"/>
        <v>981.81539119855802</v>
      </c>
      <c r="F20" s="738">
        <f t="shared" si="1"/>
        <v>1029.6440676146083</v>
      </c>
      <c r="G20" s="738">
        <f t="shared" si="1"/>
        <v>1079.8026955757434</v>
      </c>
      <c r="H20" s="215"/>
      <c r="K20" s="427"/>
      <c r="L20" s="372"/>
      <c r="M20" s="280"/>
      <c r="N20" s="280"/>
      <c r="O20" s="281"/>
      <c r="P20" s="67"/>
      <c r="Q20" s="67"/>
    </row>
    <row r="21" spans="1:17" x14ac:dyDescent="0.25">
      <c r="A21" s="67" t="s">
        <v>5</v>
      </c>
      <c r="B21" s="302"/>
      <c r="C21" s="739">
        <f>(+'MONTOS-INVERSION(OFICINA)'!$E$23+'MONTOS-INVERSION (PUBLICENTROS)'!$E$18)</f>
        <v>618.93999999999994</v>
      </c>
      <c r="D21" s="738">
        <f t="shared" si="1"/>
        <v>649.0913718834779</v>
      </c>
      <c r="E21" s="738">
        <f t="shared" si="1"/>
        <v>680.7115537104977</v>
      </c>
      <c r="F21" s="738">
        <f t="shared" si="1"/>
        <v>713.8720978687445</v>
      </c>
      <c r="G21" s="738">
        <f t="shared" si="1"/>
        <v>748.64804238691931</v>
      </c>
      <c r="H21" s="150"/>
      <c r="K21" s="427"/>
      <c r="L21" s="372"/>
      <c r="M21" s="280"/>
      <c r="N21" s="280"/>
      <c r="O21" s="281"/>
      <c r="P21" s="67"/>
      <c r="Q21" s="67"/>
    </row>
    <row r="22" spans="1:17" x14ac:dyDescent="0.25">
      <c r="A22" s="67" t="s">
        <v>204</v>
      </c>
      <c r="B22" s="302"/>
      <c r="C22" s="739">
        <f>'MONTOS-INVERSION(OFICINA)'!E50</f>
        <v>450</v>
      </c>
      <c r="D22" s="739">
        <v>0</v>
      </c>
      <c r="E22" s="666">
        <v>0</v>
      </c>
      <c r="F22" s="666">
        <v>0</v>
      </c>
      <c r="G22" s="666">
        <v>0</v>
      </c>
      <c r="H22" s="150"/>
      <c r="K22" s="427"/>
      <c r="L22" s="372"/>
      <c r="M22" s="280"/>
      <c r="N22" s="280"/>
      <c r="O22" s="281"/>
      <c r="P22" s="67"/>
      <c r="Q22" s="67"/>
    </row>
    <row r="23" spans="1:17" x14ac:dyDescent="0.25">
      <c r="A23" s="67" t="s">
        <v>343</v>
      </c>
      <c r="B23" s="326"/>
      <c r="C23" s="735">
        <f>'Amortizacion '!E8</f>
        <v>2799.8863136731102</v>
      </c>
      <c r="D23" s="735">
        <f>'Amortizacion '!E9</f>
        <v>2357.6655947075178</v>
      </c>
      <c r="E23" s="736">
        <f>'Amortizacion '!E10</f>
        <v>1863.1301646882962</v>
      </c>
      <c r="F23" s="736">
        <f>'Amortizacion '!E11</f>
        <v>1310.0911932978004</v>
      </c>
      <c r="G23" s="736">
        <f>'Amortizacion '!E12</f>
        <v>691.62771159180909</v>
      </c>
      <c r="H23" s="150"/>
      <c r="K23" s="427"/>
      <c r="L23" s="372"/>
      <c r="M23" s="280"/>
      <c r="N23" s="280"/>
      <c r="O23" s="281"/>
      <c r="P23" s="67"/>
      <c r="Q23" s="67"/>
    </row>
    <row r="24" spans="1:17" ht="11.25" customHeight="1" x14ac:dyDescent="0.25">
      <c r="A24" s="204" t="s">
        <v>215</v>
      </c>
      <c r="B24" s="316"/>
      <c r="C24" s="329">
        <f>SUM(C10:C23)</f>
        <v>637446.23389560147</v>
      </c>
      <c r="D24" s="329">
        <f>SUM(D10:D23)</f>
        <v>667388.78093768412</v>
      </c>
      <c r="E24" s="329">
        <f>SUM(E10:E23)</f>
        <v>697960.68808588444</v>
      </c>
      <c r="F24" s="329">
        <f>SUM(F10:F23)</f>
        <v>728712.69552324526</v>
      </c>
      <c r="G24" s="329">
        <f>SUM(G10:G23)</f>
        <v>759251.86876932182</v>
      </c>
      <c r="H24" s="223"/>
      <c r="I24" s="219"/>
      <c r="J24" s="220"/>
      <c r="K24" s="427"/>
      <c r="L24" s="67"/>
      <c r="M24" s="67"/>
      <c r="N24" s="67"/>
      <c r="O24" s="67"/>
      <c r="P24" s="67"/>
      <c r="Q24" s="67"/>
    </row>
    <row r="25" spans="1:17" ht="14.25" customHeight="1" x14ac:dyDescent="0.25">
      <c r="A25" s="217" t="s">
        <v>342</v>
      </c>
      <c r="B25" s="326"/>
      <c r="C25" s="740">
        <f>C8-C24</f>
        <v>7036.7562185969437</v>
      </c>
      <c r="D25" s="740">
        <f>D8-D24</f>
        <v>8944.4708768132841</v>
      </c>
      <c r="E25" s="740">
        <f>E8-E24</f>
        <v>10224.293883799342</v>
      </c>
      <c r="F25" s="740">
        <f>F8-F24</f>
        <v>11325.515013000928</v>
      </c>
      <c r="G25" s="740">
        <f>G8-G24</f>
        <v>12641.099312436301</v>
      </c>
      <c r="H25" s="150"/>
      <c r="K25" s="427"/>
      <c r="L25" s="67"/>
      <c r="M25" s="67"/>
      <c r="N25" s="67"/>
      <c r="O25" s="67"/>
      <c r="P25" s="67"/>
      <c r="Q25" s="67"/>
    </row>
    <row r="26" spans="1:17" ht="25.5" x14ac:dyDescent="0.25">
      <c r="A26" s="51" t="s">
        <v>341</v>
      </c>
      <c r="B26" s="316"/>
      <c r="C26" s="316">
        <f>IF(C25&gt;0,C25*15%,0)</f>
        <v>1055.5134327895414</v>
      </c>
      <c r="D26" s="316">
        <f>IF(D25&gt;0,D25*15%,0)</f>
        <v>1341.6706315219926</v>
      </c>
      <c r="E26" s="316">
        <f>IF(E25&gt;0,E25*15%,0)</f>
        <v>1533.6440825699012</v>
      </c>
      <c r="F26" s="316">
        <f>IF(F25&gt;0,F25*15%,0)</f>
        <v>1698.827251950139</v>
      </c>
      <c r="G26" s="316">
        <f>IF(G25&gt;0,G25*15%,0)</f>
        <v>1896.1648968654451</v>
      </c>
      <c r="H26" s="223"/>
      <c r="I26" s="219"/>
      <c r="J26" s="220"/>
      <c r="K26" s="427"/>
      <c r="L26" s="67"/>
      <c r="M26" s="67"/>
      <c r="N26" s="67"/>
      <c r="O26" s="67"/>
      <c r="P26" s="67"/>
      <c r="Q26" s="67"/>
    </row>
    <row r="27" spans="1:17" x14ac:dyDescent="0.25">
      <c r="A27" s="217" t="s">
        <v>42</v>
      </c>
      <c r="B27" s="326"/>
      <c r="C27" s="740">
        <f>C25-C26</f>
        <v>5981.2427858074025</v>
      </c>
      <c r="D27" s="740">
        <f>D25-D26</f>
        <v>7602.8002452912915</v>
      </c>
      <c r="E27" s="740">
        <f>E25-E26</f>
        <v>8690.6498012294414</v>
      </c>
      <c r="F27" s="740">
        <f>F25-F26</f>
        <v>9626.687761050789</v>
      </c>
      <c r="G27" s="740">
        <f>G25-G26</f>
        <v>10744.934415570857</v>
      </c>
      <c r="H27" s="150"/>
      <c r="K27" s="427"/>
      <c r="L27" s="67"/>
      <c r="M27" s="67"/>
      <c r="N27" s="67"/>
      <c r="O27" s="67"/>
      <c r="P27" s="67"/>
      <c r="Q27" s="67"/>
    </row>
    <row r="28" spans="1:17" x14ac:dyDescent="0.25">
      <c r="A28" s="51" t="s">
        <v>76</v>
      </c>
      <c r="B28" s="316"/>
      <c r="C28" s="316">
        <f>IF(C27&gt;0,C27*22%,0)</f>
        <v>1315.8734128776287</v>
      </c>
      <c r="D28" s="316">
        <f>IF(D27&gt;0,D27*22%,0)</f>
        <v>1672.6160539640841</v>
      </c>
      <c r="E28" s="316">
        <f>IF(E27&gt;0,E27*22%,0)</f>
        <v>1911.9429562704772</v>
      </c>
      <c r="F28" s="316">
        <f>IF(F27&gt;0,F27*22%,0)</f>
        <v>2117.8713074311736</v>
      </c>
      <c r="G28" s="316">
        <f>IF(G27&gt;0,G27*22%,0)</f>
        <v>2363.8855714255883</v>
      </c>
      <c r="H28" s="223"/>
      <c r="I28" s="219"/>
      <c r="J28" s="220"/>
      <c r="K28" s="427"/>
      <c r="L28" s="67"/>
      <c r="M28" s="67"/>
      <c r="N28" s="67"/>
      <c r="O28" s="67"/>
      <c r="P28" s="67"/>
      <c r="Q28" s="67"/>
    </row>
    <row r="29" spans="1:17" x14ac:dyDescent="0.25">
      <c r="A29" s="204" t="s">
        <v>47</v>
      </c>
      <c r="B29" s="329"/>
      <c r="C29" s="741">
        <f>C27-C28</f>
        <v>4665.3693729297738</v>
      </c>
      <c r="D29" s="741">
        <f>D27-D28</f>
        <v>5930.1841913272074</v>
      </c>
      <c r="E29" s="741">
        <f>E27-E28</f>
        <v>6778.7068449589642</v>
      </c>
      <c r="F29" s="741">
        <f>F27-F28</f>
        <v>7508.8164536196155</v>
      </c>
      <c r="G29" s="741">
        <f>G27-G28</f>
        <v>8381.048844145269</v>
      </c>
      <c r="H29" s="223"/>
      <c r="I29" s="219"/>
      <c r="J29" s="220"/>
      <c r="K29" s="427"/>
      <c r="L29" s="67"/>
      <c r="M29" s="67"/>
      <c r="N29" s="67"/>
      <c r="O29" s="67"/>
      <c r="P29" s="67"/>
      <c r="Q29" s="67"/>
    </row>
    <row r="30" spans="1:17" x14ac:dyDescent="0.25">
      <c r="A30" s="222" t="s">
        <v>337</v>
      </c>
      <c r="B30" s="316"/>
      <c r="C30" s="738">
        <f>C19</f>
        <v>6049.2253333333329</v>
      </c>
      <c r="D30" s="738">
        <f>D19</f>
        <v>6049.2253333333329</v>
      </c>
      <c r="E30" s="738">
        <f>E19</f>
        <v>6049.2253333333329</v>
      </c>
      <c r="F30" s="738">
        <f>F19</f>
        <v>6049.2253333333329</v>
      </c>
      <c r="G30" s="738">
        <f>G19</f>
        <v>6049.2253333333329</v>
      </c>
      <c r="H30" s="215"/>
      <c r="K30" s="427"/>
      <c r="L30" s="67"/>
      <c r="M30" s="67"/>
      <c r="N30" s="67"/>
      <c r="O30" s="67"/>
      <c r="P30" s="67"/>
      <c r="Q30" s="67"/>
    </row>
    <row r="31" spans="1:17" x14ac:dyDescent="0.25">
      <c r="A31" s="51" t="s">
        <v>338</v>
      </c>
      <c r="B31" s="316">
        <f>'MONTOS-INVERSION(OFICINA)'!J31+'MONTOS-INVERSION (PUBLICENTROS)'!E35</f>
        <v>40329.86</v>
      </c>
      <c r="C31" s="738"/>
      <c r="D31" s="738"/>
      <c r="E31" s="738">
        <f>SUM('MONTOS-INVERSION(OFICINA)'!J9+'MONTOS-INVERSION(OFICINA)'!E31)</f>
        <v>2492</v>
      </c>
      <c r="F31" s="738"/>
      <c r="G31" s="738"/>
      <c r="H31" s="215"/>
      <c r="K31" s="427"/>
      <c r="L31" s="67"/>
      <c r="M31" s="67"/>
      <c r="N31" s="67"/>
      <c r="O31" s="67"/>
      <c r="P31" s="67"/>
      <c r="Q31" s="67"/>
    </row>
    <row r="32" spans="1:17" x14ac:dyDescent="0.25">
      <c r="A32" s="51" t="s">
        <v>332</v>
      </c>
      <c r="B32" s="738">
        <f>-IC!$S$54</f>
        <v>4464.0561060542677</v>
      </c>
      <c r="C32" s="738"/>
      <c r="D32" s="738"/>
      <c r="E32" s="738"/>
      <c r="F32" s="738"/>
      <c r="G32" s="738"/>
      <c r="H32" s="215"/>
      <c r="K32" s="427"/>
      <c r="L32" s="67"/>
      <c r="M32" s="67"/>
      <c r="N32" s="67"/>
      <c r="O32" s="67"/>
      <c r="P32" s="67"/>
      <c r="Q32" s="67"/>
    </row>
    <row r="33" spans="1:17" x14ac:dyDescent="0.25">
      <c r="A33" s="51" t="s">
        <v>333</v>
      </c>
      <c r="B33" s="738">
        <f>'MONTOS-INVERSION(OFICINA)'!O73</f>
        <v>2541.44</v>
      </c>
      <c r="C33" s="738"/>
      <c r="D33" s="738"/>
      <c r="E33" s="738"/>
      <c r="F33" s="738"/>
      <c r="G33" s="738"/>
      <c r="H33" s="215"/>
      <c r="K33" s="427"/>
      <c r="L33" s="67"/>
      <c r="M33" s="67"/>
      <c r="N33" s="67"/>
      <c r="O33" s="67"/>
      <c r="P33" s="67"/>
      <c r="Q33" s="67"/>
    </row>
    <row r="34" spans="1:17" x14ac:dyDescent="0.25">
      <c r="A34" s="51" t="s">
        <v>344</v>
      </c>
      <c r="B34" s="738">
        <f>'Amortizacion '!D3</f>
        <v>23667.678053027135</v>
      </c>
      <c r="C34" s="738"/>
      <c r="D34" s="738"/>
      <c r="E34" s="738"/>
      <c r="F34" s="738"/>
      <c r="G34" s="738"/>
      <c r="H34" s="215"/>
      <c r="K34" s="427"/>
      <c r="L34" s="67"/>
      <c r="M34" s="67"/>
      <c r="N34" s="67"/>
      <c r="O34" s="67"/>
      <c r="P34" s="67"/>
      <c r="Q34" s="67"/>
    </row>
    <row r="35" spans="1:17" x14ac:dyDescent="0.25">
      <c r="A35" s="51" t="s">
        <v>345</v>
      </c>
      <c r="B35" s="316"/>
      <c r="C35" s="738">
        <f>'Amortizacion '!D8</f>
        <v>3738.129492524025</v>
      </c>
      <c r="D35" s="738">
        <f>'Amortizacion '!D9</f>
        <v>4180.3502114896173</v>
      </c>
      <c r="E35" s="738">
        <f>'Amortizacion '!D10</f>
        <v>4674.8856415088394</v>
      </c>
      <c r="F35" s="738">
        <f>'Amortizacion '!D11</f>
        <v>5227.9246128993345</v>
      </c>
      <c r="G35" s="738">
        <f>'Amortizacion '!D12</f>
        <v>5846.3880946053259</v>
      </c>
      <c r="H35" s="215"/>
      <c r="K35" s="427"/>
      <c r="L35" s="67"/>
      <c r="M35" s="67"/>
      <c r="N35" s="67"/>
      <c r="O35" s="67"/>
      <c r="P35" s="67"/>
      <c r="Q35" s="67"/>
    </row>
    <row r="36" spans="1:17" x14ac:dyDescent="0.25">
      <c r="A36" s="51" t="s">
        <v>339</v>
      </c>
      <c r="B36" s="316"/>
      <c r="C36" s="738"/>
      <c r="D36" s="738"/>
      <c r="E36" s="738"/>
      <c r="F36" s="738"/>
      <c r="G36" s="738">
        <f>J6</f>
        <v>14822.873152952407</v>
      </c>
      <c r="H36" s="215"/>
    </row>
    <row r="37" spans="1:17" ht="13.5" thickBot="1" x14ac:dyDescent="0.3">
      <c r="A37" s="224" t="s">
        <v>335</v>
      </c>
      <c r="B37" s="330">
        <f t="shared" ref="B37:G37" si="2">B29+B30-B31-B32-B33+B34-B35+B36</f>
        <v>-23667.678053027135</v>
      </c>
      <c r="C37" s="330">
        <f>C29+C30-C31-C32-C33+C34-C35+C36</f>
        <v>6976.4652137390804</v>
      </c>
      <c r="D37" s="330">
        <f t="shared" si="2"/>
        <v>7799.059313170922</v>
      </c>
      <c r="E37" s="330">
        <f t="shared" si="2"/>
        <v>5661.0465367834568</v>
      </c>
      <c r="F37" s="330">
        <f t="shared" si="2"/>
        <v>8330.1171740536138</v>
      </c>
      <c r="G37" s="330">
        <f t="shared" si="2"/>
        <v>23406.759235825681</v>
      </c>
      <c r="H37" s="225"/>
    </row>
    <row r="38" spans="1:17" ht="13.5" thickTop="1" x14ac:dyDescent="0.25"/>
    <row r="39" spans="1:17" x14ac:dyDescent="0.25">
      <c r="A39" s="489" t="s">
        <v>74</v>
      </c>
      <c r="B39" s="621">
        <f>IRR(B37:G37)</f>
        <v>0.26493900641995349</v>
      </c>
      <c r="C39" s="331">
        <f>+'Tasas de dESCUENTO  '!C19</f>
        <v>0.1538765</v>
      </c>
      <c r="D39" s="883" t="s">
        <v>476</v>
      </c>
      <c r="E39" s="884"/>
    </row>
    <row r="40" spans="1:17" x14ac:dyDescent="0.25">
      <c r="A40" s="489" t="s">
        <v>75</v>
      </c>
      <c r="B40" s="200">
        <f>NPV(C39,C37:G37)+B37</f>
        <v>8063.1411057083969</v>
      </c>
      <c r="C40" s="189" t="s">
        <v>67</v>
      </c>
      <c r="D40" s="885"/>
      <c r="E40" s="886"/>
    </row>
    <row r="42" spans="1:17" x14ac:dyDescent="0.25">
      <c r="A42" s="189" t="s">
        <v>310</v>
      </c>
      <c r="B42" s="226">
        <f>IC!I44</f>
        <v>4.8714531107179826E-2</v>
      </c>
    </row>
    <row r="44" spans="1:17" ht="13.5" thickBot="1" x14ac:dyDescent="0.3"/>
    <row r="45" spans="1:17" ht="13.5" thickBot="1" x14ac:dyDescent="0.3">
      <c r="A45" s="415" t="s">
        <v>512</v>
      </c>
      <c r="B45" s="552">
        <v>0</v>
      </c>
      <c r="C45" s="552">
        <v>1</v>
      </c>
      <c r="D45" s="552">
        <v>2</v>
      </c>
      <c r="E45" s="552">
        <v>3</v>
      </c>
      <c r="F45" s="552">
        <v>4</v>
      </c>
      <c r="G45" s="552">
        <v>5</v>
      </c>
      <c r="H45" s="567" t="s">
        <v>513</v>
      </c>
      <c r="I45" s="568" t="s">
        <v>514</v>
      </c>
      <c r="J45" s="569" t="s">
        <v>508</v>
      </c>
    </row>
    <row r="46" spans="1:17" x14ac:dyDescent="0.25">
      <c r="A46" s="558" t="s">
        <v>509</v>
      </c>
      <c r="B46" s="526">
        <f>$B$37</f>
        <v>-23667.678053027135</v>
      </c>
      <c r="C46" s="526">
        <f>B46+C37</f>
        <v>-16691.212839288055</v>
      </c>
      <c r="D46" s="526">
        <f>C46+D37</f>
        <v>-8892.1535261171339</v>
      </c>
      <c r="E46" s="526">
        <f>D46+E37</f>
        <v>-3231.1069893336771</v>
      </c>
      <c r="F46" s="526">
        <f>E46+F37</f>
        <v>5099.0101847199367</v>
      </c>
      <c r="G46" s="526">
        <f>F46+G37</f>
        <v>28505.769420545617</v>
      </c>
      <c r="H46" s="570">
        <f>(F46-E46)/365</f>
        <v>22.822238833023601</v>
      </c>
      <c r="I46" s="564">
        <f>E46/H46</f>
        <v>-141.57712628343415</v>
      </c>
      <c r="J46" s="622" t="s">
        <v>532</v>
      </c>
    </row>
    <row r="47" spans="1:17" x14ac:dyDescent="0.25">
      <c r="A47" s="558" t="s">
        <v>510</v>
      </c>
      <c r="B47" s="684">
        <f>$B$37</f>
        <v>-23667.678053027135</v>
      </c>
      <c r="C47" s="666">
        <f>(C37*((1+$C$39)^-C45))</f>
        <v>6046.1108391921325</v>
      </c>
      <c r="D47" s="666">
        <f>(D37*((1+$C$39)^-D45))</f>
        <v>5857.6519897909284</v>
      </c>
      <c r="E47" s="666">
        <f>(E37*((1+$C$39)^-E45))</f>
        <v>3684.8408854635463</v>
      </c>
      <c r="F47" s="666">
        <f>(F37*((1+$C$39)^-F45))</f>
        <v>4699.0903593158328</v>
      </c>
      <c r="G47" s="666">
        <f>(G37*((1+$C$39)^-G45))</f>
        <v>11443.125084973091</v>
      </c>
      <c r="H47" s="747"/>
      <c r="I47" s="565"/>
      <c r="J47" s="562"/>
    </row>
    <row r="48" spans="1:17" ht="13.5" thickBot="1" x14ac:dyDescent="0.3">
      <c r="A48" s="559" t="s">
        <v>511</v>
      </c>
      <c r="B48" s="748">
        <f>$B$37</f>
        <v>-23667.678053027135</v>
      </c>
      <c r="C48" s="748">
        <f>B48+C47</f>
        <v>-17621.567213835002</v>
      </c>
      <c r="D48" s="748">
        <f>C48+D47</f>
        <v>-11763.915224044074</v>
      </c>
      <c r="E48" s="748">
        <f>D48+E47</f>
        <v>-8079.0743385805281</v>
      </c>
      <c r="F48" s="748">
        <f>E48+F47</f>
        <v>-3379.9839792646953</v>
      </c>
      <c r="G48" s="748">
        <f>F48+G47</f>
        <v>8063.141105708396</v>
      </c>
      <c r="H48" s="749">
        <f>(G48-F48)/365</f>
        <v>31.351027630063264</v>
      </c>
      <c r="I48" s="566">
        <f>F48/H48</f>
        <v>-107.8109470333134</v>
      </c>
      <c r="J48" s="563" t="s">
        <v>533</v>
      </c>
    </row>
    <row r="49" spans="1:4" ht="13.5" thickBot="1" x14ac:dyDescent="0.3"/>
    <row r="50" spans="1:4" ht="13.5" thickBot="1" x14ac:dyDescent="0.3">
      <c r="A50" s="561" t="s">
        <v>515</v>
      </c>
      <c r="B50" s="560">
        <f>B39/(1-((1/(1+B39)))^G45)</f>
        <v>0.38329301829014734</v>
      </c>
      <c r="C50" s="317"/>
      <c r="D50" s="164"/>
    </row>
    <row r="51" spans="1:4" ht="15" customHeight="1" thickBot="1" x14ac:dyDescent="0.3"/>
    <row r="52" spans="1:4" ht="15" customHeight="1" x14ac:dyDescent="0.25">
      <c r="A52" s="889" t="s">
        <v>516</v>
      </c>
      <c r="B52" s="572">
        <f>NPV(C39,C8:G8)</f>
        <v>2322303.6224147337</v>
      </c>
      <c r="C52" s="887">
        <f>B52/B53</f>
        <v>1.0139897565342122</v>
      </c>
    </row>
    <row r="53" spans="1:4" ht="13.5" thickBot="1" x14ac:dyDescent="0.3">
      <c r="A53" s="890"/>
      <c r="B53" s="573">
        <f>NPV(C39,C24:G24)</f>
        <v>2290263.3951178174</v>
      </c>
      <c r="C53" s="888"/>
    </row>
    <row r="57" spans="1:4" x14ac:dyDescent="0.25">
      <c r="C57" s="317"/>
      <c r="D57" s="164"/>
    </row>
  </sheetData>
  <mergeCells count="5">
    <mergeCell ref="A2:G2"/>
    <mergeCell ref="D39:E40"/>
    <mergeCell ref="I4:J5"/>
    <mergeCell ref="A52:A53"/>
    <mergeCell ref="C52:C53"/>
  </mergeCells>
  <pageMargins left="0.7" right="0.7" top="0.75" bottom="0.75" header="0.3" footer="0.3"/>
  <pageSetup orientation="portrait" horizontalDpi="4294967293" verticalDpi="0" r:id="rId1"/>
  <ignoredErrors>
    <ignoredError sqref="C28:G28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Normal="100" workbookViewId="0">
      <selection activeCell="B11" sqref="B11"/>
    </sheetView>
  </sheetViews>
  <sheetFormatPr baseColWidth="10" defaultRowHeight="12.75" x14ac:dyDescent="0.25"/>
  <cols>
    <col min="1" max="1" width="50.42578125" style="51" bestFit="1" customWidth="1"/>
    <col min="2" max="6" width="12.85546875" style="51" bestFit="1" customWidth="1"/>
    <col min="7" max="7" width="20" style="51" customWidth="1"/>
    <col min="8" max="8" width="19.140625" style="51" customWidth="1"/>
    <col min="9" max="9" width="22" style="51" bestFit="1" customWidth="1"/>
    <col min="10" max="10" width="25.5703125" style="51" bestFit="1" customWidth="1"/>
    <col min="11" max="11" width="18.140625" style="51" bestFit="1" customWidth="1"/>
    <col min="12" max="12" width="20.28515625" style="51" bestFit="1" customWidth="1"/>
    <col min="13" max="13" width="23.7109375" style="51" bestFit="1" customWidth="1"/>
    <col min="14" max="14" width="28.85546875" style="51" bestFit="1" customWidth="1"/>
    <col min="15" max="16384" width="11.42578125" style="51"/>
  </cols>
  <sheetData>
    <row r="1" spans="1:15" x14ac:dyDescent="0.25">
      <c r="A1" s="824" t="s">
        <v>369</v>
      </c>
      <c r="B1" s="824"/>
      <c r="C1" s="824"/>
      <c r="D1" s="824"/>
      <c r="E1" s="824"/>
      <c r="F1" s="824"/>
    </row>
    <row r="2" spans="1:15" x14ac:dyDescent="0.25">
      <c r="A2" s="896" t="s">
        <v>346</v>
      </c>
      <c r="B2" s="896"/>
      <c r="C2" s="896"/>
      <c r="D2" s="896"/>
      <c r="E2" s="896"/>
      <c r="F2" s="896"/>
      <c r="J2" s="213"/>
    </row>
    <row r="3" spans="1:15" x14ac:dyDescent="0.25">
      <c r="A3" s="772" t="s">
        <v>529</v>
      </c>
      <c r="B3" s="772"/>
      <c r="C3" s="772"/>
      <c r="D3" s="772"/>
      <c r="E3" s="772"/>
      <c r="F3" s="772"/>
      <c r="J3" s="213"/>
    </row>
    <row r="5" spans="1:15" x14ac:dyDescent="0.25">
      <c r="B5" s="336">
        <v>2013</v>
      </c>
      <c r="C5" s="336">
        <v>2014</v>
      </c>
      <c r="D5" s="336">
        <v>2015</v>
      </c>
      <c r="E5" s="336">
        <v>2015</v>
      </c>
      <c r="F5" s="336">
        <v>2017</v>
      </c>
      <c r="G5" s="214"/>
    </row>
    <row r="6" spans="1:15" x14ac:dyDescent="0.25">
      <c r="A6" s="204" t="s">
        <v>69</v>
      </c>
      <c r="B6" s="468">
        <f>SUM(B7:B8)</f>
        <v>644482.99011419842</v>
      </c>
      <c r="C6" s="468">
        <f>SUM(C7:C8)</f>
        <v>676333.2518144974</v>
      </c>
      <c r="D6" s="468">
        <f>SUM(D7:D8)</f>
        <v>708184.98196968378</v>
      </c>
      <c r="E6" s="468">
        <f>SUM(E7:E8)</f>
        <v>740038.21053624619</v>
      </c>
      <c r="F6" s="468">
        <f>SUM(F7:F8)</f>
        <v>771892.96808175812</v>
      </c>
    </row>
    <row r="7" spans="1:15" x14ac:dyDescent="0.25">
      <c r="A7" s="67" t="s">
        <v>73</v>
      </c>
      <c r="B7" s="726">
        <f>IC!K39*IC!J39</f>
        <v>640954.40762879839</v>
      </c>
      <c r="C7" s="727">
        <f>IC!J40*IC!K40</f>
        <v>672732.68624639523</v>
      </c>
      <c r="D7" s="727">
        <f>IC!K41*IC!J41</f>
        <v>704510.9648639923</v>
      </c>
      <c r="E7" s="727">
        <f>IC!K42*IC!J42</f>
        <v>736289.24348159868</v>
      </c>
      <c r="F7" s="727">
        <f>IC!K43*IC!J43</f>
        <v>768067.52209919575</v>
      </c>
      <c r="G7" s="150"/>
    </row>
    <row r="8" spans="1:15" x14ac:dyDescent="0.25">
      <c r="A8" s="67" t="s">
        <v>399</v>
      </c>
      <c r="B8" s="728">
        <f>IC!J53</f>
        <v>3528.5824853999998</v>
      </c>
      <c r="C8" s="729">
        <f>IC!J54</f>
        <v>3600.5655681021594</v>
      </c>
      <c r="D8" s="729">
        <f>IC!J55</f>
        <v>3674.0171056914432</v>
      </c>
      <c r="E8" s="729">
        <f>IC!J56</f>
        <v>3748.967054647549</v>
      </c>
      <c r="F8" s="729">
        <f>IC!J57</f>
        <v>3825.4459825623589</v>
      </c>
      <c r="G8" s="150"/>
    </row>
    <row r="9" spans="1:15" x14ac:dyDescent="0.25">
      <c r="A9" s="204" t="s">
        <v>367</v>
      </c>
      <c r="B9" s="733">
        <f>SUM(B10:B12)</f>
        <v>538897.48624859517</v>
      </c>
      <c r="C9" s="733">
        <f>SUM(C10:C12)</f>
        <v>565574.63597957522</v>
      </c>
      <c r="D9" s="733">
        <f>SUM(D10:D12)</f>
        <v>592252.37309251004</v>
      </c>
      <c r="E9" s="733">
        <f>SUM(E10:E12)</f>
        <v>618930.70956999972</v>
      </c>
      <c r="F9" s="733">
        <f>SUM(F10:F12)</f>
        <v>645609.65763906483</v>
      </c>
      <c r="G9" s="215"/>
      <c r="J9" s="221"/>
    </row>
    <row r="10" spans="1:15" x14ac:dyDescent="0.25">
      <c r="A10" s="51" t="s">
        <v>502</v>
      </c>
      <c r="B10" s="730">
        <f>IC!O39</f>
        <v>457366.75230083539</v>
      </c>
      <c r="C10" s="731">
        <f>IC!O40</f>
        <v>480042.8239715349</v>
      </c>
      <c r="D10" s="731">
        <f>IC!O41</f>
        <v>502718.89564223448</v>
      </c>
      <c r="E10" s="731">
        <f>IC!O42</f>
        <v>525394.96731294086</v>
      </c>
      <c r="F10" s="731">
        <f>IC!O43</f>
        <v>548071.03898364038</v>
      </c>
      <c r="G10" s="215"/>
      <c r="J10" s="221"/>
    </row>
    <row r="11" spans="1:15" x14ac:dyDescent="0.25">
      <c r="A11" s="51" t="s">
        <v>503</v>
      </c>
      <c r="B11" s="726">
        <f>IC!P39</f>
        <v>80119.300953599799</v>
      </c>
      <c r="C11" s="727">
        <f>IC!P40</f>
        <v>84091.585780799418</v>
      </c>
      <c r="D11" s="727">
        <f>IC!P41</f>
        <v>88063.870607999052</v>
      </c>
      <c r="E11" s="727">
        <f>IC!P42</f>
        <v>92036.155435199849</v>
      </c>
      <c r="F11" s="727">
        <f>IC!P43</f>
        <v>96008.440262399468</v>
      </c>
      <c r="G11" s="215"/>
      <c r="J11" s="221"/>
      <c r="K11" s="67"/>
      <c r="L11" s="67"/>
      <c r="M11" s="67"/>
      <c r="N11" s="67"/>
      <c r="O11" s="67"/>
    </row>
    <row r="12" spans="1:15" x14ac:dyDescent="0.25">
      <c r="A12" s="51" t="s">
        <v>404</v>
      </c>
      <c r="B12" s="728">
        <f>IC!L53</f>
        <v>1411.4329941600001</v>
      </c>
      <c r="C12" s="729">
        <f>IC!L54</f>
        <v>1440.2262272408639</v>
      </c>
      <c r="D12" s="729">
        <f>IC!L55</f>
        <v>1469.6068422765775</v>
      </c>
      <c r="E12" s="729">
        <f>IC!L56</f>
        <v>1499.5868218590197</v>
      </c>
      <c r="F12" s="729">
        <f>IC!L57</f>
        <v>1530.1783930249437</v>
      </c>
      <c r="G12" s="215"/>
      <c r="J12" s="221"/>
      <c r="K12" s="67"/>
      <c r="L12" s="67"/>
      <c r="M12" s="67"/>
      <c r="N12" s="67"/>
      <c r="O12" s="67"/>
    </row>
    <row r="13" spans="1:15" x14ac:dyDescent="0.25">
      <c r="A13" s="204" t="s">
        <v>368</v>
      </c>
      <c r="B13" s="288">
        <f>B6-B9</f>
        <v>105585.50386560324</v>
      </c>
      <c r="C13" s="288">
        <f>C6-C9</f>
        <v>110758.61583492218</v>
      </c>
      <c r="D13" s="288">
        <f>D6-D9</f>
        <v>115932.60887717374</v>
      </c>
      <c r="E13" s="288">
        <f>E6-E9</f>
        <v>121107.50096624647</v>
      </c>
      <c r="F13" s="288">
        <f>F6-F9</f>
        <v>126283.3104426933</v>
      </c>
      <c r="G13" s="215"/>
      <c r="J13" s="221"/>
      <c r="K13" s="67"/>
      <c r="L13" s="67"/>
      <c r="M13" s="67"/>
      <c r="N13" s="67"/>
      <c r="O13" s="67"/>
    </row>
    <row r="14" spans="1:15" x14ac:dyDescent="0.25">
      <c r="A14" s="204" t="s">
        <v>314</v>
      </c>
      <c r="B14" s="732"/>
      <c r="C14" s="732"/>
      <c r="D14" s="732"/>
      <c r="E14" s="732"/>
      <c r="F14" s="732"/>
      <c r="G14" s="215"/>
      <c r="J14" s="221"/>
      <c r="K14" s="67"/>
      <c r="L14" s="67"/>
      <c r="M14" s="67"/>
      <c r="N14" s="67"/>
      <c r="O14" s="67"/>
    </row>
    <row r="15" spans="1:15" x14ac:dyDescent="0.25">
      <c r="A15" s="51" t="s">
        <v>211</v>
      </c>
      <c r="B15" s="730">
        <f>COSTOS!D4</f>
        <v>14712</v>
      </c>
      <c r="C15" s="731">
        <f t="shared" ref="C15:F19" si="0">B15*(1+$F$35)</f>
        <v>15428.688181648831</v>
      </c>
      <c r="D15" s="731">
        <f t="shared" si="0"/>
        <v>16180.289492016742</v>
      </c>
      <c r="E15" s="731">
        <f t="shared" si="0"/>
        <v>16968.504707798769</v>
      </c>
      <c r="F15" s="731">
        <f t="shared" si="0"/>
        <v>17795.117458229161</v>
      </c>
      <c r="G15" s="215"/>
      <c r="J15" s="221"/>
      <c r="K15" s="67"/>
      <c r="L15" s="67"/>
      <c r="M15" s="67"/>
      <c r="N15" s="67"/>
      <c r="O15" s="67"/>
    </row>
    <row r="16" spans="1:15" x14ac:dyDescent="0.25">
      <c r="A16" s="51" t="s">
        <v>66</v>
      </c>
      <c r="B16" s="730">
        <f>+COSTOS!D44</f>
        <v>4398.83</v>
      </c>
      <c r="C16" s="731">
        <f t="shared" si="0"/>
        <v>4613.1169408701962</v>
      </c>
      <c r="D16" s="731">
        <f t="shared" si="0"/>
        <v>4837.8427695872761</v>
      </c>
      <c r="E16" s="731">
        <f t="shared" si="0"/>
        <v>5073.5160116779807</v>
      </c>
      <c r="F16" s="731">
        <f t="shared" si="0"/>
        <v>5320.6699652516436</v>
      </c>
      <c r="G16" s="215"/>
      <c r="J16" s="221"/>
      <c r="K16" s="153"/>
      <c r="L16" s="153"/>
      <c r="M16" s="153"/>
      <c r="N16" s="153"/>
      <c r="O16" s="67"/>
    </row>
    <row r="17" spans="1:15" x14ac:dyDescent="0.25">
      <c r="A17" s="51" t="s">
        <v>504</v>
      </c>
      <c r="B17" s="730">
        <f>COSTOS!D11</f>
        <v>59270.016000000003</v>
      </c>
      <c r="C17" s="731">
        <f t="shared" si="0"/>
        <v>62157.327038155054</v>
      </c>
      <c r="D17" s="731">
        <f t="shared" si="0"/>
        <v>65185.292079694416</v>
      </c>
      <c r="E17" s="731">
        <f t="shared" si="0"/>
        <v>68360.763018441299</v>
      </c>
      <c r="F17" s="731">
        <f t="shared" si="0"/>
        <v>71690.92553501371</v>
      </c>
      <c r="G17" s="215"/>
      <c r="J17" s="221"/>
      <c r="K17" s="153"/>
      <c r="L17" s="153"/>
      <c r="M17" s="153"/>
      <c r="N17" s="153"/>
      <c r="O17" s="67"/>
    </row>
    <row r="18" spans="1:15" x14ac:dyDescent="0.25">
      <c r="A18" s="51" t="s">
        <v>212</v>
      </c>
      <c r="B18" s="730">
        <f>COSTOS!D9</f>
        <v>7200</v>
      </c>
      <c r="C18" s="731">
        <f t="shared" si="0"/>
        <v>7550.7446239716955</v>
      </c>
      <c r="D18" s="731">
        <f t="shared" si="0"/>
        <v>7918.5756078385366</v>
      </c>
      <c r="E18" s="731">
        <f t="shared" si="0"/>
        <v>8304.3253056111425</v>
      </c>
      <c r="F18" s="731">
        <f t="shared" si="0"/>
        <v>8708.8666190354779</v>
      </c>
      <c r="G18" s="215"/>
      <c r="J18" s="221"/>
      <c r="K18" s="153"/>
      <c r="L18" s="153"/>
      <c r="M18" s="153"/>
      <c r="N18" s="153"/>
      <c r="O18" s="67"/>
    </row>
    <row r="19" spans="1:15" x14ac:dyDescent="0.25">
      <c r="A19" s="51" t="s">
        <v>214</v>
      </c>
      <c r="B19" s="730">
        <f>+COSTOS!D10</f>
        <v>1200</v>
      </c>
      <c r="C19" s="731">
        <f t="shared" si="0"/>
        <v>1258.4574373286159</v>
      </c>
      <c r="D19" s="731">
        <f t="shared" si="0"/>
        <v>1319.7626013064228</v>
      </c>
      <c r="E19" s="731">
        <f t="shared" si="0"/>
        <v>1384.0542176018573</v>
      </c>
      <c r="F19" s="731">
        <f t="shared" si="0"/>
        <v>1451.4777698392465</v>
      </c>
      <c r="G19" s="216"/>
      <c r="J19" s="221"/>
      <c r="K19" s="372"/>
      <c r="L19" s="280"/>
      <c r="M19" s="280"/>
      <c r="N19" s="281"/>
      <c r="O19" s="67"/>
    </row>
    <row r="20" spans="1:15" x14ac:dyDescent="0.25">
      <c r="A20" s="51" t="s">
        <v>213</v>
      </c>
      <c r="B20" s="730">
        <f>+COSTOS!J49</f>
        <v>957.13</v>
      </c>
      <c r="C20" s="730">
        <f>+COSTOS!J50</f>
        <v>813.62</v>
      </c>
      <c r="D20" s="730">
        <f>+COSTOS!J51</f>
        <v>691.67</v>
      </c>
      <c r="E20" s="730">
        <f>+COSTOS!J52</f>
        <v>587.99</v>
      </c>
      <c r="F20" s="730">
        <f>+COSTOS!J53</f>
        <v>105.85</v>
      </c>
      <c r="G20" s="215"/>
      <c r="J20" s="221"/>
      <c r="K20" s="372"/>
      <c r="L20" s="280"/>
      <c r="M20" s="280"/>
      <c r="N20" s="281"/>
      <c r="O20" s="67"/>
    </row>
    <row r="21" spans="1:15" x14ac:dyDescent="0.25">
      <c r="A21" s="222" t="s">
        <v>337</v>
      </c>
      <c r="B21" s="730">
        <f>DEPRECIACION!$E$10</f>
        <v>6049.2253333333329</v>
      </c>
      <c r="C21" s="730">
        <f>DEPRECIACION!$E$10</f>
        <v>6049.2253333333329</v>
      </c>
      <c r="D21" s="730">
        <f>DEPRECIACION!$E$10</f>
        <v>6049.2253333333329</v>
      </c>
      <c r="E21" s="730">
        <f>DEPRECIACION!$E$10</f>
        <v>6049.2253333333329</v>
      </c>
      <c r="F21" s="730">
        <f>DEPRECIACION!$E$10</f>
        <v>6049.2253333333329</v>
      </c>
      <c r="G21" s="150"/>
      <c r="J21" s="221"/>
      <c r="K21" s="372"/>
      <c r="L21" s="280"/>
      <c r="M21" s="280"/>
      <c r="N21" s="281"/>
      <c r="O21" s="67"/>
    </row>
    <row r="22" spans="1:15" x14ac:dyDescent="0.25">
      <c r="A22" s="51" t="s">
        <v>176</v>
      </c>
      <c r="B22" s="730">
        <f>COSTOS!D19</f>
        <v>892.72</v>
      </c>
      <c r="C22" s="731">
        <f t="shared" ref="C22:F23" si="1">B22*(1+$F$35)</f>
        <v>936.20843621000165</v>
      </c>
      <c r="D22" s="731">
        <f t="shared" si="1"/>
        <v>981.81539119855802</v>
      </c>
      <c r="E22" s="731">
        <f t="shared" si="1"/>
        <v>1029.6440676146083</v>
      </c>
      <c r="F22" s="731">
        <f t="shared" si="1"/>
        <v>1079.8026955757434</v>
      </c>
      <c r="G22" s="150"/>
      <c r="J22" s="221"/>
      <c r="K22" s="372"/>
      <c r="L22" s="280"/>
      <c r="M22" s="280"/>
      <c r="N22" s="281"/>
      <c r="O22" s="67"/>
    </row>
    <row r="23" spans="1:15" x14ac:dyDescent="0.25">
      <c r="A23" s="67" t="s">
        <v>5</v>
      </c>
      <c r="B23" s="726">
        <f>(+'MONTOS-INVERSION(OFICINA)'!$E$23+'MONTOS-INVERSION (PUBLICENTROS)'!$E$18)</f>
        <v>618.93999999999994</v>
      </c>
      <c r="C23" s="731">
        <f t="shared" si="1"/>
        <v>649.0913718834779</v>
      </c>
      <c r="D23" s="731">
        <f t="shared" si="1"/>
        <v>680.7115537104977</v>
      </c>
      <c r="E23" s="731">
        <f t="shared" si="1"/>
        <v>713.8720978687445</v>
      </c>
      <c r="F23" s="731">
        <f t="shared" si="1"/>
        <v>748.64804238691931</v>
      </c>
      <c r="G23" s="150"/>
      <c r="J23" s="221"/>
      <c r="K23" s="372"/>
      <c r="L23" s="280"/>
      <c r="M23" s="280"/>
      <c r="N23" s="281"/>
      <c r="O23" s="67"/>
    </row>
    <row r="24" spans="1:15" ht="11.25" customHeight="1" x14ac:dyDescent="0.25">
      <c r="A24" s="67" t="s">
        <v>204</v>
      </c>
      <c r="B24" s="726">
        <f>'MONTOS-INVERSION(OFICINA)'!E50</f>
        <v>450</v>
      </c>
      <c r="C24" s="726">
        <v>0</v>
      </c>
      <c r="D24" s="727">
        <v>0</v>
      </c>
      <c r="E24" s="727">
        <v>0</v>
      </c>
      <c r="F24" s="727">
        <v>0</v>
      </c>
      <c r="G24" s="223"/>
      <c r="H24" s="219"/>
      <c r="I24" s="220"/>
      <c r="J24" s="221"/>
      <c r="K24" s="67"/>
      <c r="L24" s="67"/>
      <c r="M24" s="67"/>
      <c r="N24" s="67"/>
      <c r="O24" s="67"/>
    </row>
    <row r="25" spans="1:15" ht="11.25" customHeight="1" x14ac:dyDescent="0.25">
      <c r="A25" s="217" t="s">
        <v>315</v>
      </c>
      <c r="B25" s="726"/>
      <c r="C25" s="726"/>
      <c r="D25" s="727"/>
      <c r="E25" s="727"/>
      <c r="F25" s="727"/>
      <c r="G25" s="223"/>
      <c r="H25" s="219"/>
      <c r="I25" s="220"/>
      <c r="J25" s="221"/>
      <c r="K25" s="67"/>
      <c r="L25" s="67"/>
      <c r="M25" s="67"/>
      <c r="N25" s="67"/>
      <c r="O25" s="67"/>
    </row>
    <row r="26" spans="1:15" x14ac:dyDescent="0.25">
      <c r="A26" s="67" t="s">
        <v>343</v>
      </c>
      <c r="B26" s="728">
        <f>'Amortizacion '!E8</f>
        <v>2799.8863136731102</v>
      </c>
      <c r="C26" s="728">
        <f>'Amortizacion '!E9</f>
        <v>2357.6655947075178</v>
      </c>
      <c r="D26" s="729">
        <f>'Amortizacion '!E10</f>
        <v>1863.1301646882962</v>
      </c>
      <c r="E26" s="729">
        <f>'Amortizacion '!E11</f>
        <v>1310.0911932978004</v>
      </c>
      <c r="F26" s="729">
        <f>'Amortizacion '!E12</f>
        <v>691.62771159180909</v>
      </c>
      <c r="G26" s="150"/>
      <c r="J26" s="221"/>
      <c r="K26" s="67"/>
      <c r="L26" s="67"/>
      <c r="M26" s="67"/>
      <c r="N26" s="67"/>
      <c r="O26" s="67"/>
    </row>
    <row r="27" spans="1:15" x14ac:dyDescent="0.25">
      <c r="A27" s="204" t="s">
        <v>215</v>
      </c>
      <c r="B27" s="734">
        <f>B26+SUM(B15:B24)</f>
        <v>98548.747647006458</v>
      </c>
      <c r="C27" s="734">
        <f>C26+SUM(C15:C24)</f>
        <v>101814.14495810872</v>
      </c>
      <c r="D27" s="734">
        <f>D26+SUM(D15:D24)</f>
        <v>105708.31499337408</v>
      </c>
      <c r="E27" s="734">
        <f>E26+SUM(E15:E24)</f>
        <v>109781.98595324554</v>
      </c>
      <c r="F27" s="734">
        <f>F26+SUM(F15:F24)</f>
        <v>113642.21113025706</v>
      </c>
      <c r="G27" s="223"/>
      <c r="H27" s="219"/>
      <c r="I27" s="220"/>
      <c r="J27" s="221"/>
      <c r="K27" s="67"/>
      <c r="L27" s="67"/>
      <c r="M27" s="67"/>
      <c r="N27" s="67"/>
      <c r="O27" s="67"/>
    </row>
    <row r="28" spans="1:15" x14ac:dyDescent="0.25">
      <c r="A28" s="217" t="s">
        <v>347</v>
      </c>
      <c r="B28" s="729">
        <f>B13-B27</f>
        <v>7036.7562185967836</v>
      </c>
      <c r="C28" s="729">
        <f>C13-C27</f>
        <v>8944.4708768134587</v>
      </c>
      <c r="D28" s="729">
        <f>D13-D27</f>
        <v>10224.293883799663</v>
      </c>
      <c r="E28" s="729">
        <f>E13-E27</f>
        <v>11325.515013000928</v>
      </c>
      <c r="F28" s="729">
        <f>F13-F27</f>
        <v>12641.099312436243</v>
      </c>
      <c r="G28" s="150"/>
      <c r="J28" s="221"/>
      <c r="K28" s="67"/>
      <c r="L28" s="67"/>
      <c r="M28" s="67"/>
      <c r="N28" s="67"/>
      <c r="O28" s="67"/>
    </row>
    <row r="29" spans="1:15" x14ac:dyDescent="0.25">
      <c r="A29" s="51" t="s">
        <v>341</v>
      </c>
      <c r="B29" s="734">
        <f>IF(B28&gt;0,B28*15%,0)</f>
        <v>1055.5134327895175</v>
      </c>
      <c r="C29" s="734">
        <f>IF(C28&gt;0,C28*15%,0)</f>
        <v>1341.6706315220188</v>
      </c>
      <c r="D29" s="734">
        <f>IF(D28&gt;0,D28*15%,0)</f>
        <v>1533.6440825699494</v>
      </c>
      <c r="E29" s="734">
        <f>IF(E28&gt;0,E28*15%,0)</f>
        <v>1698.827251950139</v>
      </c>
      <c r="F29" s="734">
        <f>IF(F28&gt;0,F28*15%,0)</f>
        <v>1896.1648968654363</v>
      </c>
      <c r="G29" s="223"/>
      <c r="H29" s="219"/>
      <c r="I29" s="220"/>
      <c r="J29" s="221"/>
    </row>
    <row r="30" spans="1:15" x14ac:dyDescent="0.25">
      <c r="A30" s="217" t="s">
        <v>42</v>
      </c>
      <c r="B30" s="729">
        <f>B28-B29</f>
        <v>5981.242785807266</v>
      </c>
      <c r="C30" s="729">
        <f>C28-C29</f>
        <v>7602.8002452914398</v>
      </c>
      <c r="D30" s="729">
        <f>D28-D29</f>
        <v>8690.6498012297125</v>
      </c>
      <c r="E30" s="729">
        <f>E28-E29</f>
        <v>9626.687761050789</v>
      </c>
      <c r="F30" s="729">
        <f>F28-F29</f>
        <v>10744.934415570806</v>
      </c>
      <c r="G30" s="223"/>
      <c r="H30" s="219"/>
      <c r="I30" s="220"/>
      <c r="J30" s="221"/>
    </row>
    <row r="31" spans="1:15" x14ac:dyDescent="0.25">
      <c r="A31" s="51" t="s">
        <v>76</v>
      </c>
      <c r="B31" s="734">
        <f>IF(B30&gt;0,B30*22%,0)</f>
        <v>1315.8734128775986</v>
      </c>
      <c r="C31" s="734">
        <f>IF(C30&gt;0,C30*22%,0)</f>
        <v>1672.6160539641166</v>
      </c>
      <c r="D31" s="734">
        <f>IF(D30&gt;0,D30*22%,0)</f>
        <v>1911.9429562705368</v>
      </c>
      <c r="E31" s="734">
        <f>IF(E30&gt;0,E30*22%,0)</f>
        <v>2117.8713074311736</v>
      </c>
      <c r="F31" s="734">
        <f>IF(F30&gt;0,F30*22%,0)</f>
        <v>2363.8855714255774</v>
      </c>
    </row>
    <row r="32" spans="1:15" ht="13.5" thickBot="1" x14ac:dyDescent="0.3">
      <c r="A32" s="204" t="s">
        <v>47</v>
      </c>
      <c r="B32" s="289">
        <f>B30-B31</f>
        <v>4665.3693729296674</v>
      </c>
      <c r="C32" s="289">
        <f>C30-C31</f>
        <v>5930.1841913273229</v>
      </c>
      <c r="D32" s="289">
        <f>D30-D31</f>
        <v>6778.7068449591752</v>
      </c>
      <c r="E32" s="289">
        <f>E30-E31</f>
        <v>7508.8164536196155</v>
      </c>
      <c r="F32" s="289">
        <f>F30-F31</f>
        <v>8381.0488441452289</v>
      </c>
    </row>
    <row r="33" spans="3:6" ht="13.5" thickTop="1" x14ac:dyDescent="0.25"/>
    <row r="35" spans="3:6" ht="38.25" x14ac:dyDescent="0.25">
      <c r="E35" s="227" t="s">
        <v>310</v>
      </c>
      <c r="F35" s="331">
        <f>IC!I44</f>
        <v>4.8714531107179826E-2</v>
      </c>
    </row>
    <row r="41" spans="3:6" x14ac:dyDescent="0.25">
      <c r="C41" s="215"/>
    </row>
    <row r="42" spans="3:6" x14ac:dyDescent="0.25">
      <c r="C42" s="220"/>
    </row>
    <row r="43" spans="3:6" x14ac:dyDescent="0.25">
      <c r="C43" s="220"/>
    </row>
    <row r="44" spans="3:6" x14ac:dyDescent="0.25">
      <c r="C44" s="282"/>
    </row>
  </sheetData>
  <mergeCells count="3">
    <mergeCell ref="A2:F2"/>
    <mergeCell ref="A1:F1"/>
    <mergeCell ref="A3:F3"/>
  </mergeCells>
  <pageMargins left="0.7" right="0.7" top="0.75" bottom="0.75" header="0.3" footer="0.3"/>
  <pageSetup orientation="portrait" horizontalDpi="4294967293" verticalDpi="0" r:id="rId1"/>
  <ignoredErrors>
    <ignoredError sqref="B31:F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>
      <selection activeCell="D16" sqref="D16"/>
    </sheetView>
  </sheetViews>
  <sheetFormatPr baseColWidth="10" defaultRowHeight="12.75" x14ac:dyDescent="0.25"/>
  <cols>
    <col min="1" max="1" width="11.42578125" style="164"/>
    <col min="2" max="2" width="9" style="164" bestFit="1" customWidth="1"/>
    <col min="3" max="3" width="20.140625" style="164" bestFit="1" customWidth="1"/>
    <col min="4" max="4" width="11.85546875" style="164" bestFit="1" customWidth="1"/>
    <col min="5" max="5" width="10.85546875" style="164" bestFit="1" customWidth="1"/>
    <col min="6" max="6" width="11.85546875" style="164" bestFit="1" customWidth="1"/>
    <col min="7" max="16384" width="11.42578125" style="164"/>
  </cols>
  <sheetData>
    <row r="1" spans="2:6" ht="13.5" thickBot="1" x14ac:dyDescent="0.3"/>
    <row r="2" spans="2:6" x14ac:dyDescent="0.25">
      <c r="C2" s="318" t="s">
        <v>331</v>
      </c>
      <c r="D2" s="319">
        <v>0.1183</v>
      </c>
    </row>
    <row r="3" spans="2:6" x14ac:dyDescent="0.25">
      <c r="C3" s="320" t="s">
        <v>329</v>
      </c>
      <c r="D3" s="310">
        <f>('flujo efectivo PA con prestamo'!B31+'flujo efectivo PA con prestamo'!B32+'flujo efectivo PA con prestamo'!B33)/2</f>
        <v>23667.678053027135</v>
      </c>
    </row>
    <row r="4" spans="2:6" ht="13.5" thickBot="1" x14ac:dyDescent="0.3">
      <c r="C4" s="321" t="s">
        <v>330</v>
      </c>
      <c r="D4" s="322">
        <v>5</v>
      </c>
    </row>
    <row r="5" spans="2:6" ht="13.5" thickBot="1" x14ac:dyDescent="0.3"/>
    <row r="6" spans="2:6" x14ac:dyDescent="0.25">
      <c r="B6" s="313" t="s">
        <v>194</v>
      </c>
      <c r="C6" s="314" t="s">
        <v>302</v>
      </c>
      <c r="D6" s="314" t="s">
        <v>303</v>
      </c>
      <c r="E6" s="314" t="s">
        <v>328</v>
      </c>
      <c r="F6" s="315" t="s">
        <v>304</v>
      </c>
    </row>
    <row r="7" spans="2:6" x14ac:dyDescent="0.25">
      <c r="B7" s="308">
        <v>0</v>
      </c>
      <c r="C7" s="309"/>
      <c r="D7" s="309"/>
      <c r="E7" s="309"/>
      <c r="F7" s="310">
        <f>D3</f>
        <v>23667.678053027135</v>
      </c>
    </row>
    <row r="8" spans="2:6" x14ac:dyDescent="0.25">
      <c r="B8" s="308">
        <v>1</v>
      </c>
      <c r="C8" s="311">
        <f>PMT($D$2,$D$4,-$F$7)</f>
        <v>6538.0158061971351</v>
      </c>
      <c r="D8" s="311">
        <f>C8-E8</f>
        <v>3738.129492524025</v>
      </c>
      <c r="E8" s="172">
        <f>F7*$D$2</f>
        <v>2799.8863136731102</v>
      </c>
      <c r="F8" s="680">
        <f>F7-D8</f>
        <v>19929.54856050311</v>
      </c>
    </row>
    <row r="9" spans="2:6" x14ac:dyDescent="0.25">
      <c r="B9" s="308">
        <v>2</v>
      </c>
      <c r="C9" s="676">
        <f>PMT($D$2,$D$4,-$F$7)</f>
        <v>6538.0158061971351</v>
      </c>
      <c r="D9" s="676">
        <f>C9-E9</f>
        <v>4180.3502114896173</v>
      </c>
      <c r="E9" s="678">
        <f>F8*$D$2</f>
        <v>2357.6655947075178</v>
      </c>
      <c r="F9" s="680">
        <f>F8-D9</f>
        <v>15749.198349013492</v>
      </c>
    </row>
    <row r="10" spans="2:6" x14ac:dyDescent="0.25">
      <c r="B10" s="308">
        <v>3</v>
      </c>
      <c r="C10" s="676">
        <f>PMT($D$2,$D$4,-$F$7)</f>
        <v>6538.0158061971351</v>
      </c>
      <c r="D10" s="676">
        <f>C10-E10</f>
        <v>4674.8856415088394</v>
      </c>
      <c r="E10" s="678">
        <f>F9*$D$2</f>
        <v>1863.1301646882962</v>
      </c>
      <c r="F10" s="680">
        <f>F9-D10</f>
        <v>11074.312707504652</v>
      </c>
    </row>
    <row r="11" spans="2:6" x14ac:dyDescent="0.25">
      <c r="B11" s="308">
        <v>4</v>
      </c>
      <c r="C11" s="676">
        <f>PMT($D$2,$D$4,-$F$7)</f>
        <v>6538.0158061971351</v>
      </c>
      <c r="D11" s="676">
        <f>C11-E11</f>
        <v>5227.9246128993345</v>
      </c>
      <c r="E11" s="678">
        <f>F10*$D$2</f>
        <v>1310.0911932978004</v>
      </c>
      <c r="F11" s="680">
        <f>F10-D11</f>
        <v>5846.3880946053177</v>
      </c>
    </row>
    <row r="12" spans="2:6" ht="13.5" thickBot="1" x14ac:dyDescent="0.3">
      <c r="B12" s="312">
        <v>5</v>
      </c>
      <c r="C12" s="677">
        <f>PMT($D$2,$D$4,-$F$7)</f>
        <v>6538.0158061971351</v>
      </c>
      <c r="D12" s="677">
        <f>C12-E12</f>
        <v>5846.3880946053259</v>
      </c>
      <c r="E12" s="679">
        <f>F11*$D$2</f>
        <v>691.62771159180909</v>
      </c>
      <c r="F12" s="681">
        <f>F11-D12</f>
        <v>-8.1854523159563541E-12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7"/>
  <sheetViews>
    <sheetView showGridLines="0" zoomScaleNormal="100" workbookViewId="0">
      <selection activeCell="O40" sqref="O40"/>
    </sheetView>
  </sheetViews>
  <sheetFormatPr baseColWidth="10" defaultRowHeight="15" x14ac:dyDescent="0.25"/>
  <cols>
    <col min="1" max="1" width="32.42578125" bestFit="1" customWidth="1"/>
    <col min="2" max="2" width="12.7109375" customWidth="1"/>
    <col min="11" max="11" width="43.42578125" bestFit="1" customWidth="1"/>
    <col min="12" max="12" width="11.5703125" bestFit="1" customWidth="1"/>
    <col min="13" max="13" width="7.28515625" bestFit="1" customWidth="1"/>
    <col min="15" max="15" width="46.140625" customWidth="1"/>
  </cols>
  <sheetData>
    <row r="9" spans="1:13" x14ac:dyDescent="0.25">
      <c r="A9" s="181"/>
      <c r="B9" s="181"/>
      <c r="C9" s="181"/>
      <c r="D9" s="181"/>
      <c r="E9" s="181"/>
      <c r="F9" s="181"/>
    </row>
    <row r="10" spans="1:13" ht="15.75" thickBot="1" x14ac:dyDescent="0.3">
      <c r="A10" s="181"/>
      <c r="B10" s="181"/>
      <c r="C10" s="181"/>
      <c r="D10" s="181"/>
      <c r="E10" s="181"/>
      <c r="F10" s="181"/>
    </row>
    <row r="11" spans="1:13" x14ac:dyDescent="0.25">
      <c r="A11" s="604" t="s">
        <v>456</v>
      </c>
      <c r="B11" s="605" t="s">
        <v>457</v>
      </c>
      <c r="C11" s="606">
        <f>ESI!F6/ESI!C9</f>
        <v>0.5</v>
      </c>
      <c r="D11" s="181"/>
      <c r="E11" s="181"/>
      <c r="F11" s="181"/>
    </row>
    <row r="12" spans="1:13" x14ac:dyDescent="0.25">
      <c r="A12" s="607" t="s">
        <v>467</v>
      </c>
      <c r="B12" s="493" t="s">
        <v>458</v>
      </c>
      <c r="C12" s="608">
        <f>ESI!F8/ESI!C9</f>
        <v>0.5</v>
      </c>
      <c r="D12" s="181"/>
      <c r="E12" s="181"/>
      <c r="F12" s="181"/>
    </row>
    <row r="13" spans="1:13" ht="15.75" thickBot="1" x14ac:dyDescent="0.3">
      <c r="A13" s="607" t="s">
        <v>455</v>
      </c>
      <c r="B13" s="493" t="s">
        <v>454</v>
      </c>
      <c r="C13" s="609">
        <v>0.22</v>
      </c>
      <c r="D13" s="181"/>
      <c r="E13" s="181"/>
      <c r="F13" s="181"/>
    </row>
    <row r="14" spans="1:13" x14ac:dyDescent="0.25">
      <c r="A14" s="607" t="s">
        <v>464</v>
      </c>
      <c r="B14" s="493" t="s">
        <v>451</v>
      </c>
      <c r="C14" s="610">
        <f>'Amortizacion '!D2</f>
        <v>0.1183</v>
      </c>
      <c r="D14" s="181"/>
      <c r="E14" s="181"/>
      <c r="F14" s="181"/>
      <c r="K14" s="604" t="s">
        <v>456</v>
      </c>
      <c r="L14" s="605" t="s">
        <v>457</v>
      </c>
      <c r="M14" s="606">
        <v>0.5</v>
      </c>
    </row>
    <row r="15" spans="1:13" x14ac:dyDescent="0.25">
      <c r="A15" s="607" t="s">
        <v>443</v>
      </c>
      <c r="B15" s="493" t="s">
        <v>442</v>
      </c>
      <c r="C15" s="610">
        <v>1.01E-2</v>
      </c>
      <c r="D15" s="181"/>
      <c r="E15" s="181"/>
      <c r="F15" s="181"/>
      <c r="K15" s="607" t="s">
        <v>467</v>
      </c>
      <c r="L15" s="493" t="s">
        <v>458</v>
      </c>
      <c r="M15" s="608">
        <v>0.5</v>
      </c>
    </row>
    <row r="16" spans="1:13" x14ac:dyDescent="0.25">
      <c r="A16" s="607" t="s">
        <v>463</v>
      </c>
      <c r="B16" s="493" t="s">
        <v>469</v>
      </c>
      <c r="C16" s="610">
        <f>AVERAGE(B24:B25)</f>
        <v>8.6000000000000007E-2</v>
      </c>
      <c r="D16" s="181"/>
      <c r="E16" s="181"/>
      <c r="F16" s="181"/>
      <c r="K16" s="607" t="s">
        <v>455</v>
      </c>
      <c r="L16" s="493" t="s">
        <v>454</v>
      </c>
      <c r="M16" s="609">
        <v>0.22</v>
      </c>
    </row>
    <row r="17" spans="1:17" x14ac:dyDescent="0.25">
      <c r="A17" s="607" t="s">
        <v>445</v>
      </c>
      <c r="B17" s="493" t="s">
        <v>446</v>
      </c>
      <c r="C17" s="611">
        <f>C57</f>
        <v>0.83499999999999996</v>
      </c>
      <c r="D17" s="181"/>
      <c r="E17" s="181"/>
      <c r="F17" s="181"/>
      <c r="K17" s="607" t="s">
        <v>464</v>
      </c>
      <c r="L17" s="493" t="s">
        <v>451</v>
      </c>
      <c r="M17" s="610">
        <v>0.1183</v>
      </c>
    </row>
    <row r="18" spans="1:17" x14ac:dyDescent="0.25">
      <c r="A18" s="607" t="s">
        <v>462</v>
      </c>
      <c r="B18" s="493" t="s">
        <v>466</v>
      </c>
      <c r="C18" s="610">
        <v>8.0399999999999999E-2</v>
      </c>
      <c r="D18" s="181"/>
      <c r="E18" s="181"/>
      <c r="F18" s="181"/>
      <c r="K18" s="607" t="s">
        <v>443</v>
      </c>
      <c r="L18" s="493" t="s">
        <v>442</v>
      </c>
      <c r="M18" s="610">
        <v>1.01E-2</v>
      </c>
    </row>
    <row r="19" spans="1:17" x14ac:dyDescent="0.25">
      <c r="A19" s="607" t="s">
        <v>461</v>
      </c>
      <c r="B19" s="493" t="s">
        <v>450</v>
      </c>
      <c r="C19" s="610">
        <f>(C15+((C16-C15)*C17))+C18</f>
        <v>0.1538765</v>
      </c>
      <c r="D19" s="181" t="s">
        <v>465</v>
      </c>
      <c r="E19" s="181"/>
      <c r="F19" s="181"/>
      <c r="K19" s="607" t="s">
        <v>463</v>
      </c>
      <c r="L19" s="493" t="s">
        <v>444</v>
      </c>
      <c r="M19" s="610">
        <v>8.6000000000000007E-2</v>
      </c>
    </row>
    <row r="20" spans="1:17" ht="15.75" thickBot="1" x14ac:dyDescent="0.3">
      <c r="A20" s="612" t="s">
        <v>453</v>
      </c>
      <c r="B20" s="613" t="s">
        <v>452</v>
      </c>
      <c r="C20" s="324">
        <f>(C14*(1-C13)*C11)+(C19*C12)</f>
        <v>0.12307525</v>
      </c>
      <c r="D20" s="181"/>
      <c r="E20" s="181"/>
      <c r="F20" s="181"/>
      <c r="K20" s="607" t="s">
        <v>445</v>
      </c>
      <c r="L20" s="493" t="s">
        <v>446</v>
      </c>
      <c r="M20" s="611">
        <v>0.83499999999999996</v>
      </c>
    </row>
    <row r="21" spans="1:17" x14ac:dyDescent="0.25">
      <c r="A21" s="181"/>
      <c r="B21" s="181"/>
      <c r="C21" s="181"/>
      <c r="D21" s="181"/>
      <c r="E21" s="181"/>
      <c r="F21" s="181"/>
      <c r="K21" s="607" t="s">
        <v>462</v>
      </c>
      <c r="L21" s="493" t="s">
        <v>466</v>
      </c>
      <c r="M21" s="610">
        <v>8.0399999999999999E-2</v>
      </c>
    </row>
    <row r="22" spans="1:17" ht="15.75" thickBot="1" x14ac:dyDescent="0.3">
      <c r="A22" s="181"/>
      <c r="B22" s="181"/>
      <c r="C22" s="181"/>
      <c r="D22" s="181"/>
      <c r="E22" s="181"/>
      <c r="F22" s="181"/>
      <c r="K22" s="607" t="s">
        <v>461</v>
      </c>
      <c r="L22" s="493" t="s">
        <v>450</v>
      </c>
      <c r="M22" s="610">
        <v>0.1538765</v>
      </c>
    </row>
    <row r="23" spans="1:17" ht="15.75" thickBot="1" x14ac:dyDescent="0.3">
      <c r="A23" s="554" t="s">
        <v>470</v>
      </c>
      <c r="B23" s="555" t="s">
        <v>449</v>
      </c>
      <c r="C23" s="181"/>
      <c r="D23" s="181"/>
      <c r="E23" s="181"/>
      <c r="F23" s="181"/>
      <c r="K23" s="612" t="s">
        <v>453</v>
      </c>
      <c r="L23" s="613" t="s">
        <v>452</v>
      </c>
      <c r="M23" s="324">
        <v>0.12307525</v>
      </c>
    </row>
    <row r="24" spans="1:17" x14ac:dyDescent="0.25">
      <c r="A24" s="614" t="s">
        <v>447</v>
      </c>
      <c r="B24" s="615">
        <v>0.115</v>
      </c>
      <c r="C24" s="181"/>
      <c r="D24" s="181"/>
      <c r="E24" s="181"/>
      <c r="F24" s="181"/>
      <c r="K24" s="616"/>
      <c r="L24" s="617"/>
      <c r="M24" s="618"/>
    </row>
    <row r="25" spans="1:17" ht="15.75" thickBot="1" x14ac:dyDescent="0.3">
      <c r="A25" s="612" t="s">
        <v>448</v>
      </c>
      <c r="B25" s="324">
        <v>5.7000000000000002E-2</v>
      </c>
      <c r="C25" s="181"/>
      <c r="D25" s="181"/>
      <c r="E25" s="181"/>
      <c r="F25" s="181"/>
      <c r="K25" s="495"/>
      <c r="L25" s="493"/>
      <c r="M25" s="494"/>
    </row>
    <row r="26" spans="1:17" x14ac:dyDescent="0.25">
      <c r="A26" s="181"/>
      <c r="B26" s="181"/>
      <c r="C26" s="181"/>
      <c r="D26" s="181"/>
      <c r="E26" s="181"/>
      <c r="F26" s="181"/>
    </row>
    <row r="27" spans="1:17" x14ac:dyDescent="0.25">
      <c r="K27" s="897" t="s">
        <v>474</v>
      </c>
      <c r="L27" s="897"/>
      <c r="M27" s="897"/>
      <c r="O27" s="897" t="s">
        <v>472</v>
      </c>
      <c r="P27" s="897"/>
      <c r="Q27" s="897"/>
    </row>
    <row r="28" spans="1:17" ht="15.75" thickBot="1" x14ac:dyDescent="0.3">
      <c r="K28" s="496"/>
    </row>
    <row r="29" spans="1:17" x14ac:dyDescent="0.25">
      <c r="K29" s="604" t="s">
        <v>456</v>
      </c>
      <c r="L29" s="605" t="s">
        <v>457</v>
      </c>
      <c r="M29" s="606">
        <v>0.5</v>
      </c>
      <c r="O29" s="604" t="s">
        <v>443</v>
      </c>
      <c r="P29" s="605" t="s">
        <v>442</v>
      </c>
      <c r="Q29" s="319">
        <v>1.01E-2</v>
      </c>
    </row>
    <row r="30" spans="1:17" x14ac:dyDescent="0.25">
      <c r="K30" s="607" t="s">
        <v>467</v>
      </c>
      <c r="L30" s="493" t="s">
        <v>458</v>
      </c>
      <c r="M30" s="608">
        <v>0.5</v>
      </c>
      <c r="O30" s="607" t="s">
        <v>473</v>
      </c>
      <c r="P30" s="493" t="s">
        <v>469</v>
      </c>
      <c r="Q30" s="610">
        <v>8.6000000000000007E-2</v>
      </c>
    </row>
    <row r="31" spans="1:17" x14ac:dyDescent="0.25">
      <c r="K31" s="607" t="s">
        <v>455</v>
      </c>
      <c r="L31" s="493" t="s">
        <v>454</v>
      </c>
      <c r="M31" s="609">
        <v>0.22</v>
      </c>
      <c r="O31" s="607" t="s">
        <v>445</v>
      </c>
      <c r="P31" s="493" t="s">
        <v>446</v>
      </c>
      <c r="Q31" s="611">
        <v>0.83499999999999996</v>
      </c>
    </row>
    <row r="32" spans="1:17" x14ac:dyDescent="0.25">
      <c r="K32" s="607" t="s">
        <v>464</v>
      </c>
      <c r="L32" s="493" t="s">
        <v>451</v>
      </c>
      <c r="M32" s="610">
        <v>0.1183</v>
      </c>
      <c r="O32" s="607" t="s">
        <v>462</v>
      </c>
      <c r="P32" s="493" t="s">
        <v>466</v>
      </c>
      <c r="Q32" s="610">
        <v>8.0399999999999999E-2</v>
      </c>
    </row>
    <row r="33" spans="1:17" ht="15.75" thickBot="1" x14ac:dyDescent="0.3">
      <c r="K33" s="607" t="s">
        <v>461</v>
      </c>
      <c r="L33" s="493" t="s">
        <v>450</v>
      </c>
      <c r="M33" s="610">
        <v>0.1538765</v>
      </c>
      <c r="O33" s="619" t="s">
        <v>471</v>
      </c>
      <c r="P33" s="613" t="s">
        <v>450</v>
      </c>
      <c r="Q33" s="324">
        <v>0.1538765</v>
      </c>
    </row>
    <row r="34" spans="1:17" ht="15.75" thickBot="1" x14ac:dyDescent="0.3">
      <c r="K34" s="612" t="s">
        <v>468</v>
      </c>
      <c r="L34" s="613" t="s">
        <v>452</v>
      </c>
      <c r="M34" s="324">
        <v>0.12307525</v>
      </c>
      <c r="P34" s="181"/>
      <c r="Q34" s="181"/>
    </row>
    <row r="44" spans="1:17" ht="11.25" customHeight="1" thickBot="1" x14ac:dyDescent="0.3"/>
    <row r="45" spans="1:17" ht="15.75" hidden="1" thickBot="1" x14ac:dyDescent="0.3"/>
    <row r="46" spans="1:17" ht="44.25" customHeight="1" thickBot="1" x14ac:dyDescent="0.3">
      <c r="A46" s="415" t="s">
        <v>459</v>
      </c>
      <c r="B46" s="101" t="s">
        <v>460</v>
      </c>
      <c r="C46" s="487" t="s">
        <v>440</v>
      </c>
    </row>
    <row r="47" spans="1:17" x14ac:dyDescent="0.25">
      <c r="A47" s="478" t="s">
        <v>420</v>
      </c>
      <c r="B47" s="492" t="s">
        <v>421</v>
      </c>
      <c r="C47" s="490">
        <v>1.45</v>
      </c>
    </row>
    <row r="48" spans="1:17" x14ac:dyDescent="0.25">
      <c r="A48" s="478" t="s">
        <v>422</v>
      </c>
      <c r="B48" s="492" t="s">
        <v>423</v>
      </c>
      <c r="C48" s="490">
        <v>1.85</v>
      </c>
    </row>
    <row r="49" spans="1:3" x14ac:dyDescent="0.25">
      <c r="A49" s="478" t="s">
        <v>424</v>
      </c>
      <c r="B49" s="492" t="s">
        <v>425</v>
      </c>
      <c r="C49" s="490">
        <v>-3.64</v>
      </c>
    </row>
    <row r="50" spans="1:3" x14ac:dyDescent="0.25">
      <c r="A50" s="478" t="s">
        <v>426</v>
      </c>
      <c r="B50" s="492" t="s">
        <v>427</v>
      </c>
      <c r="C50" s="490">
        <v>1.64</v>
      </c>
    </row>
    <row r="51" spans="1:3" x14ac:dyDescent="0.25">
      <c r="A51" s="478" t="s">
        <v>428</v>
      </c>
      <c r="B51" s="492" t="s">
        <v>429</v>
      </c>
      <c r="C51" s="490">
        <v>1.94</v>
      </c>
    </row>
    <row r="52" spans="1:3" x14ac:dyDescent="0.25">
      <c r="A52" s="478" t="s">
        <v>430</v>
      </c>
      <c r="B52" s="492" t="s">
        <v>431</v>
      </c>
      <c r="C52" s="490">
        <v>1.51</v>
      </c>
    </row>
    <row r="53" spans="1:3" x14ac:dyDescent="0.25">
      <c r="A53" s="478" t="s">
        <v>439</v>
      </c>
      <c r="B53" s="492" t="s">
        <v>432</v>
      </c>
      <c r="C53" s="490">
        <v>-1.51</v>
      </c>
    </row>
    <row r="54" spans="1:3" x14ac:dyDescent="0.25">
      <c r="A54" s="478" t="s">
        <v>433</v>
      </c>
      <c r="B54" s="492" t="s">
        <v>434</v>
      </c>
      <c r="C54" s="490">
        <v>1.38</v>
      </c>
    </row>
    <row r="55" spans="1:3" x14ac:dyDescent="0.25">
      <c r="A55" s="478" t="s">
        <v>435</v>
      </c>
      <c r="B55" s="492" t="s">
        <v>436</v>
      </c>
      <c r="C55" s="490">
        <v>2.34</v>
      </c>
    </row>
    <row r="56" spans="1:3" ht="15.75" thickBot="1" x14ac:dyDescent="0.3">
      <c r="A56" s="478" t="s">
        <v>437</v>
      </c>
      <c r="B56" s="492" t="s">
        <v>438</v>
      </c>
      <c r="C56" s="490">
        <v>1.39</v>
      </c>
    </row>
    <row r="57" spans="1:3" ht="15.75" thickBot="1" x14ac:dyDescent="0.3">
      <c r="A57" s="855" t="s">
        <v>441</v>
      </c>
      <c r="B57" s="856"/>
      <c r="C57" s="491">
        <f>AVERAGE(C47:C56)</f>
        <v>0.83499999999999996</v>
      </c>
    </row>
  </sheetData>
  <mergeCells count="3">
    <mergeCell ref="A57:B57"/>
    <mergeCell ref="O27:Q27"/>
    <mergeCell ref="K27:M2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4"/>
  <sheetViews>
    <sheetView showGridLines="0" tabSelected="1" topLeftCell="A21" zoomScale="80" zoomScaleNormal="80" workbookViewId="0">
      <selection activeCell="A28" sqref="A28"/>
    </sheetView>
  </sheetViews>
  <sheetFormatPr baseColWidth="10" defaultRowHeight="12.75" x14ac:dyDescent="0.2"/>
  <cols>
    <col min="1" max="1" width="36" style="230" customWidth="1"/>
    <col min="2" max="3" width="19.5703125" style="230" customWidth="1"/>
    <col min="4" max="4" width="17.42578125" style="230" bestFit="1" customWidth="1"/>
    <col min="5" max="5" width="20.7109375" style="230" bestFit="1" customWidth="1"/>
    <col min="6" max="6" width="17.42578125" style="230" customWidth="1"/>
    <col min="7" max="8" width="18" style="230" customWidth="1"/>
    <col min="9" max="9" width="21.5703125" style="230" customWidth="1"/>
    <col min="10" max="10" width="12.5703125" style="230" customWidth="1"/>
    <col min="11" max="11" width="12.85546875" style="230" bestFit="1" customWidth="1"/>
    <col min="12" max="12" width="12.85546875" style="230" customWidth="1"/>
    <col min="13" max="13" width="18.85546875" style="230" bestFit="1" customWidth="1"/>
    <col min="14" max="14" width="14.42578125" style="230" bestFit="1" customWidth="1"/>
    <col min="15" max="15" width="15.28515625" style="230" bestFit="1" customWidth="1"/>
    <col min="16" max="16" width="13.5703125" style="230" bestFit="1" customWidth="1"/>
    <col min="17" max="17" width="13" style="230" bestFit="1" customWidth="1"/>
    <col min="18" max="18" width="50.42578125" style="230" bestFit="1" customWidth="1"/>
    <col min="19" max="19" width="14.5703125" style="230" customWidth="1"/>
    <col min="20" max="20" width="12.7109375" style="230" bestFit="1" customWidth="1"/>
    <col min="21" max="28" width="13.28515625" style="230" bestFit="1" customWidth="1"/>
    <col min="29" max="29" width="13.5703125" style="230" bestFit="1" customWidth="1"/>
    <col min="30" max="31" width="13.85546875" style="230" bestFit="1" customWidth="1"/>
    <col min="32" max="36" width="11.42578125" style="230"/>
    <col min="37" max="37" width="29.5703125" style="230" bestFit="1" customWidth="1"/>
    <col min="38" max="48" width="12.85546875" style="230" bestFit="1" customWidth="1"/>
    <col min="49" max="50" width="13.85546875" style="230" bestFit="1" customWidth="1"/>
    <col min="51" max="16384" width="11.42578125" style="230"/>
  </cols>
  <sheetData>
    <row r="1" spans="1:18" x14ac:dyDescent="0.2">
      <c r="A1" s="228" t="s">
        <v>216</v>
      </c>
      <c r="B1" s="228"/>
      <c r="C1" s="228"/>
      <c r="D1" s="228"/>
      <c r="E1" s="228"/>
      <c r="F1" s="228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8" ht="25.5" customHeight="1" thickBot="1" x14ac:dyDescent="0.25">
      <c r="A2" s="904" t="s">
        <v>535</v>
      </c>
      <c r="B2" s="904"/>
      <c r="C2" s="904"/>
      <c r="D2" s="904"/>
      <c r="E2" s="904"/>
      <c r="F2" s="904"/>
      <c r="G2" s="904"/>
      <c r="H2" s="904"/>
      <c r="I2" s="904"/>
      <c r="J2" s="231"/>
      <c r="K2" s="231"/>
      <c r="L2" s="231"/>
      <c r="M2" s="231"/>
      <c r="N2" s="231"/>
      <c r="O2" s="232"/>
      <c r="P2" s="232"/>
      <c r="Q2" s="232"/>
    </row>
    <row r="3" spans="1:18" ht="15" customHeight="1" x14ac:dyDescent="0.2">
      <c r="A3" s="905" t="s">
        <v>218</v>
      </c>
      <c r="B3" s="907" t="s">
        <v>219</v>
      </c>
      <c r="C3" s="907"/>
      <c r="D3" s="907"/>
      <c r="E3" s="907"/>
      <c r="F3" s="907"/>
      <c r="G3" s="907"/>
      <c r="H3" s="907"/>
      <c r="I3" s="908"/>
      <c r="J3" s="232"/>
      <c r="K3" s="232"/>
      <c r="L3" s="232"/>
      <c r="M3" s="232"/>
      <c r="N3" s="232"/>
      <c r="O3" s="232"/>
      <c r="P3" s="232"/>
      <c r="Q3" s="232"/>
      <c r="R3" s="234"/>
    </row>
    <row r="4" spans="1:18" ht="15" x14ac:dyDescent="0.2">
      <c r="A4" s="906"/>
      <c r="B4" s="627">
        <v>2003</v>
      </c>
      <c r="C4" s="627">
        <v>2004</v>
      </c>
      <c r="D4" s="627">
        <v>2005</v>
      </c>
      <c r="E4" s="627">
        <v>2006</v>
      </c>
      <c r="F4" s="627">
        <v>2007</v>
      </c>
      <c r="G4" s="628">
        <v>2008</v>
      </c>
      <c r="H4" s="628">
        <v>2009</v>
      </c>
      <c r="I4" s="629">
        <v>2010</v>
      </c>
      <c r="J4" s="236"/>
      <c r="K4" s="236"/>
      <c r="L4" s="236"/>
      <c r="M4" s="236"/>
      <c r="Q4" s="237"/>
      <c r="R4" s="234"/>
    </row>
    <row r="5" spans="1:18" x14ac:dyDescent="0.2">
      <c r="A5" s="625" t="s">
        <v>220</v>
      </c>
      <c r="B5" s="623"/>
      <c r="C5" s="623"/>
      <c r="D5" s="623"/>
      <c r="E5" s="623"/>
      <c r="F5" s="623"/>
      <c r="G5" s="624">
        <v>6335617.6600000001</v>
      </c>
      <c r="H5" s="624">
        <v>3229103.31</v>
      </c>
      <c r="I5" s="626">
        <v>4255219.83</v>
      </c>
    </row>
    <row r="6" spans="1:18" x14ac:dyDescent="0.2">
      <c r="A6" s="625" t="s">
        <v>221</v>
      </c>
      <c r="B6" s="623"/>
      <c r="C6" s="623"/>
      <c r="D6" s="623"/>
      <c r="E6" s="623"/>
      <c r="F6" s="623"/>
      <c r="G6" s="766">
        <v>1547174.98</v>
      </c>
      <c r="H6" s="766">
        <v>652130.32999999996</v>
      </c>
      <c r="I6" s="767">
        <v>1513865.49</v>
      </c>
    </row>
    <row r="7" spans="1:18" x14ac:dyDescent="0.2">
      <c r="A7" s="625" t="s">
        <v>222</v>
      </c>
      <c r="B7" s="623"/>
      <c r="C7" s="623"/>
      <c r="D7" s="623"/>
      <c r="E7" s="623"/>
      <c r="F7" s="623"/>
      <c r="G7" s="766">
        <v>275839351.77999997</v>
      </c>
      <c r="H7" s="766">
        <v>290020018.27999997</v>
      </c>
      <c r="I7" s="767">
        <v>264755889.03</v>
      </c>
    </row>
    <row r="8" spans="1:18" x14ac:dyDescent="0.2">
      <c r="A8" s="625" t="s">
        <v>223</v>
      </c>
      <c r="B8" s="623"/>
      <c r="C8" s="623"/>
      <c r="D8" s="623"/>
      <c r="E8" s="623"/>
      <c r="F8" s="623"/>
      <c r="G8" s="909">
        <v>4280547.24</v>
      </c>
      <c r="H8" s="909">
        <v>2785941.1</v>
      </c>
      <c r="I8" s="767">
        <v>1174536.23</v>
      </c>
      <c r="M8" s="240"/>
    </row>
    <row r="9" spans="1:18" x14ac:dyDescent="0.2">
      <c r="A9" s="625" t="s">
        <v>224</v>
      </c>
      <c r="B9" s="623"/>
      <c r="C9" s="623"/>
      <c r="D9" s="623"/>
      <c r="E9" s="623"/>
      <c r="F9" s="623"/>
      <c r="G9" s="909"/>
      <c r="H9" s="909"/>
      <c r="I9" s="767">
        <v>1192765.1599999999</v>
      </c>
      <c r="M9" s="240"/>
    </row>
    <row r="10" spans="1:18" x14ac:dyDescent="0.2">
      <c r="A10" s="625" t="s">
        <v>225</v>
      </c>
      <c r="B10" s="623"/>
      <c r="C10" s="623"/>
      <c r="D10" s="623"/>
      <c r="E10" s="623"/>
      <c r="F10" s="623"/>
      <c r="G10" s="766">
        <v>4209813.25</v>
      </c>
      <c r="H10" s="766">
        <v>3407568.75</v>
      </c>
      <c r="I10" s="767">
        <v>3547448.7</v>
      </c>
      <c r="M10" s="241"/>
    </row>
    <row r="11" spans="1:18" x14ac:dyDescent="0.2">
      <c r="A11" s="625" t="s">
        <v>226</v>
      </c>
      <c r="B11" s="623"/>
      <c r="C11" s="623"/>
      <c r="D11" s="623"/>
      <c r="E11" s="623"/>
      <c r="F11" s="623"/>
      <c r="G11" s="766">
        <v>303850046.88999999</v>
      </c>
      <c r="H11" s="766">
        <v>272893518.98000002</v>
      </c>
      <c r="I11" s="767">
        <v>342604388.04000002</v>
      </c>
      <c r="M11" s="240"/>
    </row>
    <row r="12" spans="1:18" x14ac:dyDescent="0.2">
      <c r="A12" s="625" t="s">
        <v>227</v>
      </c>
      <c r="B12" s="623"/>
      <c r="C12" s="623"/>
      <c r="D12" s="623"/>
      <c r="E12" s="623"/>
      <c r="F12" s="623"/>
      <c r="G12" s="766">
        <v>69394898.5</v>
      </c>
      <c r="H12" s="766">
        <v>54582579.68</v>
      </c>
      <c r="I12" s="767">
        <v>10864079.060000001</v>
      </c>
      <c r="M12" s="240"/>
    </row>
    <row r="13" spans="1:18" x14ac:dyDescent="0.2">
      <c r="A13" s="625" t="s">
        <v>228</v>
      </c>
      <c r="B13" s="623"/>
      <c r="C13" s="623"/>
      <c r="D13" s="623"/>
      <c r="E13" s="623"/>
      <c r="F13" s="623"/>
      <c r="G13" s="766">
        <v>12633927.23</v>
      </c>
      <c r="H13" s="766">
        <v>13275198.810000001</v>
      </c>
      <c r="I13" s="767">
        <v>7916299.1500000004</v>
      </c>
      <c r="M13" s="240"/>
    </row>
    <row r="14" spans="1:18" x14ac:dyDescent="0.2">
      <c r="A14" s="625" t="s">
        <v>229</v>
      </c>
      <c r="B14" s="623"/>
      <c r="C14" s="623"/>
      <c r="D14" s="623"/>
      <c r="E14" s="623"/>
      <c r="F14" s="623"/>
      <c r="G14" s="766">
        <v>0</v>
      </c>
      <c r="H14" s="766">
        <v>0</v>
      </c>
      <c r="I14" s="767">
        <v>51459565.130000003</v>
      </c>
      <c r="M14" s="240"/>
    </row>
    <row r="15" spans="1:18" x14ac:dyDescent="0.2">
      <c r="A15" s="625" t="s">
        <v>230</v>
      </c>
      <c r="B15" s="623"/>
      <c r="C15" s="623"/>
      <c r="D15" s="623"/>
      <c r="E15" s="623"/>
      <c r="F15" s="623"/>
      <c r="G15" s="766">
        <v>2575751.89</v>
      </c>
      <c r="H15" s="766">
        <v>2428050.29</v>
      </c>
      <c r="I15" s="767">
        <v>837006.15</v>
      </c>
      <c r="M15" s="240"/>
    </row>
    <row r="16" spans="1:18" x14ac:dyDescent="0.2">
      <c r="A16" s="625" t="s">
        <v>231</v>
      </c>
      <c r="B16" s="623"/>
      <c r="C16" s="623"/>
      <c r="D16" s="623"/>
      <c r="E16" s="623"/>
      <c r="F16" s="623"/>
      <c r="G16" s="766">
        <v>48783968.990000002</v>
      </c>
      <c r="H16" s="766">
        <v>71969472.939999998</v>
      </c>
      <c r="I16" s="767">
        <v>12878132.49</v>
      </c>
    </row>
    <row r="17" spans="1:50" x14ac:dyDescent="0.2">
      <c r="A17" s="625" t="s">
        <v>232</v>
      </c>
      <c r="B17" s="623"/>
      <c r="C17" s="623"/>
      <c r="D17" s="623"/>
      <c r="E17" s="623"/>
      <c r="F17" s="623"/>
      <c r="G17" s="766">
        <v>0</v>
      </c>
      <c r="H17" s="766">
        <v>0</v>
      </c>
      <c r="I17" s="767">
        <v>38637897.590000004</v>
      </c>
    </row>
    <row r="18" spans="1:50" x14ac:dyDescent="0.2">
      <c r="A18" s="625" t="s">
        <v>233</v>
      </c>
      <c r="B18" s="623"/>
      <c r="C18" s="623"/>
      <c r="D18" s="623"/>
      <c r="E18" s="623"/>
      <c r="F18" s="623"/>
      <c r="G18" s="766">
        <v>10583.57</v>
      </c>
      <c r="H18" s="766">
        <v>11920.71</v>
      </c>
      <c r="I18" s="767">
        <v>13309591.15</v>
      </c>
    </row>
    <row r="19" spans="1:50" x14ac:dyDescent="0.2">
      <c r="A19" s="625" t="s">
        <v>234</v>
      </c>
      <c r="B19" s="623"/>
      <c r="C19" s="623"/>
      <c r="D19" s="623"/>
      <c r="E19" s="623"/>
      <c r="F19" s="623"/>
      <c r="G19" s="766">
        <v>1757953.32</v>
      </c>
      <c r="H19" s="766">
        <v>1670091.23</v>
      </c>
      <c r="I19" s="767">
        <v>2712993.37</v>
      </c>
    </row>
    <row r="20" spans="1:50" x14ac:dyDescent="0.2">
      <c r="A20" s="625" t="s">
        <v>235</v>
      </c>
      <c r="B20" s="623"/>
      <c r="C20" s="623"/>
      <c r="D20" s="623"/>
      <c r="E20" s="623"/>
      <c r="F20" s="623"/>
      <c r="G20" s="766">
        <v>5780069.6600000001</v>
      </c>
      <c r="H20" s="766">
        <v>5454992.96</v>
      </c>
      <c r="I20" s="767">
        <v>4974558.16</v>
      </c>
    </row>
    <row r="21" spans="1:50" x14ac:dyDescent="0.2">
      <c r="A21" s="625" t="s">
        <v>236</v>
      </c>
      <c r="B21" s="623"/>
      <c r="C21" s="623"/>
      <c r="D21" s="623"/>
      <c r="E21" s="623"/>
      <c r="F21" s="623"/>
      <c r="G21" s="766">
        <v>822.6</v>
      </c>
      <c r="H21" s="766">
        <v>0</v>
      </c>
      <c r="I21" s="767">
        <v>3822773.2</v>
      </c>
    </row>
    <row r="22" spans="1:50" x14ac:dyDescent="0.2">
      <c r="A22" s="625" t="s">
        <v>237</v>
      </c>
      <c r="B22" s="623"/>
      <c r="C22" s="623"/>
      <c r="D22" s="623"/>
      <c r="E22" s="623"/>
      <c r="F22" s="623"/>
      <c r="G22" s="766">
        <v>13566498.710000001</v>
      </c>
      <c r="H22" s="766">
        <v>11757907.27</v>
      </c>
      <c r="I22" s="767">
        <v>1453129.88</v>
      </c>
    </row>
    <row r="23" spans="1:50" ht="13.5" thickBot="1" x14ac:dyDescent="0.25">
      <c r="A23" s="760" t="s">
        <v>238</v>
      </c>
      <c r="B23" s="761"/>
      <c r="C23" s="761"/>
      <c r="D23" s="761"/>
      <c r="E23" s="761"/>
      <c r="F23" s="761"/>
      <c r="G23" s="768">
        <v>0</v>
      </c>
      <c r="H23" s="768">
        <v>0</v>
      </c>
      <c r="I23" s="769">
        <v>0</v>
      </c>
    </row>
    <row r="24" spans="1:50" ht="18" customHeight="1" thickBot="1" x14ac:dyDescent="0.25">
      <c r="A24" s="762" t="s">
        <v>0</v>
      </c>
      <c r="B24" s="763">
        <v>429560155</v>
      </c>
      <c r="C24" s="763">
        <v>499816810</v>
      </c>
      <c r="D24" s="763">
        <v>614253916</v>
      </c>
      <c r="E24" s="763">
        <v>686114154.88999999</v>
      </c>
      <c r="F24" s="763">
        <v>779206777.10000002</v>
      </c>
      <c r="G24" s="764">
        <f>SUM(G5:G23)</f>
        <v>750567026.2700001</v>
      </c>
      <c r="H24" s="764">
        <f>SUM(H5:H23)</f>
        <v>734138494.63999987</v>
      </c>
      <c r="I24" s="765">
        <f>SUM(I5:I23)</f>
        <v>767910137.80999994</v>
      </c>
    </row>
    <row r="26" spans="1:50" ht="6" customHeight="1" thickBot="1" x14ac:dyDescent="0.25">
      <c r="F26" s="240"/>
      <c r="G26" s="240"/>
      <c r="H26" s="240"/>
    </row>
    <row r="27" spans="1:50" ht="15.75" customHeight="1" thickBot="1" x14ac:dyDescent="0.3">
      <c r="A27" s="855" t="s">
        <v>544</v>
      </c>
      <c r="B27" s="856"/>
      <c r="C27" s="856"/>
      <c r="D27" s="856"/>
      <c r="E27" s="856"/>
      <c r="F27" s="856"/>
      <c r="G27" s="856"/>
      <c r="H27" s="856"/>
      <c r="I27" s="926"/>
      <c r="J27" s="926"/>
      <c r="K27" s="926"/>
      <c r="L27" s="927"/>
    </row>
    <row r="28" spans="1:50" ht="56.25" customHeight="1" thickBot="1" x14ac:dyDescent="0.25">
      <c r="A28" s="415" t="s">
        <v>389</v>
      </c>
      <c r="B28" s="101" t="s">
        <v>414</v>
      </c>
      <c r="C28" s="101" t="s">
        <v>415</v>
      </c>
      <c r="D28" s="101" t="s">
        <v>241</v>
      </c>
      <c r="E28" s="101" t="s">
        <v>242</v>
      </c>
      <c r="F28" s="101" t="s">
        <v>300</v>
      </c>
      <c r="G28" s="101" t="s">
        <v>416</v>
      </c>
      <c r="H28" s="101" t="s">
        <v>244</v>
      </c>
      <c r="I28" s="101" t="s">
        <v>417</v>
      </c>
      <c r="J28" s="101" t="s">
        <v>293</v>
      </c>
      <c r="K28" s="101" t="s">
        <v>295</v>
      </c>
      <c r="L28" s="107" t="s">
        <v>245</v>
      </c>
      <c r="M28" s="108" t="s">
        <v>296</v>
      </c>
      <c r="N28" s="108" t="s">
        <v>297</v>
      </c>
      <c r="O28" s="108" t="s">
        <v>298</v>
      </c>
      <c r="P28" s="108" t="s">
        <v>299</v>
      </c>
    </row>
    <row r="29" spans="1:50" ht="3" hidden="1" customHeight="1" x14ac:dyDescent="0.25">
      <c r="A29" s="519">
        <v>2003</v>
      </c>
      <c r="B29" s="520">
        <f>B24/1000000</f>
        <v>429.56015500000001</v>
      </c>
      <c r="C29" s="520">
        <f>B29*1000000</f>
        <v>429560155</v>
      </c>
      <c r="D29" s="520">
        <f>C29*4%</f>
        <v>17182406.199999999</v>
      </c>
      <c r="E29" s="520">
        <f>D29*(47.01%)</f>
        <v>8077449.1546199992</v>
      </c>
      <c r="F29" s="520">
        <f>E29*8.78%</f>
        <v>709200.03577563586</v>
      </c>
      <c r="G29" s="520">
        <f>F29*0.8</f>
        <v>567360.02862050873</v>
      </c>
      <c r="H29" s="520">
        <f>G29*50%</f>
        <v>283680.01431025437</v>
      </c>
      <c r="I29" s="521"/>
      <c r="J29" s="522">
        <v>140</v>
      </c>
      <c r="K29" s="523">
        <f t="shared" ref="K29:K43" si="0">H29/J29</f>
        <v>2026.285816501817</v>
      </c>
      <c r="L29" s="524">
        <f>K29*1000</f>
        <v>2026285.816501817</v>
      </c>
      <c r="M29" s="472">
        <v>9.9900000000000003E-2</v>
      </c>
      <c r="N29" s="472">
        <v>1.7500000000000002E-2</v>
      </c>
      <c r="O29" s="252">
        <f>M29*K29*1000</f>
        <v>202425.95306853153</v>
      </c>
      <c r="P29" s="252">
        <f>N29*K29*1000</f>
        <v>35460.001788781803</v>
      </c>
      <c r="R29" s="245" t="s">
        <v>246</v>
      </c>
      <c r="S29" s="245" t="s">
        <v>247</v>
      </c>
      <c r="T29" s="245"/>
      <c r="U29" s="245"/>
      <c r="V29" s="245"/>
      <c r="W29" s="240"/>
      <c r="X29" s="240"/>
      <c r="Y29" s="240"/>
      <c r="Z29" s="240"/>
      <c r="AA29" s="240"/>
      <c r="AB29" s="240"/>
    </row>
    <row r="30" spans="1:50" ht="12" hidden="1" customHeight="1" x14ac:dyDescent="0.25">
      <c r="A30" s="525">
        <v>2004</v>
      </c>
      <c r="B30" s="684">
        <f>C24/1000000</f>
        <v>499.81680999999998</v>
      </c>
      <c r="C30" s="684">
        <f t="shared" ref="C30:C43" si="1">B30*1000000</f>
        <v>499816810</v>
      </c>
      <c r="D30" s="684">
        <f t="shared" ref="D30:D43" si="2">C30*4%</f>
        <v>19992672.400000002</v>
      </c>
      <c r="E30" s="684">
        <f t="shared" ref="E30:E43" si="3">D30*(47.01%)</f>
        <v>9398555.2952399999</v>
      </c>
      <c r="F30" s="684">
        <f t="shared" ref="F30:F43" si="4">E30*8.78%</f>
        <v>825193.15492207184</v>
      </c>
      <c r="G30" s="684">
        <f t="shared" ref="G30:G43" si="5">F30*0.8</f>
        <v>660154.52393765748</v>
      </c>
      <c r="H30" s="684">
        <f t="shared" ref="H30:H43" si="6">G30*50%</f>
        <v>330077.26196882874</v>
      </c>
      <c r="I30" s="527"/>
      <c r="J30" s="666">
        <f>J29</f>
        <v>140</v>
      </c>
      <c r="K30" s="528">
        <f t="shared" si="0"/>
        <v>2357.6947283487766</v>
      </c>
      <c r="L30" s="529">
        <f t="shared" ref="L30:L43" si="7">K30*1000</f>
        <v>2357694.7283487767</v>
      </c>
      <c r="M30" s="472">
        <v>9.9900000000000003E-2</v>
      </c>
      <c r="N30" s="472">
        <v>1.7500000000000002E-2</v>
      </c>
      <c r="O30" s="252">
        <f t="shared" ref="O30:O43" si="8">M30*K30*1000</f>
        <v>235533.70336204278</v>
      </c>
      <c r="P30" s="252">
        <f t="shared" ref="P30:P43" si="9">N30*K30*1000</f>
        <v>41259.657746103592</v>
      </c>
      <c r="R30" s="246">
        <f>H39+J53</f>
        <v>644482.99011419842</v>
      </c>
      <c r="S30" s="247">
        <f>K39</f>
        <v>4578.2457687771312</v>
      </c>
      <c r="T30" s="245"/>
      <c r="U30" s="245">
        <f>100/12</f>
        <v>8.3333333333333339</v>
      </c>
      <c r="V30" s="245"/>
      <c r="W30" s="240"/>
      <c r="X30" s="240"/>
      <c r="Y30" s="240"/>
      <c r="Z30" s="240"/>
      <c r="AA30" s="240"/>
      <c r="AB30" s="240"/>
    </row>
    <row r="31" spans="1:50" ht="12" hidden="1" customHeight="1" x14ac:dyDescent="0.2">
      <c r="A31" s="525">
        <v>2005</v>
      </c>
      <c r="B31" s="684">
        <f>D24/1000000</f>
        <v>614.253916</v>
      </c>
      <c r="C31" s="684">
        <f t="shared" si="1"/>
        <v>614253916</v>
      </c>
      <c r="D31" s="684">
        <f t="shared" si="2"/>
        <v>24570156.640000001</v>
      </c>
      <c r="E31" s="684">
        <f t="shared" si="3"/>
        <v>11550430.636464</v>
      </c>
      <c r="F31" s="684">
        <f t="shared" si="4"/>
        <v>1014127.8098815391</v>
      </c>
      <c r="G31" s="684">
        <f t="shared" si="5"/>
        <v>811302.24790523131</v>
      </c>
      <c r="H31" s="684">
        <f t="shared" si="6"/>
        <v>405651.12395261566</v>
      </c>
      <c r="I31" s="527"/>
      <c r="J31" s="666">
        <f t="shared" ref="J31:J43" si="10">J30</f>
        <v>140</v>
      </c>
      <c r="K31" s="528">
        <f t="shared" si="0"/>
        <v>2897.5080282329691</v>
      </c>
      <c r="L31" s="529">
        <f t="shared" si="7"/>
        <v>2897508.0282329689</v>
      </c>
      <c r="M31" s="472">
        <v>9.9900000000000003E-2</v>
      </c>
      <c r="N31" s="472">
        <v>1.7500000000000002E-2</v>
      </c>
      <c r="O31" s="252">
        <f t="shared" si="8"/>
        <v>289461.05202047364</v>
      </c>
      <c r="P31" s="252">
        <f t="shared" si="9"/>
        <v>50706.390494076964</v>
      </c>
      <c r="R31" s="902" t="s">
        <v>534</v>
      </c>
      <c r="S31" s="902"/>
      <c r="T31" s="902"/>
      <c r="U31" s="902"/>
      <c r="V31" s="902"/>
      <c r="W31" s="902"/>
      <c r="X31" s="902"/>
      <c r="Y31" s="902"/>
      <c r="Z31" s="902"/>
      <c r="AA31" s="902"/>
      <c r="AB31" s="902"/>
      <c r="AC31" s="902"/>
      <c r="AD31" s="902"/>
      <c r="AE31" s="902"/>
    </row>
    <row r="32" spans="1:50" ht="13.5" hidden="1" customHeight="1" x14ac:dyDescent="0.2">
      <c r="A32" s="525">
        <v>2006</v>
      </c>
      <c r="B32" s="684">
        <f>E24/1000000</f>
        <v>686.11415489000001</v>
      </c>
      <c r="C32" s="684">
        <f t="shared" si="1"/>
        <v>686114154.88999999</v>
      </c>
      <c r="D32" s="684">
        <f t="shared" si="2"/>
        <v>27444566.195599999</v>
      </c>
      <c r="E32" s="684">
        <f t="shared" si="3"/>
        <v>12901690.568551559</v>
      </c>
      <c r="F32" s="684">
        <f t="shared" si="4"/>
        <v>1132768.4319188267</v>
      </c>
      <c r="G32" s="684">
        <f t="shared" si="5"/>
        <v>906214.74553506135</v>
      </c>
      <c r="H32" s="684">
        <f t="shared" si="6"/>
        <v>453107.37276753067</v>
      </c>
      <c r="I32" s="527"/>
      <c r="J32" s="666">
        <f t="shared" si="10"/>
        <v>140</v>
      </c>
      <c r="K32" s="528">
        <f t="shared" si="0"/>
        <v>3236.4812340537906</v>
      </c>
      <c r="L32" s="529">
        <f t="shared" si="7"/>
        <v>3236481.2340537906</v>
      </c>
      <c r="M32" s="472">
        <v>9.9900000000000003E-2</v>
      </c>
      <c r="N32" s="472">
        <v>1.7500000000000002E-2</v>
      </c>
      <c r="O32" s="252">
        <f t="shared" si="8"/>
        <v>323324.47528197366</v>
      </c>
      <c r="P32" s="252">
        <f t="shared" si="9"/>
        <v>56638.421595941341</v>
      </c>
      <c r="R32" s="334" t="s">
        <v>352</v>
      </c>
      <c r="S32" s="279" t="s">
        <v>248</v>
      </c>
      <c r="T32" s="279" t="s">
        <v>249</v>
      </c>
      <c r="U32" s="279" t="s">
        <v>250</v>
      </c>
      <c r="V32" s="279" t="s">
        <v>251</v>
      </c>
      <c r="W32" s="279" t="s">
        <v>252</v>
      </c>
      <c r="X32" s="279" t="s">
        <v>253</v>
      </c>
      <c r="Y32" s="279" t="s">
        <v>254</v>
      </c>
      <c r="Z32" s="279" t="s">
        <v>255</v>
      </c>
      <c r="AA32" s="279" t="s">
        <v>256</v>
      </c>
      <c r="AB32" s="279" t="s">
        <v>257</v>
      </c>
      <c r="AC32" s="279" t="s">
        <v>258</v>
      </c>
      <c r="AD32" s="279" t="s">
        <v>259</v>
      </c>
      <c r="AE32" s="230" t="s">
        <v>0</v>
      </c>
      <c r="AK32" s="304" t="s">
        <v>352</v>
      </c>
      <c r="AL32" s="459" t="s">
        <v>248</v>
      </c>
      <c r="AM32" s="459" t="s">
        <v>249</v>
      </c>
      <c r="AN32" s="459" t="s">
        <v>250</v>
      </c>
      <c r="AO32" s="459" t="s">
        <v>251</v>
      </c>
      <c r="AP32" s="459" t="s">
        <v>252</v>
      </c>
      <c r="AQ32" s="459" t="s">
        <v>253</v>
      </c>
      <c r="AR32" s="459" t="s">
        <v>254</v>
      </c>
      <c r="AS32" s="459" t="s">
        <v>255</v>
      </c>
      <c r="AT32" s="459" t="s">
        <v>256</v>
      </c>
      <c r="AU32" s="459" t="s">
        <v>257</v>
      </c>
      <c r="AV32" s="459" t="s">
        <v>258</v>
      </c>
      <c r="AW32" s="459" t="s">
        <v>259</v>
      </c>
      <c r="AX32" s="242" t="str">
        <f>AE32</f>
        <v>TOTAL</v>
      </c>
    </row>
    <row r="33" spans="1:60" ht="13.5" hidden="1" customHeight="1" x14ac:dyDescent="0.2">
      <c r="A33" s="525">
        <v>2007</v>
      </c>
      <c r="B33" s="684">
        <f>F24/1000000</f>
        <v>779.20677710000007</v>
      </c>
      <c r="C33" s="684">
        <f t="shared" si="1"/>
        <v>779206777.10000002</v>
      </c>
      <c r="D33" s="684">
        <f t="shared" si="2"/>
        <v>31168271.084000003</v>
      </c>
      <c r="E33" s="684">
        <f t="shared" si="3"/>
        <v>14652204.2365884</v>
      </c>
      <c r="F33" s="684">
        <f t="shared" si="4"/>
        <v>1286463.5319724614</v>
      </c>
      <c r="G33" s="684">
        <f t="shared" si="5"/>
        <v>1029170.8255779692</v>
      </c>
      <c r="H33" s="684">
        <f t="shared" si="6"/>
        <v>514585.4127889846</v>
      </c>
      <c r="I33" s="527"/>
      <c r="J33" s="666">
        <f t="shared" si="10"/>
        <v>140</v>
      </c>
      <c r="K33" s="528">
        <f t="shared" si="0"/>
        <v>3675.6100913498899</v>
      </c>
      <c r="L33" s="529">
        <f t="shared" si="7"/>
        <v>3675610.09134989</v>
      </c>
      <c r="M33" s="472">
        <v>9.9900000000000003E-2</v>
      </c>
      <c r="N33" s="472">
        <v>1.7500000000000002E-2</v>
      </c>
      <c r="O33" s="252">
        <f t="shared" si="8"/>
        <v>367193.44812585402</v>
      </c>
      <c r="P33" s="252">
        <f t="shared" si="9"/>
        <v>64323.176598623075</v>
      </c>
      <c r="R33" s="339" t="s">
        <v>354</v>
      </c>
      <c r="S33" s="340">
        <v>0.08</v>
      </c>
      <c r="T33" s="340">
        <v>0.1</v>
      </c>
      <c r="U33" s="340">
        <v>0.04</v>
      </c>
      <c r="V33" s="340">
        <v>0.04</v>
      </c>
      <c r="W33" s="340">
        <v>8.3299999999999999E-2</v>
      </c>
      <c r="X33" s="340">
        <v>8.3299999999999999E-2</v>
      </c>
      <c r="Y33" s="340">
        <v>8.3299999999999999E-2</v>
      </c>
      <c r="Z33" s="340">
        <v>7.0000000000000007E-2</v>
      </c>
      <c r="AA33" s="340">
        <v>0.06</v>
      </c>
      <c r="AB33" s="340">
        <v>8.3299999999999999E-2</v>
      </c>
      <c r="AC33" s="341">
        <v>0.10680000000000001</v>
      </c>
      <c r="AD33" s="341">
        <v>0.17</v>
      </c>
      <c r="AE33" s="249">
        <f>SUM(S33:AD33)</f>
        <v>1.0000000000000002</v>
      </c>
      <c r="AK33" s="338" t="s">
        <v>354</v>
      </c>
      <c r="AL33" s="473">
        <f t="shared" ref="AL33:AW34" si="11">S33</f>
        <v>0.08</v>
      </c>
      <c r="AM33" s="473">
        <f t="shared" si="11"/>
        <v>0.1</v>
      </c>
      <c r="AN33" s="473">
        <f t="shared" si="11"/>
        <v>0.04</v>
      </c>
      <c r="AO33" s="473">
        <f t="shared" si="11"/>
        <v>0.04</v>
      </c>
      <c r="AP33" s="473">
        <f t="shared" si="11"/>
        <v>8.3299999999999999E-2</v>
      </c>
      <c r="AQ33" s="473">
        <f t="shared" si="11"/>
        <v>8.3299999999999999E-2</v>
      </c>
      <c r="AR33" s="473">
        <f t="shared" si="11"/>
        <v>8.3299999999999999E-2</v>
      </c>
      <c r="AS33" s="473">
        <f t="shared" si="11"/>
        <v>7.0000000000000007E-2</v>
      </c>
      <c r="AT33" s="473">
        <f t="shared" si="11"/>
        <v>0.06</v>
      </c>
      <c r="AU33" s="473">
        <f t="shared" si="11"/>
        <v>8.3299999999999999E-2</v>
      </c>
      <c r="AV33" s="473">
        <f t="shared" si="11"/>
        <v>0.10680000000000001</v>
      </c>
      <c r="AW33" s="473">
        <f t="shared" si="11"/>
        <v>0.17</v>
      </c>
      <c r="AX33" s="473">
        <f>AE33</f>
        <v>1.0000000000000002</v>
      </c>
    </row>
    <row r="34" spans="1:60" ht="13.5" hidden="1" customHeight="1" x14ac:dyDescent="0.2">
      <c r="A34" s="525">
        <v>2008</v>
      </c>
      <c r="B34" s="684">
        <f>G24/1000000</f>
        <v>750.56702627000016</v>
      </c>
      <c r="C34" s="684">
        <f t="shared" si="1"/>
        <v>750567026.2700001</v>
      </c>
      <c r="D34" s="684">
        <f t="shared" si="2"/>
        <v>30022681.050800003</v>
      </c>
      <c r="E34" s="684">
        <f t="shared" si="3"/>
        <v>14113662.361981081</v>
      </c>
      <c r="F34" s="684">
        <f t="shared" si="4"/>
        <v>1239179.5553819388</v>
      </c>
      <c r="G34" s="684">
        <f t="shared" si="5"/>
        <v>991343.64430555108</v>
      </c>
      <c r="H34" s="684">
        <f t="shared" si="6"/>
        <v>495671.82215277554</v>
      </c>
      <c r="I34" s="527"/>
      <c r="J34" s="666">
        <f t="shared" si="10"/>
        <v>140</v>
      </c>
      <c r="K34" s="528">
        <f t="shared" si="0"/>
        <v>3540.5130153769683</v>
      </c>
      <c r="L34" s="529">
        <f t="shared" si="7"/>
        <v>3540513.0153769683</v>
      </c>
      <c r="M34" s="472">
        <v>9.9900000000000003E-2</v>
      </c>
      <c r="N34" s="472">
        <v>1.7500000000000002E-2</v>
      </c>
      <c r="O34" s="252">
        <f t="shared" si="8"/>
        <v>353697.25023615919</v>
      </c>
      <c r="P34" s="252">
        <f t="shared" si="9"/>
        <v>61958.977769096957</v>
      </c>
      <c r="R34" s="339" t="s">
        <v>353</v>
      </c>
      <c r="S34" s="342">
        <f>S33*$S$30</f>
        <v>366.2596615021705</v>
      </c>
      <c r="T34" s="342">
        <f t="shared" ref="T34:AD34" si="12">T33*$S$30</f>
        <v>457.82457687771313</v>
      </c>
      <c r="U34" s="342">
        <f t="shared" si="12"/>
        <v>183.12983075108525</v>
      </c>
      <c r="V34" s="342">
        <f t="shared" si="12"/>
        <v>183.12983075108525</v>
      </c>
      <c r="W34" s="342">
        <f t="shared" si="12"/>
        <v>381.36787253913502</v>
      </c>
      <c r="X34" s="342">
        <f t="shared" si="12"/>
        <v>381.36787253913502</v>
      </c>
      <c r="Y34" s="342">
        <f t="shared" si="12"/>
        <v>381.36787253913502</v>
      </c>
      <c r="Z34" s="342">
        <f t="shared" si="12"/>
        <v>320.47720381439922</v>
      </c>
      <c r="AA34" s="342">
        <f t="shared" si="12"/>
        <v>274.69474612662788</v>
      </c>
      <c r="AB34" s="342">
        <f t="shared" si="12"/>
        <v>381.36787253913502</v>
      </c>
      <c r="AC34" s="342">
        <f t="shared" si="12"/>
        <v>488.95664810539762</v>
      </c>
      <c r="AD34" s="342">
        <f t="shared" si="12"/>
        <v>778.3017806921124</v>
      </c>
      <c r="AE34" s="250">
        <f>SUM(S34:AD34)</f>
        <v>4578.2457687771312</v>
      </c>
      <c r="AF34" s="465"/>
      <c r="AK34" s="338" t="s">
        <v>353</v>
      </c>
      <c r="AL34" s="474">
        <f t="shared" si="11"/>
        <v>366.2596615021705</v>
      </c>
      <c r="AM34" s="474">
        <f t="shared" si="11"/>
        <v>457.82457687771313</v>
      </c>
      <c r="AN34" s="474">
        <f t="shared" si="11"/>
        <v>183.12983075108525</v>
      </c>
      <c r="AO34" s="474">
        <f t="shared" si="11"/>
        <v>183.12983075108525</v>
      </c>
      <c r="AP34" s="474">
        <f t="shared" si="11"/>
        <v>381.36787253913502</v>
      </c>
      <c r="AQ34" s="474">
        <f t="shared" si="11"/>
        <v>381.36787253913502</v>
      </c>
      <c r="AR34" s="474">
        <f t="shared" si="11"/>
        <v>381.36787253913502</v>
      </c>
      <c r="AS34" s="474">
        <f t="shared" si="11"/>
        <v>320.47720381439922</v>
      </c>
      <c r="AT34" s="474">
        <f t="shared" si="11"/>
        <v>274.69474612662788</v>
      </c>
      <c r="AU34" s="474">
        <f t="shared" si="11"/>
        <v>381.36787253913502</v>
      </c>
      <c r="AV34" s="474">
        <f t="shared" si="11"/>
        <v>488.95664810539762</v>
      </c>
      <c r="AW34" s="474">
        <f t="shared" si="11"/>
        <v>778.3017806921124</v>
      </c>
      <c r="AX34" s="474">
        <f>AE34</f>
        <v>4578.2457687771312</v>
      </c>
    </row>
    <row r="35" spans="1:60" ht="13.5" hidden="1" customHeight="1" x14ac:dyDescent="0.2">
      <c r="A35" s="525">
        <v>2009</v>
      </c>
      <c r="B35" s="684">
        <f>H24/1000000</f>
        <v>734.13849463999986</v>
      </c>
      <c r="C35" s="684">
        <f t="shared" si="1"/>
        <v>734138494.63999987</v>
      </c>
      <c r="D35" s="684">
        <f t="shared" si="2"/>
        <v>29365539.785599995</v>
      </c>
      <c r="E35" s="684">
        <f t="shared" si="3"/>
        <v>13804740.253210558</v>
      </c>
      <c r="F35" s="684">
        <f t="shared" si="4"/>
        <v>1212056.1942318869</v>
      </c>
      <c r="G35" s="684">
        <f t="shared" si="5"/>
        <v>969644.95538550953</v>
      </c>
      <c r="H35" s="684">
        <f t="shared" si="6"/>
        <v>484822.47769275476</v>
      </c>
      <c r="I35" s="527"/>
      <c r="J35" s="666">
        <f t="shared" si="10"/>
        <v>140</v>
      </c>
      <c r="K35" s="528">
        <f t="shared" si="0"/>
        <v>3463.017697805391</v>
      </c>
      <c r="L35" s="529">
        <f t="shared" si="7"/>
        <v>3463017.6978053912</v>
      </c>
      <c r="M35" s="472">
        <v>9.9900000000000003E-2</v>
      </c>
      <c r="N35" s="472">
        <v>1.7500000000000002E-2</v>
      </c>
      <c r="O35" s="252">
        <f t="shared" si="8"/>
        <v>345955.46801075857</v>
      </c>
      <c r="P35" s="252">
        <f t="shared" si="9"/>
        <v>60602.809711594346</v>
      </c>
      <c r="AK35" s="242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</row>
    <row r="36" spans="1:60" ht="13.5" hidden="1" customHeight="1" x14ac:dyDescent="0.2">
      <c r="A36" s="525">
        <v>2010</v>
      </c>
      <c r="B36" s="684">
        <f>I24/1000000</f>
        <v>767.91013780999992</v>
      </c>
      <c r="C36" s="684">
        <f t="shared" si="1"/>
        <v>767910137.80999994</v>
      </c>
      <c r="D36" s="684">
        <f t="shared" si="2"/>
        <v>30716405.512399998</v>
      </c>
      <c r="E36" s="684">
        <f t="shared" si="3"/>
        <v>14439782.231379237</v>
      </c>
      <c r="F36" s="684">
        <f t="shared" si="4"/>
        <v>1267812.8799150968</v>
      </c>
      <c r="G36" s="684">
        <f t="shared" si="5"/>
        <v>1014250.3039320775</v>
      </c>
      <c r="H36" s="684">
        <f t="shared" si="6"/>
        <v>507125.15196603874</v>
      </c>
      <c r="I36" s="527"/>
      <c r="J36" s="666">
        <f t="shared" si="10"/>
        <v>140</v>
      </c>
      <c r="K36" s="528">
        <f t="shared" si="0"/>
        <v>3622.3225140431337</v>
      </c>
      <c r="L36" s="529">
        <f t="shared" si="7"/>
        <v>3622322.5140431337</v>
      </c>
      <c r="M36" s="472">
        <v>9.9900000000000003E-2</v>
      </c>
      <c r="N36" s="472">
        <v>1.7500000000000002E-2</v>
      </c>
      <c r="O36" s="252">
        <f t="shared" si="8"/>
        <v>361870.01915290905</v>
      </c>
      <c r="P36" s="252">
        <f t="shared" si="9"/>
        <v>63390.643995754843</v>
      </c>
      <c r="R36" s="304" t="s">
        <v>261</v>
      </c>
      <c r="S36" s="333">
        <f>$R$30*S33</f>
        <v>51558.639209135872</v>
      </c>
      <c r="T36" s="333">
        <f t="shared" ref="T36:AD36" si="13">$R$30*T33</f>
        <v>64448.299011419847</v>
      </c>
      <c r="U36" s="333">
        <f t="shared" si="13"/>
        <v>25779.319604567936</v>
      </c>
      <c r="V36" s="333">
        <f t="shared" si="13"/>
        <v>25779.319604567936</v>
      </c>
      <c r="W36" s="333">
        <f t="shared" si="13"/>
        <v>53685.433076512731</v>
      </c>
      <c r="X36" s="333">
        <f t="shared" si="13"/>
        <v>53685.433076512731</v>
      </c>
      <c r="Y36" s="333">
        <f t="shared" si="13"/>
        <v>53685.433076512731</v>
      </c>
      <c r="Z36" s="333">
        <f t="shared" si="13"/>
        <v>45113.809307993892</v>
      </c>
      <c r="AA36" s="333">
        <f t="shared" si="13"/>
        <v>38668.979406851904</v>
      </c>
      <c r="AB36" s="333">
        <f t="shared" si="13"/>
        <v>53685.433076512731</v>
      </c>
      <c r="AC36" s="333">
        <f t="shared" si="13"/>
        <v>68830.783344196388</v>
      </c>
      <c r="AD36" s="333">
        <f t="shared" si="13"/>
        <v>109562.10831941373</v>
      </c>
      <c r="AE36" s="316">
        <f>SUM(S36:AD36)</f>
        <v>644482.99011419842</v>
      </c>
      <c r="AK36" s="338" t="str">
        <f t="shared" ref="AK36:AX36" si="14">R36</f>
        <v xml:space="preserve">Ingresos </v>
      </c>
      <c r="AL36" s="323">
        <f t="shared" si="14"/>
        <v>51558.639209135872</v>
      </c>
      <c r="AM36" s="323">
        <f t="shared" si="14"/>
        <v>64448.299011419847</v>
      </c>
      <c r="AN36" s="323">
        <f t="shared" si="14"/>
        <v>25779.319604567936</v>
      </c>
      <c r="AO36" s="323">
        <f t="shared" si="14"/>
        <v>25779.319604567936</v>
      </c>
      <c r="AP36" s="323">
        <f t="shared" si="14"/>
        <v>53685.433076512731</v>
      </c>
      <c r="AQ36" s="323">
        <f t="shared" si="14"/>
        <v>53685.433076512731</v>
      </c>
      <c r="AR36" s="323">
        <f t="shared" si="14"/>
        <v>53685.433076512731</v>
      </c>
      <c r="AS36" s="323">
        <f t="shared" si="14"/>
        <v>45113.809307993892</v>
      </c>
      <c r="AT36" s="323">
        <f t="shared" si="14"/>
        <v>38668.979406851904</v>
      </c>
      <c r="AU36" s="323">
        <f t="shared" si="14"/>
        <v>53685.433076512731</v>
      </c>
      <c r="AV36" s="323">
        <f t="shared" si="14"/>
        <v>68830.783344196388</v>
      </c>
      <c r="AW36" s="323">
        <f t="shared" si="14"/>
        <v>109562.10831941373</v>
      </c>
      <c r="AX36" s="323">
        <f t="shared" si="14"/>
        <v>644482.99011419842</v>
      </c>
    </row>
    <row r="37" spans="1:60" ht="13.5" hidden="1" customHeight="1" x14ac:dyDescent="0.2">
      <c r="A37" s="525">
        <v>2011</v>
      </c>
      <c r="B37" s="685">
        <f>48.12*(A37)-95895</f>
        <v>874.31999999999243</v>
      </c>
      <c r="C37" s="684">
        <f t="shared" si="1"/>
        <v>874319999.99999249</v>
      </c>
      <c r="D37" s="684">
        <f t="shared" si="2"/>
        <v>34972799.999999702</v>
      </c>
      <c r="E37" s="684">
        <f t="shared" si="3"/>
        <v>16440713.279999858</v>
      </c>
      <c r="F37" s="684">
        <f t="shared" si="4"/>
        <v>1443494.6259839872</v>
      </c>
      <c r="G37" s="684">
        <f t="shared" si="5"/>
        <v>1154795.7007871899</v>
      </c>
      <c r="H37" s="684">
        <f t="shared" si="6"/>
        <v>577397.85039359494</v>
      </c>
      <c r="I37" s="527"/>
      <c r="J37" s="666">
        <f t="shared" si="10"/>
        <v>140</v>
      </c>
      <c r="K37" s="528">
        <f t="shared" si="0"/>
        <v>4124.2703599542492</v>
      </c>
      <c r="L37" s="529">
        <f t="shared" si="7"/>
        <v>4124270.3599542491</v>
      </c>
      <c r="M37" s="472">
        <v>9.9900000000000003E-2</v>
      </c>
      <c r="N37" s="472">
        <v>1.7500000000000002E-2</v>
      </c>
      <c r="O37" s="252">
        <f t="shared" si="8"/>
        <v>412014.60895942949</v>
      </c>
      <c r="P37" s="252">
        <f t="shared" si="9"/>
        <v>72174.731299199368</v>
      </c>
      <c r="R37" s="242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K37" s="338" t="str">
        <f t="shared" ref="AK37:AX37" si="15">R38</f>
        <v xml:space="preserve">Egresos </v>
      </c>
      <c r="AL37" s="651">
        <f t="shared" si="15"/>
        <v>51090.870677665385</v>
      </c>
      <c r="AM37" s="651">
        <f t="shared" si="15"/>
        <v>61868.820402637299</v>
      </c>
      <c r="AN37" s="651">
        <f t="shared" si="15"/>
        <v>29534.971227721588</v>
      </c>
      <c r="AO37" s="651">
        <f t="shared" si="15"/>
        <v>29534.971227721588</v>
      </c>
      <c r="AP37" s="651">
        <f t="shared" si="15"/>
        <v>52869.232382285765</v>
      </c>
      <c r="AQ37" s="651">
        <f t="shared" si="15"/>
        <v>52869.232382285765</v>
      </c>
      <c r="AR37" s="651">
        <f t="shared" si="15"/>
        <v>52869.232382285765</v>
      </c>
      <c r="AS37" s="651">
        <f t="shared" si="15"/>
        <v>45701.895815179443</v>
      </c>
      <c r="AT37" s="651">
        <f t="shared" si="15"/>
        <v>40312.920952693486</v>
      </c>
      <c r="AU37" s="651">
        <f t="shared" si="15"/>
        <v>52869.232382285765</v>
      </c>
      <c r="AV37" s="651">
        <f t="shared" si="15"/>
        <v>65533.323309127751</v>
      </c>
      <c r="AW37" s="651">
        <f t="shared" si="15"/>
        <v>99591.644440038974</v>
      </c>
      <c r="AX37" s="652">
        <f t="shared" si="15"/>
        <v>634196.34758192848</v>
      </c>
    </row>
    <row r="38" spans="1:60" ht="13.5" hidden="1" customHeight="1" x14ac:dyDescent="0.2">
      <c r="A38" s="519">
        <v>2012</v>
      </c>
      <c r="B38" s="596">
        <f t="shared" ref="B38:B43" si="16">48.12*(A38)-95895</f>
        <v>922.43999999998778</v>
      </c>
      <c r="C38" s="520">
        <f t="shared" si="1"/>
        <v>922439999.99998772</v>
      </c>
      <c r="D38" s="520">
        <f t="shared" si="2"/>
        <v>36897599.999999508</v>
      </c>
      <c r="E38" s="520">
        <f t="shared" si="3"/>
        <v>17345561.759999767</v>
      </c>
      <c r="F38" s="520">
        <f t="shared" si="4"/>
        <v>1522940.3225279793</v>
      </c>
      <c r="G38" s="520">
        <f t="shared" si="5"/>
        <v>1218352.2580223836</v>
      </c>
      <c r="H38" s="520">
        <f t="shared" si="6"/>
        <v>609176.12901119178</v>
      </c>
      <c r="I38" s="597">
        <f t="shared" ref="I38:I43" si="17">(H38/H37)-1</f>
        <v>5.5037057370294296E-2</v>
      </c>
      <c r="J38" s="522">
        <v>140</v>
      </c>
      <c r="K38" s="523">
        <f t="shared" si="0"/>
        <v>4351.2580643656556</v>
      </c>
      <c r="L38" s="524">
        <f t="shared" si="7"/>
        <v>4351258.0643656552</v>
      </c>
      <c r="M38" s="472">
        <v>9.9900000000000003E-2</v>
      </c>
      <c r="N38" s="472">
        <v>1.7500000000000002E-2</v>
      </c>
      <c r="O38" s="252">
        <f t="shared" si="8"/>
        <v>434690.68063012901</v>
      </c>
      <c r="P38" s="252">
        <f t="shared" si="9"/>
        <v>76147.016126398987</v>
      </c>
      <c r="Q38" s="254">
        <f t="shared" ref="Q38:Q43" si="18">K38/12</f>
        <v>362.60483869713795</v>
      </c>
      <c r="R38" s="335" t="s">
        <v>301</v>
      </c>
      <c r="S38" s="756">
        <f>SUM(S39:S51)</f>
        <v>51090.870677665385</v>
      </c>
      <c r="T38" s="756">
        <f t="shared" ref="T38:AD38" si="19">SUM(T39:T51)</f>
        <v>61868.820402637299</v>
      </c>
      <c r="U38" s="756">
        <f t="shared" si="19"/>
        <v>29534.971227721588</v>
      </c>
      <c r="V38" s="756">
        <f t="shared" si="19"/>
        <v>29534.971227721588</v>
      </c>
      <c r="W38" s="756">
        <f t="shared" si="19"/>
        <v>52869.232382285765</v>
      </c>
      <c r="X38" s="756">
        <f t="shared" si="19"/>
        <v>52869.232382285765</v>
      </c>
      <c r="Y38" s="756">
        <f t="shared" si="19"/>
        <v>52869.232382285765</v>
      </c>
      <c r="Z38" s="756">
        <f t="shared" si="19"/>
        <v>45701.895815179443</v>
      </c>
      <c r="AA38" s="756">
        <f t="shared" si="19"/>
        <v>40312.920952693486</v>
      </c>
      <c r="AB38" s="756">
        <f t="shared" si="19"/>
        <v>52869.232382285765</v>
      </c>
      <c r="AC38" s="756">
        <f t="shared" si="19"/>
        <v>65533.323309127751</v>
      </c>
      <c r="AD38" s="756">
        <f t="shared" si="19"/>
        <v>99591.644440038974</v>
      </c>
      <c r="AE38" s="652">
        <f>SUM(AE39:AE50)</f>
        <v>634196.34758192848</v>
      </c>
      <c r="AF38" s="426"/>
      <c r="AG38" s="426"/>
      <c r="AH38" s="426"/>
      <c r="AI38" s="426"/>
      <c r="AJ38" s="426"/>
      <c r="AK38" s="290" t="s">
        <v>350</v>
      </c>
      <c r="AL38" s="653">
        <f t="shared" ref="AL38:AX39" si="20">S52</f>
        <v>467.76853147048678</v>
      </c>
      <c r="AM38" s="653">
        <f t="shared" si="20"/>
        <v>2579.4786087825487</v>
      </c>
      <c r="AN38" s="653">
        <f t="shared" si="20"/>
        <v>-3755.6516231536516</v>
      </c>
      <c r="AO38" s="653">
        <f t="shared" si="20"/>
        <v>-3755.6516231536516</v>
      </c>
      <c r="AP38" s="653">
        <f t="shared" si="20"/>
        <v>816.20069422696542</v>
      </c>
      <c r="AQ38" s="653">
        <f t="shared" si="20"/>
        <v>816.20069422696542</v>
      </c>
      <c r="AR38" s="653">
        <f t="shared" si="20"/>
        <v>816.20069422696542</v>
      </c>
      <c r="AS38" s="653">
        <f t="shared" si="20"/>
        <v>-588.08650718555145</v>
      </c>
      <c r="AT38" s="653">
        <f t="shared" si="20"/>
        <v>-1643.9415458415824</v>
      </c>
      <c r="AU38" s="653">
        <f t="shared" si="20"/>
        <v>816.20069422696542</v>
      </c>
      <c r="AV38" s="653">
        <f t="shared" si="20"/>
        <v>3297.4600350686378</v>
      </c>
      <c r="AW38" s="653">
        <f t="shared" si="20"/>
        <v>9970.4638793747581</v>
      </c>
      <c r="AX38" s="653">
        <f t="shared" si="20"/>
        <v>10286.642532269936</v>
      </c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</row>
    <row r="39" spans="1:60" s="426" customFormat="1" ht="13.5" customHeight="1" thickBot="1" x14ac:dyDescent="0.25">
      <c r="A39" s="533">
        <v>2013</v>
      </c>
      <c r="B39" s="689">
        <f t="shared" si="16"/>
        <v>970.55999999999767</v>
      </c>
      <c r="C39" s="686">
        <f t="shared" si="1"/>
        <v>970559999.99999762</v>
      </c>
      <c r="D39" s="686">
        <f t="shared" si="2"/>
        <v>38822399.999999903</v>
      </c>
      <c r="E39" s="686">
        <f t="shared" si="3"/>
        <v>18250410.239999954</v>
      </c>
      <c r="F39" s="686">
        <f t="shared" si="4"/>
        <v>1602386.0190719957</v>
      </c>
      <c r="G39" s="686">
        <f t="shared" si="5"/>
        <v>1281908.8152575968</v>
      </c>
      <c r="H39" s="686">
        <f t="shared" si="6"/>
        <v>640954.40762879839</v>
      </c>
      <c r="I39" s="534">
        <f t="shared" si="17"/>
        <v>5.21659945362416E-2</v>
      </c>
      <c r="J39" s="666">
        <f t="shared" si="10"/>
        <v>140</v>
      </c>
      <c r="K39" s="528">
        <f>H39/J39</f>
        <v>4578.2457687771312</v>
      </c>
      <c r="L39" s="535">
        <f t="shared" si="7"/>
        <v>4578245.7687771311</v>
      </c>
      <c r="M39" s="700">
        <f>M38</f>
        <v>9.9900000000000003E-2</v>
      </c>
      <c r="N39" s="701">
        <v>1.7500000000000002E-2</v>
      </c>
      <c r="O39" s="699">
        <f>M39*K39*1000</f>
        <v>457366.75230083539</v>
      </c>
      <c r="P39" s="699">
        <f>N39*K39*1000</f>
        <v>80119.300953599799</v>
      </c>
      <c r="Q39" s="482">
        <f t="shared" si="18"/>
        <v>381.5204807314276</v>
      </c>
      <c r="R39" s="278" t="s">
        <v>40</v>
      </c>
      <c r="S39" s="686">
        <f>S34*1000*$M$39</f>
        <v>36589.34018406683</v>
      </c>
      <c r="T39" s="686">
        <f t="shared" ref="T39:AD39" si="21">T34*1000*$M$39</f>
        <v>45736.675230083543</v>
      </c>
      <c r="U39" s="686">
        <f t="shared" si="21"/>
        <v>18294.670092033415</v>
      </c>
      <c r="V39" s="686">
        <f t="shared" si="21"/>
        <v>18294.670092033415</v>
      </c>
      <c r="W39" s="686">
        <f t="shared" si="21"/>
        <v>38098.650466659594</v>
      </c>
      <c r="X39" s="686">
        <f t="shared" si="21"/>
        <v>38098.650466659594</v>
      </c>
      <c r="Y39" s="686">
        <f t="shared" si="21"/>
        <v>38098.650466659594</v>
      </c>
      <c r="Z39" s="686">
        <f t="shared" si="21"/>
        <v>32015.672661058481</v>
      </c>
      <c r="AA39" s="686">
        <f t="shared" si="21"/>
        <v>27442.005138050128</v>
      </c>
      <c r="AB39" s="686">
        <f t="shared" si="21"/>
        <v>38098.650466659594</v>
      </c>
      <c r="AC39" s="686">
        <f t="shared" si="21"/>
        <v>48846.769145729224</v>
      </c>
      <c r="AD39" s="686">
        <f t="shared" si="21"/>
        <v>77752.347891142024</v>
      </c>
      <c r="AE39" s="737">
        <f t="shared" ref="AE39:AE51" si="22">SUM(S39:AD39)</f>
        <v>457366.75230083545</v>
      </c>
      <c r="AK39" s="461" t="s">
        <v>351</v>
      </c>
      <c r="AL39" s="332">
        <f t="shared" si="20"/>
        <v>467.76853147048678</v>
      </c>
      <c r="AM39" s="332">
        <f t="shared" si="20"/>
        <v>3047.2471402530355</v>
      </c>
      <c r="AN39" s="332">
        <f t="shared" si="20"/>
        <v>-708.40448290061613</v>
      </c>
      <c r="AO39" s="475">
        <f t="shared" si="20"/>
        <v>-4464.0561060542677</v>
      </c>
      <c r="AP39" s="332">
        <f t="shared" si="20"/>
        <v>-3647.8554118273023</v>
      </c>
      <c r="AQ39" s="332">
        <f t="shared" si="20"/>
        <v>-2831.6547176003369</v>
      </c>
      <c r="AR39" s="332">
        <f t="shared" si="20"/>
        <v>-2015.4540233733715</v>
      </c>
      <c r="AS39" s="332">
        <f t="shared" si="20"/>
        <v>-2603.5405305589229</v>
      </c>
      <c r="AT39" s="332">
        <f t="shared" si="20"/>
        <v>-4247.4820764005053</v>
      </c>
      <c r="AU39" s="332">
        <f t="shared" si="20"/>
        <v>-3431.2813821735399</v>
      </c>
      <c r="AV39" s="332">
        <f t="shared" si="20"/>
        <v>-133.82134710490209</v>
      </c>
      <c r="AW39" s="332">
        <f t="shared" si="20"/>
        <v>9836.642532269856</v>
      </c>
      <c r="AX39" s="653">
        <f t="shared" si="20"/>
        <v>20123.285064539792</v>
      </c>
    </row>
    <row r="40" spans="1:60" s="426" customFormat="1" ht="13.5" customHeight="1" thickTop="1" x14ac:dyDescent="0.2">
      <c r="A40" s="533">
        <v>2014</v>
      </c>
      <c r="B40" s="689">
        <f t="shared" si="16"/>
        <v>1018.679999999993</v>
      </c>
      <c r="C40" s="686">
        <f t="shared" si="1"/>
        <v>1018679999.999993</v>
      </c>
      <c r="D40" s="686">
        <f t="shared" si="2"/>
        <v>40747199.999999717</v>
      </c>
      <c r="E40" s="686">
        <f t="shared" si="3"/>
        <v>19155258.719999865</v>
      </c>
      <c r="F40" s="686">
        <f t="shared" si="4"/>
        <v>1681831.715615988</v>
      </c>
      <c r="G40" s="686">
        <f t="shared" si="5"/>
        <v>1345465.3724927905</v>
      </c>
      <c r="H40" s="686">
        <f t="shared" si="6"/>
        <v>672732.68624639523</v>
      </c>
      <c r="I40" s="534">
        <f t="shared" si="17"/>
        <v>4.9579624134515443E-2</v>
      </c>
      <c r="J40" s="666">
        <f t="shared" si="10"/>
        <v>140</v>
      </c>
      <c r="K40" s="528">
        <f t="shared" si="0"/>
        <v>4805.2334731885376</v>
      </c>
      <c r="L40" s="535">
        <f t="shared" si="7"/>
        <v>4805233.4731885372</v>
      </c>
      <c r="M40" s="700">
        <f>M39</f>
        <v>9.9900000000000003E-2</v>
      </c>
      <c r="N40" s="701">
        <v>1.7500000000000002E-2</v>
      </c>
      <c r="O40" s="699">
        <f t="shared" si="8"/>
        <v>480042.8239715349</v>
      </c>
      <c r="P40" s="699">
        <f t="shared" si="9"/>
        <v>84091.585780799418</v>
      </c>
      <c r="Q40" s="482">
        <f t="shared" si="18"/>
        <v>400.43612276571145</v>
      </c>
      <c r="R40" s="278" t="s">
        <v>71</v>
      </c>
      <c r="S40" s="653">
        <f>S34*1000*$N$39</f>
        <v>6409.5440762879844</v>
      </c>
      <c r="T40" s="653">
        <f t="shared" ref="T40:AD40" si="23">T34*1000*$N$39</f>
        <v>8011.9300953599804</v>
      </c>
      <c r="U40" s="653">
        <f t="shared" si="23"/>
        <v>3204.7720381439922</v>
      </c>
      <c r="V40" s="653">
        <f t="shared" si="23"/>
        <v>3204.7720381439922</v>
      </c>
      <c r="W40" s="653">
        <f t="shared" si="23"/>
        <v>6673.9377694348641</v>
      </c>
      <c r="X40" s="653">
        <f t="shared" si="23"/>
        <v>6673.9377694348641</v>
      </c>
      <c r="Y40" s="653">
        <f t="shared" si="23"/>
        <v>6673.9377694348641</v>
      </c>
      <c r="Z40" s="653">
        <f t="shared" si="23"/>
        <v>5608.3510667519868</v>
      </c>
      <c r="AA40" s="653">
        <f t="shared" si="23"/>
        <v>4807.1580572159883</v>
      </c>
      <c r="AB40" s="653">
        <f t="shared" si="23"/>
        <v>6673.9377694348641</v>
      </c>
      <c r="AC40" s="653">
        <f t="shared" si="23"/>
        <v>8556.7413418444594</v>
      </c>
      <c r="AD40" s="653">
        <f t="shared" si="23"/>
        <v>13620.281162111969</v>
      </c>
      <c r="AE40" s="737">
        <f t="shared" si="22"/>
        <v>80119.300953599828</v>
      </c>
    </row>
    <row r="41" spans="1:60" s="426" customFormat="1" x14ac:dyDescent="0.2">
      <c r="A41" s="533">
        <v>2015</v>
      </c>
      <c r="B41" s="689">
        <f t="shared" si="16"/>
        <v>1066.7999999999884</v>
      </c>
      <c r="C41" s="686">
        <f t="shared" si="1"/>
        <v>1066799999.9999883</v>
      </c>
      <c r="D41" s="686">
        <f t="shared" si="2"/>
        <v>42671999.999999531</v>
      </c>
      <c r="E41" s="686">
        <f t="shared" si="3"/>
        <v>20060107.199999779</v>
      </c>
      <c r="F41" s="686">
        <f t="shared" si="4"/>
        <v>1761277.4121599805</v>
      </c>
      <c r="G41" s="686">
        <f t="shared" si="5"/>
        <v>1409021.9297279846</v>
      </c>
      <c r="H41" s="686">
        <f t="shared" si="6"/>
        <v>704510.9648639923</v>
      </c>
      <c r="I41" s="534">
        <f t="shared" si="17"/>
        <v>4.7237601602069246E-2</v>
      </c>
      <c r="J41" s="666">
        <f t="shared" si="10"/>
        <v>140</v>
      </c>
      <c r="K41" s="528">
        <f t="shared" si="0"/>
        <v>5032.2211775999449</v>
      </c>
      <c r="L41" s="535">
        <f t="shared" si="7"/>
        <v>5032221.1775999451</v>
      </c>
      <c r="M41" s="700">
        <f>M40</f>
        <v>9.9900000000000003E-2</v>
      </c>
      <c r="N41" s="701">
        <v>1.7500000000000002E-2</v>
      </c>
      <c r="O41" s="699">
        <f t="shared" si="8"/>
        <v>502718.89564223448</v>
      </c>
      <c r="P41" s="699">
        <f t="shared" si="9"/>
        <v>88063.870607999052</v>
      </c>
      <c r="Q41" s="482">
        <f t="shared" si="18"/>
        <v>419.35176479999541</v>
      </c>
      <c r="R41" s="470" t="str">
        <f>'flujo efectivo PA con prestamo'!A12</f>
        <v xml:space="preserve">Costos de Fotocopias Adicionales </v>
      </c>
      <c r="S41" s="757">
        <f>'flujo efectivo PA con prestamo'!$C$12*IC!S33</f>
        <v>112.91463953280001</v>
      </c>
      <c r="T41" s="757">
        <f>'flujo efectivo PA con prestamo'!$C$12*IC!T33</f>
        <v>141.14329941600002</v>
      </c>
      <c r="U41" s="757">
        <f>'flujo efectivo PA con prestamo'!$C$12*IC!U33</f>
        <v>56.457319766400005</v>
      </c>
      <c r="V41" s="757">
        <f>'flujo efectivo PA con prestamo'!$C$12*IC!V33</f>
        <v>56.457319766400005</v>
      </c>
      <c r="W41" s="757">
        <f>'flujo efectivo PA con prestamo'!$C$12*IC!W33</f>
        <v>117.57236841352801</v>
      </c>
      <c r="X41" s="757">
        <f>'flujo efectivo PA con prestamo'!$C$12*IC!X33</f>
        <v>117.57236841352801</v>
      </c>
      <c r="Y41" s="757">
        <f>'flujo efectivo PA con prestamo'!$C$12*IC!Y33</f>
        <v>117.57236841352801</v>
      </c>
      <c r="Z41" s="757">
        <f>'flujo efectivo PA con prestamo'!$C$12*IC!Z33</f>
        <v>98.800309591200019</v>
      </c>
      <c r="AA41" s="757">
        <f>'flujo efectivo PA con prestamo'!$C$12*IC!AA33</f>
        <v>84.6859796496</v>
      </c>
      <c r="AB41" s="757">
        <f>'flujo efectivo PA con prestamo'!$C$12*IC!AB33</f>
        <v>117.57236841352801</v>
      </c>
      <c r="AC41" s="757">
        <f>'flujo efectivo PA con prestamo'!$C$12*IC!AC33</f>
        <v>150.74104377628802</v>
      </c>
      <c r="AD41" s="757">
        <f>'flujo efectivo PA con prestamo'!$C$12*IC!AD33</f>
        <v>239.94360900720005</v>
      </c>
      <c r="AE41" s="737">
        <f t="shared" si="22"/>
        <v>1411.4329941600004</v>
      </c>
    </row>
    <row r="42" spans="1:60" s="426" customFormat="1" x14ac:dyDescent="0.2">
      <c r="A42" s="533">
        <v>2016</v>
      </c>
      <c r="B42" s="689">
        <f t="shared" si="16"/>
        <v>1114.9199999999983</v>
      </c>
      <c r="C42" s="686">
        <f t="shared" si="1"/>
        <v>1114919999.9999983</v>
      </c>
      <c r="D42" s="686">
        <f t="shared" si="2"/>
        <v>44596799.999999933</v>
      </c>
      <c r="E42" s="686">
        <f t="shared" si="3"/>
        <v>20964955.679999966</v>
      </c>
      <c r="F42" s="686">
        <f t="shared" si="4"/>
        <v>1840723.1087039968</v>
      </c>
      <c r="G42" s="686">
        <f t="shared" si="5"/>
        <v>1472578.4869631976</v>
      </c>
      <c r="H42" s="686">
        <f t="shared" si="6"/>
        <v>736289.24348159879</v>
      </c>
      <c r="I42" s="534">
        <f t="shared" si="17"/>
        <v>4.5106861642304485E-2</v>
      </c>
      <c r="J42" s="666">
        <f t="shared" si="10"/>
        <v>140</v>
      </c>
      <c r="K42" s="528">
        <f t="shared" si="0"/>
        <v>5259.2088820114195</v>
      </c>
      <c r="L42" s="535">
        <f t="shared" si="7"/>
        <v>5259208.8820114192</v>
      </c>
      <c r="M42" s="700">
        <f>M41</f>
        <v>9.9900000000000003E-2</v>
      </c>
      <c r="N42" s="701">
        <v>1.7500000000000002E-2</v>
      </c>
      <c r="O42" s="699">
        <f t="shared" si="8"/>
        <v>525394.96731294086</v>
      </c>
      <c r="P42" s="699">
        <f t="shared" si="9"/>
        <v>92036.155435199849</v>
      </c>
      <c r="Q42" s="482">
        <f t="shared" si="18"/>
        <v>438.26740683428494</v>
      </c>
      <c r="R42" s="278" t="s">
        <v>211</v>
      </c>
      <c r="S42" s="737">
        <f>'flujo efectivo PA con prestamo'!$C$13/12</f>
        <v>1226</v>
      </c>
      <c r="T42" s="737">
        <f>'flujo efectivo PA con prestamo'!$C$13/12</f>
        <v>1226</v>
      </c>
      <c r="U42" s="737">
        <f>'flujo efectivo PA con prestamo'!$C$13/12</f>
        <v>1226</v>
      </c>
      <c r="V42" s="737">
        <f>'flujo efectivo PA con prestamo'!$C$13/12</f>
        <v>1226</v>
      </c>
      <c r="W42" s="737">
        <f>'flujo efectivo PA con prestamo'!$C$13/12</f>
        <v>1226</v>
      </c>
      <c r="X42" s="737">
        <f>'flujo efectivo PA con prestamo'!$C$13/12</f>
        <v>1226</v>
      </c>
      <c r="Y42" s="737">
        <f>'flujo efectivo PA con prestamo'!$C$13/12</f>
        <v>1226</v>
      </c>
      <c r="Z42" s="737">
        <f>'flujo efectivo PA con prestamo'!$C$13/12</f>
        <v>1226</v>
      </c>
      <c r="AA42" s="737">
        <f>'flujo efectivo PA con prestamo'!$C$13/12</f>
        <v>1226</v>
      </c>
      <c r="AB42" s="737">
        <f>'flujo efectivo PA con prestamo'!$C$13/12</f>
        <v>1226</v>
      </c>
      <c r="AC42" s="737">
        <f>'flujo efectivo PA con prestamo'!$C$13/12</f>
        <v>1226</v>
      </c>
      <c r="AD42" s="737">
        <f>'flujo efectivo PA con prestamo'!$C$13/12</f>
        <v>1226</v>
      </c>
      <c r="AE42" s="737">
        <f t="shared" si="22"/>
        <v>14712</v>
      </c>
    </row>
    <row r="43" spans="1:60" s="426" customFormat="1" ht="13.5" thickBot="1" x14ac:dyDescent="0.25">
      <c r="A43" s="536">
        <v>2017</v>
      </c>
      <c r="B43" s="690">
        <f t="shared" si="16"/>
        <v>1163.0399999999936</v>
      </c>
      <c r="C43" s="687">
        <f t="shared" si="1"/>
        <v>1163039999.9999936</v>
      </c>
      <c r="D43" s="687">
        <f t="shared" si="2"/>
        <v>46521599.999999747</v>
      </c>
      <c r="E43" s="687">
        <f t="shared" si="3"/>
        <v>21869804.159999881</v>
      </c>
      <c r="F43" s="687">
        <f t="shared" si="4"/>
        <v>1920168.8052479893</v>
      </c>
      <c r="G43" s="687">
        <f t="shared" si="5"/>
        <v>1536135.0441983915</v>
      </c>
      <c r="H43" s="687">
        <f t="shared" si="6"/>
        <v>768067.52209919575</v>
      </c>
      <c r="I43" s="537">
        <f t="shared" si="17"/>
        <v>4.3160047357653886E-2</v>
      </c>
      <c r="J43" s="688">
        <f t="shared" si="10"/>
        <v>140</v>
      </c>
      <c r="K43" s="532">
        <f t="shared" si="0"/>
        <v>5486.1965864228268</v>
      </c>
      <c r="L43" s="538">
        <f t="shared" si="7"/>
        <v>5486196.5864228271</v>
      </c>
      <c r="M43" s="700">
        <f>M42</f>
        <v>9.9900000000000003E-2</v>
      </c>
      <c r="N43" s="701">
        <v>1.7500000000000002E-2</v>
      </c>
      <c r="O43" s="699">
        <f t="shared" si="8"/>
        <v>548071.03898364038</v>
      </c>
      <c r="P43" s="699">
        <f t="shared" si="9"/>
        <v>96008.440262399468</v>
      </c>
      <c r="Q43" s="482">
        <f t="shared" si="18"/>
        <v>457.1830488685689</v>
      </c>
      <c r="R43" s="278" t="s">
        <v>66</v>
      </c>
      <c r="S43" s="653">
        <f>'flujo efectivo PA con prestamo'!$C$14/12</f>
        <v>366.56916666666666</v>
      </c>
      <c r="T43" s="653">
        <f>'flujo efectivo PA con prestamo'!$C$14/12</f>
        <v>366.56916666666666</v>
      </c>
      <c r="U43" s="653">
        <f>'flujo efectivo PA con prestamo'!$C$14/12</f>
        <v>366.56916666666666</v>
      </c>
      <c r="V43" s="653">
        <f>'flujo efectivo PA con prestamo'!$C$14/12</f>
        <v>366.56916666666666</v>
      </c>
      <c r="W43" s="653">
        <f>'flujo efectivo PA con prestamo'!$C$14/12</f>
        <v>366.56916666666666</v>
      </c>
      <c r="X43" s="653">
        <f>'flujo efectivo PA con prestamo'!$C$14/12</f>
        <v>366.56916666666666</v>
      </c>
      <c r="Y43" s="653">
        <f>'flujo efectivo PA con prestamo'!$C$14/12</f>
        <v>366.56916666666666</v>
      </c>
      <c r="Z43" s="653">
        <f>'flujo efectivo PA con prestamo'!$C$14/12</f>
        <v>366.56916666666666</v>
      </c>
      <c r="AA43" s="653">
        <f>'flujo efectivo PA con prestamo'!$C$14/12</f>
        <v>366.56916666666666</v>
      </c>
      <c r="AB43" s="653">
        <f>'flujo efectivo PA con prestamo'!$C$14/12</f>
        <v>366.56916666666666</v>
      </c>
      <c r="AC43" s="653">
        <f>'flujo efectivo PA con prestamo'!$C$14/12</f>
        <v>366.56916666666666</v>
      </c>
      <c r="AD43" s="653">
        <f>'flujo efectivo PA con prestamo'!$C$14/12</f>
        <v>366.56916666666666</v>
      </c>
      <c r="AE43" s="737">
        <f t="shared" si="22"/>
        <v>4398.83</v>
      </c>
    </row>
    <row r="44" spans="1:60" x14ac:dyDescent="0.2">
      <c r="I44" s="286">
        <f>AVERAGE(I30:I43)</f>
        <v>4.8714531107179826E-2</v>
      </c>
      <c r="K44" s="252"/>
      <c r="L44" s="252"/>
      <c r="M44" s="252"/>
      <c r="N44" s="252"/>
      <c r="R44" s="164" t="s">
        <v>72</v>
      </c>
      <c r="S44" s="653">
        <f>'flujo efectivo PA con prestamo'!$C$15/12</f>
        <v>4939.1680000000006</v>
      </c>
      <c r="T44" s="653">
        <f>'flujo efectivo PA con prestamo'!$C$15/12</f>
        <v>4939.1680000000006</v>
      </c>
      <c r="U44" s="653">
        <f>'flujo efectivo PA con prestamo'!$C$15/12</f>
        <v>4939.1680000000006</v>
      </c>
      <c r="V44" s="653">
        <f>'flujo efectivo PA con prestamo'!$C$15/12</f>
        <v>4939.1680000000006</v>
      </c>
      <c r="W44" s="653">
        <f>'flujo efectivo PA con prestamo'!$C$15/12</f>
        <v>4939.1680000000006</v>
      </c>
      <c r="X44" s="653">
        <f>'flujo efectivo PA con prestamo'!$C$15/12</f>
        <v>4939.1680000000006</v>
      </c>
      <c r="Y44" s="653">
        <f>'flujo efectivo PA con prestamo'!$C$15/12</f>
        <v>4939.1680000000006</v>
      </c>
      <c r="Z44" s="653">
        <f>'flujo efectivo PA con prestamo'!$C$15/12</f>
        <v>4939.1680000000006</v>
      </c>
      <c r="AA44" s="653">
        <f>'flujo efectivo PA con prestamo'!$C$15/12</f>
        <v>4939.1680000000006</v>
      </c>
      <c r="AB44" s="653">
        <f>'flujo efectivo PA con prestamo'!$C$15/12</f>
        <v>4939.1680000000006</v>
      </c>
      <c r="AC44" s="653">
        <f>'flujo efectivo PA con prestamo'!$C$15/12</f>
        <v>4939.1680000000006</v>
      </c>
      <c r="AD44" s="653">
        <f>'flujo efectivo PA con prestamo'!$C$15/12</f>
        <v>4939.1680000000006</v>
      </c>
      <c r="AE44" s="737">
        <f t="shared" si="22"/>
        <v>59270.015999999996</v>
      </c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</row>
    <row r="45" spans="1:60" ht="15" x14ac:dyDescent="0.25">
      <c r="B45" s="240"/>
      <c r="C45" s="245"/>
      <c r="D45" s="245"/>
      <c r="E45" s="251"/>
      <c r="F45" s="245"/>
      <c r="G45" s="245"/>
      <c r="H45" s="283"/>
      <c r="I45" s="248"/>
      <c r="J45" s="284"/>
      <c r="K45" s="285"/>
      <c r="L45" s="240"/>
      <c r="M45" s="240"/>
      <c r="N45" s="240"/>
      <c r="O45" s="240"/>
      <c r="P45" s="240"/>
      <c r="Q45" s="240"/>
      <c r="R45" s="164" t="s">
        <v>212</v>
      </c>
      <c r="S45" s="653">
        <f>'flujo efectivo PA con prestamo'!$C$16/12</f>
        <v>600</v>
      </c>
      <c r="T45" s="653">
        <f>'flujo efectivo PA con prestamo'!$C$16/12</f>
        <v>600</v>
      </c>
      <c r="U45" s="653">
        <f>'flujo efectivo PA con prestamo'!$C$16/12</f>
        <v>600</v>
      </c>
      <c r="V45" s="653">
        <f>'flujo efectivo PA con prestamo'!$C$16/12</f>
        <v>600</v>
      </c>
      <c r="W45" s="653">
        <f>'flujo efectivo PA con prestamo'!$C$16/12</f>
        <v>600</v>
      </c>
      <c r="X45" s="653">
        <f>'flujo efectivo PA con prestamo'!$C$16/12</f>
        <v>600</v>
      </c>
      <c r="Y45" s="653">
        <f>'flujo efectivo PA con prestamo'!$C$16/12</f>
        <v>600</v>
      </c>
      <c r="Z45" s="653">
        <f>'flujo efectivo PA con prestamo'!$C$16/12</f>
        <v>600</v>
      </c>
      <c r="AA45" s="653">
        <f>'flujo efectivo PA con prestamo'!$C$16/12</f>
        <v>600</v>
      </c>
      <c r="AB45" s="653">
        <f>'flujo efectivo PA con prestamo'!$C$16/12</f>
        <v>600</v>
      </c>
      <c r="AC45" s="653">
        <f>'flujo efectivo PA con prestamo'!$C$16/12</f>
        <v>600</v>
      </c>
      <c r="AD45" s="653">
        <f>'flujo efectivo PA con prestamo'!$C$16/12</f>
        <v>600</v>
      </c>
      <c r="AE45" s="737">
        <f t="shared" si="22"/>
        <v>7200</v>
      </c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426"/>
      <c r="BF45" s="426"/>
      <c r="BG45" s="426"/>
      <c r="BH45" s="426"/>
    </row>
    <row r="46" spans="1:60" ht="15" x14ac:dyDescent="0.25">
      <c r="B46" s="240"/>
      <c r="C46" s="245"/>
      <c r="D46" s="245"/>
      <c r="E46" s="245"/>
      <c r="F46" s="245"/>
      <c r="G46" s="245"/>
      <c r="H46" s="245"/>
      <c r="I46" s="245"/>
      <c r="J46" s="245"/>
      <c r="K46" s="245"/>
      <c r="L46" s="240"/>
      <c r="M46" s="240"/>
      <c r="N46" s="240"/>
      <c r="O46" s="240"/>
      <c r="P46" s="240"/>
      <c r="Q46" s="240"/>
      <c r="R46" s="164" t="s">
        <v>214</v>
      </c>
      <c r="S46" s="653">
        <f>'flujo efectivo PA con prestamo'!$C$17/12</f>
        <v>100</v>
      </c>
      <c r="T46" s="653">
        <f>'flujo efectivo PA con prestamo'!$C$17/12</f>
        <v>100</v>
      </c>
      <c r="U46" s="653">
        <f>'flujo efectivo PA con prestamo'!$C$17/12</f>
        <v>100</v>
      </c>
      <c r="V46" s="653">
        <f>'flujo efectivo PA con prestamo'!$C$17/12</f>
        <v>100</v>
      </c>
      <c r="W46" s="653">
        <f>'flujo efectivo PA con prestamo'!$C$17/12</f>
        <v>100</v>
      </c>
      <c r="X46" s="653">
        <f>'flujo efectivo PA con prestamo'!$C$17/12</f>
        <v>100</v>
      </c>
      <c r="Y46" s="653">
        <f>'flujo efectivo PA con prestamo'!$C$17/12</f>
        <v>100</v>
      </c>
      <c r="Z46" s="653">
        <f>'flujo efectivo PA con prestamo'!$C$17/12</f>
        <v>100</v>
      </c>
      <c r="AA46" s="653">
        <f>'flujo efectivo PA con prestamo'!$C$17/12</f>
        <v>100</v>
      </c>
      <c r="AB46" s="653">
        <f>'flujo efectivo PA con prestamo'!$C$17/12</f>
        <v>100</v>
      </c>
      <c r="AC46" s="653">
        <f>'flujo efectivo PA con prestamo'!$C$17/12</f>
        <v>100</v>
      </c>
      <c r="AD46" s="653">
        <f>'flujo efectivo PA con prestamo'!$C$17/12</f>
        <v>100</v>
      </c>
      <c r="AE46" s="737">
        <f t="shared" si="22"/>
        <v>1200</v>
      </c>
    </row>
    <row r="47" spans="1:60" ht="15" x14ac:dyDescent="0.25">
      <c r="B47" s="240"/>
      <c r="C47" s="255"/>
      <c r="D47" s="255"/>
      <c r="E47" s="245"/>
      <c r="F47" s="245"/>
      <c r="G47" s="245"/>
      <c r="H47" s="245"/>
      <c r="I47" s="245"/>
      <c r="J47" s="245"/>
      <c r="K47" s="245"/>
      <c r="L47" s="240"/>
      <c r="M47" s="240"/>
      <c r="N47" s="240"/>
      <c r="O47" s="240"/>
      <c r="P47" s="240"/>
      <c r="Q47" s="240"/>
      <c r="R47" s="164" t="s">
        <v>213</v>
      </c>
      <c r="S47" s="653">
        <f>'flujo efectivo PA con prestamo'!$C$18/12</f>
        <v>79.760833333333338</v>
      </c>
      <c r="T47" s="653">
        <f>'flujo efectivo PA con prestamo'!$C$18/12</f>
        <v>79.760833333333338</v>
      </c>
      <c r="U47" s="653">
        <f>'flujo efectivo PA con prestamo'!$C$18/12</f>
        <v>79.760833333333338</v>
      </c>
      <c r="V47" s="653">
        <f>'flujo efectivo PA con prestamo'!$C$18/12</f>
        <v>79.760833333333338</v>
      </c>
      <c r="W47" s="653">
        <f>'flujo efectivo PA con prestamo'!$C$18/12</f>
        <v>79.760833333333338</v>
      </c>
      <c r="X47" s="653">
        <f>'flujo efectivo PA con prestamo'!$C$18/12</f>
        <v>79.760833333333338</v>
      </c>
      <c r="Y47" s="653">
        <f>'flujo efectivo PA con prestamo'!$C$18/12</f>
        <v>79.760833333333338</v>
      </c>
      <c r="Z47" s="653">
        <f>'flujo efectivo PA con prestamo'!$C$18/12</f>
        <v>79.760833333333338</v>
      </c>
      <c r="AA47" s="653">
        <f>'flujo efectivo PA con prestamo'!$C$18/12</f>
        <v>79.760833333333338</v>
      </c>
      <c r="AB47" s="653">
        <f>'flujo efectivo PA con prestamo'!$C$18/12</f>
        <v>79.760833333333338</v>
      </c>
      <c r="AC47" s="653">
        <f>'flujo efectivo PA con prestamo'!$C$18/12</f>
        <v>79.760833333333338</v>
      </c>
      <c r="AD47" s="653">
        <f>'flujo efectivo PA con prestamo'!$C$18/12</f>
        <v>79.760833333333338</v>
      </c>
      <c r="AE47" s="737">
        <f t="shared" si="22"/>
        <v>957.13000000000022</v>
      </c>
    </row>
    <row r="48" spans="1:60" ht="15" x14ac:dyDescent="0.25">
      <c r="B48" s="240"/>
      <c r="C48" s="256"/>
      <c r="D48" s="256"/>
      <c r="E48" s="245"/>
      <c r="F48" s="245"/>
      <c r="R48" s="278" t="s">
        <v>337</v>
      </c>
      <c r="S48" s="653">
        <f>'flujo efectivo PA con prestamo'!$C$19/12</f>
        <v>504.10211111111107</v>
      </c>
      <c r="T48" s="653">
        <f>'flujo efectivo PA con prestamo'!$C$19/12</f>
        <v>504.10211111111107</v>
      </c>
      <c r="U48" s="653">
        <f>'flujo efectivo PA con prestamo'!$C$19/12</f>
        <v>504.10211111111107</v>
      </c>
      <c r="V48" s="653">
        <f>'flujo efectivo PA con prestamo'!$C$19/12</f>
        <v>504.10211111111107</v>
      </c>
      <c r="W48" s="653">
        <f>'flujo efectivo PA con prestamo'!$C$19/12</f>
        <v>504.10211111111107</v>
      </c>
      <c r="X48" s="653">
        <f>'flujo efectivo PA con prestamo'!$C$19/12</f>
        <v>504.10211111111107</v>
      </c>
      <c r="Y48" s="653">
        <f>'flujo efectivo PA con prestamo'!$C$19/12</f>
        <v>504.10211111111107</v>
      </c>
      <c r="Z48" s="653">
        <f>'flujo efectivo PA con prestamo'!$C$19/12</f>
        <v>504.10211111111107</v>
      </c>
      <c r="AA48" s="653">
        <f>'flujo efectivo PA con prestamo'!$C$19/12</f>
        <v>504.10211111111107</v>
      </c>
      <c r="AB48" s="653">
        <f>'flujo efectivo PA con prestamo'!$C$19/12</f>
        <v>504.10211111111107</v>
      </c>
      <c r="AC48" s="653">
        <f>'flujo efectivo PA con prestamo'!$C$19/12</f>
        <v>504.10211111111107</v>
      </c>
      <c r="AD48" s="653">
        <f>'flujo efectivo PA con prestamo'!$C$19/12</f>
        <v>504.10211111111107</v>
      </c>
      <c r="AE48" s="737">
        <f t="shared" si="22"/>
        <v>6049.2253333333347</v>
      </c>
    </row>
    <row r="49" spans="1:32" ht="15.75" customHeight="1" thickBot="1" x14ac:dyDescent="0.3">
      <c r="A49" s="913" t="s">
        <v>486</v>
      </c>
      <c r="B49" s="913"/>
      <c r="C49" s="914">
        <f>'flujo efectivo PA con prestamo'!B40</f>
        <v>8063.1411057083969</v>
      </c>
      <c r="D49" s="917">
        <f>'flujo efectivo PA con prestamo'!B39</f>
        <v>0.26493900641995349</v>
      </c>
      <c r="E49" s="245"/>
      <c r="F49" s="245"/>
      <c r="R49" s="164" t="s">
        <v>176</v>
      </c>
      <c r="S49" s="652">
        <f>'flujo efectivo PA con prestamo'!$C$20/12</f>
        <v>74.393333333333331</v>
      </c>
      <c r="T49" s="652">
        <f>'flujo efectivo PA con prestamo'!$C$20/12</f>
        <v>74.393333333333331</v>
      </c>
      <c r="U49" s="652">
        <f>'flujo efectivo PA con prestamo'!$C$20/12</f>
        <v>74.393333333333331</v>
      </c>
      <c r="V49" s="652">
        <f>'flujo efectivo PA con prestamo'!$C$20/12</f>
        <v>74.393333333333331</v>
      </c>
      <c r="W49" s="652">
        <f>'flujo efectivo PA con prestamo'!$C$20/12</f>
        <v>74.393333333333331</v>
      </c>
      <c r="X49" s="652">
        <f>'flujo efectivo PA con prestamo'!$C$20/12</f>
        <v>74.393333333333331</v>
      </c>
      <c r="Y49" s="652">
        <f>'flujo efectivo PA con prestamo'!$C$20/12</f>
        <v>74.393333333333331</v>
      </c>
      <c r="Z49" s="652">
        <f>'flujo efectivo PA con prestamo'!$C$20/12</f>
        <v>74.393333333333331</v>
      </c>
      <c r="AA49" s="652">
        <f>'flujo efectivo PA con prestamo'!$C$20/12</f>
        <v>74.393333333333331</v>
      </c>
      <c r="AB49" s="652">
        <f>'flujo efectivo PA con prestamo'!$C$20/12</f>
        <v>74.393333333333331</v>
      </c>
      <c r="AC49" s="652">
        <f>'flujo efectivo PA con prestamo'!$C$20/12</f>
        <v>74.393333333333331</v>
      </c>
      <c r="AD49" s="652">
        <f>'flujo efectivo PA con prestamo'!$C$20/12</f>
        <v>74.393333333333331</v>
      </c>
      <c r="AE49" s="738">
        <f t="shared" si="22"/>
        <v>892.71999999999991</v>
      </c>
    </row>
    <row r="50" spans="1:32" ht="15.75" thickBot="1" x14ac:dyDescent="0.3">
      <c r="A50" s="913"/>
      <c r="B50" s="913"/>
      <c r="C50" s="914"/>
      <c r="D50" s="918"/>
      <c r="E50" s="245"/>
      <c r="F50" s="910" t="s">
        <v>506</v>
      </c>
      <c r="G50" s="911"/>
      <c r="H50" s="911"/>
      <c r="I50" s="911"/>
      <c r="J50" s="911"/>
      <c r="K50" s="911" t="s">
        <v>505</v>
      </c>
      <c r="L50" s="912"/>
      <c r="R50" s="149" t="s">
        <v>5</v>
      </c>
      <c r="S50" s="652">
        <f>'flujo efectivo PA con prestamo'!$C$21/12</f>
        <v>51.578333333333326</v>
      </c>
      <c r="T50" s="652">
        <f>'flujo efectivo PA con prestamo'!$C$21/12</f>
        <v>51.578333333333326</v>
      </c>
      <c r="U50" s="652">
        <f>'flujo efectivo PA con prestamo'!$C$21/12</f>
        <v>51.578333333333326</v>
      </c>
      <c r="V50" s="652">
        <f>'flujo efectivo PA con prestamo'!$C$21/12</f>
        <v>51.578333333333326</v>
      </c>
      <c r="W50" s="652">
        <f>'flujo efectivo PA con prestamo'!$C$21/12</f>
        <v>51.578333333333326</v>
      </c>
      <c r="X50" s="652">
        <f>'flujo efectivo PA con prestamo'!$C$21/12</f>
        <v>51.578333333333326</v>
      </c>
      <c r="Y50" s="652">
        <f>'flujo efectivo PA con prestamo'!$C$21/12</f>
        <v>51.578333333333326</v>
      </c>
      <c r="Z50" s="652">
        <f>'flujo efectivo PA con prestamo'!$C$21/12</f>
        <v>51.578333333333326</v>
      </c>
      <c r="AA50" s="652">
        <f>'flujo efectivo PA con prestamo'!$C$21/12</f>
        <v>51.578333333333326</v>
      </c>
      <c r="AB50" s="652">
        <f>'flujo efectivo PA con prestamo'!$C$21/12</f>
        <v>51.578333333333326</v>
      </c>
      <c r="AC50" s="652">
        <f>'flujo efectivo PA con prestamo'!$C$21/12</f>
        <v>51.578333333333326</v>
      </c>
      <c r="AD50" s="652">
        <f>'flujo efectivo PA con prestamo'!$C$21/12</f>
        <v>51.578333333333326</v>
      </c>
      <c r="AE50" s="738">
        <f t="shared" si="22"/>
        <v>618.94000000000005</v>
      </c>
    </row>
    <row r="51" spans="1:32" ht="12" customHeight="1" x14ac:dyDescent="0.25">
      <c r="A51" s="916" t="s">
        <v>521</v>
      </c>
      <c r="B51" s="916"/>
      <c r="C51" s="497">
        <f>'flujo efectivo PA SIN PRESTAMO'!B37</f>
        <v>8461.6317822686106</v>
      </c>
      <c r="D51" s="598">
        <f>'flujo efectivo PA SIN PRESTAMO'!B36</f>
        <v>0.18419946958887667</v>
      </c>
      <c r="E51" s="245"/>
      <c r="F51" s="539" t="s">
        <v>389</v>
      </c>
      <c r="G51" s="540" t="s">
        <v>400</v>
      </c>
      <c r="H51" s="540" t="s">
        <v>401</v>
      </c>
      <c r="I51" s="541" t="s">
        <v>418</v>
      </c>
      <c r="J51" s="542" t="s">
        <v>399</v>
      </c>
      <c r="K51" s="543" t="s">
        <v>405</v>
      </c>
      <c r="L51" s="544" t="s">
        <v>406</v>
      </c>
      <c r="R51" s="469" t="s">
        <v>408</v>
      </c>
      <c r="S51" s="758">
        <f>'flujo efectivo PA con prestamo'!$C$22/12</f>
        <v>37.5</v>
      </c>
      <c r="T51" s="758">
        <f>'flujo efectivo PA con prestamo'!$C$22/12</f>
        <v>37.5</v>
      </c>
      <c r="U51" s="758">
        <f>'flujo efectivo PA con prestamo'!$C$22/12</f>
        <v>37.5</v>
      </c>
      <c r="V51" s="758">
        <f>'flujo efectivo PA con prestamo'!$C$22/12</f>
        <v>37.5</v>
      </c>
      <c r="W51" s="758">
        <f>'flujo efectivo PA con prestamo'!$C$22/12</f>
        <v>37.5</v>
      </c>
      <c r="X51" s="758">
        <f>'flujo efectivo PA con prestamo'!$C$22/12</f>
        <v>37.5</v>
      </c>
      <c r="Y51" s="758">
        <f>'flujo efectivo PA con prestamo'!$C$22/12</f>
        <v>37.5</v>
      </c>
      <c r="Z51" s="758">
        <f>'flujo efectivo PA con prestamo'!$C$22/12</f>
        <v>37.5</v>
      </c>
      <c r="AA51" s="758">
        <f>'flujo efectivo PA con prestamo'!$C$22/12</f>
        <v>37.5</v>
      </c>
      <c r="AB51" s="758">
        <f>'flujo efectivo PA con prestamo'!$C$22/12</f>
        <v>37.5</v>
      </c>
      <c r="AC51" s="758">
        <f>'flujo efectivo PA con prestamo'!$C$22/12</f>
        <v>37.5</v>
      </c>
      <c r="AD51" s="758">
        <f>'flujo efectivo PA con prestamo'!$C$22/12</f>
        <v>37.5</v>
      </c>
      <c r="AE51" s="738">
        <f t="shared" si="22"/>
        <v>450</v>
      </c>
    </row>
    <row r="52" spans="1:32" ht="15" x14ac:dyDescent="0.25">
      <c r="B52" s="240"/>
      <c r="C52" s="256"/>
      <c r="D52" s="256"/>
      <c r="E52" s="245"/>
      <c r="F52" s="533">
        <v>2012</v>
      </c>
      <c r="G52" s="513">
        <v>0.03</v>
      </c>
      <c r="H52" s="514">
        <f>(109779*21%*10)</f>
        <v>230535.9</v>
      </c>
      <c r="I52" s="515">
        <f t="shared" ref="I52:I57" si="24">H52*50%</f>
        <v>115267.95</v>
      </c>
      <c r="J52" s="518">
        <f>I52*G52</f>
        <v>3458.0384999999997</v>
      </c>
      <c r="K52" s="512">
        <v>1.2E-2</v>
      </c>
      <c r="L52" s="511">
        <f t="shared" ref="L52:L57" si="25">K52*I52</f>
        <v>1383.2154</v>
      </c>
      <c r="R52" s="317" t="s">
        <v>350</v>
      </c>
      <c r="S52" s="756">
        <f t="shared" ref="S52:AE52" si="26">S36-S38</f>
        <v>467.76853147048678</v>
      </c>
      <c r="T52" s="756">
        <f t="shared" si="26"/>
        <v>2579.4786087825487</v>
      </c>
      <c r="U52" s="756">
        <f t="shared" si="26"/>
        <v>-3755.6516231536516</v>
      </c>
      <c r="V52" s="756">
        <f t="shared" si="26"/>
        <v>-3755.6516231536516</v>
      </c>
      <c r="W52" s="756">
        <f t="shared" si="26"/>
        <v>816.20069422696542</v>
      </c>
      <c r="X52" s="756">
        <f t="shared" si="26"/>
        <v>816.20069422696542</v>
      </c>
      <c r="Y52" s="756">
        <f t="shared" si="26"/>
        <v>816.20069422696542</v>
      </c>
      <c r="Z52" s="756">
        <f t="shared" si="26"/>
        <v>-588.08650718555145</v>
      </c>
      <c r="AA52" s="756">
        <f t="shared" si="26"/>
        <v>-1643.9415458415824</v>
      </c>
      <c r="AB52" s="756">
        <f t="shared" si="26"/>
        <v>816.20069422696542</v>
      </c>
      <c r="AC52" s="756">
        <f t="shared" si="26"/>
        <v>3297.4600350686378</v>
      </c>
      <c r="AD52" s="756">
        <f t="shared" si="26"/>
        <v>9970.4638793747581</v>
      </c>
      <c r="AE52" s="756">
        <f t="shared" si="26"/>
        <v>10286.642532269936</v>
      </c>
    </row>
    <row r="53" spans="1:32" ht="15" x14ac:dyDescent="0.25">
      <c r="B53" s="240"/>
      <c r="C53" s="245"/>
      <c r="D53" s="245"/>
      <c r="E53" s="245"/>
      <c r="F53" s="533">
        <v>2013</v>
      </c>
      <c r="G53" s="693">
        <v>0.03</v>
      </c>
      <c r="H53" s="514">
        <f>H52*(1+$H$58)</f>
        <v>235238.83236</v>
      </c>
      <c r="I53" s="515">
        <f t="shared" si="24"/>
        <v>117619.41618</v>
      </c>
      <c r="J53" s="691">
        <f t="shared" ref="J52:J57" si="27">I53*G53</f>
        <v>3528.5824853999998</v>
      </c>
      <c r="K53" s="704">
        <v>1.2E-2</v>
      </c>
      <c r="L53" s="702">
        <f t="shared" si="25"/>
        <v>1411.4329941600001</v>
      </c>
      <c r="R53" s="338" t="s">
        <v>351</v>
      </c>
      <c r="S53" s="756">
        <f>S52</f>
        <v>467.76853147048678</v>
      </c>
      <c r="T53" s="756">
        <f t="shared" ref="T53:AE53" si="28">S53+T52</f>
        <v>3047.2471402530355</v>
      </c>
      <c r="U53" s="756">
        <f t="shared" si="28"/>
        <v>-708.40448290061613</v>
      </c>
      <c r="V53" s="756">
        <f t="shared" si="28"/>
        <v>-4464.0561060542677</v>
      </c>
      <c r="W53" s="756">
        <f t="shared" si="28"/>
        <v>-3647.8554118273023</v>
      </c>
      <c r="X53" s="756">
        <f t="shared" si="28"/>
        <v>-2831.6547176003369</v>
      </c>
      <c r="Y53" s="756">
        <f t="shared" si="28"/>
        <v>-2015.4540233733715</v>
      </c>
      <c r="Z53" s="756">
        <f t="shared" si="28"/>
        <v>-2603.5405305589229</v>
      </c>
      <c r="AA53" s="759">
        <f t="shared" si="28"/>
        <v>-4247.4820764005053</v>
      </c>
      <c r="AB53" s="756">
        <f t="shared" si="28"/>
        <v>-3431.2813821735399</v>
      </c>
      <c r="AC53" s="756">
        <f t="shared" si="28"/>
        <v>-133.82134710490209</v>
      </c>
      <c r="AD53" s="756">
        <f t="shared" si="28"/>
        <v>9836.642532269856</v>
      </c>
      <c r="AE53" s="756">
        <f t="shared" si="28"/>
        <v>20123.285064539792</v>
      </c>
    </row>
    <row r="54" spans="1:32" ht="15" x14ac:dyDescent="0.25">
      <c r="B54" s="240"/>
      <c r="C54" s="245"/>
      <c r="D54" s="245"/>
      <c r="E54" s="245"/>
      <c r="F54" s="533">
        <v>2014</v>
      </c>
      <c r="G54" s="693">
        <v>0.03</v>
      </c>
      <c r="H54" s="514">
        <f>H53*(1+$H$58)</f>
        <v>240037.70454014398</v>
      </c>
      <c r="I54" s="515">
        <f t="shared" si="24"/>
        <v>120018.85227007199</v>
      </c>
      <c r="J54" s="691">
        <f t="shared" si="27"/>
        <v>3600.5655681021594</v>
      </c>
      <c r="K54" s="704">
        <v>1.2E-2</v>
      </c>
      <c r="L54" s="702">
        <f t="shared" si="25"/>
        <v>1440.2262272408639</v>
      </c>
      <c r="S54" s="758">
        <f>MIN(S53:AD53)</f>
        <v>-4464.0561060542677</v>
      </c>
      <c r="T54" s="758"/>
      <c r="U54" s="758"/>
      <c r="V54" s="758"/>
      <c r="W54" s="758"/>
      <c r="X54" s="758"/>
      <c r="Y54" s="758"/>
      <c r="Z54" s="758"/>
      <c r="AA54" s="758"/>
      <c r="AB54" s="758"/>
      <c r="AC54" s="758"/>
      <c r="AD54" s="758"/>
      <c r="AE54" s="758"/>
    </row>
    <row r="55" spans="1:32" ht="15" x14ac:dyDescent="0.25">
      <c r="B55" s="240"/>
      <c r="C55" s="253"/>
      <c r="D55" s="253"/>
      <c r="E55" s="253"/>
      <c r="F55" s="533">
        <v>2015</v>
      </c>
      <c r="G55" s="693">
        <v>0.03</v>
      </c>
      <c r="H55" s="514">
        <f>H54*(1+$H$58)</f>
        <v>244934.47371276291</v>
      </c>
      <c r="I55" s="515">
        <f t="shared" si="24"/>
        <v>122467.23685638145</v>
      </c>
      <c r="J55" s="691">
        <f t="shared" si="27"/>
        <v>3674.0171056914432</v>
      </c>
      <c r="K55" s="704">
        <v>1.2E-2</v>
      </c>
      <c r="L55" s="702">
        <f t="shared" si="25"/>
        <v>1469.6068422765775</v>
      </c>
    </row>
    <row r="56" spans="1:32" ht="15" x14ac:dyDescent="0.25">
      <c r="B56" s="240"/>
      <c r="C56" s="256"/>
      <c r="D56" s="256"/>
      <c r="E56" s="256"/>
      <c r="F56" s="533">
        <v>2016</v>
      </c>
      <c r="G56" s="693">
        <v>0.03</v>
      </c>
      <c r="H56" s="514">
        <f>H55*(1+$H$58)</f>
        <v>249931.13697650327</v>
      </c>
      <c r="I56" s="515">
        <f t="shared" si="24"/>
        <v>124965.56848825164</v>
      </c>
      <c r="J56" s="691">
        <f t="shared" si="27"/>
        <v>3748.967054647549</v>
      </c>
      <c r="K56" s="704">
        <v>1.2E-2</v>
      </c>
      <c r="L56" s="702">
        <f t="shared" si="25"/>
        <v>1499.5868218590197</v>
      </c>
      <c r="M56" s="240"/>
      <c r="N56" s="240"/>
      <c r="O56" s="240"/>
      <c r="P56" s="240"/>
      <c r="Q56" s="240"/>
    </row>
    <row r="57" spans="1:32" ht="15.75" thickBot="1" x14ac:dyDescent="0.3">
      <c r="B57" s="240"/>
      <c r="C57" s="256"/>
      <c r="D57" s="256"/>
      <c r="E57" s="256"/>
      <c r="F57" s="536">
        <v>2017</v>
      </c>
      <c r="G57" s="694">
        <v>0.03</v>
      </c>
      <c r="H57" s="516">
        <f>H56*(1+$H$58)</f>
        <v>255029.73217082393</v>
      </c>
      <c r="I57" s="517">
        <f t="shared" si="24"/>
        <v>127514.86608541197</v>
      </c>
      <c r="J57" s="692">
        <f t="shared" si="27"/>
        <v>3825.4459825623589</v>
      </c>
      <c r="K57" s="705">
        <v>1.2E-2</v>
      </c>
      <c r="L57" s="703">
        <f t="shared" si="25"/>
        <v>1530.1783930249437</v>
      </c>
      <c r="M57" s="240"/>
      <c r="N57" s="240"/>
      <c r="O57" s="240"/>
      <c r="P57" s="240"/>
      <c r="Q57" s="240"/>
      <c r="S57" s="243"/>
    </row>
    <row r="58" spans="1:32" ht="15" x14ac:dyDescent="0.25">
      <c r="B58" s="240"/>
      <c r="C58" s="256"/>
      <c r="D58" s="256"/>
      <c r="E58" s="256"/>
      <c r="F58" s="483"/>
      <c r="G58" s="452" t="s">
        <v>398</v>
      </c>
      <c r="H58" s="462">
        <v>2.0400000000000001E-2</v>
      </c>
      <c r="I58" s="464"/>
      <c r="J58" s="426"/>
      <c r="K58" s="484"/>
      <c r="L58" s="240"/>
      <c r="M58" s="240"/>
      <c r="N58" s="240"/>
      <c r="O58" s="240"/>
      <c r="P58" s="240"/>
      <c r="Q58" s="240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</row>
    <row r="59" spans="1:32" ht="15" x14ac:dyDescent="0.25">
      <c r="B59" s="240"/>
      <c r="C59" s="245"/>
      <c r="D59" s="245"/>
      <c r="E59" s="245"/>
      <c r="F59" s="484"/>
      <c r="G59" s="485"/>
      <c r="H59" s="485"/>
      <c r="I59" s="485"/>
      <c r="J59" s="485"/>
      <c r="K59" s="484"/>
      <c r="L59" s="240"/>
      <c r="M59" s="240"/>
      <c r="N59" s="240"/>
      <c r="O59" s="240"/>
      <c r="P59" s="240"/>
      <c r="Q59" s="240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</row>
    <row r="60" spans="1:32" ht="15.75" thickBot="1" x14ac:dyDescent="0.3">
      <c r="B60" s="240"/>
      <c r="C60" s="253"/>
      <c r="D60" s="253"/>
      <c r="E60" s="253"/>
      <c r="F60" s="915" t="s">
        <v>542</v>
      </c>
      <c r="G60" s="915"/>
      <c r="H60" s="915"/>
      <c r="I60" s="275"/>
      <c r="J60" s="275"/>
      <c r="K60" s="253"/>
      <c r="L60" s="240"/>
      <c r="M60" s="240"/>
      <c r="N60" s="240"/>
      <c r="O60" s="240"/>
      <c r="P60" s="240"/>
      <c r="Q60" s="240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</row>
    <row r="61" spans="1:32" ht="15.75" thickBot="1" x14ac:dyDescent="0.3">
      <c r="B61" s="240"/>
      <c r="C61" s="256"/>
      <c r="D61" s="256"/>
      <c r="E61" s="256"/>
      <c r="F61" s="720" t="s">
        <v>540</v>
      </c>
      <c r="G61" s="721" t="s">
        <v>541</v>
      </c>
      <c r="H61" s="722" t="s">
        <v>397</v>
      </c>
      <c r="I61" s="273"/>
      <c r="J61" s="273"/>
      <c r="K61" s="256"/>
      <c r="L61" s="240"/>
      <c r="M61" s="240"/>
      <c r="N61" s="240"/>
      <c r="O61" s="240"/>
      <c r="P61" s="240"/>
      <c r="Q61" s="240"/>
      <c r="AF61" s="242"/>
    </row>
    <row r="62" spans="1:32" ht="15" x14ac:dyDescent="0.25">
      <c r="B62" s="240"/>
      <c r="C62" s="256"/>
      <c r="D62" s="256"/>
      <c r="E62" s="256"/>
      <c r="F62" s="391">
        <f>2012</f>
        <v>2012</v>
      </c>
      <c r="G62" s="715">
        <f t="shared" ref="G62:H67" si="29">H38</f>
        <v>609176.12901119178</v>
      </c>
      <c r="H62" s="717">
        <f t="shared" si="29"/>
        <v>5.5037057370294296E-2</v>
      </c>
      <c r="I62" s="273"/>
      <c r="J62" s="273"/>
      <c r="K62" s="256"/>
      <c r="L62" s="240"/>
      <c r="M62" s="240"/>
      <c r="N62" s="240"/>
      <c r="O62" s="240"/>
      <c r="P62" s="240"/>
      <c r="Q62" s="240"/>
      <c r="AF62" s="242"/>
    </row>
    <row r="63" spans="1:32" ht="15.75" thickBot="1" x14ac:dyDescent="0.3">
      <c r="A63" s="903" t="s">
        <v>536</v>
      </c>
      <c r="B63" s="903"/>
      <c r="C63" s="903"/>
      <c r="D63" s="245"/>
      <c r="E63" s="245"/>
      <c r="F63" s="391">
        <v>2013</v>
      </c>
      <c r="G63" s="716">
        <f t="shared" si="29"/>
        <v>640954.40762879839</v>
      </c>
      <c r="H63" s="717">
        <f t="shared" si="29"/>
        <v>5.21659945362416E-2</v>
      </c>
      <c r="I63" s="245"/>
      <c r="J63" s="245"/>
      <c r="K63" s="245"/>
      <c r="L63" s="240"/>
      <c r="M63" s="240"/>
      <c r="N63" s="240"/>
      <c r="O63" s="240"/>
      <c r="P63" s="240"/>
      <c r="Q63" s="240"/>
      <c r="AF63" s="242"/>
    </row>
    <row r="64" spans="1:32" ht="15.75" thickBot="1" x14ac:dyDescent="0.3">
      <c r="A64" s="898" t="s">
        <v>262</v>
      </c>
      <c r="B64" s="900" t="s">
        <v>0</v>
      </c>
      <c r="C64" s="901"/>
      <c r="D64" s="245"/>
      <c r="E64" s="245"/>
      <c r="F64" s="391">
        <v>2014</v>
      </c>
      <c r="G64" s="716">
        <f t="shared" si="29"/>
        <v>672732.68624639523</v>
      </c>
      <c r="H64" s="717">
        <f t="shared" si="29"/>
        <v>4.9579624134515443E-2</v>
      </c>
      <c r="I64" s="245"/>
      <c r="J64" s="245"/>
      <c r="K64" s="245"/>
      <c r="L64" s="240"/>
      <c r="M64" s="240"/>
      <c r="N64" s="240"/>
      <c r="O64" s="240"/>
      <c r="P64" s="240"/>
      <c r="Q64" s="240"/>
      <c r="AF64" s="242"/>
    </row>
    <row r="65" spans="1:32" ht="15.75" thickBot="1" x14ac:dyDescent="0.3">
      <c r="A65" s="899"/>
      <c r="B65" s="631" t="s">
        <v>263</v>
      </c>
      <c r="C65" s="630" t="s">
        <v>260</v>
      </c>
      <c r="D65" s="245"/>
      <c r="E65" s="245"/>
      <c r="F65" s="391">
        <v>2015</v>
      </c>
      <c r="G65" s="716">
        <f t="shared" si="29"/>
        <v>704510.9648639923</v>
      </c>
      <c r="H65" s="717">
        <f t="shared" si="29"/>
        <v>4.7237601602069246E-2</v>
      </c>
      <c r="I65" s="245"/>
      <c r="J65" s="245"/>
      <c r="K65" s="245"/>
      <c r="L65" s="240"/>
      <c r="M65" s="240"/>
      <c r="N65" s="240"/>
      <c r="O65" s="240"/>
      <c r="P65" s="240"/>
      <c r="Q65" s="240"/>
      <c r="AF65" s="242"/>
    </row>
    <row r="66" spans="1:32" ht="15" x14ac:dyDescent="0.25">
      <c r="A66" s="259" t="s">
        <v>264</v>
      </c>
      <c r="B66" s="260">
        <v>24280</v>
      </c>
      <c r="C66" s="261">
        <f>B66/B94</f>
        <v>0.54689611676727634</v>
      </c>
      <c r="D66" s="245"/>
      <c r="E66" s="245"/>
      <c r="F66" s="391">
        <v>2016</v>
      </c>
      <c r="G66" s="716">
        <f t="shared" si="29"/>
        <v>736289.24348159879</v>
      </c>
      <c r="H66" s="717">
        <f t="shared" si="29"/>
        <v>4.5106861642304485E-2</v>
      </c>
      <c r="I66" s="245"/>
      <c r="J66" s="245"/>
      <c r="K66" s="245"/>
      <c r="L66" s="240"/>
      <c r="M66" s="240"/>
      <c r="N66" s="240"/>
      <c r="O66" s="240"/>
      <c r="P66" s="240"/>
      <c r="Q66" s="240"/>
      <c r="AF66" s="242"/>
    </row>
    <row r="67" spans="1:32" ht="15.75" thickBot="1" x14ac:dyDescent="0.3">
      <c r="A67" s="262" t="s">
        <v>265</v>
      </c>
      <c r="B67" s="263">
        <v>1193</v>
      </c>
      <c r="C67" s="264">
        <f t="shared" ref="C67:C72" si="30">B67/$B$94</f>
        <v>2.6871790251373998E-2</v>
      </c>
      <c r="D67" s="245"/>
      <c r="E67" s="245"/>
      <c r="F67" s="401">
        <v>2017</v>
      </c>
      <c r="G67" s="718">
        <f t="shared" si="29"/>
        <v>768067.52209919575</v>
      </c>
      <c r="H67" s="719">
        <f t="shared" si="29"/>
        <v>4.3160047357653886E-2</v>
      </c>
      <c r="I67" s="245"/>
      <c r="J67" s="245"/>
      <c r="K67" s="245"/>
      <c r="L67" s="240"/>
      <c r="M67" s="240"/>
      <c r="N67" s="240"/>
      <c r="O67" s="240"/>
      <c r="P67" s="240"/>
      <c r="Q67" s="240"/>
      <c r="AF67" s="242"/>
    </row>
    <row r="68" spans="1:32" ht="15.75" thickBot="1" x14ac:dyDescent="0.3">
      <c r="A68" s="262" t="s">
        <v>266</v>
      </c>
      <c r="B68" s="263">
        <v>174</v>
      </c>
      <c r="C68" s="264">
        <f t="shared" si="30"/>
        <v>3.919272006487071E-3</v>
      </c>
      <c r="D68" s="253"/>
      <c r="E68" s="245"/>
      <c r="F68" s="484"/>
      <c r="G68" s="723" t="s">
        <v>375</v>
      </c>
      <c r="H68" s="724">
        <f>I44</f>
        <v>4.8714531107179826E-2</v>
      </c>
      <c r="I68" s="245"/>
      <c r="J68" s="245"/>
      <c r="K68" s="245"/>
      <c r="L68" s="240"/>
      <c r="M68" s="240"/>
      <c r="N68" s="240"/>
      <c r="O68" s="240"/>
      <c r="P68" s="240"/>
      <c r="Q68" s="240"/>
      <c r="AF68" s="242"/>
    </row>
    <row r="69" spans="1:32" ht="15" x14ac:dyDescent="0.25">
      <c r="A69" s="265" t="s">
        <v>267</v>
      </c>
      <c r="B69" s="266">
        <v>20870</v>
      </c>
      <c r="C69" s="267">
        <f t="shared" si="30"/>
        <v>0.47008739526083432</v>
      </c>
      <c r="D69" s="277">
        <f>1833/20870</f>
        <v>8.7829420220412069E-2</v>
      </c>
      <c r="E69" s="245"/>
      <c r="I69" s="245"/>
      <c r="J69" s="245"/>
      <c r="K69" s="245"/>
      <c r="L69" s="240"/>
      <c r="M69" s="240"/>
      <c r="N69" s="240"/>
      <c r="O69" s="240"/>
      <c r="P69" s="240"/>
      <c r="Q69" s="240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</row>
    <row r="70" spans="1:32" ht="15" x14ac:dyDescent="0.25">
      <c r="A70" s="262" t="s">
        <v>268</v>
      </c>
      <c r="B70" s="263">
        <v>314</v>
      </c>
      <c r="C70" s="264">
        <f t="shared" si="30"/>
        <v>7.0727092530858638E-3</v>
      </c>
      <c r="D70" s="256"/>
      <c r="E70" s="245"/>
      <c r="I70" s="245"/>
      <c r="J70" s="245"/>
      <c r="K70" s="245"/>
      <c r="L70" s="240"/>
      <c r="M70" s="240"/>
      <c r="N70" s="240"/>
      <c r="O70" s="240"/>
      <c r="P70" s="240"/>
      <c r="Q70" s="240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</row>
    <row r="71" spans="1:32" ht="15" x14ac:dyDescent="0.25">
      <c r="A71" s="262" t="s">
        <v>269</v>
      </c>
      <c r="B71" s="263">
        <v>1486</v>
      </c>
      <c r="C71" s="264">
        <f t="shared" si="30"/>
        <v>3.3471483917470041E-2</v>
      </c>
      <c r="D71" s="256"/>
      <c r="E71" s="245"/>
      <c r="I71" s="245"/>
      <c r="J71" s="245"/>
      <c r="K71" s="245"/>
      <c r="L71" s="240"/>
      <c r="M71" s="240"/>
      <c r="N71" s="240"/>
      <c r="O71" s="240"/>
      <c r="P71" s="240"/>
      <c r="Q71" s="240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</row>
    <row r="72" spans="1:32" ht="15" x14ac:dyDescent="0.25">
      <c r="A72" s="262" t="s">
        <v>270</v>
      </c>
      <c r="B72" s="263">
        <v>243</v>
      </c>
      <c r="C72" s="264">
        <f t="shared" si="30"/>
        <v>5.4734660780250471E-3</v>
      </c>
      <c r="D72" s="256"/>
      <c r="E72" s="245"/>
      <c r="I72" s="245"/>
      <c r="J72" s="245"/>
      <c r="K72" s="245"/>
      <c r="L72" s="240"/>
      <c r="M72" s="240"/>
      <c r="N72" s="240"/>
      <c r="O72" s="240"/>
      <c r="P72" s="240"/>
      <c r="Q72" s="240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</row>
    <row r="73" spans="1:32" ht="15" x14ac:dyDescent="0.25">
      <c r="A73" s="268" t="s">
        <v>271</v>
      </c>
      <c r="B73" s="266">
        <v>19469</v>
      </c>
      <c r="C73" s="267">
        <f>B73/B94</f>
        <v>0.43853049824308499</v>
      </c>
      <c r="D73" s="256"/>
      <c r="E73" s="245"/>
      <c r="I73" s="245"/>
      <c r="J73" s="245"/>
      <c r="K73" s="245"/>
      <c r="L73" s="240"/>
      <c r="M73" s="240"/>
      <c r="N73" s="240"/>
      <c r="O73" s="240"/>
      <c r="P73" s="240"/>
      <c r="Q73" s="240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</row>
    <row r="74" spans="1:32" ht="15" x14ac:dyDescent="0.25">
      <c r="A74" s="269" t="s">
        <v>272</v>
      </c>
      <c r="B74" s="263">
        <v>1921</v>
      </c>
      <c r="C74" s="264">
        <f t="shared" ref="C74:C84" si="31">B74/$B$94</f>
        <v>4.3269663933687717E-2</v>
      </c>
      <c r="D74" s="256"/>
      <c r="E74" s="245"/>
      <c r="F74" s="245"/>
      <c r="G74" s="245"/>
      <c r="H74" s="245"/>
      <c r="I74" s="245"/>
      <c r="J74" s="245"/>
      <c r="K74" s="245"/>
      <c r="L74" s="240"/>
      <c r="M74" s="240"/>
      <c r="N74" s="240"/>
      <c r="O74" s="240"/>
      <c r="P74" s="240"/>
      <c r="Q74" s="240"/>
    </row>
    <row r="75" spans="1:32" ht="15" x14ac:dyDescent="0.25">
      <c r="A75" s="269" t="s">
        <v>273</v>
      </c>
      <c r="B75" s="263">
        <v>27</v>
      </c>
      <c r="C75" s="264">
        <f t="shared" si="31"/>
        <v>6.0816289755833862E-4</v>
      </c>
      <c r="D75" s="256"/>
      <c r="E75" s="245"/>
      <c r="F75" s="245"/>
      <c r="G75" s="245"/>
      <c r="H75" s="245"/>
      <c r="I75" s="245"/>
      <c r="J75" s="245"/>
      <c r="K75" s="245"/>
      <c r="L75" s="240"/>
      <c r="M75" s="240"/>
      <c r="N75" s="240"/>
      <c r="O75" s="240"/>
      <c r="P75" s="240"/>
      <c r="Q75" s="240"/>
    </row>
    <row r="76" spans="1:32" ht="15" x14ac:dyDescent="0.25">
      <c r="A76" s="269" t="s">
        <v>274</v>
      </c>
      <c r="B76" s="263">
        <v>152</v>
      </c>
      <c r="C76" s="264">
        <f t="shared" si="31"/>
        <v>3.4237318677358321E-3</v>
      </c>
      <c r="D76" s="256"/>
      <c r="E76" s="245"/>
      <c r="F76" s="245"/>
      <c r="G76" s="245"/>
      <c r="H76" s="245"/>
      <c r="I76" s="245"/>
      <c r="J76" s="245"/>
      <c r="K76" s="245"/>
      <c r="L76" s="240"/>
      <c r="M76" s="240"/>
      <c r="N76" s="240"/>
      <c r="O76" s="240"/>
      <c r="P76" s="240"/>
      <c r="Q76" s="240"/>
    </row>
    <row r="77" spans="1:32" ht="14.25" x14ac:dyDescent="0.2">
      <c r="A77" s="269" t="s">
        <v>275</v>
      </c>
      <c r="B77" s="263">
        <v>90</v>
      </c>
      <c r="C77" s="264">
        <f t="shared" si="31"/>
        <v>2.0272096585277951E-3</v>
      </c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32" ht="14.25" x14ac:dyDescent="0.2">
      <c r="A78" s="269" t="s">
        <v>276</v>
      </c>
      <c r="B78" s="263">
        <v>298</v>
      </c>
      <c r="C78" s="264">
        <f t="shared" si="31"/>
        <v>6.7123164249031442E-3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32" ht="14.25" x14ac:dyDescent="0.2">
      <c r="A79" s="269" t="s">
        <v>277</v>
      </c>
      <c r="B79" s="263">
        <v>226</v>
      </c>
      <c r="C79" s="264">
        <f t="shared" si="31"/>
        <v>5.0905486980809085E-3</v>
      </c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32" ht="14.25" x14ac:dyDescent="0.2">
      <c r="A80" s="269" t="s">
        <v>278</v>
      </c>
      <c r="B80" s="263">
        <v>363</v>
      </c>
      <c r="C80" s="264">
        <f t="shared" si="31"/>
        <v>8.1764122893954409E-3</v>
      </c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ht="14.25" x14ac:dyDescent="0.2">
      <c r="A81" s="269" t="s">
        <v>279</v>
      </c>
      <c r="B81" s="263">
        <v>482</v>
      </c>
      <c r="C81" s="264">
        <f t="shared" si="31"/>
        <v>1.0856833949004415E-2</v>
      </c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ht="14.25" x14ac:dyDescent="0.2">
      <c r="A82" s="269" t="s">
        <v>280</v>
      </c>
      <c r="B82" s="263">
        <v>14830</v>
      </c>
      <c r="C82" s="264">
        <f t="shared" si="31"/>
        <v>0.33403910262185782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ht="14.25" x14ac:dyDescent="0.2">
      <c r="A83" s="269" t="s">
        <v>281</v>
      </c>
      <c r="B83" s="263">
        <v>687</v>
      </c>
      <c r="C83" s="264">
        <f t="shared" si="31"/>
        <v>1.5474367060095504E-2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ht="14.25" x14ac:dyDescent="0.2">
      <c r="A84" s="269" t="s">
        <v>282</v>
      </c>
      <c r="B84" s="263">
        <v>393</v>
      </c>
      <c r="C84" s="264">
        <f t="shared" si="31"/>
        <v>8.8521488422380386E-3</v>
      </c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ht="15" x14ac:dyDescent="0.25">
      <c r="A85" s="268" t="s">
        <v>283</v>
      </c>
      <c r="B85" s="266">
        <v>513</v>
      </c>
      <c r="C85" s="267">
        <f>B85/B94</f>
        <v>1.1555095053608433E-2</v>
      </c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ht="14.25" x14ac:dyDescent="0.2">
      <c r="A86" s="269" t="s">
        <v>284</v>
      </c>
      <c r="B86" s="263">
        <v>57</v>
      </c>
      <c r="C86" s="264">
        <f t="shared" ref="C86:C93" si="32">B86/$B$94</f>
        <v>1.2838994504009371E-3</v>
      </c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</row>
    <row r="87" spans="1:17" ht="14.25" x14ac:dyDescent="0.2">
      <c r="A87" s="269" t="s">
        <v>285</v>
      </c>
      <c r="B87" s="263">
        <v>38</v>
      </c>
      <c r="C87" s="264">
        <f t="shared" si="32"/>
        <v>8.5593296693395804E-4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</row>
    <row r="88" spans="1:17" ht="14.25" x14ac:dyDescent="0.2">
      <c r="A88" s="269" t="s">
        <v>286</v>
      </c>
      <c r="B88" s="263">
        <v>61</v>
      </c>
      <c r="C88" s="264">
        <f t="shared" si="32"/>
        <v>1.3739976574466167E-3</v>
      </c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</row>
    <row r="89" spans="1:17" ht="14.25" x14ac:dyDescent="0.2">
      <c r="A89" s="269" t="s">
        <v>287</v>
      </c>
      <c r="B89" s="263">
        <v>93</v>
      </c>
      <c r="C89" s="264">
        <f t="shared" si="32"/>
        <v>2.0947833138120551E-3</v>
      </c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</row>
    <row r="90" spans="1:17" ht="14.25" x14ac:dyDescent="0.2">
      <c r="A90" s="269" t="s">
        <v>288</v>
      </c>
      <c r="B90" s="263">
        <v>166</v>
      </c>
      <c r="C90" s="264">
        <f t="shared" si="32"/>
        <v>3.7390755923957112E-3</v>
      </c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</row>
    <row r="91" spans="1:17" ht="14.25" x14ac:dyDescent="0.2">
      <c r="A91" s="269" t="s">
        <v>289</v>
      </c>
      <c r="B91" s="263">
        <v>98</v>
      </c>
      <c r="C91" s="264">
        <f t="shared" si="32"/>
        <v>2.2074060726191549E-3</v>
      </c>
    </row>
    <row r="92" spans="1:17" ht="15" x14ac:dyDescent="0.25">
      <c r="A92" s="268" t="s">
        <v>290</v>
      </c>
      <c r="B92" s="266">
        <v>134</v>
      </c>
      <c r="C92" s="264">
        <f t="shared" si="32"/>
        <v>3.0182899360302732E-3</v>
      </c>
    </row>
    <row r="93" spans="1:17" ht="15" thickBot="1" x14ac:dyDescent="0.25">
      <c r="A93" s="632" t="s">
        <v>291</v>
      </c>
      <c r="B93" s="633">
        <v>134</v>
      </c>
      <c r="C93" s="634">
        <f t="shared" si="32"/>
        <v>3.0182899360302732E-3</v>
      </c>
    </row>
    <row r="94" spans="1:17" ht="15.75" thickBot="1" x14ac:dyDescent="0.3">
      <c r="A94" s="635" t="s">
        <v>292</v>
      </c>
      <c r="B94" s="636">
        <f>+B66+B73+B85+B92</f>
        <v>44396</v>
      </c>
      <c r="C94" s="637">
        <v>1</v>
      </c>
    </row>
  </sheetData>
  <scenarios current="3" sqref="C49">
    <scenario name="0,0980" locked="1" count="1" user="Usuario" comment="Creado por PobliCopias el 06/04/2012">
      <inputCells r="M39" val="0,0998" numFmtId="170"/>
    </scenario>
    <scenario name="0,0995" locked="1" count="1" user="Usuario" comment="Creado por Usuario el 06/04/2012">
      <inputCells r="M39" val="0,0995" numFmtId="170"/>
    </scenario>
    <scenario name="0,090" locked="1" count="1" user="Usuario" comment="Creado por Usuario el 06/04/2012">
      <inputCells r="M39" val="0,09" numFmtId="170"/>
    </scenario>
    <scenario name="0,08" locked="1" count="1" user="Usuario" comment="Creado por Usuario el 06/04/2012_x000a_Modificado por Usuario el 06/04/2012">
      <inputCells r="M39" val="0,08" numFmtId="170"/>
    </scenario>
    <scenario name="0,070" locked="1" count="1" user="Usuario" comment="Creado por Usuario el 06/04/2012">
      <inputCells r="M39" val="0,07" numFmtId="170"/>
    </scenario>
    <scenario name="0,10" locked="1" count="1" user="Usuario" comment="Creado por Usuario el 06/04/2012">
      <inputCells r="M39" val="0,1" numFmtId="170"/>
    </scenario>
    <scenario name="0,101" locked="1" count="1" user="Usuario" comment="Creado por Usuario el 06/04/2012">
      <inputCells r="M39" val="0,101" numFmtId="170"/>
    </scenario>
    <scenario name="0,105" locked="1" count="1" user="Usuario" comment="Creado por Usuario el 06/04/2012">
      <inputCells r="M39" val="0,105" numFmtId="170"/>
    </scenario>
    <scenario name="0,11" locked="1" count="1" user="Usuario" comment="Creado por Usuario el 06/04/2012">
      <inputCells r="M39" val="0,11" numFmtId="170"/>
    </scenario>
    <scenario name="0,12" locked="1" count="1" user="Usuario" comment="Creado por Usuario el 06/04/2012">
      <inputCells r="M39" val="0,12" numFmtId="170"/>
    </scenario>
    <scenario name="0,13" locked="1" count="1" user="Usuario" comment="Creado por Usuario el 06/04/2012">
      <inputCells r="M39" val="0,13" numFmtId="170"/>
    </scenario>
  </scenarios>
  <mergeCells count="17">
    <mergeCell ref="D49:D50"/>
    <mergeCell ref="A27:H27"/>
    <mergeCell ref="A64:A65"/>
    <mergeCell ref="B64:C64"/>
    <mergeCell ref="R31:AE31"/>
    <mergeCell ref="A63:C63"/>
    <mergeCell ref="A2:I2"/>
    <mergeCell ref="A3:A4"/>
    <mergeCell ref="B3:I3"/>
    <mergeCell ref="G8:G9"/>
    <mergeCell ref="H8:H9"/>
    <mergeCell ref="F50:J50"/>
    <mergeCell ref="K50:L50"/>
    <mergeCell ref="A49:B50"/>
    <mergeCell ref="C49:C50"/>
    <mergeCell ref="F60:H60"/>
    <mergeCell ref="A51:B51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7"/>
  <sheetViews>
    <sheetView showGridLines="0" zoomScale="110" zoomScaleNormal="110" workbookViewId="0">
      <selection activeCell="B5" sqref="B5:B6"/>
    </sheetView>
  </sheetViews>
  <sheetFormatPr baseColWidth="10" defaultRowHeight="12.75" x14ac:dyDescent="0.2"/>
  <cols>
    <col min="1" max="1" width="11.42578125" style="181"/>
    <col min="2" max="2" width="23.85546875" style="181" bestFit="1" customWidth="1"/>
    <col min="3" max="4" width="14.42578125" style="181" bestFit="1" customWidth="1"/>
    <col min="5" max="5" width="11.5703125" style="181" bestFit="1" customWidth="1"/>
    <col min="6" max="6" width="13.140625" style="181" bestFit="1" customWidth="1"/>
    <col min="7" max="7" width="12.140625" style="181" bestFit="1" customWidth="1"/>
    <col min="8" max="8" width="11.5703125" style="181" bestFit="1" customWidth="1"/>
    <col min="9" max="16384" width="11.42578125" style="181"/>
  </cols>
  <sheetData>
    <row r="3" spans="2:12" x14ac:dyDescent="0.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2:12" ht="13.5" thickBot="1" x14ac:dyDescent="0.2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2:12" x14ac:dyDescent="0.2">
      <c r="B5" s="892" t="s">
        <v>478</v>
      </c>
      <c r="C5" s="892" t="s">
        <v>481</v>
      </c>
      <c r="D5" s="919"/>
      <c r="E5" s="893"/>
      <c r="F5" s="892" t="s">
        <v>482</v>
      </c>
      <c r="G5" s="919"/>
      <c r="H5" s="893"/>
      <c r="I5" s="164"/>
      <c r="J5" s="164"/>
      <c r="K5" s="164"/>
      <c r="L5" s="164"/>
    </row>
    <row r="6" spans="2:12" ht="13.5" thickBot="1" x14ac:dyDescent="0.25">
      <c r="B6" s="920"/>
      <c r="C6" s="344" t="s">
        <v>260</v>
      </c>
      <c r="D6" s="550" t="s">
        <v>479</v>
      </c>
      <c r="E6" s="587" t="s">
        <v>480</v>
      </c>
      <c r="F6" s="588" t="s">
        <v>260</v>
      </c>
      <c r="G6" s="548" t="s">
        <v>479</v>
      </c>
      <c r="H6" s="589" t="s">
        <v>480</v>
      </c>
      <c r="I6" s="164"/>
      <c r="J6" s="164"/>
      <c r="K6" s="164"/>
      <c r="L6" s="164"/>
    </row>
    <row r="7" spans="2:12" x14ac:dyDescent="0.2">
      <c r="B7" s="478" t="s">
        <v>518</v>
      </c>
      <c r="C7" s="580">
        <f>C16*'Estado de Resultado PA'!B27</f>
        <v>98009.187425496624</v>
      </c>
      <c r="D7" s="526">
        <f>C7</f>
        <v>98009.187425496624</v>
      </c>
      <c r="E7" s="581"/>
      <c r="F7" s="582">
        <f>F16*'Estado de Resultado PA'!B27</f>
        <v>539.56022150982528</v>
      </c>
      <c r="G7" s="520">
        <f>F7</f>
        <v>539.56022150982528</v>
      </c>
      <c r="H7" s="583"/>
      <c r="I7" s="164"/>
      <c r="J7" s="164"/>
      <c r="K7" s="164"/>
      <c r="L7" s="164"/>
    </row>
    <row r="8" spans="2:12" x14ac:dyDescent="0.2">
      <c r="B8" s="478" t="s">
        <v>477</v>
      </c>
      <c r="C8" s="751">
        <f>'Estado de Resultado PA'!B10+'Estado de Resultado PA'!B11</f>
        <v>537486.05325443519</v>
      </c>
      <c r="D8" s="684">
        <f>C8</f>
        <v>537486.05325443519</v>
      </c>
      <c r="E8" s="684"/>
      <c r="F8" s="751">
        <f>'Estado de Resultado PA'!B12</f>
        <v>1411.4329941600001</v>
      </c>
      <c r="G8" s="684">
        <f>F8</f>
        <v>1411.4329941600001</v>
      </c>
      <c r="H8" s="490"/>
      <c r="I8" s="164"/>
      <c r="J8" s="164"/>
      <c r="K8" s="164"/>
      <c r="L8" s="164"/>
    </row>
    <row r="9" spans="2:12" x14ac:dyDescent="0.2">
      <c r="B9" s="575" t="s">
        <v>501</v>
      </c>
      <c r="C9" s="752">
        <f>'Estado de Resultado PA'!B7</f>
        <v>640954.40762879839</v>
      </c>
      <c r="D9" s="651">
        <f>C9</f>
        <v>640954.40762879839</v>
      </c>
      <c r="E9" s="753">
        <f>D9/IC!J39</f>
        <v>4578.2457687771312</v>
      </c>
      <c r="F9" s="754">
        <f>'Estado de Resultado PA'!B8</f>
        <v>3528.5824853999998</v>
      </c>
      <c r="G9" s="651">
        <f>F9</f>
        <v>3528.5824853999998</v>
      </c>
      <c r="H9" s="584">
        <f>G9/IC!G53</f>
        <v>117619.41618</v>
      </c>
      <c r="I9" s="164"/>
      <c r="J9" s="164"/>
      <c r="K9" s="164"/>
      <c r="L9" s="164"/>
    </row>
    <row r="10" spans="2:12" ht="13.5" thickBot="1" x14ac:dyDescent="0.25">
      <c r="B10" s="576" t="s">
        <v>478</v>
      </c>
      <c r="C10" s="590">
        <f>C7/(C9-C8)</f>
        <v>0.94723829346783139</v>
      </c>
      <c r="D10" s="585">
        <f>C10*D9</f>
        <v>607136.55927298777</v>
      </c>
      <c r="E10" s="586">
        <f>D10/IC!J40</f>
        <v>4336.6897090927696</v>
      </c>
      <c r="F10" s="590">
        <f>F7/(F9-F8)</f>
        <v>0.25485220752825</v>
      </c>
      <c r="G10" s="585">
        <f>F10*G9</f>
        <v>899.26703584970892</v>
      </c>
      <c r="H10" s="586">
        <f>G10/IC!G54</f>
        <v>29975.567861656964</v>
      </c>
      <c r="I10" s="164"/>
      <c r="J10" s="164"/>
      <c r="K10" s="164"/>
      <c r="L10" s="164"/>
    </row>
    <row r="11" spans="2:12" ht="12.75" customHeight="1" thickBot="1" x14ac:dyDescent="0.25">
      <c r="B11" s="579"/>
      <c r="C11" s="921" t="s">
        <v>484</v>
      </c>
      <c r="D11" s="921"/>
      <c r="E11" s="921"/>
      <c r="F11" s="921" t="s">
        <v>483</v>
      </c>
      <c r="G11" s="921"/>
      <c r="H11" s="922"/>
      <c r="I11" s="164"/>
      <c r="J11" s="164"/>
      <c r="K11" s="164"/>
      <c r="L11" s="164"/>
    </row>
    <row r="12" spans="2:12" ht="43.5" customHeight="1" x14ac:dyDescent="0.2">
      <c r="B12" s="164"/>
      <c r="C12" s="164"/>
      <c r="D12" s="164"/>
      <c r="E12" s="51"/>
      <c r="F12" s="164"/>
      <c r="G12" s="164"/>
      <c r="H12" s="51"/>
      <c r="I12" s="164"/>
      <c r="J12" s="164"/>
      <c r="K12" s="164"/>
      <c r="L12" s="164"/>
    </row>
    <row r="13" spans="2:12" x14ac:dyDescent="0.2">
      <c r="B13" s="164"/>
      <c r="C13" s="350"/>
      <c r="D13" s="164"/>
      <c r="E13" s="164"/>
      <c r="F13" s="164"/>
      <c r="G13" s="164"/>
      <c r="H13" s="164"/>
      <c r="I13" s="164"/>
      <c r="J13" s="164"/>
      <c r="K13" s="164"/>
      <c r="L13" s="164"/>
    </row>
    <row r="14" spans="2:12" x14ac:dyDescent="0.2">
      <c r="B14" s="164"/>
      <c r="C14" s="577"/>
      <c r="D14" s="164"/>
      <c r="E14" s="164"/>
      <c r="F14" s="578"/>
      <c r="G14" s="164"/>
      <c r="H14" s="164"/>
      <c r="I14" s="164"/>
      <c r="J14" s="164"/>
      <c r="K14" s="164"/>
      <c r="L14" s="164"/>
    </row>
    <row r="15" spans="2:12" x14ac:dyDescent="0.2">
      <c r="B15" s="800" t="s">
        <v>485</v>
      </c>
      <c r="C15" s="350">
        <f>C9+F9</f>
        <v>644482.99011419842</v>
      </c>
      <c r="D15" s="164"/>
      <c r="E15" s="164"/>
      <c r="F15" s="164"/>
      <c r="G15" s="164"/>
      <c r="H15" s="164"/>
      <c r="I15" s="164"/>
      <c r="J15" s="164"/>
      <c r="K15" s="164"/>
      <c r="L15" s="164"/>
    </row>
    <row r="16" spans="2:12" x14ac:dyDescent="0.2">
      <c r="B16" s="800"/>
      <c r="C16" s="578">
        <f>C9/C15</f>
        <v>0.99452494086030918</v>
      </c>
      <c r="D16" s="164"/>
      <c r="E16" s="164"/>
      <c r="F16" s="578">
        <f>F9/C15</f>
        <v>5.4750591396908032E-3</v>
      </c>
      <c r="G16" s="164"/>
      <c r="H16" s="164"/>
      <c r="I16" s="164"/>
      <c r="J16" s="164"/>
      <c r="K16" s="164"/>
      <c r="L16" s="164"/>
    </row>
    <row r="17" spans="2:12" x14ac:dyDescent="0.2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2:12" x14ac:dyDescent="0.2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2:12" x14ac:dyDescent="0.2"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2:12" x14ac:dyDescent="0.2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</row>
    <row r="21" spans="2:12" x14ac:dyDescent="0.2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2:12" x14ac:dyDescent="0.2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2:12" x14ac:dyDescent="0.2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2:12" x14ac:dyDescent="0.2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2:12" x14ac:dyDescent="0.2"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2:12" x14ac:dyDescent="0.2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2:12" x14ac:dyDescent="0.2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2:12" x14ac:dyDescent="0.2"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2:12" x14ac:dyDescent="0.2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</row>
    <row r="30" spans="2:12" x14ac:dyDescent="0.2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</row>
    <row r="31" spans="2:12" x14ac:dyDescent="0.2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</row>
    <row r="32" spans="2:12" x14ac:dyDescent="0.2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2:12" x14ac:dyDescent="0.2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2:12" x14ac:dyDescent="0.2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2:12" x14ac:dyDescent="0.2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</row>
    <row r="36" spans="2:12" x14ac:dyDescent="0.2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2:12" x14ac:dyDescent="0.2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2:12" x14ac:dyDescent="0.2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2:12" x14ac:dyDescent="0.2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2:12" x14ac:dyDescent="0.2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</row>
    <row r="41" spans="2:12" x14ac:dyDescent="0.2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2:12" x14ac:dyDescent="0.2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  <row r="43" spans="2:12" x14ac:dyDescent="0.2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  <row r="44" spans="2:12" x14ac:dyDescent="0.2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2:12" x14ac:dyDescent="0.2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2:12" x14ac:dyDescent="0.2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2:12" x14ac:dyDescent="0.2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2:12" x14ac:dyDescent="0.2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2:12" x14ac:dyDescent="0.2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</row>
    <row r="50" spans="2:12" x14ac:dyDescent="0.2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2:12" x14ac:dyDescent="0.2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2:12" x14ac:dyDescent="0.2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2:12" x14ac:dyDescent="0.2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2:12" x14ac:dyDescent="0.2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2:12" x14ac:dyDescent="0.2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  <row r="56" spans="2:12" x14ac:dyDescent="0.2"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</row>
    <row r="57" spans="2:12" x14ac:dyDescent="0.2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</row>
  </sheetData>
  <mergeCells count="6">
    <mergeCell ref="C5:E5"/>
    <mergeCell ref="F5:H5"/>
    <mergeCell ref="B5:B6"/>
    <mergeCell ref="B15:B16"/>
    <mergeCell ref="C11:E11"/>
    <mergeCell ref="F11:H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W33"/>
  <sheetViews>
    <sheetView showGridLines="0" topLeftCell="A5" workbookViewId="0">
      <selection activeCell="E14" sqref="E14"/>
    </sheetView>
  </sheetViews>
  <sheetFormatPr baseColWidth="10" defaultRowHeight="15" outlineLevelRow="1" outlineLevelCol="1" x14ac:dyDescent="0.25"/>
  <cols>
    <col min="3" max="3" width="6.140625" customWidth="1"/>
    <col min="4" max="23" width="14.5703125" bestFit="1" customWidth="1" outlineLevel="1"/>
  </cols>
  <sheetData>
    <row r="1" spans="2:23" ht="15.75" thickBot="1" x14ac:dyDescent="0.3"/>
    <row r="2" spans="2:23" ht="15.75" x14ac:dyDescent="0.25">
      <c r="B2" s="500" t="s">
        <v>490</v>
      </c>
      <c r="C2" s="500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</row>
    <row r="3" spans="2:23" ht="15.75" collapsed="1" x14ac:dyDescent="0.25">
      <c r="B3" s="499"/>
      <c r="C3" s="499"/>
      <c r="D3" s="506" t="s">
        <v>492</v>
      </c>
      <c r="E3" s="506">
        <v>140</v>
      </c>
      <c r="F3" s="506">
        <v>139.75</v>
      </c>
      <c r="G3" s="506">
        <v>139.5</v>
      </c>
      <c r="H3" s="506">
        <v>139.25</v>
      </c>
      <c r="I3" s="506">
        <v>139</v>
      </c>
      <c r="J3" s="506">
        <v>138</v>
      </c>
      <c r="K3" s="506">
        <v>140.25</v>
      </c>
      <c r="L3" s="506">
        <v>140.5</v>
      </c>
      <c r="M3" s="506">
        <v>140.75</v>
      </c>
      <c r="N3" s="506">
        <v>141</v>
      </c>
      <c r="O3" s="506">
        <v>142</v>
      </c>
      <c r="P3" s="506">
        <v>135</v>
      </c>
      <c r="Q3" s="506">
        <v>130</v>
      </c>
      <c r="R3" s="506">
        <v>125</v>
      </c>
      <c r="S3" s="506">
        <v>120</v>
      </c>
      <c r="T3" s="506">
        <v>145</v>
      </c>
      <c r="U3" s="506">
        <v>150</v>
      </c>
      <c r="V3" s="506">
        <v>155</v>
      </c>
      <c r="W3" s="506">
        <v>160</v>
      </c>
    </row>
    <row r="4" spans="2:23" ht="22.5" hidden="1" outlineLevel="1" x14ac:dyDescent="0.25">
      <c r="B4" s="502"/>
      <c r="C4" s="502"/>
      <c r="D4" s="256"/>
      <c r="E4" s="508" t="s">
        <v>489</v>
      </c>
      <c r="F4" s="508" t="s">
        <v>489</v>
      </c>
      <c r="G4" s="508" t="s">
        <v>489</v>
      </c>
      <c r="H4" s="508" t="s">
        <v>489</v>
      </c>
      <c r="I4" s="508" t="s">
        <v>489</v>
      </c>
      <c r="J4" s="508" t="s">
        <v>489</v>
      </c>
      <c r="K4" s="508" t="s">
        <v>489</v>
      </c>
      <c r="L4" s="508" t="s">
        <v>489</v>
      </c>
      <c r="M4" s="508" t="s">
        <v>489</v>
      </c>
      <c r="N4" s="508" t="s">
        <v>489</v>
      </c>
      <c r="O4" s="508" t="s">
        <v>489</v>
      </c>
      <c r="P4" s="508" t="s">
        <v>489</v>
      </c>
      <c r="Q4" s="508" t="s">
        <v>489</v>
      </c>
      <c r="R4" s="508" t="s">
        <v>489</v>
      </c>
      <c r="S4" s="508" t="s">
        <v>489</v>
      </c>
      <c r="T4" s="508" t="s">
        <v>489</v>
      </c>
      <c r="U4" s="508" t="s">
        <v>489</v>
      </c>
      <c r="V4" s="508" t="s">
        <v>489</v>
      </c>
      <c r="W4" s="508" t="s">
        <v>489</v>
      </c>
    </row>
    <row r="5" spans="2:23" x14ac:dyDescent="0.25">
      <c r="B5" s="503" t="s">
        <v>491</v>
      </c>
      <c r="C5" s="503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</row>
    <row r="6" spans="2:23" outlineLevel="1" x14ac:dyDescent="0.25">
      <c r="B6" s="502"/>
      <c r="C6" s="502" t="s">
        <v>487</v>
      </c>
      <c r="D6" s="497">
        <v>140</v>
      </c>
      <c r="E6" s="507">
        <v>140</v>
      </c>
      <c r="F6" s="507">
        <v>139.75</v>
      </c>
      <c r="G6" s="507">
        <v>139.5</v>
      </c>
      <c r="H6" s="507">
        <v>139.25</v>
      </c>
      <c r="I6" s="507">
        <v>139</v>
      </c>
      <c r="J6" s="507">
        <v>138</v>
      </c>
      <c r="K6" s="507">
        <v>140.25</v>
      </c>
      <c r="L6" s="507">
        <v>140.5</v>
      </c>
      <c r="M6" s="507">
        <v>140.75</v>
      </c>
      <c r="N6" s="507">
        <v>141</v>
      </c>
      <c r="O6" s="507">
        <v>142</v>
      </c>
      <c r="P6" s="507">
        <v>135</v>
      </c>
      <c r="Q6" s="507">
        <v>130</v>
      </c>
      <c r="R6" s="507">
        <v>125</v>
      </c>
      <c r="S6" s="507">
        <v>120</v>
      </c>
      <c r="T6" s="507">
        <v>145</v>
      </c>
      <c r="U6" s="507">
        <v>150</v>
      </c>
      <c r="V6" s="507">
        <v>155</v>
      </c>
      <c r="W6" s="507">
        <v>160</v>
      </c>
    </row>
    <row r="7" spans="2:23" x14ac:dyDescent="0.25">
      <c r="B7" s="503" t="s">
        <v>493</v>
      </c>
      <c r="C7" s="503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</row>
    <row r="8" spans="2:23" ht="15.75" outlineLevel="1" thickBot="1" x14ac:dyDescent="0.3">
      <c r="B8" s="504"/>
      <c r="C8" s="504" t="s">
        <v>488</v>
      </c>
      <c r="D8" s="498">
        <v>8063.14</v>
      </c>
      <c r="E8" s="498">
        <v>8063.14</v>
      </c>
      <c r="F8" s="498">
        <v>2911.89</v>
      </c>
      <c r="G8" s="498">
        <v>-2545.11</v>
      </c>
      <c r="H8" s="498">
        <v>-8021.75</v>
      </c>
      <c r="I8" s="498">
        <v>-13518.01</v>
      </c>
      <c r="J8" s="498">
        <v>-36004.6</v>
      </c>
      <c r="K8" s="498">
        <v>13000.17</v>
      </c>
      <c r="L8" s="498">
        <v>17919.63</v>
      </c>
      <c r="M8" s="498">
        <v>22821.61</v>
      </c>
      <c r="N8" s="498">
        <v>27706.21</v>
      </c>
      <c r="O8" s="498">
        <v>47072.62</v>
      </c>
      <c r="P8" s="498">
        <v>-132093.72</v>
      </c>
      <c r="Q8" s="498">
        <v>-310836.08</v>
      </c>
      <c r="R8" s="498">
        <v>-507035.54</v>
      </c>
      <c r="S8" s="498">
        <v>-724039.07</v>
      </c>
      <c r="T8" s="498">
        <v>103569.1</v>
      </c>
      <c r="U8" s="498">
        <v>190701.5</v>
      </c>
      <c r="V8" s="498">
        <v>270239.34999999998</v>
      </c>
      <c r="W8" s="498">
        <v>344806.08</v>
      </c>
    </row>
    <row r="9" spans="2:23" x14ac:dyDescent="0.25">
      <c r="B9" t="s">
        <v>494</v>
      </c>
    </row>
    <row r="10" spans="2:23" x14ac:dyDescent="0.25">
      <c r="B10" t="s">
        <v>495</v>
      </c>
    </row>
    <row r="11" spans="2:23" x14ac:dyDescent="0.25">
      <c r="B11" t="s">
        <v>496</v>
      </c>
    </row>
    <row r="13" spans="2:23" ht="15.75" thickBot="1" x14ac:dyDescent="0.3"/>
    <row r="14" spans="2:23" ht="15.75" thickBot="1" x14ac:dyDescent="0.3">
      <c r="E14" s="551" t="s">
        <v>293</v>
      </c>
      <c r="F14" s="552" t="s">
        <v>497</v>
      </c>
      <c r="G14" s="553" t="s">
        <v>517</v>
      </c>
    </row>
    <row r="15" spans="2:23" x14ac:dyDescent="0.25">
      <c r="E15" s="580">
        <f>S6</f>
        <v>120</v>
      </c>
      <c r="F15" s="526">
        <f>S8</f>
        <v>-724039.07</v>
      </c>
      <c r="G15" s="591" t="s">
        <v>519</v>
      </c>
    </row>
    <row r="16" spans="2:23" x14ac:dyDescent="0.25">
      <c r="E16" s="751">
        <f>R6</f>
        <v>125</v>
      </c>
      <c r="F16" s="684">
        <f>R8</f>
        <v>-507035.54</v>
      </c>
      <c r="G16" s="591" t="s">
        <v>519</v>
      </c>
    </row>
    <row r="17" spans="5:7" x14ac:dyDescent="0.25">
      <c r="E17" s="751">
        <f>Q6</f>
        <v>130</v>
      </c>
      <c r="F17" s="684">
        <f>Q8</f>
        <v>-310836.08</v>
      </c>
      <c r="G17" s="591" t="s">
        <v>519</v>
      </c>
    </row>
    <row r="18" spans="5:7" x14ac:dyDescent="0.25">
      <c r="E18" s="751">
        <f>P6</f>
        <v>135</v>
      </c>
      <c r="F18" s="684">
        <f>P8</f>
        <v>-132093.72</v>
      </c>
      <c r="G18" s="591" t="s">
        <v>519</v>
      </c>
    </row>
    <row r="19" spans="5:7" x14ac:dyDescent="0.25">
      <c r="E19" s="751">
        <f>J6</f>
        <v>138</v>
      </c>
      <c r="F19" s="684">
        <f>J8</f>
        <v>-36004.6</v>
      </c>
      <c r="G19" s="591" t="s">
        <v>519</v>
      </c>
    </row>
    <row r="20" spans="5:7" x14ac:dyDescent="0.25">
      <c r="E20" s="751">
        <f>I6</f>
        <v>139</v>
      </c>
      <c r="F20" s="684">
        <f>I8</f>
        <v>-13518.01</v>
      </c>
      <c r="G20" s="593">
        <v>-0.17</v>
      </c>
    </row>
    <row r="21" spans="5:7" x14ac:dyDescent="0.25">
      <c r="E21" s="751">
        <f>H6</f>
        <v>139.25</v>
      </c>
      <c r="F21" s="684">
        <f>H8</f>
        <v>-8021.75</v>
      </c>
      <c r="G21" s="593">
        <v>0.01</v>
      </c>
    </row>
    <row r="22" spans="5:7" x14ac:dyDescent="0.25">
      <c r="E22" s="751">
        <f>G6</f>
        <v>139.5</v>
      </c>
      <c r="F22" s="684">
        <f>G8</f>
        <v>-2545.11</v>
      </c>
      <c r="G22" s="593">
        <v>0.11</v>
      </c>
    </row>
    <row r="23" spans="5:7" x14ac:dyDescent="0.25">
      <c r="E23" s="751">
        <f>F6</f>
        <v>139.75</v>
      </c>
      <c r="F23" s="684">
        <f>F8</f>
        <v>2911.89</v>
      </c>
      <c r="G23" s="593">
        <v>0.2</v>
      </c>
    </row>
    <row r="24" spans="5:7" x14ac:dyDescent="0.25">
      <c r="E24" s="751">
        <f>E6</f>
        <v>140</v>
      </c>
      <c r="F24" s="684">
        <f>E8</f>
        <v>8063.14</v>
      </c>
      <c r="G24" s="593">
        <v>0.26</v>
      </c>
    </row>
    <row r="25" spans="5:7" x14ac:dyDescent="0.25">
      <c r="E25" s="751">
        <f>K6</f>
        <v>140.25</v>
      </c>
      <c r="F25" s="684">
        <f>K8</f>
        <v>13000.17</v>
      </c>
      <c r="G25" s="593">
        <v>0.32</v>
      </c>
    </row>
    <row r="26" spans="5:7" x14ac:dyDescent="0.25">
      <c r="E26" s="751">
        <f>L6</f>
        <v>140.5</v>
      </c>
      <c r="F26" s="684">
        <f>L8</f>
        <v>17919.63</v>
      </c>
      <c r="G26" s="593">
        <v>0.38</v>
      </c>
    </row>
    <row r="27" spans="5:7" x14ac:dyDescent="0.25">
      <c r="E27" s="751">
        <f>M6</f>
        <v>140.75</v>
      </c>
      <c r="F27" s="684">
        <f>M8</f>
        <v>22821.61</v>
      </c>
      <c r="G27" s="593">
        <v>0.43</v>
      </c>
    </row>
    <row r="28" spans="5:7" x14ac:dyDescent="0.25">
      <c r="E28" s="751">
        <f>N6</f>
        <v>141</v>
      </c>
      <c r="F28" s="684">
        <f>N8</f>
        <v>27706.21</v>
      </c>
      <c r="G28" s="593">
        <v>0.47</v>
      </c>
    </row>
    <row r="29" spans="5:7" x14ac:dyDescent="0.25">
      <c r="E29" s="751">
        <f>O6</f>
        <v>142</v>
      </c>
      <c r="F29" s="684">
        <f>O8</f>
        <v>47072.62</v>
      </c>
      <c r="G29" s="593">
        <v>0.64</v>
      </c>
    </row>
    <row r="30" spans="5:7" x14ac:dyDescent="0.25">
      <c r="E30" s="751">
        <f>T6</f>
        <v>145</v>
      </c>
      <c r="F30" s="684">
        <f>T8</f>
        <v>103569.1</v>
      </c>
      <c r="G30" s="593">
        <v>1.08</v>
      </c>
    </row>
    <row r="31" spans="5:7" x14ac:dyDescent="0.25">
      <c r="E31" s="751">
        <f>U6</f>
        <v>150</v>
      </c>
      <c r="F31" s="684">
        <f>U8</f>
        <v>190701.5</v>
      </c>
      <c r="G31" s="593">
        <v>1.74</v>
      </c>
    </row>
    <row r="32" spans="5:7" x14ac:dyDescent="0.25">
      <c r="E32" s="751">
        <f>V6</f>
        <v>155</v>
      </c>
      <c r="F32" s="684">
        <f>V8</f>
        <v>270239.34999999998</v>
      </c>
      <c r="G32" s="593">
        <v>2.35</v>
      </c>
    </row>
    <row r="33" spans="5:7" ht="15.75" thickBot="1" x14ac:dyDescent="0.3">
      <c r="E33" s="755">
        <f>W6</f>
        <v>160</v>
      </c>
      <c r="F33" s="748">
        <f>W8</f>
        <v>344806.08</v>
      </c>
      <c r="G33" s="594">
        <v>2.95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O27"/>
  <sheetViews>
    <sheetView showGridLines="0" workbookViewId="0">
      <selection activeCell="E15" sqref="E15"/>
    </sheetView>
  </sheetViews>
  <sheetFormatPr baseColWidth="10" defaultRowHeight="15" outlineLevelRow="1" outlineLevelCol="1" x14ac:dyDescent="0.25"/>
  <cols>
    <col min="3" max="3" width="6.85546875" customWidth="1"/>
    <col min="4" max="5" width="14.5703125" bestFit="1" customWidth="1" outlineLevel="1"/>
    <col min="6" max="6" width="15.5703125" bestFit="1" customWidth="1" outlineLevel="1"/>
    <col min="7" max="14" width="14.5703125" bestFit="1" customWidth="1" outlineLevel="1"/>
    <col min="15" max="15" width="15.28515625" bestFit="1" customWidth="1" outlineLevel="1"/>
  </cols>
  <sheetData>
    <row r="1" spans="2:15" ht="15.75" thickBot="1" x14ac:dyDescent="0.3"/>
    <row r="2" spans="2:15" ht="15.75" x14ac:dyDescent="0.25">
      <c r="B2" s="500" t="s">
        <v>490</v>
      </c>
      <c r="C2" s="500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</row>
    <row r="3" spans="2:15" ht="15.75" collapsed="1" x14ac:dyDescent="0.25">
      <c r="B3" s="499"/>
      <c r="C3" s="499"/>
      <c r="D3" s="506" t="s">
        <v>492</v>
      </c>
      <c r="E3" s="506">
        <v>9.8000000000000004E-2</v>
      </c>
      <c r="F3" s="506">
        <v>9.9500000000000005E-2</v>
      </c>
      <c r="G3" s="506">
        <v>0.09</v>
      </c>
      <c r="H3" s="506">
        <v>0.08</v>
      </c>
      <c r="I3" s="506">
        <v>7.0000000000000007E-2</v>
      </c>
      <c r="J3" s="506">
        <v>0.1</v>
      </c>
      <c r="K3" s="506">
        <v>0.10100000000000001</v>
      </c>
      <c r="L3" s="506">
        <v>0.105</v>
      </c>
      <c r="M3" s="506">
        <v>0.11</v>
      </c>
      <c r="N3" s="506">
        <v>0.12</v>
      </c>
      <c r="O3" s="506">
        <v>0.13</v>
      </c>
    </row>
    <row r="4" spans="2:15" ht="56.25" hidden="1" outlineLevel="1" x14ac:dyDescent="0.25">
      <c r="B4" s="502"/>
      <c r="C4" s="502"/>
      <c r="D4" s="256"/>
      <c r="E4" s="508" t="s">
        <v>499</v>
      </c>
      <c r="F4" s="508" t="s">
        <v>489</v>
      </c>
      <c r="G4" s="508" t="s">
        <v>489</v>
      </c>
      <c r="H4" s="508" t="s">
        <v>500</v>
      </c>
      <c r="I4" s="508" t="s">
        <v>489</v>
      </c>
      <c r="J4" s="508" t="s">
        <v>489</v>
      </c>
      <c r="K4" s="508" t="s">
        <v>489</v>
      </c>
      <c r="L4" s="508" t="s">
        <v>489</v>
      </c>
      <c r="M4" s="508" t="s">
        <v>489</v>
      </c>
      <c r="N4" s="508" t="s">
        <v>489</v>
      </c>
      <c r="O4" s="508" t="s">
        <v>489</v>
      </c>
    </row>
    <row r="5" spans="2:15" x14ac:dyDescent="0.25">
      <c r="B5" s="503" t="s">
        <v>491</v>
      </c>
      <c r="C5" s="503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</row>
    <row r="6" spans="2:15" outlineLevel="1" x14ac:dyDescent="0.25">
      <c r="B6" s="502"/>
      <c r="C6" s="502" t="s">
        <v>498</v>
      </c>
      <c r="D6" s="509">
        <v>9.9900000000000003E-2</v>
      </c>
      <c r="E6" s="510">
        <v>9.98E-2</v>
      </c>
      <c r="F6" s="510">
        <v>9.9500000000000005E-2</v>
      </c>
      <c r="G6" s="510">
        <v>0.09</v>
      </c>
      <c r="H6" s="510">
        <v>0.08</v>
      </c>
      <c r="I6" s="510">
        <v>7.0000000000000007E-2</v>
      </c>
      <c r="J6" s="510">
        <v>0.1</v>
      </c>
      <c r="K6" s="510">
        <v>0.10100000000000001</v>
      </c>
      <c r="L6" s="510">
        <v>0.105</v>
      </c>
      <c r="M6" s="510">
        <v>0.11</v>
      </c>
      <c r="N6" s="510">
        <v>0.12</v>
      </c>
      <c r="O6" s="510">
        <v>0.13</v>
      </c>
    </row>
    <row r="7" spans="2:15" x14ac:dyDescent="0.25">
      <c r="B7" s="503" t="s">
        <v>493</v>
      </c>
      <c r="C7" s="503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</row>
    <row r="8" spans="2:15" ht="15.75" outlineLevel="1" thickBot="1" x14ac:dyDescent="0.3">
      <c r="B8" s="504"/>
      <c r="C8" s="504" t="s">
        <v>488</v>
      </c>
      <c r="D8" s="498">
        <v>8063.14</v>
      </c>
      <c r="E8" s="498">
        <v>10422.32</v>
      </c>
      <c r="F8" s="498">
        <v>17499.849999999999</v>
      </c>
      <c r="G8" s="498">
        <v>237356.67</v>
      </c>
      <c r="H8" s="498">
        <v>462381.6</v>
      </c>
      <c r="I8" s="498">
        <v>687406.53</v>
      </c>
      <c r="J8" s="498">
        <v>5703.96</v>
      </c>
      <c r="K8" s="498">
        <v>-20130.39</v>
      </c>
      <c r="L8" s="498">
        <v>-160542.06</v>
      </c>
      <c r="M8" s="498">
        <v>-352023.98</v>
      </c>
      <c r="N8" s="498">
        <v>-745163.78</v>
      </c>
      <c r="O8" s="498">
        <v>-1141251.99</v>
      </c>
    </row>
    <row r="9" spans="2:15" x14ac:dyDescent="0.25">
      <c r="B9" t="s">
        <v>494</v>
      </c>
    </row>
    <row r="10" spans="2:15" x14ac:dyDescent="0.25">
      <c r="B10" t="s">
        <v>495</v>
      </c>
    </row>
    <row r="11" spans="2:15" x14ac:dyDescent="0.25">
      <c r="B11" t="s">
        <v>496</v>
      </c>
    </row>
    <row r="14" spans="2:15" ht="15.75" thickBot="1" x14ac:dyDescent="0.3"/>
    <row r="15" spans="2:15" ht="26.25" thickBot="1" x14ac:dyDescent="0.3">
      <c r="E15" s="574" t="s">
        <v>520</v>
      </c>
      <c r="F15" s="556" t="s">
        <v>497</v>
      </c>
      <c r="G15" s="557" t="s">
        <v>517</v>
      </c>
    </row>
    <row r="16" spans="2:15" x14ac:dyDescent="0.25">
      <c r="E16" s="595">
        <f>I6</f>
        <v>7.0000000000000007E-2</v>
      </c>
      <c r="F16" s="526">
        <f>I8</f>
        <v>687406.53</v>
      </c>
      <c r="G16" s="591">
        <v>6.4</v>
      </c>
    </row>
    <row r="17" spans="5:7" x14ac:dyDescent="0.25">
      <c r="E17" s="751">
        <f>H6</f>
        <v>0.08</v>
      </c>
      <c r="F17" s="684">
        <f>H8</f>
        <v>462381.6</v>
      </c>
      <c r="G17" s="591">
        <v>4</v>
      </c>
    </row>
    <row r="18" spans="5:7" x14ac:dyDescent="0.25">
      <c r="E18" s="751">
        <f>G6</f>
        <v>0.09</v>
      </c>
      <c r="F18" s="684">
        <f>G8</f>
        <v>237356.67</v>
      </c>
      <c r="G18" s="591">
        <v>2.09</v>
      </c>
    </row>
    <row r="19" spans="5:7" x14ac:dyDescent="0.25">
      <c r="E19" s="751">
        <f>F6</f>
        <v>9.9500000000000005E-2</v>
      </c>
      <c r="F19" s="684">
        <f>F8</f>
        <v>17499.849999999999</v>
      </c>
      <c r="G19" s="591">
        <v>0.37</v>
      </c>
    </row>
    <row r="20" spans="5:7" x14ac:dyDescent="0.25">
      <c r="E20" s="751">
        <f>E6</f>
        <v>9.98E-2</v>
      </c>
      <c r="F20" s="684">
        <f>E8</f>
        <v>10422.32</v>
      </c>
      <c r="G20" s="591">
        <v>0.28999999999999998</v>
      </c>
    </row>
    <row r="21" spans="5:7" x14ac:dyDescent="0.25">
      <c r="E21" s="751">
        <f>D6</f>
        <v>9.9900000000000003E-2</v>
      </c>
      <c r="F21" s="684">
        <f>D8</f>
        <v>8063.14</v>
      </c>
      <c r="G21" s="591">
        <v>0.26</v>
      </c>
    </row>
    <row r="22" spans="5:7" x14ac:dyDescent="0.25">
      <c r="E22" s="751">
        <f>J6</f>
        <v>0.1</v>
      </c>
      <c r="F22" s="684">
        <f>J8</f>
        <v>5703.96</v>
      </c>
      <c r="G22" s="591">
        <v>0.23</v>
      </c>
    </row>
    <row r="23" spans="5:7" x14ac:dyDescent="0.25">
      <c r="E23" s="751">
        <f>K6</f>
        <v>0.10100000000000001</v>
      </c>
      <c r="F23" s="684">
        <f>K8</f>
        <v>-20130.39</v>
      </c>
      <c r="G23" s="591" t="s">
        <v>519</v>
      </c>
    </row>
    <row r="24" spans="5:7" x14ac:dyDescent="0.25">
      <c r="E24" s="751">
        <f>L6</f>
        <v>0.105</v>
      </c>
      <c r="F24" s="684">
        <f>L8</f>
        <v>-160542.06</v>
      </c>
      <c r="G24" s="591" t="s">
        <v>519</v>
      </c>
    </row>
    <row r="25" spans="5:7" x14ac:dyDescent="0.25">
      <c r="E25" s="751">
        <f>M6</f>
        <v>0.11</v>
      </c>
      <c r="F25" s="684">
        <f>M8</f>
        <v>-352023.98</v>
      </c>
      <c r="G25" s="591" t="s">
        <v>519</v>
      </c>
    </row>
    <row r="26" spans="5:7" x14ac:dyDescent="0.25">
      <c r="E26" s="751">
        <f>N6</f>
        <v>0.12</v>
      </c>
      <c r="F26" s="684">
        <f>N8</f>
        <v>-745163.78</v>
      </c>
      <c r="G26" s="591" t="s">
        <v>519</v>
      </c>
    </row>
    <row r="27" spans="5:7" ht="15.75" thickBot="1" x14ac:dyDescent="0.3">
      <c r="E27" s="755">
        <f>O6</f>
        <v>0.13</v>
      </c>
      <c r="F27" s="748">
        <f>O8</f>
        <v>-1141251.99</v>
      </c>
      <c r="G27" s="592" t="s">
        <v>519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B2" sqref="B2:D6"/>
    </sheetView>
  </sheetViews>
  <sheetFormatPr baseColWidth="10" defaultRowHeight="12.75" x14ac:dyDescent="0.2"/>
  <cols>
    <col min="1" max="1" width="11.42578125" style="181"/>
    <col min="2" max="2" width="19.42578125" style="181" customWidth="1"/>
    <col min="3" max="3" width="8.7109375" style="181" bestFit="1" customWidth="1"/>
    <col min="4" max="16384" width="11.42578125" style="181"/>
  </cols>
  <sheetData>
    <row r="1" spans="2:4" ht="13.5" thickBot="1" x14ac:dyDescent="0.25"/>
    <row r="2" spans="2:4" ht="32.25" customHeight="1" thickBot="1" x14ac:dyDescent="0.25">
      <c r="B2" s="549" t="s">
        <v>524</v>
      </c>
      <c r="C2" s="549" t="s">
        <v>525</v>
      </c>
      <c r="D2" s="599" t="s">
        <v>293</v>
      </c>
    </row>
    <row r="3" spans="2:4" x14ac:dyDescent="0.2">
      <c r="B3" s="923" t="s">
        <v>526</v>
      </c>
      <c r="C3" s="600" t="s">
        <v>522</v>
      </c>
      <c r="D3" s="603">
        <v>139.62</v>
      </c>
    </row>
    <row r="4" spans="2:4" x14ac:dyDescent="0.2">
      <c r="B4" s="924"/>
      <c r="C4" s="601" t="s">
        <v>523</v>
      </c>
      <c r="D4" s="745">
        <v>139.24</v>
      </c>
    </row>
    <row r="5" spans="2:4" x14ac:dyDescent="0.2">
      <c r="B5" s="924" t="s">
        <v>527</v>
      </c>
      <c r="C5" s="601" t="s">
        <v>522</v>
      </c>
      <c r="D5" s="745">
        <v>139.63999999999999</v>
      </c>
    </row>
    <row r="6" spans="2:4" ht="13.5" thickBot="1" x14ac:dyDescent="0.25">
      <c r="B6" s="925"/>
      <c r="C6" s="602" t="s">
        <v>523</v>
      </c>
      <c r="D6" s="746">
        <v>139.08000000000001</v>
      </c>
    </row>
  </sheetData>
  <mergeCells count="2">
    <mergeCell ref="B3:B4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K45"/>
  <sheetViews>
    <sheetView zoomScale="50" zoomScaleNormal="50" workbookViewId="0">
      <selection activeCell="H60" sqref="H60"/>
    </sheetView>
  </sheetViews>
  <sheetFormatPr baseColWidth="10" defaultRowHeight="12.75" x14ac:dyDescent="0.25"/>
  <cols>
    <col min="1" max="1" width="11.42578125" style="9"/>
    <col min="2" max="2" width="10.85546875" style="9" customWidth="1"/>
    <col min="3" max="3" width="27" style="9" bestFit="1" customWidth="1"/>
    <col min="4" max="5" width="13.28515625" style="9" bestFit="1" customWidth="1"/>
    <col min="6" max="6" width="13.28515625" style="9" customWidth="1"/>
    <col min="7" max="7" width="10.85546875" style="9" bestFit="1" customWidth="1"/>
    <col min="8" max="8" width="39.28515625" style="9" bestFit="1" customWidth="1"/>
    <col min="9" max="9" width="17" style="9" bestFit="1" customWidth="1"/>
    <col min="10" max="10" width="17.28515625" style="9" bestFit="1" customWidth="1"/>
    <col min="11" max="16384" width="11.42578125" style="9"/>
  </cols>
  <sheetData>
    <row r="1" spans="2:11" ht="14.25" customHeight="1" x14ac:dyDescent="0.25">
      <c r="B1" s="775" t="s">
        <v>39</v>
      </c>
      <c r="C1" s="775"/>
      <c r="D1" s="775"/>
      <c r="E1" s="775"/>
      <c r="F1" s="8"/>
    </row>
    <row r="2" spans="2:11" x14ac:dyDescent="0.25">
      <c r="B2" s="10"/>
      <c r="C2" s="10"/>
      <c r="D2" s="10"/>
      <c r="E2" s="10"/>
      <c r="F2" s="10"/>
    </row>
    <row r="3" spans="2:11" ht="12.75" customHeight="1" x14ac:dyDescent="0.25">
      <c r="D3" s="10"/>
      <c r="E3" s="10"/>
      <c r="F3" s="8"/>
      <c r="I3" s="31"/>
      <c r="J3" s="31"/>
    </row>
    <row r="4" spans="2:11" x14ac:dyDescent="0.25">
      <c r="B4" s="777" t="s">
        <v>5</v>
      </c>
      <c r="C4" s="777"/>
      <c r="D4" s="10"/>
      <c r="E4" s="10"/>
      <c r="F4" s="10"/>
      <c r="G4" s="777" t="s">
        <v>1</v>
      </c>
      <c r="H4" s="777"/>
      <c r="I4" s="8"/>
      <c r="J4" s="8"/>
    </row>
    <row r="5" spans="2:11" x14ac:dyDescent="0.25">
      <c r="B5" s="5" t="s">
        <v>2</v>
      </c>
      <c r="C5" s="5" t="s">
        <v>3</v>
      </c>
      <c r="D5" s="8"/>
      <c r="E5" s="8"/>
      <c r="F5" s="8"/>
      <c r="G5" s="5" t="s">
        <v>2</v>
      </c>
      <c r="H5" s="5" t="s">
        <v>3</v>
      </c>
      <c r="I5" s="8"/>
      <c r="J5" s="8"/>
    </row>
    <row r="6" spans="2:11" x14ac:dyDescent="0.25">
      <c r="B6" s="27">
        <v>6</v>
      </c>
      <c r="C6" s="26" t="s">
        <v>8</v>
      </c>
      <c r="D6" s="11"/>
      <c r="E6" s="11"/>
      <c r="F6" s="11"/>
      <c r="G6" s="25">
        <v>2</v>
      </c>
      <c r="H6" s="30" t="s">
        <v>4</v>
      </c>
      <c r="I6" s="11"/>
      <c r="J6" s="11"/>
    </row>
    <row r="7" spans="2:11" x14ac:dyDescent="0.25">
      <c r="B7" s="27">
        <v>6</v>
      </c>
      <c r="C7" s="26" t="s">
        <v>9</v>
      </c>
      <c r="D7" s="11"/>
      <c r="E7" s="11"/>
      <c r="F7" s="11"/>
      <c r="G7" s="25">
        <v>1</v>
      </c>
      <c r="H7" s="26" t="s">
        <v>6</v>
      </c>
      <c r="I7" s="11"/>
      <c r="J7" s="11"/>
    </row>
    <row r="8" spans="2:11" x14ac:dyDescent="0.25">
      <c r="B8" s="27">
        <v>3</v>
      </c>
      <c r="C8" s="26" t="s">
        <v>11</v>
      </c>
      <c r="D8" s="11"/>
      <c r="E8" s="11"/>
      <c r="F8" s="11"/>
      <c r="G8" s="25">
        <v>1</v>
      </c>
      <c r="H8" s="24" t="s">
        <v>7</v>
      </c>
      <c r="I8" s="11"/>
      <c r="J8" s="11"/>
    </row>
    <row r="9" spans="2:11" x14ac:dyDescent="0.25">
      <c r="B9" s="27">
        <v>3</v>
      </c>
      <c r="C9" s="26" t="s">
        <v>12</v>
      </c>
      <c r="D9" s="11"/>
      <c r="E9" s="11"/>
      <c r="F9" s="11"/>
      <c r="G9" s="8"/>
      <c r="H9" s="10"/>
      <c r="I9" s="11"/>
      <c r="J9" s="11"/>
    </row>
    <row r="10" spans="2:11" x14ac:dyDescent="0.25">
      <c r="B10" s="28">
        <v>6</v>
      </c>
      <c r="C10" s="29" t="s">
        <v>13</v>
      </c>
      <c r="D10" s="13"/>
      <c r="E10" s="13"/>
      <c r="F10" s="13"/>
      <c r="G10" s="10"/>
      <c r="H10" s="8"/>
      <c r="I10" s="8"/>
      <c r="J10" s="14"/>
    </row>
    <row r="11" spans="2:11" ht="12.75" customHeight="1" x14ac:dyDescent="0.25">
      <c r="B11" s="27">
        <v>2</v>
      </c>
      <c r="C11" s="26" t="s">
        <v>15</v>
      </c>
      <c r="D11" s="11"/>
      <c r="E11" s="11"/>
      <c r="F11" s="11"/>
      <c r="I11" s="31"/>
      <c r="J11" s="31"/>
    </row>
    <row r="12" spans="2:11" x14ac:dyDescent="0.25">
      <c r="B12" s="27">
        <v>2</v>
      </c>
      <c r="C12" s="26" t="s">
        <v>17</v>
      </c>
      <c r="D12" s="11"/>
      <c r="E12" s="11"/>
      <c r="F12" s="11"/>
      <c r="G12" s="777" t="s">
        <v>10</v>
      </c>
      <c r="H12" s="777"/>
      <c r="I12" s="8"/>
      <c r="J12" s="14"/>
      <c r="K12" s="15"/>
    </row>
    <row r="13" spans="2:11" x14ac:dyDescent="0.25">
      <c r="B13" s="27">
        <v>6</v>
      </c>
      <c r="C13" s="26" t="s">
        <v>19</v>
      </c>
      <c r="D13" s="11"/>
      <c r="E13" s="11"/>
      <c r="F13" s="11"/>
      <c r="G13" s="5" t="s">
        <v>2</v>
      </c>
      <c r="H13" s="5" t="s">
        <v>3</v>
      </c>
      <c r="I13" s="8"/>
      <c r="J13" s="8"/>
    </row>
    <row r="14" spans="2:11" x14ac:dyDescent="0.25">
      <c r="B14" s="27">
        <v>6</v>
      </c>
      <c r="C14" s="26" t="s">
        <v>20</v>
      </c>
      <c r="D14" s="11"/>
      <c r="E14" s="11"/>
      <c r="F14" s="11"/>
      <c r="G14" s="25">
        <v>1</v>
      </c>
      <c r="H14" s="24" t="s">
        <v>14</v>
      </c>
      <c r="I14" s="11"/>
      <c r="J14" s="11"/>
    </row>
    <row r="15" spans="2:11" x14ac:dyDescent="0.25">
      <c r="B15" s="27">
        <v>10</v>
      </c>
      <c r="C15" s="26" t="s">
        <v>22</v>
      </c>
      <c r="D15" s="11"/>
      <c r="E15" s="11"/>
      <c r="F15" s="11"/>
      <c r="G15" s="25">
        <v>2</v>
      </c>
      <c r="H15" s="24" t="s">
        <v>16</v>
      </c>
      <c r="I15" s="11"/>
      <c r="J15" s="11"/>
    </row>
    <row r="16" spans="2:11" x14ac:dyDescent="0.25">
      <c r="B16" s="27">
        <v>5</v>
      </c>
      <c r="C16" s="26" t="s">
        <v>23</v>
      </c>
      <c r="D16" s="11"/>
      <c r="E16" s="11"/>
      <c r="F16" s="11"/>
      <c r="G16" s="8"/>
      <c r="H16" s="10"/>
      <c r="I16" s="11"/>
      <c r="J16" s="11"/>
    </row>
    <row r="17" spans="2:10" x14ac:dyDescent="0.25">
      <c r="B17" s="27">
        <v>2</v>
      </c>
      <c r="C17" s="26" t="s">
        <v>24</v>
      </c>
      <c r="D17" s="11"/>
      <c r="E17" s="11"/>
      <c r="F17" s="11"/>
      <c r="G17" s="10"/>
      <c r="H17" s="8"/>
      <c r="I17" s="14"/>
      <c r="J17" s="14"/>
    </row>
    <row r="18" spans="2:10" ht="12.75" customHeight="1" x14ac:dyDescent="0.25">
      <c r="B18" s="27">
        <v>5</v>
      </c>
      <c r="C18" s="26" t="s">
        <v>25</v>
      </c>
      <c r="D18" s="11"/>
      <c r="E18" s="11"/>
      <c r="F18" s="11"/>
      <c r="I18" s="31"/>
      <c r="J18" s="31"/>
    </row>
    <row r="19" spans="2:10" x14ac:dyDescent="0.25">
      <c r="B19" s="27">
        <v>3</v>
      </c>
      <c r="C19" s="26" t="s">
        <v>27</v>
      </c>
      <c r="D19" s="11"/>
      <c r="E19" s="11"/>
      <c r="F19" s="11"/>
      <c r="G19" s="777" t="s">
        <v>21</v>
      </c>
      <c r="H19" s="777"/>
      <c r="I19" s="8"/>
      <c r="J19" s="8"/>
    </row>
    <row r="20" spans="2:10" x14ac:dyDescent="0.25">
      <c r="B20" s="27">
        <v>3</v>
      </c>
      <c r="C20" s="26" t="s">
        <v>28</v>
      </c>
      <c r="D20" s="11"/>
      <c r="E20" s="11"/>
      <c r="F20" s="11"/>
      <c r="G20" s="5" t="s">
        <v>2</v>
      </c>
      <c r="H20" s="5" t="s">
        <v>3</v>
      </c>
      <c r="I20" s="8"/>
      <c r="J20" s="8"/>
    </row>
    <row r="21" spans="2:10" x14ac:dyDescent="0.25">
      <c r="B21" s="27">
        <v>4</v>
      </c>
      <c r="C21" s="26" t="s">
        <v>29</v>
      </c>
      <c r="D21" s="11"/>
      <c r="E21" s="11"/>
      <c r="F21" s="11"/>
      <c r="G21" s="25">
        <v>1</v>
      </c>
      <c r="H21" s="24" t="s">
        <v>61</v>
      </c>
      <c r="I21" s="776"/>
      <c r="J21" s="776"/>
    </row>
    <row r="22" spans="2:10" x14ac:dyDescent="0.25">
      <c r="B22" s="27">
        <v>5</v>
      </c>
      <c r="C22" s="26" t="s">
        <v>46</v>
      </c>
      <c r="D22" s="11"/>
      <c r="E22" s="11"/>
      <c r="F22" s="11"/>
      <c r="G22" s="25">
        <v>1</v>
      </c>
      <c r="H22" s="24" t="s">
        <v>26</v>
      </c>
      <c r="I22" s="776"/>
      <c r="J22" s="776"/>
    </row>
    <row r="23" spans="2:10" x14ac:dyDescent="0.25">
      <c r="B23" s="8"/>
      <c r="C23" s="10"/>
      <c r="D23" s="11"/>
      <c r="E23" s="11"/>
      <c r="F23" s="11"/>
      <c r="G23" s="8"/>
      <c r="H23" s="10"/>
      <c r="I23" s="11"/>
      <c r="J23" s="11"/>
    </row>
    <row r="24" spans="2:10" x14ac:dyDescent="0.25">
      <c r="B24" s="10"/>
      <c r="C24" s="10"/>
      <c r="D24" s="8"/>
      <c r="E24" s="8"/>
      <c r="F24" s="8"/>
      <c r="G24" s="10"/>
      <c r="H24" s="8"/>
      <c r="I24" s="14"/>
      <c r="J24" s="14"/>
    </row>
    <row r="25" spans="2:10" ht="12.75" customHeight="1" x14ac:dyDescent="0.25">
      <c r="D25" s="10"/>
      <c r="E25" s="10"/>
      <c r="F25" s="8"/>
      <c r="I25" s="31"/>
      <c r="J25" s="31"/>
    </row>
    <row r="26" spans="2:10" x14ac:dyDescent="0.25">
      <c r="B26" s="777" t="s">
        <v>31</v>
      </c>
      <c r="C26" s="777"/>
      <c r="D26" s="8"/>
      <c r="E26" s="8"/>
      <c r="F26" s="8"/>
      <c r="G26" s="777" t="s">
        <v>37</v>
      </c>
      <c r="H26" s="777"/>
      <c r="I26" s="10"/>
      <c r="J26" s="10"/>
    </row>
    <row r="27" spans="2:10" x14ac:dyDescent="0.25">
      <c r="B27" s="5" t="s">
        <v>2</v>
      </c>
      <c r="C27" s="5" t="s">
        <v>3</v>
      </c>
      <c r="D27" s="8"/>
      <c r="E27" s="8"/>
      <c r="F27" s="8"/>
      <c r="G27" s="5" t="s">
        <v>2</v>
      </c>
      <c r="H27" s="5" t="s">
        <v>3</v>
      </c>
      <c r="I27" s="8"/>
      <c r="J27" s="8"/>
    </row>
    <row r="28" spans="2:10" x14ac:dyDescent="0.25">
      <c r="B28" s="25">
        <v>8</v>
      </c>
      <c r="C28" s="30" t="s">
        <v>33</v>
      </c>
      <c r="D28" s="11"/>
      <c r="E28" s="11"/>
      <c r="F28" s="11"/>
      <c r="G28" s="25">
        <v>1</v>
      </c>
      <c r="H28" s="24" t="s">
        <v>38</v>
      </c>
      <c r="I28" s="11"/>
      <c r="J28" s="11"/>
    </row>
    <row r="29" spans="2:10" x14ac:dyDescent="0.25">
      <c r="B29" s="25">
        <v>6</v>
      </c>
      <c r="C29" s="24" t="s">
        <v>35</v>
      </c>
      <c r="D29" s="11"/>
      <c r="E29" s="11"/>
      <c r="F29" s="11"/>
      <c r="G29" s="8"/>
      <c r="H29" s="10"/>
      <c r="I29" s="11"/>
      <c r="J29" s="11"/>
    </row>
    <row r="30" spans="2:10" x14ac:dyDescent="0.25">
      <c r="B30" s="25">
        <v>3</v>
      </c>
      <c r="C30" s="24" t="s">
        <v>36</v>
      </c>
      <c r="D30" s="11"/>
      <c r="E30" s="11"/>
      <c r="F30" s="11"/>
    </row>
    <row r="31" spans="2:10" x14ac:dyDescent="0.25">
      <c r="B31" s="25">
        <v>1</v>
      </c>
      <c r="C31" s="24" t="s">
        <v>30</v>
      </c>
      <c r="D31" s="11"/>
      <c r="E31" s="11"/>
      <c r="F31" s="11"/>
      <c r="G31" s="779"/>
      <c r="H31" s="779"/>
      <c r="I31" s="779"/>
      <c r="J31" s="17"/>
    </row>
    <row r="32" spans="2:10" x14ac:dyDescent="0.25">
      <c r="B32" s="25">
        <v>1</v>
      </c>
      <c r="C32" s="24" t="s">
        <v>52</v>
      </c>
      <c r="D32" s="11"/>
      <c r="E32" s="11"/>
      <c r="F32" s="11"/>
    </row>
    <row r="33" spans="2:10" x14ac:dyDescent="0.25">
      <c r="B33" s="25">
        <v>1</v>
      </c>
      <c r="C33" s="24" t="s">
        <v>32</v>
      </c>
      <c r="D33" s="11"/>
      <c r="E33" s="11"/>
      <c r="F33" s="11"/>
      <c r="G33" s="14"/>
      <c r="H33" s="10"/>
      <c r="I33" s="10"/>
      <c r="J33" s="18"/>
    </row>
    <row r="34" spans="2:10" x14ac:dyDescent="0.25">
      <c r="B34" s="25">
        <v>1</v>
      </c>
      <c r="C34" s="24" t="s">
        <v>34</v>
      </c>
      <c r="D34" s="11"/>
      <c r="E34" s="11"/>
      <c r="F34" s="11"/>
    </row>
    <row r="35" spans="2:10" x14ac:dyDescent="0.25">
      <c r="B35" s="8"/>
      <c r="C35" s="10"/>
      <c r="D35" s="11"/>
      <c r="E35" s="11"/>
      <c r="F35" s="11"/>
    </row>
    <row r="36" spans="2:10" x14ac:dyDescent="0.25">
      <c r="B36" s="8"/>
      <c r="C36" s="14"/>
      <c r="D36" s="14"/>
      <c r="E36" s="14"/>
      <c r="F36" s="14"/>
    </row>
    <row r="37" spans="2:10" ht="12.75" customHeight="1" x14ac:dyDescent="0.25">
      <c r="B37" s="778" t="s">
        <v>84</v>
      </c>
      <c r="C37" s="778"/>
      <c r="D37" s="32"/>
      <c r="E37" s="32"/>
      <c r="F37" s="14"/>
    </row>
    <row r="38" spans="2:10" x14ac:dyDescent="0.25">
      <c r="B38" s="5">
        <v>1</v>
      </c>
      <c r="C38" s="23" t="s">
        <v>85</v>
      </c>
      <c r="D38" s="6"/>
      <c r="E38" s="21"/>
      <c r="F38" s="14"/>
    </row>
    <row r="39" spans="2:10" x14ac:dyDescent="0.25">
      <c r="B39" s="4">
        <v>2</v>
      </c>
      <c r="C39" s="33" t="s">
        <v>86</v>
      </c>
      <c r="D39" s="6"/>
      <c r="E39" s="6"/>
      <c r="F39" s="14"/>
      <c r="G39" s="10"/>
      <c r="H39" s="10"/>
      <c r="I39" s="10"/>
      <c r="J39" s="10"/>
    </row>
    <row r="40" spans="2:10" x14ac:dyDescent="0.25">
      <c r="B40" s="780"/>
      <c r="C40" s="20"/>
      <c r="D40" s="21"/>
      <c r="E40" s="21"/>
      <c r="F40" s="10"/>
    </row>
    <row r="41" spans="2:10" x14ac:dyDescent="0.25">
      <c r="B41" s="780"/>
      <c r="C41" s="20"/>
      <c r="D41" s="21"/>
      <c r="E41" s="21"/>
    </row>
    <row r="42" spans="2:10" x14ac:dyDescent="0.25">
      <c r="B42" s="780"/>
      <c r="C42" s="20"/>
      <c r="D42" s="21"/>
      <c r="E42" s="21"/>
    </row>
    <row r="43" spans="2:10" x14ac:dyDescent="0.25">
      <c r="B43" s="780"/>
      <c r="C43" s="20"/>
      <c r="D43" s="21"/>
      <c r="E43" s="21"/>
    </row>
    <row r="44" spans="2:10" x14ac:dyDescent="0.25">
      <c r="B44" s="780"/>
      <c r="C44" s="20"/>
      <c r="D44" s="21"/>
      <c r="E44" s="21"/>
      <c r="F44" s="19"/>
    </row>
    <row r="45" spans="2:10" x14ac:dyDescent="0.25">
      <c r="B45" s="20"/>
      <c r="C45" s="22"/>
      <c r="D45" s="21"/>
      <c r="E45" s="21"/>
    </row>
  </sheetData>
  <mergeCells count="12">
    <mergeCell ref="B40:B44"/>
    <mergeCell ref="B4:C4"/>
    <mergeCell ref="B26:C26"/>
    <mergeCell ref="G4:H4"/>
    <mergeCell ref="G12:H12"/>
    <mergeCell ref="G19:H19"/>
    <mergeCell ref="B1:E1"/>
    <mergeCell ref="I21:I22"/>
    <mergeCell ref="J21:J22"/>
    <mergeCell ref="G26:H26"/>
    <mergeCell ref="B37:C37"/>
    <mergeCell ref="G31:I31"/>
  </mergeCell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S121"/>
  <sheetViews>
    <sheetView showGridLines="0" topLeftCell="C55" zoomScale="80" zoomScaleNormal="80" zoomScalePageLayoutView="90" workbookViewId="0">
      <selection activeCell="L82" sqref="L82"/>
    </sheetView>
  </sheetViews>
  <sheetFormatPr baseColWidth="10" defaultRowHeight="12.75" x14ac:dyDescent="0.25"/>
  <cols>
    <col min="1" max="1" width="11.42578125" style="9"/>
    <col min="2" max="2" width="9.140625" style="9" bestFit="1" customWidth="1"/>
    <col min="3" max="3" width="24.5703125" style="9" bestFit="1" customWidth="1"/>
    <col min="4" max="4" width="10.7109375" style="9" bestFit="1" customWidth="1"/>
    <col min="5" max="5" width="12.5703125" style="9" bestFit="1" customWidth="1"/>
    <col min="6" max="6" width="13.28515625" style="9" customWidth="1"/>
    <col min="7" max="7" width="9.140625" style="9" bestFit="1" customWidth="1"/>
    <col min="8" max="8" width="28" style="9" bestFit="1" customWidth="1"/>
    <col min="9" max="9" width="11.85546875" style="9" bestFit="1" customWidth="1"/>
    <col min="10" max="10" width="14.85546875" style="9" bestFit="1" customWidth="1"/>
    <col min="11" max="11" width="11.42578125" style="9"/>
    <col min="12" max="12" width="13.140625" style="9" bestFit="1" customWidth="1"/>
    <col min="13" max="13" width="52" style="9" bestFit="1" customWidth="1"/>
    <col min="14" max="14" width="14.85546875" style="9" bestFit="1" customWidth="1"/>
    <col min="15" max="15" width="15.5703125" style="9" bestFit="1" customWidth="1"/>
    <col min="16" max="18" width="11.42578125" style="9"/>
    <col min="19" max="19" width="13.7109375" style="9" bestFit="1" customWidth="1"/>
    <col min="20" max="16384" width="11.42578125" style="9"/>
  </cols>
  <sheetData>
    <row r="1" spans="2:14" ht="14.25" customHeight="1" x14ac:dyDescent="0.25">
      <c r="B1" s="775" t="s">
        <v>39</v>
      </c>
      <c r="C1" s="775"/>
      <c r="D1" s="775"/>
      <c r="E1" s="775"/>
      <c r="F1" s="8"/>
    </row>
    <row r="2" spans="2:14" x14ac:dyDescent="0.25">
      <c r="B2" s="10"/>
      <c r="C2" s="10"/>
      <c r="D2" s="10"/>
      <c r="E2" s="10"/>
      <c r="F2" s="10"/>
      <c r="G2" s="51"/>
      <c r="H2" s="51"/>
      <c r="I2" s="51"/>
      <c r="J2" s="51"/>
    </row>
    <row r="3" spans="2:14" ht="12.75" customHeight="1" thickBot="1" x14ac:dyDescent="0.3">
      <c r="B3" s="783" t="s">
        <v>5</v>
      </c>
      <c r="C3" s="784"/>
      <c r="D3" s="784"/>
      <c r="E3" s="785"/>
      <c r="F3" s="8"/>
      <c r="G3" s="783" t="s">
        <v>143</v>
      </c>
      <c r="H3" s="784"/>
      <c r="I3" s="784"/>
      <c r="J3" s="785"/>
    </row>
    <row r="4" spans="2:14" ht="13.5" thickBot="1" x14ac:dyDescent="0.3">
      <c r="B4" s="111"/>
      <c r="C4" s="53"/>
      <c r="D4" s="53"/>
      <c r="E4" s="112"/>
      <c r="F4" s="10"/>
      <c r="G4" s="111"/>
      <c r="H4" s="49"/>
      <c r="I4" s="49"/>
      <c r="J4" s="139"/>
      <c r="M4" s="561" t="s">
        <v>538</v>
      </c>
      <c r="N4" s="107" t="s">
        <v>449</v>
      </c>
    </row>
    <row r="5" spans="2:14" x14ac:dyDescent="0.2">
      <c r="B5" s="109" t="s">
        <v>139</v>
      </c>
      <c r="C5" s="54" t="s">
        <v>68</v>
      </c>
      <c r="D5" s="54" t="s">
        <v>140</v>
      </c>
      <c r="E5" s="110" t="s">
        <v>141</v>
      </c>
      <c r="F5" s="8"/>
      <c r="G5" s="109" t="s">
        <v>139</v>
      </c>
      <c r="H5" s="54" t="s">
        <v>68</v>
      </c>
      <c r="I5" s="54" t="s">
        <v>140</v>
      </c>
      <c r="J5" s="110" t="s">
        <v>141</v>
      </c>
      <c r="M5" s="641" t="str">
        <f>B3</f>
        <v>Materiales de Oficina</v>
      </c>
      <c r="N5" s="642">
        <f>E23</f>
        <v>281.40999999999997</v>
      </c>
    </row>
    <row r="6" spans="2:14" x14ac:dyDescent="0.2">
      <c r="B6" s="113">
        <v>6</v>
      </c>
      <c r="C6" s="53" t="s">
        <v>8</v>
      </c>
      <c r="D6" s="114">
        <v>2.39</v>
      </c>
      <c r="E6" s="115">
        <f>B6*D6</f>
        <v>14.34</v>
      </c>
      <c r="F6" s="11"/>
      <c r="G6" s="113">
        <v>2</v>
      </c>
      <c r="H6" s="72" t="s">
        <v>136</v>
      </c>
      <c r="I6" s="140">
        <v>499</v>
      </c>
      <c r="J6" s="141">
        <f>G6*I6</f>
        <v>998</v>
      </c>
      <c r="M6" s="641" t="str">
        <f>B25</f>
        <v>Muebles de Oficina</v>
      </c>
      <c r="N6" s="770">
        <f>E35</f>
        <v>474.55</v>
      </c>
    </row>
    <row r="7" spans="2:14" x14ac:dyDescent="0.2">
      <c r="B7" s="113">
        <v>6</v>
      </c>
      <c r="C7" s="116" t="s">
        <v>9</v>
      </c>
      <c r="D7" s="654">
        <v>0.6</v>
      </c>
      <c r="E7" s="655">
        <f t="shared" ref="E7:E22" si="0">B7*D7</f>
        <v>3.5999999999999996</v>
      </c>
      <c r="F7" s="11"/>
      <c r="G7" s="113">
        <v>1</v>
      </c>
      <c r="H7" s="116" t="s">
        <v>135</v>
      </c>
      <c r="I7" s="662">
        <v>1400</v>
      </c>
      <c r="J7" s="663">
        <f>+I7*G7</f>
        <v>1400</v>
      </c>
      <c r="M7" s="641" t="str">
        <f>G3</f>
        <v>Equipos de Computación</v>
      </c>
      <c r="N7" s="770">
        <f>J9</f>
        <v>2467</v>
      </c>
    </row>
    <row r="8" spans="2:14" x14ac:dyDescent="0.2">
      <c r="B8" s="113">
        <v>3</v>
      </c>
      <c r="C8" s="53" t="s">
        <v>11</v>
      </c>
      <c r="D8" s="654">
        <v>15.84</v>
      </c>
      <c r="E8" s="655">
        <f t="shared" si="0"/>
        <v>47.519999999999996</v>
      </c>
      <c r="F8" s="11"/>
      <c r="G8" s="113">
        <v>1</v>
      </c>
      <c r="H8" s="53" t="s">
        <v>148</v>
      </c>
      <c r="I8" s="662">
        <v>69</v>
      </c>
      <c r="J8" s="663">
        <f>G8*I8</f>
        <v>69</v>
      </c>
      <c r="M8" s="641" t="str">
        <f>G11</f>
        <v>Equipos de Oficina</v>
      </c>
      <c r="N8" s="770">
        <f>J16</f>
        <v>520.51</v>
      </c>
    </row>
    <row r="9" spans="2:14" x14ac:dyDescent="0.2">
      <c r="B9" s="113">
        <v>3</v>
      </c>
      <c r="C9" s="116" t="s">
        <v>12</v>
      </c>
      <c r="D9" s="654">
        <v>19.52</v>
      </c>
      <c r="E9" s="655">
        <f t="shared" si="0"/>
        <v>58.56</v>
      </c>
      <c r="F9" s="11"/>
      <c r="G9" s="118" t="s">
        <v>110</v>
      </c>
      <c r="H9" s="119"/>
      <c r="I9" s="144"/>
      <c r="J9" s="142">
        <f>SUM(J6:J8)</f>
        <v>2467</v>
      </c>
      <c r="M9" s="641" t="str">
        <f>G18</f>
        <v>Instalaciones</v>
      </c>
      <c r="N9" s="770">
        <f>J23</f>
        <v>2000</v>
      </c>
    </row>
    <row r="10" spans="2:14" ht="13.5" thickBot="1" x14ac:dyDescent="0.25">
      <c r="B10" s="117">
        <v>6</v>
      </c>
      <c r="C10" s="63" t="s">
        <v>13</v>
      </c>
      <c r="D10" s="656">
        <v>6</v>
      </c>
      <c r="E10" s="657">
        <f t="shared" si="0"/>
        <v>36</v>
      </c>
      <c r="F10" s="13"/>
      <c r="G10" s="53"/>
      <c r="H10" s="49"/>
      <c r="I10" s="49"/>
      <c r="J10" s="145"/>
      <c r="M10" s="641" t="str">
        <f>G25</f>
        <v>Vehículos</v>
      </c>
      <c r="N10" s="770">
        <f>J29</f>
        <v>14890</v>
      </c>
    </row>
    <row r="11" spans="2:14" ht="12.75" customHeight="1" thickBot="1" x14ac:dyDescent="0.3">
      <c r="B11" s="113">
        <v>2</v>
      </c>
      <c r="C11" s="53" t="s">
        <v>137</v>
      </c>
      <c r="D11" s="654">
        <v>2.5</v>
      </c>
      <c r="E11" s="655">
        <f t="shared" si="0"/>
        <v>5</v>
      </c>
      <c r="F11" s="11"/>
      <c r="G11" s="783" t="s">
        <v>10</v>
      </c>
      <c r="H11" s="784"/>
      <c r="I11" s="784"/>
      <c r="J11" s="785"/>
      <c r="M11" s="639" t="s">
        <v>0</v>
      </c>
      <c r="N11" s="643">
        <f>SUM(N5:N10)</f>
        <v>20633.47</v>
      </c>
    </row>
    <row r="12" spans="2:14" x14ac:dyDescent="0.25">
      <c r="B12" s="113">
        <v>2</v>
      </c>
      <c r="C12" s="53" t="s">
        <v>17</v>
      </c>
      <c r="D12" s="654">
        <v>5</v>
      </c>
      <c r="E12" s="655">
        <f t="shared" si="0"/>
        <v>10</v>
      </c>
      <c r="F12" s="11"/>
      <c r="G12" s="111"/>
      <c r="H12" s="49"/>
      <c r="I12" s="49"/>
      <c r="J12" s="143"/>
      <c r="K12" s="15"/>
    </row>
    <row r="13" spans="2:14" x14ac:dyDescent="0.25">
      <c r="B13" s="113">
        <v>6</v>
      </c>
      <c r="C13" s="53" t="s">
        <v>19</v>
      </c>
      <c r="D13" s="654">
        <v>1.5</v>
      </c>
      <c r="E13" s="655">
        <f t="shared" si="0"/>
        <v>9</v>
      </c>
      <c r="F13" s="11"/>
      <c r="G13" s="109" t="s">
        <v>139</v>
      </c>
      <c r="H13" s="54" t="s">
        <v>68</v>
      </c>
      <c r="I13" s="54" t="s">
        <v>140</v>
      </c>
      <c r="J13" s="110" t="s">
        <v>141</v>
      </c>
    </row>
    <row r="14" spans="2:14" x14ac:dyDescent="0.25">
      <c r="B14" s="113">
        <v>6</v>
      </c>
      <c r="C14" s="53" t="s">
        <v>20</v>
      </c>
      <c r="D14" s="654">
        <v>0.5</v>
      </c>
      <c r="E14" s="655">
        <f t="shared" si="0"/>
        <v>3</v>
      </c>
      <c r="F14" s="11"/>
      <c r="G14" s="113">
        <v>1</v>
      </c>
      <c r="H14" s="53" t="s">
        <v>14</v>
      </c>
      <c r="I14" s="140">
        <v>430.51</v>
      </c>
      <c r="J14" s="141">
        <f>G14*I14</f>
        <v>430.51</v>
      </c>
    </row>
    <row r="15" spans="2:14" x14ac:dyDescent="0.25">
      <c r="B15" s="113">
        <v>10</v>
      </c>
      <c r="C15" s="53" t="s">
        <v>22</v>
      </c>
      <c r="D15" s="654">
        <f>1.75/2</f>
        <v>0.875</v>
      </c>
      <c r="E15" s="655">
        <f>B15*D15</f>
        <v>8.75</v>
      </c>
      <c r="F15" s="11"/>
      <c r="G15" s="113">
        <v>2</v>
      </c>
      <c r="H15" s="53" t="s">
        <v>142</v>
      </c>
      <c r="I15" s="662">
        <v>45</v>
      </c>
      <c r="J15" s="663">
        <f>G15*I15</f>
        <v>90</v>
      </c>
    </row>
    <row r="16" spans="2:14" x14ac:dyDescent="0.25">
      <c r="B16" s="113">
        <v>5</v>
      </c>
      <c r="C16" s="53" t="s">
        <v>23</v>
      </c>
      <c r="D16" s="654">
        <v>0.2</v>
      </c>
      <c r="E16" s="655">
        <f t="shared" si="0"/>
        <v>1</v>
      </c>
      <c r="F16" s="11"/>
      <c r="G16" s="118" t="s">
        <v>110</v>
      </c>
      <c r="H16" s="119"/>
      <c r="I16" s="144"/>
      <c r="J16" s="142">
        <f>SUM(J14:J15)</f>
        <v>520.51</v>
      </c>
      <c r="N16" s="638"/>
    </row>
    <row r="17" spans="2:15" x14ac:dyDescent="0.25">
      <c r="B17" s="113">
        <v>2</v>
      </c>
      <c r="C17" s="53" t="s">
        <v>24</v>
      </c>
      <c r="D17" s="654">
        <v>2.19</v>
      </c>
      <c r="E17" s="655">
        <f t="shared" si="0"/>
        <v>4.38</v>
      </c>
      <c r="F17" s="11"/>
      <c r="G17" s="53"/>
      <c r="H17" s="49"/>
      <c r="I17" s="145"/>
      <c r="J17" s="145"/>
    </row>
    <row r="18" spans="2:15" ht="12.75" customHeight="1" x14ac:dyDescent="0.25">
      <c r="B18" s="113">
        <v>5</v>
      </c>
      <c r="C18" s="53" t="s">
        <v>138</v>
      </c>
      <c r="D18" s="654">
        <v>0.72</v>
      </c>
      <c r="E18" s="655">
        <f t="shared" si="0"/>
        <v>3.5999999999999996</v>
      </c>
      <c r="G18" s="783" t="s">
        <v>21</v>
      </c>
      <c r="H18" s="784"/>
      <c r="I18" s="784"/>
      <c r="J18" s="785"/>
    </row>
    <row r="19" spans="2:15" x14ac:dyDescent="0.25">
      <c r="B19" s="113">
        <v>3</v>
      </c>
      <c r="C19" s="53" t="s">
        <v>27</v>
      </c>
      <c r="D19" s="654">
        <v>4</v>
      </c>
      <c r="E19" s="655">
        <f t="shared" si="0"/>
        <v>12</v>
      </c>
      <c r="F19" s="11"/>
      <c r="G19" s="138"/>
      <c r="H19" s="49"/>
      <c r="I19" s="49"/>
      <c r="J19" s="139"/>
    </row>
    <row r="20" spans="2:15" x14ac:dyDescent="0.25">
      <c r="B20" s="113">
        <v>3</v>
      </c>
      <c r="C20" s="53" t="s">
        <v>28</v>
      </c>
      <c r="D20" s="654">
        <v>3.22</v>
      </c>
      <c r="E20" s="655">
        <f t="shared" si="0"/>
        <v>9.66</v>
      </c>
      <c r="F20" s="11"/>
      <c r="G20" s="109" t="s">
        <v>139</v>
      </c>
      <c r="H20" s="54" t="s">
        <v>68</v>
      </c>
      <c r="I20" s="54" t="s">
        <v>140</v>
      </c>
      <c r="J20" s="110" t="s">
        <v>141</v>
      </c>
    </row>
    <row r="21" spans="2:15" x14ac:dyDescent="0.25">
      <c r="B21" s="113">
        <v>4</v>
      </c>
      <c r="C21" s="53" t="s">
        <v>29</v>
      </c>
      <c r="D21" s="654">
        <v>4</v>
      </c>
      <c r="E21" s="655">
        <f t="shared" si="0"/>
        <v>16</v>
      </c>
      <c r="F21" s="11"/>
      <c r="G21" s="113">
        <v>1</v>
      </c>
      <c r="H21" s="53" t="s">
        <v>61</v>
      </c>
      <c r="I21" s="796">
        <v>2000</v>
      </c>
      <c r="J21" s="797">
        <f>G21*I21</f>
        <v>2000</v>
      </c>
    </row>
    <row r="22" spans="2:15" x14ac:dyDescent="0.25">
      <c r="B22" s="113">
        <v>5</v>
      </c>
      <c r="C22" s="53" t="s">
        <v>46</v>
      </c>
      <c r="D22" s="654">
        <v>7.8</v>
      </c>
      <c r="E22" s="655">
        <f t="shared" si="0"/>
        <v>39</v>
      </c>
      <c r="F22" s="11"/>
      <c r="G22" s="113">
        <v>1</v>
      </c>
      <c r="H22" s="53" t="s">
        <v>26</v>
      </c>
      <c r="I22" s="796"/>
      <c r="J22" s="797"/>
    </row>
    <row r="23" spans="2:15" x14ac:dyDescent="0.25">
      <c r="B23" s="118" t="s">
        <v>110</v>
      </c>
      <c r="C23" s="119"/>
      <c r="D23" s="120"/>
      <c r="E23" s="121">
        <f>SUM(E6:E22)</f>
        <v>281.40999999999997</v>
      </c>
      <c r="F23" s="11"/>
      <c r="G23" s="118" t="s">
        <v>110</v>
      </c>
      <c r="H23" s="119"/>
      <c r="I23" s="144"/>
      <c r="J23" s="142">
        <f>SUM(J21:J22)</f>
        <v>2000</v>
      </c>
    </row>
    <row r="24" spans="2:15" x14ac:dyDescent="0.25">
      <c r="B24" s="10"/>
      <c r="C24" s="10"/>
      <c r="D24" s="8"/>
      <c r="E24" s="8"/>
      <c r="F24" s="8"/>
      <c r="G24" s="53"/>
      <c r="H24" s="49"/>
      <c r="I24" s="145"/>
      <c r="J24" s="145"/>
    </row>
    <row r="25" spans="2:15" ht="12.75" customHeight="1" x14ac:dyDescent="0.25">
      <c r="B25" s="783" t="s">
        <v>31</v>
      </c>
      <c r="C25" s="784"/>
      <c r="D25" s="784"/>
      <c r="E25" s="785"/>
      <c r="F25" s="8"/>
      <c r="G25" s="783" t="s">
        <v>149</v>
      </c>
      <c r="H25" s="784"/>
      <c r="I25" s="784"/>
      <c r="J25" s="785"/>
      <c r="M25" s="7"/>
      <c r="N25" s="7"/>
      <c r="O25" s="7"/>
    </row>
    <row r="26" spans="2:15" x14ac:dyDescent="0.25">
      <c r="B26" s="111"/>
      <c r="C26" s="53"/>
      <c r="D26" s="53"/>
      <c r="E26" s="112"/>
      <c r="F26" s="8"/>
      <c r="G26" s="111"/>
      <c r="H26" s="53"/>
      <c r="I26" s="53"/>
      <c r="J26" s="112"/>
      <c r="M26" s="7"/>
      <c r="N26" s="7"/>
      <c r="O26" s="7"/>
    </row>
    <row r="27" spans="2:15" x14ac:dyDescent="0.25">
      <c r="B27" s="109" t="s">
        <v>139</v>
      </c>
      <c r="C27" s="54" t="s">
        <v>68</v>
      </c>
      <c r="D27" s="54" t="s">
        <v>140</v>
      </c>
      <c r="E27" s="110" t="s">
        <v>141</v>
      </c>
      <c r="F27" s="8"/>
      <c r="G27" s="109" t="s">
        <v>139</v>
      </c>
      <c r="H27" s="54" t="s">
        <v>68</v>
      </c>
      <c r="I27" s="54" t="s">
        <v>140</v>
      </c>
      <c r="J27" s="110" t="s">
        <v>141</v>
      </c>
    </row>
    <row r="28" spans="2:15" x14ac:dyDescent="0.25">
      <c r="B28" s="113">
        <v>8</v>
      </c>
      <c r="C28" s="53" t="s">
        <v>33</v>
      </c>
      <c r="D28" s="114">
        <v>5.99</v>
      </c>
      <c r="E28" s="115">
        <f t="shared" ref="E28:E34" si="1">B28*D28</f>
        <v>47.92</v>
      </c>
      <c r="F28" s="11"/>
      <c r="G28" s="113">
        <v>1</v>
      </c>
      <c r="H28" s="53" t="s">
        <v>38</v>
      </c>
      <c r="I28" s="140">
        <v>14890</v>
      </c>
      <c r="J28" s="141">
        <f>G28*I28</f>
        <v>14890</v>
      </c>
    </row>
    <row r="29" spans="2:15" x14ac:dyDescent="0.25">
      <c r="B29" s="113">
        <v>6</v>
      </c>
      <c r="C29" s="116" t="s">
        <v>35</v>
      </c>
      <c r="D29" s="654">
        <v>22</v>
      </c>
      <c r="E29" s="655">
        <f t="shared" si="1"/>
        <v>132</v>
      </c>
      <c r="F29" s="11"/>
      <c r="G29" s="118" t="s">
        <v>110</v>
      </c>
      <c r="H29" s="119"/>
      <c r="I29" s="144"/>
      <c r="J29" s="142">
        <f>SUM(J28:J28)</f>
        <v>14890</v>
      </c>
    </row>
    <row r="30" spans="2:15" x14ac:dyDescent="0.25">
      <c r="B30" s="113">
        <v>3</v>
      </c>
      <c r="C30" s="53" t="s">
        <v>36</v>
      </c>
      <c r="D30" s="654">
        <v>98.21</v>
      </c>
      <c r="E30" s="655">
        <f t="shared" si="1"/>
        <v>294.63</v>
      </c>
      <c r="F30" s="11"/>
    </row>
    <row r="31" spans="2:15" x14ac:dyDescent="0.25">
      <c r="B31" s="113">
        <v>1</v>
      </c>
      <c r="C31" s="116" t="s">
        <v>30</v>
      </c>
      <c r="D31" s="654">
        <v>25</v>
      </c>
      <c r="E31" s="655">
        <f t="shared" si="1"/>
        <v>25</v>
      </c>
      <c r="F31" s="11"/>
      <c r="G31" s="779" t="s">
        <v>41</v>
      </c>
      <c r="H31" s="779"/>
      <c r="I31" s="779"/>
      <c r="J31" s="17">
        <f>SUM(E35+E23+J29+J23+J16+E45+J9)</f>
        <v>20633.469999999998</v>
      </c>
    </row>
    <row r="32" spans="2:15" x14ac:dyDescent="0.25">
      <c r="B32" s="117">
        <v>1</v>
      </c>
      <c r="C32" s="63" t="s">
        <v>52</v>
      </c>
      <c r="D32" s="656">
        <v>9.5</v>
      </c>
      <c r="E32" s="657">
        <f t="shared" si="1"/>
        <v>9.5</v>
      </c>
      <c r="F32" s="11"/>
    </row>
    <row r="33" spans="2:10" x14ac:dyDescent="0.25">
      <c r="B33" s="113">
        <v>1</v>
      </c>
      <c r="C33" s="53" t="s">
        <v>32</v>
      </c>
      <c r="D33" s="654">
        <v>8.5</v>
      </c>
      <c r="E33" s="655">
        <f t="shared" si="1"/>
        <v>8.5</v>
      </c>
      <c r="F33" s="11"/>
      <c r="G33" s="14"/>
      <c r="H33" s="10"/>
      <c r="I33" s="10"/>
      <c r="J33" s="18"/>
    </row>
    <row r="34" spans="2:10" x14ac:dyDescent="0.25">
      <c r="B34" s="113">
        <v>1</v>
      </c>
      <c r="C34" s="53" t="s">
        <v>34</v>
      </c>
      <c r="D34" s="654">
        <v>50</v>
      </c>
      <c r="E34" s="655">
        <f t="shared" si="1"/>
        <v>50</v>
      </c>
      <c r="F34" s="11"/>
    </row>
    <row r="35" spans="2:10" x14ac:dyDescent="0.25">
      <c r="B35" s="118" t="s">
        <v>110</v>
      </c>
      <c r="C35" s="119"/>
      <c r="D35" s="120"/>
      <c r="E35" s="121">
        <f>SUM(E28:E30)</f>
        <v>474.55</v>
      </c>
      <c r="F35" s="11"/>
    </row>
    <row r="36" spans="2:10" x14ac:dyDescent="0.25">
      <c r="B36" s="8"/>
      <c r="C36" s="14"/>
      <c r="D36" s="14"/>
      <c r="E36" s="14"/>
      <c r="F36" s="14"/>
    </row>
    <row r="37" spans="2:10" x14ac:dyDescent="0.25">
      <c r="B37" s="793"/>
      <c r="C37" s="793"/>
      <c r="D37" s="793"/>
      <c r="E37" s="793"/>
      <c r="F37" s="14"/>
    </row>
    <row r="38" spans="2:10" x14ac:dyDescent="0.25">
      <c r="B38" s="371"/>
      <c r="C38" s="373"/>
      <c r="D38" s="6"/>
      <c r="E38" s="21"/>
      <c r="F38" s="14"/>
    </row>
    <row r="39" spans="2:10" x14ac:dyDescent="0.25">
      <c r="B39" s="374"/>
      <c r="C39" s="14"/>
      <c r="D39" s="6"/>
      <c r="E39" s="6"/>
      <c r="F39" s="14"/>
      <c r="G39" s="10"/>
      <c r="H39" s="10"/>
      <c r="I39" s="10"/>
      <c r="J39" s="10"/>
    </row>
    <row r="40" spans="2:10" x14ac:dyDescent="0.25">
      <c r="B40" s="780"/>
      <c r="C40" s="20"/>
      <c r="D40" s="21"/>
      <c r="E40" s="21"/>
      <c r="F40" s="10"/>
    </row>
    <row r="41" spans="2:10" x14ac:dyDescent="0.25">
      <c r="B41" s="780"/>
      <c r="C41" s="20"/>
      <c r="D41" s="21"/>
      <c r="E41" s="21"/>
    </row>
    <row r="42" spans="2:10" x14ac:dyDescent="0.25">
      <c r="B42" s="780"/>
      <c r="C42" s="20"/>
      <c r="D42" s="21"/>
      <c r="E42" s="21"/>
    </row>
    <row r="43" spans="2:10" x14ac:dyDescent="0.25">
      <c r="B43" s="780"/>
      <c r="C43" s="20"/>
      <c r="D43" s="21"/>
      <c r="E43" s="21"/>
    </row>
    <row r="44" spans="2:10" x14ac:dyDescent="0.25">
      <c r="B44" s="780"/>
      <c r="C44" s="20"/>
      <c r="D44" s="21"/>
      <c r="E44" s="21"/>
      <c r="F44" s="19"/>
    </row>
    <row r="45" spans="2:10" x14ac:dyDescent="0.25">
      <c r="B45" s="20"/>
      <c r="C45" s="22"/>
      <c r="D45" s="21"/>
      <c r="E45" s="21"/>
    </row>
    <row r="49" spans="2:15" ht="12.75" customHeight="1" x14ac:dyDescent="0.25">
      <c r="B49" s="792" t="s">
        <v>325</v>
      </c>
      <c r="C49" s="792"/>
      <c r="D49" s="792"/>
      <c r="E49" s="792"/>
    </row>
    <row r="50" spans="2:15" ht="15" customHeight="1" x14ac:dyDescent="0.25">
      <c r="B50" s="794" t="s">
        <v>204</v>
      </c>
      <c r="C50" s="795"/>
      <c r="D50" s="353">
        <v>450</v>
      </c>
      <c r="E50" s="354">
        <f>D50</f>
        <v>450</v>
      </c>
    </row>
    <row r="56" spans="2:15" x14ac:dyDescent="0.25">
      <c r="K56" s="20"/>
      <c r="L56" s="20"/>
    </row>
    <row r="57" spans="2:15" x14ac:dyDescent="0.25">
      <c r="F57" s="149"/>
      <c r="K57" s="162"/>
      <c r="L57" s="162"/>
    </row>
    <row r="58" spans="2:15" ht="13.5" thickBot="1" x14ac:dyDescent="0.3">
      <c r="F58" s="149"/>
      <c r="K58" s="20"/>
      <c r="L58" s="20"/>
    </row>
    <row r="59" spans="2:15" ht="13.5" thickBot="1" x14ac:dyDescent="0.3">
      <c r="F59" s="149"/>
      <c r="K59" s="20"/>
      <c r="L59" s="20"/>
      <c r="M59" s="786" t="s">
        <v>543</v>
      </c>
      <c r="N59" s="787"/>
      <c r="O59" s="788"/>
    </row>
    <row r="60" spans="2:15" ht="13.5" thickBot="1" x14ac:dyDescent="0.3">
      <c r="F60" s="149"/>
      <c r="K60" s="20"/>
      <c r="L60" s="20"/>
      <c r="M60" s="576" t="s">
        <v>539</v>
      </c>
      <c r="N60" s="667"/>
      <c r="O60" s="668">
        <f>SUM(N61:N65)</f>
        <v>424</v>
      </c>
    </row>
    <row r="61" spans="2:15" x14ac:dyDescent="0.25">
      <c r="K61" s="20"/>
      <c r="L61" s="20"/>
      <c r="M61" s="478" t="s">
        <v>207</v>
      </c>
      <c r="N61" s="302">
        <v>136</v>
      </c>
      <c r="O61" s="646"/>
    </row>
    <row r="62" spans="2:15" x14ac:dyDescent="0.25">
      <c r="K62" s="20"/>
      <c r="L62" s="20"/>
      <c r="M62" s="478" t="s">
        <v>206</v>
      </c>
      <c r="N62" s="666">
        <v>136</v>
      </c>
      <c r="O62" s="646"/>
    </row>
    <row r="63" spans="2:15" x14ac:dyDescent="0.25">
      <c r="K63" s="162"/>
      <c r="L63" s="287"/>
      <c r="M63" s="478" t="s">
        <v>208</v>
      </c>
      <c r="N63" s="666">
        <v>44</v>
      </c>
      <c r="O63" s="646"/>
    </row>
    <row r="64" spans="2:15" x14ac:dyDescent="0.25">
      <c r="K64" s="20"/>
      <c r="L64" s="20"/>
      <c r="M64" s="478" t="s">
        <v>205</v>
      </c>
      <c r="N64" s="666">
        <v>48</v>
      </c>
      <c r="O64" s="646"/>
    </row>
    <row r="65" spans="11:15" ht="13.5" thickBot="1" x14ac:dyDescent="0.3">
      <c r="K65" s="20"/>
      <c r="L65" s="20"/>
      <c r="M65" s="478" t="s">
        <v>327</v>
      </c>
      <c r="N65" s="666">
        <f>12*5</f>
        <v>60</v>
      </c>
      <c r="O65" s="646"/>
    </row>
    <row r="66" spans="11:15" ht="13.5" thickBot="1" x14ac:dyDescent="0.3">
      <c r="K66" s="20"/>
      <c r="L66" s="20"/>
      <c r="M66" s="789" t="s">
        <v>355</v>
      </c>
      <c r="N66" s="790"/>
      <c r="O66" s="791"/>
    </row>
    <row r="67" spans="11:15" ht="13.5" thickBot="1" x14ac:dyDescent="0.3">
      <c r="M67" s="670" t="s">
        <v>539</v>
      </c>
      <c r="N67" s="671"/>
      <c r="O67" s="672">
        <f>SUM(N68:N72)</f>
        <v>2117.44</v>
      </c>
    </row>
    <row r="68" spans="11:15" x14ac:dyDescent="0.25">
      <c r="M68" s="478" t="s">
        <v>87</v>
      </c>
      <c r="N68" s="303">
        <v>0</v>
      </c>
      <c r="O68" s="343"/>
    </row>
    <row r="69" spans="11:15" x14ac:dyDescent="0.25">
      <c r="M69" s="478" t="s">
        <v>88</v>
      </c>
      <c r="N69" s="669">
        <v>529.36</v>
      </c>
      <c r="O69" s="343"/>
    </row>
    <row r="70" spans="11:15" x14ac:dyDescent="0.25">
      <c r="M70" s="478" t="s">
        <v>89</v>
      </c>
      <c r="N70" s="669">
        <v>529.36</v>
      </c>
      <c r="O70" s="343"/>
    </row>
    <row r="71" spans="11:15" x14ac:dyDescent="0.25">
      <c r="M71" s="478" t="s">
        <v>90</v>
      </c>
      <c r="N71" s="669">
        <v>529.36</v>
      </c>
      <c r="O71" s="343"/>
    </row>
    <row r="72" spans="11:15" ht="13.5" thickBot="1" x14ac:dyDescent="0.3">
      <c r="M72" s="478" t="s">
        <v>91</v>
      </c>
      <c r="N72" s="669">
        <v>529.36</v>
      </c>
      <c r="O72" s="343"/>
    </row>
    <row r="73" spans="11:15" ht="13.5" thickBot="1" x14ac:dyDescent="0.3">
      <c r="M73" s="649" t="s">
        <v>0</v>
      </c>
      <c r="N73" s="647"/>
      <c r="O73" s="648">
        <f>SUM(O60:O72)</f>
        <v>2541.44</v>
      </c>
    </row>
    <row r="74" spans="11:15" x14ac:dyDescent="0.25">
      <c r="M74" s="164"/>
      <c r="N74" s="164"/>
      <c r="O74" s="164"/>
    </row>
    <row r="75" spans="11:15" x14ac:dyDescent="0.25">
      <c r="M75" s="164" t="s">
        <v>311</v>
      </c>
      <c r="N75" s="164"/>
      <c r="O75" s="305">
        <f>'CAPITAL y SUELDOS'!N15</f>
        <v>23667.678053027135</v>
      </c>
    </row>
    <row r="76" spans="11:15" x14ac:dyDescent="0.25">
      <c r="M76" s="164" t="s">
        <v>312</v>
      </c>
      <c r="N76" s="306">
        <v>520</v>
      </c>
      <c r="O76" s="307"/>
    </row>
    <row r="77" spans="11:15" x14ac:dyDescent="0.25">
      <c r="M77" s="164" t="s">
        <v>326</v>
      </c>
      <c r="N77" s="306">
        <f>N76*1.8%</f>
        <v>9.3600000000000012</v>
      </c>
      <c r="O77" s="307"/>
    </row>
    <row r="78" spans="11:15" x14ac:dyDescent="0.25">
      <c r="M78" s="164" t="s">
        <v>313</v>
      </c>
      <c r="N78" s="306"/>
      <c r="O78" s="307">
        <f>SUM(N76:N77)</f>
        <v>529.36</v>
      </c>
    </row>
    <row r="79" spans="11:15" x14ac:dyDescent="0.25">
      <c r="M79" s="164"/>
      <c r="N79" s="164"/>
      <c r="O79" s="164"/>
    </row>
    <row r="80" spans="11:15" x14ac:dyDescent="0.25">
      <c r="M80" s="164"/>
      <c r="N80" s="164"/>
      <c r="O80" s="164"/>
    </row>
    <row r="81" spans="13:15" x14ac:dyDescent="0.25">
      <c r="M81" s="51"/>
      <c r="N81" s="51"/>
      <c r="O81" s="51"/>
    </row>
    <row r="82" spans="13:15" x14ac:dyDescent="0.25">
      <c r="M82" s="51"/>
      <c r="N82" s="51"/>
      <c r="O82" s="51"/>
    </row>
    <row r="83" spans="13:15" x14ac:dyDescent="0.25">
      <c r="M83" s="51"/>
      <c r="N83" s="51"/>
      <c r="O83" s="51"/>
    </row>
    <row r="84" spans="13:15" x14ac:dyDescent="0.25">
      <c r="M84" s="51"/>
      <c r="N84" s="51"/>
      <c r="O84" s="51"/>
    </row>
    <row r="112" ht="13.5" thickBot="1" x14ac:dyDescent="0.3"/>
    <row r="113" spans="10:19" ht="15" customHeight="1" thickBot="1" x14ac:dyDescent="0.3">
      <c r="J113" s="348"/>
    </row>
    <row r="114" spans="10:19" ht="15" customHeight="1" x14ac:dyDescent="0.25">
      <c r="J114" s="347"/>
      <c r="R114" s="781" t="s">
        <v>355</v>
      </c>
      <c r="S114" s="782"/>
    </row>
    <row r="115" spans="10:19" x14ac:dyDescent="0.25">
      <c r="J115" s="343"/>
      <c r="R115" s="346"/>
      <c r="S115" s="347"/>
    </row>
    <row r="116" spans="10:19" x14ac:dyDescent="0.25">
      <c r="J116" s="343"/>
      <c r="R116" s="345" t="s">
        <v>87</v>
      </c>
      <c r="S116" s="343">
        <v>0</v>
      </c>
    </row>
    <row r="117" spans="10:19" x14ac:dyDescent="0.25">
      <c r="J117" s="343"/>
      <c r="R117" s="345" t="s">
        <v>88</v>
      </c>
      <c r="S117" s="343">
        <v>529.36</v>
      </c>
    </row>
    <row r="118" spans="10:19" x14ac:dyDescent="0.25">
      <c r="J118" s="343"/>
      <c r="R118" s="345" t="s">
        <v>89</v>
      </c>
      <c r="S118" s="343">
        <v>529.36</v>
      </c>
    </row>
    <row r="119" spans="10:19" x14ac:dyDescent="0.25">
      <c r="J119" s="343"/>
      <c r="R119" s="345" t="s">
        <v>90</v>
      </c>
      <c r="S119" s="343">
        <v>529.36</v>
      </c>
    </row>
    <row r="120" spans="10:19" x14ac:dyDescent="0.25">
      <c r="R120" s="345" t="s">
        <v>91</v>
      </c>
      <c r="S120" s="343">
        <v>529.36</v>
      </c>
    </row>
    <row r="121" spans="10:19" ht="13.5" thickBot="1" x14ac:dyDescent="0.3">
      <c r="R121" s="344" t="s">
        <v>110</v>
      </c>
      <c r="S121" s="349">
        <f>+SUM(S116:S120)</f>
        <v>2117.44</v>
      </c>
    </row>
  </sheetData>
  <mergeCells count="17">
    <mergeCell ref="B1:E1"/>
    <mergeCell ref="B3:E3"/>
    <mergeCell ref="G11:J11"/>
    <mergeCell ref="G18:J18"/>
    <mergeCell ref="I21:I22"/>
    <mergeCell ref="J21:J22"/>
    <mergeCell ref="G3:J3"/>
    <mergeCell ref="R114:S114"/>
    <mergeCell ref="G31:I31"/>
    <mergeCell ref="B25:E25"/>
    <mergeCell ref="M59:O59"/>
    <mergeCell ref="M66:O66"/>
    <mergeCell ref="G25:J25"/>
    <mergeCell ref="B49:E49"/>
    <mergeCell ref="B37:E37"/>
    <mergeCell ref="B40:B44"/>
    <mergeCell ref="B50:C50"/>
  </mergeCell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R106"/>
  <sheetViews>
    <sheetView topLeftCell="A35" zoomScale="90" zoomScaleNormal="90" workbookViewId="0">
      <selection activeCell="K27" sqref="K27"/>
    </sheetView>
  </sheetViews>
  <sheetFormatPr baseColWidth="10" defaultRowHeight="12.75" x14ac:dyDescent="0.2"/>
  <cols>
    <col min="1" max="1" width="5.85546875" style="51" customWidth="1"/>
    <col min="2" max="2" width="12.42578125" style="51" bestFit="1" customWidth="1"/>
    <col min="3" max="3" width="25.5703125" style="51" bestFit="1" customWidth="1"/>
    <col min="4" max="4" width="7" style="51" customWidth="1"/>
    <col min="5" max="5" width="0.7109375" style="51" customWidth="1"/>
    <col min="6" max="6" width="25.5703125" style="51" customWidth="1"/>
    <col min="7" max="7" width="7.5703125" style="51" customWidth="1"/>
    <col min="8" max="9" width="12.28515625" style="73" customWidth="1"/>
    <col min="10" max="10" width="0.85546875" style="51" customWidth="1"/>
    <col min="11" max="11" width="39.42578125" style="51" customWidth="1"/>
    <col min="12" max="12" width="6.140625" style="51" customWidth="1"/>
    <col min="13" max="18" width="8" style="52" customWidth="1"/>
    <col min="19" max="16384" width="11.42578125" style="51"/>
  </cols>
  <sheetData>
    <row r="1" spans="2:10" x14ac:dyDescent="0.2">
      <c r="B1" s="798" t="s">
        <v>39</v>
      </c>
      <c r="C1" s="798"/>
      <c r="D1" s="49"/>
      <c r="E1" s="49"/>
      <c r="F1" s="49"/>
      <c r="G1" s="49"/>
      <c r="H1" s="50"/>
      <c r="I1" s="50"/>
      <c r="J1" s="49"/>
    </row>
    <row r="2" spans="2:10" ht="15" customHeight="1" x14ac:dyDescent="0.2">
      <c r="B2" s="53"/>
      <c r="C2" s="53"/>
      <c r="D2" s="53"/>
      <c r="E2" s="53"/>
      <c r="F2" s="53"/>
      <c r="G2" s="53"/>
      <c r="H2" s="50"/>
      <c r="I2" s="50"/>
    </row>
    <row r="3" spans="2:10" ht="23.25" customHeight="1" thickBot="1" x14ac:dyDescent="0.25">
      <c r="B3" s="799" t="s">
        <v>5</v>
      </c>
      <c r="C3" s="799"/>
      <c r="D3" s="54"/>
      <c r="E3" s="54"/>
      <c r="F3" s="54"/>
      <c r="G3" s="54"/>
      <c r="H3" s="55"/>
      <c r="I3" s="50"/>
    </row>
    <row r="4" spans="2:10" x14ac:dyDescent="0.2">
      <c r="B4" s="56" t="s">
        <v>2</v>
      </c>
      <c r="C4" s="57" t="s">
        <v>3</v>
      </c>
      <c r="D4" s="49"/>
      <c r="E4" s="49"/>
      <c r="F4" s="49"/>
      <c r="G4" s="49"/>
      <c r="H4" s="50"/>
      <c r="I4" s="50"/>
    </row>
    <row r="5" spans="2:10" x14ac:dyDescent="0.2">
      <c r="B5" s="58">
        <v>3</v>
      </c>
      <c r="C5" s="59" t="s">
        <v>8</v>
      </c>
      <c r="D5" s="53"/>
      <c r="E5" s="53"/>
      <c r="F5" s="53"/>
      <c r="G5" s="53"/>
      <c r="H5" s="50"/>
      <c r="I5" s="60"/>
    </row>
    <row r="6" spans="2:10" x14ac:dyDescent="0.2">
      <c r="B6" s="58">
        <v>3</v>
      </c>
      <c r="C6" s="59" t="s">
        <v>19</v>
      </c>
      <c r="D6" s="53"/>
      <c r="E6" s="53"/>
      <c r="F6" s="53"/>
      <c r="G6" s="53"/>
      <c r="H6" s="50"/>
      <c r="I6" s="60"/>
    </row>
    <row r="7" spans="2:10" x14ac:dyDescent="0.2">
      <c r="B7" s="58">
        <f>12*3</f>
        <v>36</v>
      </c>
      <c r="C7" s="59" t="s">
        <v>9</v>
      </c>
      <c r="D7" s="53"/>
      <c r="E7" s="53"/>
      <c r="F7" s="53"/>
      <c r="G7" s="53"/>
      <c r="H7" s="50"/>
      <c r="I7" s="60"/>
    </row>
    <row r="8" spans="2:10" x14ac:dyDescent="0.2">
      <c r="B8" s="58">
        <f>6+3</f>
        <v>9</v>
      </c>
      <c r="C8" s="59" t="s">
        <v>20</v>
      </c>
      <c r="D8" s="53"/>
      <c r="E8" s="53"/>
      <c r="F8" s="53"/>
      <c r="G8" s="53"/>
      <c r="H8" s="55"/>
      <c r="I8" s="60"/>
    </row>
    <row r="9" spans="2:10" x14ac:dyDescent="0.2">
      <c r="B9" s="61">
        <f>12*3</f>
        <v>36</v>
      </c>
      <c r="C9" s="62" t="s">
        <v>13</v>
      </c>
      <c r="D9" s="63"/>
      <c r="E9" s="63"/>
      <c r="F9" s="63"/>
      <c r="G9" s="63"/>
      <c r="H9" s="64"/>
      <c r="I9" s="60"/>
    </row>
    <row r="10" spans="2:10" x14ac:dyDescent="0.2">
      <c r="B10" s="58">
        <v>3</v>
      </c>
      <c r="C10" s="59" t="s">
        <v>15</v>
      </c>
      <c r="D10" s="53"/>
      <c r="E10" s="53"/>
      <c r="F10" s="53"/>
      <c r="G10" s="53"/>
      <c r="H10" s="50"/>
      <c r="I10" s="60"/>
    </row>
    <row r="11" spans="2:10" x14ac:dyDescent="0.2">
      <c r="B11" s="58">
        <f>4*3</f>
        <v>12</v>
      </c>
      <c r="C11" s="59" t="s">
        <v>22</v>
      </c>
      <c r="D11" s="53"/>
      <c r="E11" s="53"/>
      <c r="F11" s="53"/>
      <c r="G11" s="53"/>
      <c r="H11" s="50"/>
      <c r="I11" s="60"/>
    </row>
    <row r="12" spans="2:10" x14ac:dyDescent="0.2">
      <c r="B12" s="58">
        <f>4*3</f>
        <v>12</v>
      </c>
      <c r="C12" s="59" t="s">
        <v>25</v>
      </c>
      <c r="D12" s="53"/>
      <c r="E12" s="53"/>
      <c r="F12" s="53"/>
      <c r="G12" s="53"/>
      <c r="H12" s="50"/>
      <c r="I12" s="60"/>
    </row>
    <row r="13" spans="2:10" x14ac:dyDescent="0.2">
      <c r="B13" s="58">
        <v>3</v>
      </c>
      <c r="C13" s="59" t="s">
        <v>27</v>
      </c>
      <c r="D13" s="53"/>
      <c r="E13" s="53"/>
      <c r="F13" s="53"/>
      <c r="G13" s="53"/>
      <c r="H13" s="50"/>
      <c r="I13" s="60"/>
    </row>
    <row r="14" spans="2:10" ht="38.25" customHeight="1" x14ac:dyDescent="0.2">
      <c r="B14" s="58">
        <v>3</v>
      </c>
      <c r="C14" s="59" t="s">
        <v>28</v>
      </c>
      <c r="D14" s="53"/>
      <c r="E14" s="53"/>
      <c r="F14" s="53"/>
      <c r="G14" s="53"/>
      <c r="H14" s="50"/>
      <c r="I14" s="60"/>
    </row>
    <row r="15" spans="2:10" ht="38.25" customHeight="1" x14ac:dyDescent="0.2">
      <c r="B15" s="58">
        <v>3</v>
      </c>
      <c r="C15" s="59" t="s">
        <v>29</v>
      </c>
      <c r="D15" s="53"/>
      <c r="E15" s="53"/>
      <c r="F15" s="53"/>
      <c r="G15" s="53"/>
      <c r="H15" s="50"/>
      <c r="I15" s="60"/>
    </row>
    <row r="16" spans="2:10" ht="51.75" customHeight="1" thickBot="1" x14ac:dyDescent="0.25">
      <c r="B16" s="65">
        <v>3</v>
      </c>
      <c r="C16" s="66" t="s">
        <v>46</v>
      </c>
      <c r="D16" s="53"/>
      <c r="E16" s="53"/>
      <c r="F16" s="53"/>
      <c r="G16" s="53"/>
      <c r="H16" s="50"/>
      <c r="I16" s="60"/>
    </row>
    <row r="17" spans="2:18" x14ac:dyDescent="0.2">
      <c r="B17" s="49"/>
      <c r="C17" s="53"/>
      <c r="D17" s="53"/>
      <c r="E17" s="53"/>
      <c r="F17" s="53"/>
      <c r="G17" s="53"/>
      <c r="H17" s="50"/>
      <c r="I17" s="60"/>
      <c r="K17" s="67"/>
      <c r="L17" s="67"/>
      <c r="M17" s="68"/>
      <c r="N17" s="68"/>
      <c r="O17" s="68"/>
      <c r="P17" s="68"/>
      <c r="Q17" s="68"/>
      <c r="R17" s="68"/>
    </row>
    <row r="18" spans="2:18" ht="38.25" customHeight="1" x14ac:dyDescent="0.2">
      <c r="B18" s="53"/>
      <c r="C18" s="53"/>
      <c r="D18" s="53"/>
      <c r="E18" s="53"/>
      <c r="F18" s="53"/>
      <c r="G18" s="53"/>
      <c r="H18" s="50"/>
      <c r="I18" s="60"/>
      <c r="K18" s="67"/>
      <c r="L18" s="67"/>
      <c r="M18" s="68"/>
      <c r="N18" s="68"/>
      <c r="O18" s="68"/>
      <c r="P18" s="68"/>
      <c r="Q18" s="68"/>
      <c r="R18" s="68"/>
    </row>
    <row r="19" spans="2:18" ht="13.5" thickBot="1" x14ac:dyDescent="0.25">
      <c r="B19" s="799" t="s">
        <v>31</v>
      </c>
      <c r="C19" s="799"/>
      <c r="D19" s="54"/>
      <c r="E19" s="54"/>
      <c r="F19" s="54"/>
      <c r="G19" s="54"/>
      <c r="H19" s="55"/>
      <c r="I19" s="60"/>
    </row>
    <row r="20" spans="2:18" x14ac:dyDescent="0.2">
      <c r="B20" s="69" t="s">
        <v>2</v>
      </c>
      <c r="C20" s="70" t="s">
        <v>3</v>
      </c>
      <c r="D20" s="54"/>
      <c r="E20" s="54"/>
      <c r="F20" s="54"/>
      <c r="G20" s="54"/>
      <c r="H20" s="55"/>
      <c r="I20" s="60"/>
    </row>
    <row r="21" spans="2:18" ht="25.5" x14ac:dyDescent="0.2">
      <c r="B21" s="58">
        <v>7</v>
      </c>
      <c r="C21" s="71" t="s">
        <v>93</v>
      </c>
      <c r="D21" s="72"/>
      <c r="E21" s="72"/>
      <c r="F21" s="72"/>
      <c r="G21" s="72"/>
      <c r="H21" s="50"/>
      <c r="I21" s="60"/>
    </row>
    <row r="22" spans="2:18" ht="13.5" thickBot="1" x14ac:dyDescent="0.25">
      <c r="B22" s="65">
        <v>3</v>
      </c>
      <c r="C22" s="66" t="s">
        <v>53</v>
      </c>
      <c r="D22" s="53"/>
      <c r="E22" s="53"/>
      <c r="F22" s="53"/>
      <c r="G22" s="53"/>
      <c r="H22" s="50"/>
      <c r="I22" s="60"/>
    </row>
    <row r="23" spans="2:18" x14ac:dyDescent="0.2">
      <c r="B23" s="49"/>
      <c r="C23" s="53"/>
      <c r="D23" s="53"/>
      <c r="E23" s="53"/>
      <c r="F23" s="53"/>
      <c r="G23" s="53"/>
      <c r="H23" s="50"/>
      <c r="I23" s="50"/>
    </row>
    <row r="24" spans="2:18" x14ac:dyDescent="0.2">
      <c r="I24" s="50"/>
    </row>
    <row r="25" spans="2:18" ht="13.5" thickBot="1" x14ac:dyDescent="0.25">
      <c r="B25" s="799" t="s">
        <v>10</v>
      </c>
      <c r="C25" s="799"/>
      <c r="D25" s="54"/>
      <c r="E25" s="54"/>
      <c r="F25" s="54"/>
      <c r="G25" s="54"/>
      <c r="H25" s="55"/>
      <c r="I25" s="74"/>
    </row>
    <row r="26" spans="2:18" x14ac:dyDescent="0.2">
      <c r="B26" s="69" t="s">
        <v>2</v>
      </c>
      <c r="C26" s="70" t="s">
        <v>3</v>
      </c>
      <c r="D26" s="54"/>
      <c r="E26" s="54"/>
      <c r="F26" s="54"/>
      <c r="G26" s="54"/>
      <c r="H26" s="55"/>
      <c r="I26" s="74"/>
    </row>
    <row r="27" spans="2:18" x14ac:dyDescent="0.2">
      <c r="B27" s="58">
        <v>4</v>
      </c>
      <c r="C27" s="59" t="s">
        <v>92</v>
      </c>
      <c r="D27" s="53"/>
      <c r="E27" s="53"/>
      <c r="F27" s="53"/>
      <c r="G27" s="53"/>
      <c r="H27" s="50"/>
      <c r="I27" s="74"/>
    </row>
    <row r="28" spans="2:18" ht="25.5" x14ac:dyDescent="0.2">
      <c r="B28" s="58">
        <v>3</v>
      </c>
      <c r="C28" s="71" t="s">
        <v>65</v>
      </c>
      <c r="D28" s="72"/>
      <c r="E28" s="72"/>
      <c r="F28" s="72"/>
      <c r="G28" s="72"/>
      <c r="H28" s="50"/>
      <c r="I28" s="74"/>
    </row>
    <row r="29" spans="2:18" ht="13.5" thickBot="1" x14ac:dyDescent="0.25">
      <c r="B29" s="65">
        <v>4</v>
      </c>
      <c r="C29" s="66" t="s">
        <v>18</v>
      </c>
      <c r="D29" s="53"/>
      <c r="E29" s="53"/>
      <c r="F29" s="53"/>
      <c r="G29" s="53"/>
      <c r="H29" s="50"/>
      <c r="I29" s="74"/>
    </row>
    <row r="30" spans="2:18" x14ac:dyDescent="0.2">
      <c r="B30" s="49"/>
      <c r="C30" s="53"/>
      <c r="D30" s="53"/>
      <c r="E30" s="53"/>
      <c r="F30" s="53"/>
      <c r="G30" s="53"/>
      <c r="H30" s="50"/>
      <c r="I30" s="74"/>
    </row>
    <row r="31" spans="2:18" x14ac:dyDescent="0.2">
      <c r="B31" s="53"/>
      <c r="C31" s="49"/>
      <c r="D31" s="49"/>
      <c r="E31" s="49"/>
      <c r="F31" s="49"/>
      <c r="G31" s="49"/>
      <c r="H31" s="50"/>
      <c r="I31" s="74"/>
    </row>
    <row r="32" spans="2:18" x14ac:dyDescent="0.2">
      <c r="B32" s="800"/>
      <c r="C32" s="800"/>
      <c r="D32" s="52"/>
      <c r="E32" s="52"/>
      <c r="F32" s="52"/>
      <c r="G32" s="52"/>
      <c r="I32" s="50"/>
    </row>
    <row r="33" spans="4:18" ht="13.5" thickBot="1" x14ac:dyDescent="0.25">
      <c r="G33" s="75"/>
    </row>
    <row r="34" spans="4:18" ht="3.75" customHeight="1" thickTop="1" x14ac:dyDescent="0.2">
      <c r="E34" s="76"/>
      <c r="F34" s="77"/>
      <c r="G34" s="78"/>
      <c r="H34" s="79"/>
      <c r="I34" s="79"/>
      <c r="J34" s="76"/>
    </row>
    <row r="35" spans="4:18" ht="34.5" customHeight="1" thickBot="1" x14ac:dyDescent="0.3">
      <c r="D35" s="67"/>
      <c r="E35" s="80"/>
      <c r="F35" s="801" t="s">
        <v>419</v>
      </c>
      <c r="G35" s="804" t="s">
        <v>94</v>
      </c>
      <c r="H35" s="34" t="s">
        <v>97</v>
      </c>
      <c r="I35" s="35" t="s">
        <v>96</v>
      </c>
      <c r="J35" s="81"/>
      <c r="K35" s="82"/>
      <c r="L35" s="67"/>
      <c r="M35" s="68"/>
    </row>
    <row r="36" spans="4:18" ht="34.5" customHeight="1" thickTop="1" thickBot="1" x14ac:dyDescent="0.3">
      <c r="D36" s="83"/>
      <c r="E36" s="84"/>
      <c r="F36" s="802"/>
      <c r="G36" s="805"/>
      <c r="H36" s="36" t="s">
        <v>99</v>
      </c>
      <c r="I36" s="37" t="s">
        <v>100</v>
      </c>
      <c r="J36" s="85"/>
      <c r="K36" s="82"/>
      <c r="L36" s="67"/>
      <c r="M36" s="68"/>
    </row>
    <row r="37" spans="4:18" ht="63" customHeight="1" thickTop="1" x14ac:dyDescent="0.25">
      <c r="E37" s="80"/>
      <c r="F37" s="803"/>
      <c r="G37" s="806"/>
      <c r="H37" s="38" t="s">
        <v>98</v>
      </c>
      <c r="I37" s="39" t="s">
        <v>95</v>
      </c>
      <c r="J37" s="81"/>
      <c r="K37" s="82"/>
      <c r="L37" s="67"/>
      <c r="M37" s="68"/>
    </row>
    <row r="38" spans="4:18" ht="3.75" customHeight="1" thickBot="1" x14ac:dyDescent="0.25">
      <c r="E38" s="86"/>
      <c r="F38" s="87"/>
      <c r="G38" s="88"/>
      <c r="H38" s="89"/>
      <c r="I38" s="89"/>
      <c r="J38" s="86"/>
    </row>
    <row r="39" spans="4:18" ht="13.5" thickTop="1" x14ac:dyDescent="0.2">
      <c r="G39" s="90"/>
      <c r="H39" s="91"/>
      <c r="I39" s="91"/>
    </row>
    <row r="40" spans="4:18" ht="13.5" thickBot="1" x14ac:dyDescent="0.25">
      <c r="K40" s="814" t="s">
        <v>115</v>
      </c>
      <c r="L40" s="814"/>
      <c r="M40" s="814"/>
      <c r="N40" s="814"/>
      <c r="O40" s="814"/>
      <c r="P40" s="814"/>
      <c r="Q40" s="814"/>
      <c r="R40" s="814"/>
    </row>
    <row r="41" spans="4:18" x14ac:dyDescent="0.2">
      <c r="K41" s="807" t="s">
        <v>112</v>
      </c>
      <c r="L41" s="812" t="s">
        <v>111</v>
      </c>
      <c r="M41" s="809" t="s">
        <v>107</v>
      </c>
      <c r="N41" s="810"/>
      <c r="O41" s="809" t="s">
        <v>108</v>
      </c>
      <c r="P41" s="810"/>
      <c r="Q41" s="811" t="s">
        <v>109</v>
      </c>
      <c r="R41" s="810"/>
    </row>
    <row r="42" spans="4:18" ht="13.5" thickBot="1" x14ac:dyDescent="0.25">
      <c r="H42" s="92"/>
      <c r="K42" s="808"/>
      <c r="L42" s="813"/>
      <c r="M42" s="102" t="s">
        <v>131</v>
      </c>
      <c r="N42" s="103" t="s">
        <v>134</v>
      </c>
      <c r="O42" s="102" t="s">
        <v>131</v>
      </c>
      <c r="P42" s="103" t="s">
        <v>134</v>
      </c>
      <c r="Q42" s="102" t="s">
        <v>131</v>
      </c>
      <c r="R42" s="103" t="s">
        <v>134</v>
      </c>
    </row>
    <row r="43" spans="4:18" x14ac:dyDescent="0.2">
      <c r="K43" s="43" t="s">
        <v>113</v>
      </c>
      <c r="L43" s="46">
        <v>0.15</v>
      </c>
      <c r="M43" s="40">
        <v>7</v>
      </c>
      <c r="N43" s="93">
        <f t="shared" ref="N43:N50" si="0">$L$43*M43</f>
        <v>1.05</v>
      </c>
      <c r="O43" s="94">
        <v>7</v>
      </c>
      <c r="P43" s="93">
        <f t="shared" ref="P43:P50" si="1">$L$43*O43</f>
        <v>1.05</v>
      </c>
      <c r="Q43" s="95">
        <v>8</v>
      </c>
      <c r="R43" s="93">
        <f t="shared" ref="R43:R50" si="2">$L$43*Q43</f>
        <v>1.2</v>
      </c>
    </row>
    <row r="44" spans="4:18" x14ac:dyDescent="0.2">
      <c r="K44" s="44" t="s">
        <v>114</v>
      </c>
      <c r="L44" s="47">
        <v>0.15</v>
      </c>
      <c r="M44" s="41">
        <v>7</v>
      </c>
      <c r="N44" s="93">
        <f t="shared" si="0"/>
        <v>1.05</v>
      </c>
      <c r="O44" s="96">
        <v>8</v>
      </c>
      <c r="P44" s="93">
        <f t="shared" si="1"/>
        <v>1.2</v>
      </c>
      <c r="Q44" s="97">
        <v>8</v>
      </c>
      <c r="R44" s="93">
        <f t="shared" si="2"/>
        <v>1.2</v>
      </c>
    </row>
    <row r="45" spans="4:18" x14ac:dyDescent="0.2">
      <c r="K45" s="44" t="s">
        <v>101</v>
      </c>
      <c r="L45" s="47">
        <v>0.15</v>
      </c>
      <c r="M45" s="41">
        <v>5</v>
      </c>
      <c r="N45" s="93">
        <f t="shared" si="0"/>
        <v>0.75</v>
      </c>
      <c r="O45" s="96">
        <v>7</v>
      </c>
      <c r="P45" s="93">
        <f t="shared" si="1"/>
        <v>1.05</v>
      </c>
      <c r="Q45" s="97">
        <v>5</v>
      </c>
      <c r="R45" s="93">
        <f t="shared" si="2"/>
        <v>0.75</v>
      </c>
    </row>
    <row r="46" spans="4:18" x14ac:dyDescent="0.2">
      <c r="K46" s="44" t="s">
        <v>105</v>
      </c>
      <c r="L46" s="47">
        <v>0.3</v>
      </c>
      <c r="M46" s="41">
        <v>6</v>
      </c>
      <c r="N46" s="93">
        <f t="shared" si="0"/>
        <v>0.89999999999999991</v>
      </c>
      <c r="O46" s="96">
        <v>7</v>
      </c>
      <c r="P46" s="93">
        <f t="shared" si="1"/>
        <v>1.05</v>
      </c>
      <c r="Q46" s="97">
        <v>8</v>
      </c>
      <c r="R46" s="93">
        <f t="shared" si="2"/>
        <v>1.2</v>
      </c>
    </row>
    <row r="47" spans="4:18" x14ac:dyDescent="0.2">
      <c r="K47" s="44" t="s">
        <v>106</v>
      </c>
      <c r="L47" s="47">
        <v>0.05</v>
      </c>
      <c r="M47" s="41">
        <v>5</v>
      </c>
      <c r="N47" s="93">
        <f t="shared" si="0"/>
        <v>0.75</v>
      </c>
      <c r="O47" s="96">
        <v>9</v>
      </c>
      <c r="P47" s="93">
        <f t="shared" si="1"/>
        <v>1.3499999999999999</v>
      </c>
      <c r="Q47" s="97">
        <v>6</v>
      </c>
      <c r="R47" s="93">
        <f t="shared" si="2"/>
        <v>0.89999999999999991</v>
      </c>
    </row>
    <row r="48" spans="4:18" x14ac:dyDescent="0.2">
      <c r="K48" s="44" t="s">
        <v>102</v>
      </c>
      <c r="L48" s="47">
        <v>0.05</v>
      </c>
      <c r="M48" s="41">
        <v>8</v>
      </c>
      <c r="N48" s="93">
        <f t="shared" si="0"/>
        <v>1.2</v>
      </c>
      <c r="O48" s="96">
        <v>8</v>
      </c>
      <c r="P48" s="93">
        <f t="shared" si="1"/>
        <v>1.2</v>
      </c>
      <c r="Q48" s="97">
        <v>8</v>
      </c>
      <c r="R48" s="93">
        <f t="shared" si="2"/>
        <v>1.2</v>
      </c>
    </row>
    <row r="49" spans="11:18" x14ac:dyDescent="0.2">
      <c r="K49" s="44" t="s">
        <v>103</v>
      </c>
      <c r="L49" s="47">
        <v>0.05</v>
      </c>
      <c r="M49" s="41">
        <v>7</v>
      </c>
      <c r="N49" s="93">
        <f t="shared" si="0"/>
        <v>1.05</v>
      </c>
      <c r="O49" s="96">
        <v>7</v>
      </c>
      <c r="P49" s="93">
        <f t="shared" si="1"/>
        <v>1.05</v>
      </c>
      <c r="Q49" s="97">
        <v>7</v>
      </c>
      <c r="R49" s="93">
        <f t="shared" si="2"/>
        <v>1.05</v>
      </c>
    </row>
    <row r="50" spans="11:18" ht="13.5" thickBot="1" x14ac:dyDescent="0.25">
      <c r="K50" s="45" t="s">
        <v>104</v>
      </c>
      <c r="L50" s="48">
        <v>0.1</v>
      </c>
      <c r="M50" s="42">
        <v>7</v>
      </c>
      <c r="N50" s="93">
        <f t="shared" si="0"/>
        <v>1.05</v>
      </c>
      <c r="O50" s="98">
        <v>7</v>
      </c>
      <c r="P50" s="93">
        <f t="shared" si="1"/>
        <v>1.05</v>
      </c>
      <c r="Q50" s="99">
        <v>7</v>
      </c>
      <c r="R50" s="93">
        <f t="shared" si="2"/>
        <v>1.05</v>
      </c>
    </row>
    <row r="51" spans="11:18" ht="13.5" thickBot="1" x14ac:dyDescent="0.25">
      <c r="K51" s="104" t="s">
        <v>110</v>
      </c>
      <c r="L51" s="105">
        <f>SUM(L43:L50)</f>
        <v>1.0000000000000002</v>
      </c>
      <c r="M51" s="100"/>
      <c r="N51" s="100">
        <f>SUM(N43:N50)</f>
        <v>7.8</v>
      </c>
      <c r="O51" s="100"/>
      <c r="P51" s="101">
        <f>SUM(P43:P50)</f>
        <v>9</v>
      </c>
      <c r="Q51" s="100"/>
      <c r="R51" s="106">
        <f>SUM(R43:R50)</f>
        <v>8.5500000000000007</v>
      </c>
    </row>
    <row r="52" spans="11:18" ht="12" customHeight="1" x14ac:dyDescent="0.2">
      <c r="K52" s="68" t="s">
        <v>107</v>
      </c>
      <c r="L52" s="815" t="s">
        <v>118</v>
      </c>
      <c r="M52" s="815"/>
      <c r="N52" s="68"/>
      <c r="O52" s="68"/>
      <c r="P52" s="68"/>
      <c r="Q52" s="817" t="s">
        <v>132</v>
      </c>
      <c r="R52" s="817"/>
    </row>
    <row r="53" spans="11:18" ht="12" customHeight="1" x14ac:dyDescent="0.2">
      <c r="K53" s="68" t="s">
        <v>108</v>
      </c>
      <c r="L53" s="815" t="s">
        <v>116</v>
      </c>
      <c r="M53" s="815"/>
      <c r="N53" s="68"/>
      <c r="O53" s="68"/>
      <c r="P53" s="68"/>
      <c r="Q53" s="818" t="s">
        <v>133</v>
      </c>
      <c r="R53" s="818"/>
    </row>
    <row r="54" spans="11:18" x14ac:dyDescent="0.2">
      <c r="K54" s="68" t="s">
        <v>109</v>
      </c>
      <c r="L54" s="815" t="s">
        <v>117</v>
      </c>
      <c r="M54" s="815"/>
      <c r="N54" s="68"/>
      <c r="O54" s="68"/>
      <c r="P54" s="68"/>
      <c r="Q54" s="68"/>
      <c r="R54" s="68"/>
    </row>
    <row r="58" spans="11:18" ht="13.5" thickBot="1" x14ac:dyDescent="0.25">
      <c r="K58" s="814" t="s">
        <v>128</v>
      </c>
      <c r="L58" s="814"/>
      <c r="M58" s="814"/>
      <c r="N58" s="814"/>
      <c r="O58" s="814"/>
      <c r="P58" s="814"/>
      <c r="Q58" s="814"/>
      <c r="R58" s="814"/>
    </row>
    <row r="59" spans="11:18" x14ac:dyDescent="0.2">
      <c r="K59" s="807" t="s">
        <v>112</v>
      </c>
      <c r="L59" s="812" t="s">
        <v>111</v>
      </c>
      <c r="M59" s="809" t="s">
        <v>107</v>
      </c>
      <c r="N59" s="810"/>
      <c r="O59" s="809" t="s">
        <v>108</v>
      </c>
      <c r="P59" s="810"/>
      <c r="Q59" s="811" t="s">
        <v>109</v>
      </c>
      <c r="R59" s="810"/>
    </row>
    <row r="60" spans="11:18" ht="13.5" thickBot="1" x14ac:dyDescent="0.25">
      <c r="K60" s="808"/>
      <c r="L60" s="813"/>
      <c r="M60" s="102" t="s">
        <v>131</v>
      </c>
      <c r="N60" s="103" t="s">
        <v>134</v>
      </c>
      <c r="O60" s="102" t="s">
        <v>131</v>
      </c>
      <c r="P60" s="103" t="s">
        <v>134</v>
      </c>
      <c r="Q60" s="102" t="s">
        <v>131</v>
      </c>
      <c r="R60" s="103" t="s">
        <v>134</v>
      </c>
    </row>
    <row r="61" spans="11:18" x14ac:dyDescent="0.2">
      <c r="K61" s="43" t="s">
        <v>113</v>
      </c>
      <c r="L61" s="46">
        <v>0.15</v>
      </c>
      <c r="M61" s="40">
        <v>7</v>
      </c>
      <c r="N61" s="93">
        <f t="shared" ref="N61:N68" si="3">$L$43*M61</f>
        <v>1.05</v>
      </c>
      <c r="O61" s="94">
        <v>7</v>
      </c>
      <c r="P61" s="93">
        <f t="shared" ref="P61:P68" si="4">$L$43*O61</f>
        <v>1.05</v>
      </c>
      <c r="Q61" s="95">
        <v>7</v>
      </c>
      <c r="R61" s="93">
        <f t="shared" ref="R61:R68" si="5">$L$43*Q61</f>
        <v>1.05</v>
      </c>
    </row>
    <row r="62" spans="11:18" x14ac:dyDescent="0.2">
      <c r="K62" s="44" t="s">
        <v>114</v>
      </c>
      <c r="L62" s="47">
        <v>0.15</v>
      </c>
      <c r="M62" s="41">
        <v>8</v>
      </c>
      <c r="N62" s="93">
        <f t="shared" si="3"/>
        <v>1.2</v>
      </c>
      <c r="O62" s="96">
        <v>6</v>
      </c>
      <c r="P62" s="93">
        <f t="shared" si="4"/>
        <v>0.89999999999999991</v>
      </c>
      <c r="Q62" s="97">
        <v>8</v>
      </c>
      <c r="R62" s="93">
        <f t="shared" si="5"/>
        <v>1.2</v>
      </c>
    </row>
    <row r="63" spans="11:18" x14ac:dyDescent="0.2">
      <c r="K63" s="44" t="s">
        <v>101</v>
      </c>
      <c r="L63" s="47">
        <v>0.15</v>
      </c>
      <c r="M63" s="41">
        <v>7</v>
      </c>
      <c r="N63" s="93">
        <f t="shared" si="3"/>
        <v>1.05</v>
      </c>
      <c r="O63" s="96">
        <v>8</v>
      </c>
      <c r="P63" s="93">
        <f t="shared" si="4"/>
        <v>1.2</v>
      </c>
      <c r="Q63" s="97">
        <v>7</v>
      </c>
      <c r="R63" s="93">
        <f t="shared" si="5"/>
        <v>1.05</v>
      </c>
    </row>
    <row r="64" spans="11:18" x14ac:dyDescent="0.2">
      <c r="K64" s="44" t="s">
        <v>105</v>
      </c>
      <c r="L64" s="47">
        <v>0.3</v>
      </c>
      <c r="M64" s="41">
        <v>8</v>
      </c>
      <c r="N64" s="93">
        <f t="shared" si="3"/>
        <v>1.2</v>
      </c>
      <c r="O64" s="96">
        <v>7</v>
      </c>
      <c r="P64" s="93">
        <f t="shared" si="4"/>
        <v>1.05</v>
      </c>
      <c r="Q64" s="97">
        <v>5</v>
      </c>
      <c r="R64" s="93">
        <f t="shared" si="5"/>
        <v>0.75</v>
      </c>
    </row>
    <row r="65" spans="11:18" x14ac:dyDescent="0.2">
      <c r="K65" s="44" t="s">
        <v>106</v>
      </c>
      <c r="L65" s="47">
        <v>0.05</v>
      </c>
      <c r="M65" s="41">
        <v>7</v>
      </c>
      <c r="N65" s="93">
        <f t="shared" si="3"/>
        <v>1.05</v>
      </c>
      <c r="O65" s="96">
        <v>7</v>
      </c>
      <c r="P65" s="93">
        <f t="shared" si="4"/>
        <v>1.05</v>
      </c>
      <c r="Q65" s="97">
        <v>6</v>
      </c>
      <c r="R65" s="93">
        <f t="shared" si="5"/>
        <v>0.89999999999999991</v>
      </c>
    </row>
    <row r="66" spans="11:18" x14ac:dyDescent="0.2">
      <c r="K66" s="44" t="s">
        <v>102</v>
      </c>
      <c r="L66" s="47">
        <v>0.05</v>
      </c>
      <c r="M66" s="41">
        <v>5</v>
      </c>
      <c r="N66" s="93">
        <f t="shared" si="3"/>
        <v>0.75</v>
      </c>
      <c r="O66" s="96">
        <v>5</v>
      </c>
      <c r="P66" s="93">
        <f t="shared" si="4"/>
        <v>0.75</v>
      </c>
      <c r="Q66" s="97">
        <v>5</v>
      </c>
      <c r="R66" s="93">
        <f t="shared" si="5"/>
        <v>0.75</v>
      </c>
    </row>
    <row r="67" spans="11:18" x14ac:dyDescent="0.2">
      <c r="K67" s="44" t="s">
        <v>103</v>
      </c>
      <c r="L67" s="47">
        <v>0.05</v>
      </c>
      <c r="M67" s="41">
        <v>8</v>
      </c>
      <c r="N67" s="93">
        <f t="shared" si="3"/>
        <v>1.2</v>
      </c>
      <c r="O67" s="96">
        <v>8</v>
      </c>
      <c r="P67" s="93">
        <f t="shared" si="4"/>
        <v>1.2</v>
      </c>
      <c r="Q67" s="97">
        <v>7</v>
      </c>
      <c r="R67" s="93">
        <f t="shared" si="5"/>
        <v>1.05</v>
      </c>
    </row>
    <row r="68" spans="11:18" ht="13.5" thickBot="1" x14ac:dyDescent="0.25">
      <c r="K68" s="45" t="s">
        <v>104</v>
      </c>
      <c r="L68" s="48">
        <v>0.1</v>
      </c>
      <c r="M68" s="42">
        <v>8</v>
      </c>
      <c r="N68" s="93">
        <f t="shared" si="3"/>
        <v>1.2</v>
      </c>
      <c r="O68" s="98">
        <v>7</v>
      </c>
      <c r="P68" s="93">
        <f t="shared" si="4"/>
        <v>1.05</v>
      </c>
      <c r="Q68" s="99">
        <v>6</v>
      </c>
      <c r="R68" s="93">
        <f t="shared" si="5"/>
        <v>0.89999999999999991</v>
      </c>
    </row>
    <row r="69" spans="11:18" ht="13.5" thickBot="1" x14ac:dyDescent="0.25">
      <c r="K69" s="104" t="s">
        <v>110</v>
      </c>
      <c r="L69" s="105">
        <f>SUM(L61:L68)</f>
        <v>1.0000000000000002</v>
      </c>
      <c r="M69" s="100"/>
      <c r="N69" s="101">
        <f>SUM(N61:N68)</f>
        <v>8.6999999999999993</v>
      </c>
      <c r="O69" s="100"/>
      <c r="P69" s="100">
        <f>SUM(P61:P68)</f>
        <v>8.25</v>
      </c>
      <c r="Q69" s="100"/>
      <c r="R69" s="106">
        <f>SUM(R61:R68)</f>
        <v>7.6499999999999986</v>
      </c>
    </row>
    <row r="70" spans="11:18" x14ac:dyDescent="0.2">
      <c r="K70" s="68" t="s">
        <v>107</v>
      </c>
      <c r="L70" s="815" t="s">
        <v>119</v>
      </c>
      <c r="M70" s="815"/>
      <c r="N70" s="68"/>
      <c r="O70" s="68"/>
      <c r="P70" s="68"/>
      <c r="Q70" s="817" t="s">
        <v>132</v>
      </c>
      <c r="R70" s="817"/>
    </row>
    <row r="71" spans="11:18" x14ac:dyDescent="0.2">
      <c r="K71" s="68" t="s">
        <v>108</v>
      </c>
      <c r="L71" s="815" t="s">
        <v>120</v>
      </c>
      <c r="M71" s="815"/>
      <c r="N71" s="68"/>
      <c r="O71" s="68"/>
      <c r="P71" s="68"/>
      <c r="Q71" s="818" t="s">
        <v>133</v>
      </c>
      <c r="R71" s="818"/>
    </row>
    <row r="72" spans="11:18" x14ac:dyDescent="0.2">
      <c r="K72" s="68" t="s">
        <v>109</v>
      </c>
      <c r="L72" s="815" t="s">
        <v>121</v>
      </c>
      <c r="M72" s="815"/>
      <c r="N72" s="68"/>
      <c r="O72" s="68"/>
      <c r="P72" s="68"/>
      <c r="Q72" s="68"/>
      <c r="R72" s="68"/>
    </row>
    <row r="75" spans="11:18" ht="13.5" thickBot="1" x14ac:dyDescent="0.25">
      <c r="K75" s="814" t="s">
        <v>129</v>
      </c>
      <c r="L75" s="814"/>
      <c r="M75" s="814"/>
      <c r="N75" s="814"/>
      <c r="O75" s="814"/>
      <c r="P75" s="814"/>
      <c r="Q75" s="814"/>
      <c r="R75" s="814"/>
    </row>
    <row r="76" spans="11:18" x14ac:dyDescent="0.2">
      <c r="K76" s="807" t="s">
        <v>112</v>
      </c>
      <c r="L76" s="812" t="s">
        <v>111</v>
      </c>
      <c r="M76" s="809" t="s">
        <v>107</v>
      </c>
      <c r="N76" s="810"/>
      <c r="O76" s="809" t="s">
        <v>108</v>
      </c>
      <c r="P76" s="810"/>
      <c r="Q76" s="811" t="s">
        <v>109</v>
      </c>
      <c r="R76" s="810"/>
    </row>
    <row r="77" spans="11:18" ht="13.5" thickBot="1" x14ac:dyDescent="0.25">
      <c r="K77" s="808"/>
      <c r="L77" s="813"/>
      <c r="M77" s="102" t="s">
        <v>131</v>
      </c>
      <c r="N77" s="103" t="s">
        <v>134</v>
      </c>
      <c r="O77" s="102" t="s">
        <v>131</v>
      </c>
      <c r="P77" s="103" t="s">
        <v>134</v>
      </c>
      <c r="Q77" s="102" t="s">
        <v>131</v>
      </c>
      <c r="R77" s="103" t="s">
        <v>134</v>
      </c>
    </row>
    <row r="78" spans="11:18" x14ac:dyDescent="0.2">
      <c r="K78" s="43" t="s">
        <v>113</v>
      </c>
      <c r="L78" s="46">
        <v>0.15</v>
      </c>
      <c r="M78" s="40">
        <v>6</v>
      </c>
      <c r="N78" s="93">
        <f t="shared" ref="N78:N85" si="6">$L$43*M78</f>
        <v>0.89999999999999991</v>
      </c>
      <c r="O78" s="94">
        <v>7</v>
      </c>
      <c r="P78" s="93">
        <f t="shared" ref="P78:P85" si="7">$L$43*O78</f>
        <v>1.05</v>
      </c>
      <c r="Q78" s="95">
        <v>8</v>
      </c>
      <c r="R78" s="93">
        <f t="shared" ref="R78:R85" si="8">$L$43*Q78</f>
        <v>1.2</v>
      </c>
    </row>
    <row r="79" spans="11:18" x14ac:dyDescent="0.2">
      <c r="K79" s="44" t="s">
        <v>114</v>
      </c>
      <c r="L79" s="47">
        <v>0.15</v>
      </c>
      <c r="M79" s="41">
        <v>8</v>
      </c>
      <c r="N79" s="93">
        <f t="shared" si="6"/>
        <v>1.2</v>
      </c>
      <c r="O79" s="96">
        <v>8</v>
      </c>
      <c r="P79" s="93">
        <f t="shared" si="7"/>
        <v>1.2</v>
      </c>
      <c r="Q79" s="97">
        <v>9</v>
      </c>
      <c r="R79" s="93">
        <f t="shared" si="8"/>
        <v>1.3499999999999999</v>
      </c>
    </row>
    <row r="80" spans="11:18" x14ac:dyDescent="0.2">
      <c r="K80" s="44" t="s">
        <v>101</v>
      </c>
      <c r="L80" s="47">
        <v>0.15</v>
      </c>
      <c r="M80" s="41">
        <v>7</v>
      </c>
      <c r="N80" s="93">
        <f t="shared" si="6"/>
        <v>1.05</v>
      </c>
      <c r="O80" s="96">
        <v>7</v>
      </c>
      <c r="P80" s="93">
        <f t="shared" si="7"/>
        <v>1.05</v>
      </c>
      <c r="Q80" s="97">
        <v>9</v>
      </c>
      <c r="R80" s="93">
        <f t="shared" si="8"/>
        <v>1.3499999999999999</v>
      </c>
    </row>
    <row r="81" spans="11:18" x14ac:dyDescent="0.2">
      <c r="K81" s="44" t="s">
        <v>105</v>
      </c>
      <c r="L81" s="47">
        <v>0.3</v>
      </c>
      <c r="M81" s="41">
        <v>8</v>
      </c>
      <c r="N81" s="93">
        <f t="shared" si="6"/>
        <v>1.2</v>
      </c>
      <c r="O81" s="96">
        <v>9</v>
      </c>
      <c r="P81" s="93">
        <f t="shared" si="7"/>
        <v>1.3499999999999999</v>
      </c>
      <c r="Q81" s="97">
        <v>8</v>
      </c>
      <c r="R81" s="93">
        <f t="shared" si="8"/>
        <v>1.2</v>
      </c>
    </row>
    <row r="82" spans="11:18" x14ac:dyDescent="0.2">
      <c r="K82" s="44" t="s">
        <v>106</v>
      </c>
      <c r="L82" s="47">
        <v>0.05</v>
      </c>
      <c r="M82" s="41">
        <v>5</v>
      </c>
      <c r="N82" s="93">
        <f t="shared" si="6"/>
        <v>0.75</v>
      </c>
      <c r="O82" s="96">
        <v>5</v>
      </c>
      <c r="P82" s="93">
        <f t="shared" si="7"/>
        <v>0.75</v>
      </c>
      <c r="Q82" s="97">
        <v>9</v>
      </c>
      <c r="R82" s="93">
        <f t="shared" si="8"/>
        <v>1.3499999999999999</v>
      </c>
    </row>
    <row r="83" spans="11:18" x14ac:dyDescent="0.2">
      <c r="K83" s="44" t="s">
        <v>102</v>
      </c>
      <c r="L83" s="47">
        <v>0.05</v>
      </c>
      <c r="M83" s="41">
        <v>6</v>
      </c>
      <c r="N83" s="93">
        <f t="shared" si="6"/>
        <v>0.89999999999999991</v>
      </c>
      <c r="O83" s="96">
        <v>6</v>
      </c>
      <c r="P83" s="93">
        <f t="shared" si="7"/>
        <v>0.89999999999999991</v>
      </c>
      <c r="Q83" s="97">
        <v>9</v>
      </c>
      <c r="R83" s="93">
        <f t="shared" si="8"/>
        <v>1.3499999999999999</v>
      </c>
    </row>
    <row r="84" spans="11:18" x14ac:dyDescent="0.2">
      <c r="K84" s="44" t="s">
        <v>103</v>
      </c>
      <c r="L84" s="47">
        <v>0.05</v>
      </c>
      <c r="M84" s="41">
        <v>7</v>
      </c>
      <c r="N84" s="93">
        <f t="shared" si="6"/>
        <v>1.05</v>
      </c>
      <c r="O84" s="96">
        <v>7</v>
      </c>
      <c r="P84" s="93">
        <f t="shared" si="7"/>
        <v>1.05</v>
      </c>
      <c r="Q84" s="97">
        <v>9</v>
      </c>
      <c r="R84" s="93">
        <f t="shared" si="8"/>
        <v>1.3499999999999999</v>
      </c>
    </row>
    <row r="85" spans="11:18" ht="13.5" thickBot="1" x14ac:dyDescent="0.25">
      <c r="K85" s="45" t="s">
        <v>104</v>
      </c>
      <c r="L85" s="48">
        <v>0.1</v>
      </c>
      <c r="M85" s="42">
        <v>7</v>
      </c>
      <c r="N85" s="93">
        <f t="shared" si="6"/>
        <v>1.05</v>
      </c>
      <c r="O85" s="98">
        <v>7</v>
      </c>
      <c r="P85" s="93">
        <f t="shared" si="7"/>
        <v>1.05</v>
      </c>
      <c r="Q85" s="99">
        <v>7</v>
      </c>
      <c r="R85" s="93">
        <f t="shared" si="8"/>
        <v>1.05</v>
      </c>
    </row>
    <row r="86" spans="11:18" ht="13.5" thickBot="1" x14ac:dyDescent="0.25">
      <c r="K86" s="104" t="s">
        <v>110</v>
      </c>
      <c r="L86" s="105">
        <f>SUM(L78:L85)</f>
        <v>1.0000000000000002</v>
      </c>
      <c r="M86" s="100"/>
      <c r="N86" s="100">
        <f>SUM(N78:N85)</f>
        <v>8.1</v>
      </c>
      <c r="O86" s="100"/>
      <c r="P86" s="100">
        <f>SUM(P78:P85)</f>
        <v>8.3999999999999986</v>
      </c>
      <c r="Q86" s="100"/>
      <c r="R86" s="107">
        <f>SUM(R78:R85)</f>
        <v>10.199999999999999</v>
      </c>
    </row>
    <row r="87" spans="11:18" ht="15" customHeight="1" x14ac:dyDescent="0.2">
      <c r="K87" s="68" t="s">
        <v>107</v>
      </c>
      <c r="L87" s="819" t="s">
        <v>124</v>
      </c>
      <c r="M87" s="819"/>
      <c r="N87" s="819"/>
      <c r="O87" s="68"/>
      <c r="P87" s="68"/>
      <c r="Q87" s="817" t="s">
        <v>132</v>
      </c>
      <c r="R87" s="817"/>
    </row>
    <row r="88" spans="11:18" ht="12.75" customHeight="1" x14ac:dyDescent="0.2">
      <c r="K88" s="68" t="s">
        <v>108</v>
      </c>
      <c r="L88" s="816" t="s">
        <v>123</v>
      </c>
      <c r="M88" s="816"/>
      <c r="N88" s="816"/>
      <c r="O88" s="68"/>
      <c r="P88" s="68"/>
      <c r="Q88" s="818" t="s">
        <v>133</v>
      </c>
      <c r="R88" s="818"/>
    </row>
    <row r="89" spans="11:18" ht="12.75" customHeight="1" x14ac:dyDescent="0.2">
      <c r="K89" s="68" t="s">
        <v>109</v>
      </c>
      <c r="L89" s="816" t="s">
        <v>122</v>
      </c>
      <c r="M89" s="816"/>
      <c r="N89" s="816"/>
      <c r="O89" s="68"/>
      <c r="P89" s="68"/>
      <c r="Q89" s="68"/>
      <c r="R89" s="68"/>
    </row>
    <row r="92" spans="11:18" ht="13.5" thickBot="1" x14ac:dyDescent="0.25">
      <c r="K92" s="814" t="s">
        <v>130</v>
      </c>
      <c r="L92" s="814"/>
      <c r="M92" s="814"/>
      <c r="N92" s="814"/>
      <c r="O92" s="814"/>
      <c r="P92" s="814"/>
      <c r="Q92" s="814"/>
      <c r="R92" s="814"/>
    </row>
    <row r="93" spans="11:18" x14ac:dyDescent="0.2">
      <c r="K93" s="807" t="s">
        <v>112</v>
      </c>
      <c r="L93" s="812" t="s">
        <v>111</v>
      </c>
      <c r="M93" s="809" t="s">
        <v>107</v>
      </c>
      <c r="N93" s="810"/>
      <c r="O93" s="809" t="s">
        <v>108</v>
      </c>
      <c r="P93" s="810"/>
      <c r="Q93" s="811" t="s">
        <v>109</v>
      </c>
      <c r="R93" s="810"/>
    </row>
    <row r="94" spans="11:18" ht="13.5" thickBot="1" x14ac:dyDescent="0.25">
      <c r="K94" s="808"/>
      <c r="L94" s="813"/>
      <c r="M94" s="102" t="s">
        <v>131</v>
      </c>
      <c r="N94" s="103" t="s">
        <v>134</v>
      </c>
      <c r="O94" s="102" t="s">
        <v>131</v>
      </c>
      <c r="P94" s="103" t="s">
        <v>134</v>
      </c>
      <c r="Q94" s="102" t="s">
        <v>131</v>
      </c>
      <c r="R94" s="103" t="s">
        <v>134</v>
      </c>
    </row>
    <row r="95" spans="11:18" x14ac:dyDescent="0.2">
      <c r="K95" s="43" t="s">
        <v>113</v>
      </c>
      <c r="L95" s="46">
        <v>0.15</v>
      </c>
      <c r="M95" s="40">
        <v>8</v>
      </c>
      <c r="N95" s="93">
        <f t="shared" ref="N95:N102" si="9">$L$43*M95</f>
        <v>1.2</v>
      </c>
      <c r="O95" s="94">
        <v>8</v>
      </c>
      <c r="P95" s="93">
        <f t="shared" ref="P95:P102" si="10">$L$43*O95</f>
        <v>1.2</v>
      </c>
      <c r="Q95" s="95">
        <v>6</v>
      </c>
      <c r="R95" s="93">
        <f t="shared" ref="R95:R102" si="11">$L$43*Q95</f>
        <v>0.89999999999999991</v>
      </c>
    </row>
    <row r="96" spans="11:18" x14ac:dyDescent="0.2">
      <c r="K96" s="44" t="s">
        <v>114</v>
      </c>
      <c r="L96" s="47">
        <v>0.15</v>
      </c>
      <c r="M96" s="41">
        <v>9</v>
      </c>
      <c r="N96" s="93">
        <f t="shared" si="9"/>
        <v>1.3499999999999999</v>
      </c>
      <c r="O96" s="96">
        <v>8</v>
      </c>
      <c r="P96" s="93">
        <f t="shared" si="10"/>
        <v>1.2</v>
      </c>
      <c r="Q96" s="97">
        <v>7</v>
      </c>
      <c r="R96" s="93">
        <f t="shared" si="11"/>
        <v>1.05</v>
      </c>
    </row>
    <row r="97" spans="11:18" x14ac:dyDescent="0.2">
      <c r="K97" s="44" t="s">
        <v>101</v>
      </c>
      <c r="L97" s="47">
        <v>0.15</v>
      </c>
      <c r="M97" s="41">
        <v>6</v>
      </c>
      <c r="N97" s="93">
        <f t="shared" si="9"/>
        <v>0.89999999999999991</v>
      </c>
      <c r="O97" s="96">
        <v>7</v>
      </c>
      <c r="P97" s="93">
        <f t="shared" si="10"/>
        <v>1.05</v>
      </c>
      <c r="Q97" s="97">
        <v>7</v>
      </c>
      <c r="R97" s="93">
        <f t="shared" si="11"/>
        <v>1.05</v>
      </c>
    </row>
    <row r="98" spans="11:18" x14ac:dyDescent="0.2">
      <c r="K98" s="44" t="s">
        <v>105</v>
      </c>
      <c r="L98" s="47">
        <v>0.3</v>
      </c>
      <c r="M98" s="41">
        <v>7</v>
      </c>
      <c r="N98" s="93">
        <f t="shared" si="9"/>
        <v>1.05</v>
      </c>
      <c r="O98" s="96">
        <v>7</v>
      </c>
      <c r="P98" s="93">
        <f t="shared" si="10"/>
        <v>1.05</v>
      </c>
      <c r="Q98" s="97">
        <v>5</v>
      </c>
      <c r="R98" s="93">
        <f t="shared" si="11"/>
        <v>0.75</v>
      </c>
    </row>
    <row r="99" spans="11:18" x14ac:dyDescent="0.2">
      <c r="K99" s="44" t="s">
        <v>106</v>
      </c>
      <c r="L99" s="47">
        <v>0.05</v>
      </c>
      <c r="M99" s="41">
        <v>9</v>
      </c>
      <c r="N99" s="93">
        <f t="shared" si="9"/>
        <v>1.3499999999999999</v>
      </c>
      <c r="O99" s="96">
        <v>8</v>
      </c>
      <c r="P99" s="93">
        <f t="shared" si="10"/>
        <v>1.2</v>
      </c>
      <c r="Q99" s="97">
        <v>8</v>
      </c>
      <c r="R99" s="93">
        <f t="shared" si="11"/>
        <v>1.2</v>
      </c>
    </row>
    <row r="100" spans="11:18" x14ac:dyDescent="0.2">
      <c r="K100" s="44" t="s">
        <v>102</v>
      </c>
      <c r="L100" s="47">
        <v>0.05</v>
      </c>
      <c r="M100" s="41">
        <v>7</v>
      </c>
      <c r="N100" s="93">
        <f t="shared" si="9"/>
        <v>1.05</v>
      </c>
      <c r="O100" s="96">
        <v>7</v>
      </c>
      <c r="P100" s="93">
        <f t="shared" si="10"/>
        <v>1.05</v>
      </c>
      <c r="Q100" s="97">
        <v>7</v>
      </c>
      <c r="R100" s="93">
        <f t="shared" si="11"/>
        <v>1.05</v>
      </c>
    </row>
    <row r="101" spans="11:18" x14ac:dyDescent="0.2">
      <c r="K101" s="44" t="s">
        <v>103</v>
      </c>
      <c r="L101" s="47">
        <v>0.05</v>
      </c>
      <c r="M101" s="41">
        <v>7</v>
      </c>
      <c r="N101" s="93">
        <f t="shared" si="9"/>
        <v>1.05</v>
      </c>
      <c r="O101" s="96">
        <v>7</v>
      </c>
      <c r="P101" s="93">
        <f t="shared" si="10"/>
        <v>1.05</v>
      </c>
      <c r="Q101" s="97">
        <v>7</v>
      </c>
      <c r="R101" s="93">
        <f t="shared" si="11"/>
        <v>1.05</v>
      </c>
    </row>
    <row r="102" spans="11:18" ht="13.5" thickBot="1" x14ac:dyDescent="0.25">
      <c r="K102" s="45" t="s">
        <v>104</v>
      </c>
      <c r="L102" s="48">
        <v>0.1</v>
      </c>
      <c r="M102" s="42">
        <v>8</v>
      </c>
      <c r="N102" s="93">
        <f t="shared" si="9"/>
        <v>1.2</v>
      </c>
      <c r="O102" s="98">
        <v>7</v>
      </c>
      <c r="P102" s="93">
        <f t="shared" si="10"/>
        <v>1.05</v>
      </c>
      <c r="Q102" s="99">
        <v>6</v>
      </c>
      <c r="R102" s="93">
        <f t="shared" si="11"/>
        <v>0.89999999999999991</v>
      </c>
    </row>
    <row r="103" spans="11:18" ht="13.5" thickBot="1" x14ac:dyDescent="0.25">
      <c r="K103" s="104" t="s">
        <v>110</v>
      </c>
      <c r="L103" s="105">
        <f>SUM(L95:L102)</f>
        <v>1.0000000000000002</v>
      </c>
      <c r="M103" s="100"/>
      <c r="N103" s="101">
        <f>SUM(N95:N102)</f>
        <v>9.1499999999999986</v>
      </c>
      <c r="O103" s="100"/>
      <c r="P103" s="100">
        <f>SUM(P95:P102)</f>
        <v>8.85</v>
      </c>
      <c r="Q103" s="100"/>
      <c r="R103" s="106">
        <f>SUM(R95:R102)</f>
        <v>7.9499999999999993</v>
      </c>
    </row>
    <row r="104" spans="11:18" ht="15" customHeight="1" x14ac:dyDescent="0.2">
      <c r="K104" s="68" t="s">
        <v>107</v>
      </c>
      <c r="L104" s="819" t="s">
        <v>125</v>
      </c>
      <c r="M104" s="819"/>
      <c r="N104" s="819"/>
      <c r="O104" s="819"/>
      <c r="P104" s="68"/>
      <c r="Q104" s="817" t="s">
        <v>132</v>
      </c>
      <c r="R104" s="817"/>
    </row>
    <row r="105" spans="11:18" ht="12.75" customHeight="1" x14ac:dyDescent="0.2">
      <c r="K105" s="68" t="s">
        <v>108</v>
      </c>
      <c r="L105" s="816" t="s">
        <v>126</v>
      </c>
      <c r="M105" s="816"/>
      <c r="N105" s="816"/>
      <c r="O105" s="816"/>
      <c r="P105" s="68"/>
      <c r="Q105" s="818" t="s">
        <v>133</v>
      </c>
      <c r="R105" s="818"/>
    </row>
    <row r="106" spans="11:18" ht="12.75" customHeight="1" x14ac:dyDescent="0.2">
      <c r="K106" s="68" t="s">
        <v>109</v>
      </c>
      <c r="L106" s="816" t="s">
        <v>127</v>
      </c>
      <c r="M106" s="816"/>
      <c r="N106" s="816"/>
      <c r="O106" s="816"/>
      <c r="P106" s="68"/>
      <c r="Q106" s="68"/>
      <c r="R106" s="68"/>
    </row>
  </sheetData>
  <mergeCells count="51">
    <mergeCell ref="L105:O105"/>
    <mergeCell ref="L106:O106"/>
    <mergeCell ref="Q52:R52"/>
    <mergeCell ref="Q53:R53"/>
    <mergeCell ref="Q70:R70"/>
    <mergeCell ref="Q71:R71"/>
    <mergeCell ref="Q87:R87"/>
    <mergeCell ref="Q88:R88"/>
    <mergeCell ref="Q104:R104"/>
    <mergeCell ref="Q105:R105"/>
    <mergeCell ref="L89:N89"/>
    <mergeCell ref="L88:N88"/>
    <mergeCell ref="L87:N87"/>
    <mergeCell ref="L104:O104"/>
    <mergeCell ref="K92:R92"/>
    <mergeCell ref="K93:K94"/>
    <mergeCell ref="L93:L94"/>
    <mergeCell ref="M93:N93"/>
    <mergeCell ref="O93:P93"/>
    <mergeCell ref="Q93:R93"/>
    <mergeCell ref="L70:M70"/>
    <mergeCell ref="L71:M71"/>
    <mergeCell ref="L72:M72"/>
    <mergeCell ref="K75:R75"/>
    <mergeCell ref="K76:K77"/>
    <mergeCell ref="L76:L77"/>
    <mergeCell ref="M76:N76"/>
    <mergeCell ref="O76:P76"/>
    <mergeCell ref="Q76:R76"/>
    <mergeCell ref="L54:M54"/>
    <mergeCell ref="K58:R58"/>
    <mergeCell ref="K59:K60"/>
    <mergeCell ref="L59:L60"/>
    <mergeCell ref="M59:N59"/>
    <mergeCell ref="O59:P59"/>
    <mergeCell ref="Q59:R59"/>
    <mergeCell ref="Q41:R41"/>
    <mergeCell ref="L41:L42"/>
    <mergeCell ref="K40:R40"/>
    <mergeCell ref="L52:M52"/>
    <mergeCell ref="L53:M53"/>
    <mergeCell ref="F35:F37"/>
    <mergeCell ref="G35:G37"/>
    <mergeCell ref="K41:K42"/>
    <mergeCell ref="M41:N41"/>
    <mergeCell ref="O41:P41"/>
    <mergeCell ref="B1:C1"/>
    <mergeCell ref="B3:C3"/>
    <mergeCell ref="B19:C19"/>
    <mergeCell ref="B25:C25"/>
    <mergeCell ref="B32:C32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J38"/>
  <sheetViews>
    <sheetView showGridLines="0" topLeftCell="A46" zoomScaleNormal="100" workbookViewId="0">
      <selection activeCell="G12" sqref="G12:H16"/>
    </sheetView>
  </sheetViews>
  <sheetFormatPr baseColWidth="10" defaultRowHeight="12.75" x14ac:dyDescent="0.25"/>
  <cols>
    <col min="1" max="1" width="5.85546875" style="9" customWidth="1"/>
    <col min="2" max="2" width="9.140625" style="9" bestFit="1" customWidth="1"/>
    <col min="3" max="3" width="25.7109375" style="9" bestFit="1" customWidth="1"/>
    <col min="4" max="4" width="10.85546875" style="9" bestFit="1" customWidth="1"/>
    <col min="5" max="5" width="13.7109375" style="9" bestFit="1" customWidth="1"/>
    <col min="6" max="6" width="5" style="9" customWidth="1"/>
    <col min="7" max="7" width="40" style="9" customWidth="1"/>
    <col min="8" max="8" width="15.42578125" style="9" bestFit="1" customWidth="1"/>
    <col min="9" max="9" width="15.5703125" style="9" bestFit="1" customWidth="1"/>
    <col min="10" max="16384" width="11.42578125" style="9"/>
  </cols>
  <sheetData>
    <row r="1" spans="2:9" x14ac:dyDescent="0.25">
      <c r="B1" s="775" t="s">
        <v>39</v>
      </c>
      <c r="C1" s="775"/>
      <c r="D1" s="775"/>
      <c r="E1" s="775"/>
      <c r="F1" s="8"/>
      <c r="G1" s="8"/>
      <c r="H1" s="8"/>
      <c r="I1" s="14"/>
    </row>
    <row r="2" spans="2:9" x14ac:dyDescent="0.25">
      <c r="B2" s="10"/>
      <c r="C2" s="10"/>
      <c r="D2" s="10"/>
      <c r="E2" s="10"/>
      <c r="F2" s="10"/>
    </row>
    <row r="3" spans="2:9" x14ac:dyDescent="0.25">
      <c r="B3" s="821" t="s">
        <v>5</v>
      </c>
      <c r="C3" s="822"/>
      <c r="D3" s="822"/>
      <c r="E3" s="823"/>
      <c r="F3" s="8"/>
    </row>
    <row r="4" spans="2:9" x14ac:dyDescent="0.25">
      <c r="B4" s="129"/>
      <c r="C4" s="130"/>
      <c r="D4" s="130"/>
      <c r="E4" s="131"/>
      <c r="F4" s="10"/>
    </row>
    <row r="5" spans="2:9" x14ac:dyDescent="0.25">
      <c r="B5" s="132" t="s">
        <v>139</v>
      </c>
      <c r="C5" s="133" t="s">
        <v>68</v>
      </c>
      <c r="D5" s="133" t="s">
        <v>140</v>
      </c>
      <c r="E5" s="134" t="s">
        <v>141</v>
      </c>
      <c r="F5" s="8"/>
    </row>
    <row r="6" spans="2:9" x14ac:dyDescent="0.25">
      <c r="B6" s="127">
        <v>3</v>
      </c>
      <c r="C6" s="116" t="s">
        <v>8</v>
      </c>
      <c r="D6" s="122">
        <v>2.39</v>
      </c>
      <c r="E6" s="123">
        <f t="shared" ref="E6:E17" si="0">B6*D6</f>
        <v>7.17</v>
      </c>
      <c r="F6" s="12"/>
    </row>
    <row r="7" spans="2:9" x14ac:dyDescent="0.25">
      <c r="B7" s="127">
        <v>3</v>
      </c>
      <c r="C7" s="116" t="s">
        <v>19</v>
      </c>
      <c r="D7" s="658">
        <v>1.5</v>
      </c>
      <c r="E7" s="659">
        <f t="shared" si="0"/>
        <v>4.5</v>
      </c>
      <c r="F7" s="12"/>
    </row>
    <row r="8" spans="2:9" x14ac:dyDescent="0.25">
      <c r="B8" s="127">
        <f>12*3</f>
        <v>36</v>
      </c>
      <c r="C8" s="116" t="s">
        <v>9</v>
      </c>
      <c r="D8" s="658">
        <v>0.6</v>
      </c>
      <c r="E8" s="659">
        <f t="shared" si="0"/>
        <v>21.599999999999998</v>
      </c>
      <c r="F8" s="12"/>
    </row>
    <row r="9" spans="2:9" x14ac:dyDescent="0.25">
      <c r="B9" s="127">
        <f>6+3</f>
        <v>9</v>
      </c>
      <c r="C9" s="116" t="s">
        <v>20</v>
      </c>
      <c r="D9" s="658">
        <v>0.5</v>
      </c>
      <c r="E9" s="659">
        <f t="shared" si="0"/>
        <v>4.5</v>
      </c>
      <c r="F9" s="12"/>
    </row>
    <row r="10" spans="2:9" x14ac:dyDescent="0.25">
      <c r="B10" s="128">
        <f>12*3</f>
        <v>36</v>
      </c>
      <c r="C10" s="124" t="s">
        <v>13</v>
      </c>
      <c r="D10" s="660">
        <v>6</v>
      </c>
      <c r="E10" s="661">
        <f t="shared" si="0"/>
        <v>216</v>
      </c>
      <c r="F10" s="12"/>
    </row>
    <row r="11" spans="2:9" ht="13.5" thickBot="1" x14ac:dyDescent="0.3">
      <c r="B11" s="127">
        <v>3</v>
      </c>
      <c r="C11" s="116" t="s">
        <v>137</v>
      </c>
      <c r="D11" s="658">
        <v>2.5</v>
      </c>
      <c r="E11" s="659">
        <f t="shared" si="0"/>
        <v>7.5</v>
      </c>
      <c r="F11" s="12"/>
    </row>
    <row r="12" spans="2:9" ht="13.5" thickBot="1" x14ac:dyDescent="0.3">
      <c r="B12" s="127">
        <f>4*3</f>
        <v>12</v>
      </c>
      <c r="C12" s="116" t="s">
        <v>22</v>
      </c>
      <c r="D12" s="658">
        <v>0.88</v>
      </c>
      <c r="E12" s="659">
        <f t="shared" si="0"/>
        <v>10.56</v>
      </c>
      <c r="F12" s="12"/>
      <c r="G12" s="644" t="s">
        <v>537</v>
      </c>
      <c r="H12" s="107" t="s">
        <v>449</v>
      </c>
    </row>
    <row r="13" spans="2:9" x14ac:dyDescent="0.25">
      <c r="B13" s="127">
        <f>4*3</f>
        <v>12</v>
      </c>
      <c r="C13" s="116" t="s">
        <v>138</v>
      </c>
      <c r="D13" s="658">
        <v>0.72</v>
      </c>
      <c r="E13" s="659">
        <f t="shared" si="0"/>
        <v>8.64</v>
      </c>
      <c r="F13" s="12"/>
      <c r="G13" s="640" t="str">
        <f>B3</f>
        <v>Materiales de Oficina</v>
      </c>
      <c r="H13" s="642">
        <f>E18</f>
        <v>337.53</v>
      </c>
    </row>
    <row r="14" spans="2:9" x14ac:dyDescent="0.25">
      <c r="B14" s="127">
        <v>3</v>
      </c>
      <c r="C14" s="116" t="s">
        <v>27</v>
      </c>
      <c r="D14" s="658">
        <v>4</v>
      </c>
      <c r="E14" s="659">
        <f t="shared" si="0"/>
        <v>12</v>
      </c>
      <c r="F14" s="12"/>
      <c r="G14" s="640" t="str">
        <f>B20</f>
        <v>Muebles de Oficina</v>
      </c>
      <c r="H14" s="770">
        <f>E25</f>
        <v>131.9</v>
      </c>
    </row>
    <row r="15" spans="2:9" ht="13.5" thickBot="1" x14ac:dyDescent="0.3">
      <c r="B15" s="127">
        <v>3</v>
      </c>
      <c r="C15" s="116" t="s">
        <v>28</v>
      </c>
      <c r="D15" s="658">
        <v>3.22</v>
      </c>
      <c r="E15" s="659">
        <f t="shared" si="0"/>
        <v>9.66</v>
      </c>
      <c r="F15" s="12"/>
      <c r="G15" s="640" t="str">
        <f>B27</f>
        <v>Equipos de Oficina</v>
      </c>
      <c r="H15" s="770">
        <f>E33</f>
        <v>19226.96</v>
      </c>
    </row>
    <row r="16" spans="2:9" ht="13.5" thickBot="1" x14ac:dyDescent="0.3">
      <c r="B16" s="127">
        <v>3</v>
      </c>
      <c r="C16" s="116" t="s">
        <v>29</v>
      </c>
      <c r="D16" s="658">
        <v>4</v>
      </c>
      <c r="E16" s="659">
        <f t="shared" si="0"/>
        <v>12</v>
      </c>
      <c r="F16" s="12"/>
      <c r="G16" s="639" t="s">
        <v>0</v>
      </c>
      <c r="H16" s="645">
        <f>SUM(H13:H15)</f>
        <v>19696.39</v>
      </c>
    </row>
    <row r="17" spans="2:10" x14ac:dyDescent="0.25">
      <c r="B17" s="127">
        <v>3</v>
      </c>
      <c r="C17" s="116" t="s">
        <v>46</v>
      </c>
      <c r="D17" s="658">
        <v>7.8</v>
      </c>
      <c r="E17" s="659">
        <f t="shared" si="0"/>
        <v>23.4</v>
      </c>
      <c r="F17" s="12"/>
      <c r="G17" s="20"/>
      <c r="H17" s="20"/>
      <c r="I17" s="20"/>
      <c r="J17" s="20"/>
    </row>
    <row r="18" spans="2:10" x14ac:dyDescent="0.25">
      <c r="B18" s="118" t="s">
        <v>110</v>
      </c>
      <c r="C18" s="135"/>
      <c r="D18" s="136"/>
      <c r="E18" s="137">
        <f>SUM(E6:E17)</f>
        <v>337.53</v>
      </c>
      <c r="F18" s="12"/>
      <c r="G18" s="20"/>
      <c r="H18" s="20"/>
      <c r="I18" s="20"/>
      <c r="J18" s="20"/>
    </row>
    <row r="19" spans="2:10" ht="38.25" customHeight="1" x14ac:dyDescent="0.25">
      <c r="B19" s="10"/>
      <c r="C19" s="10"/>
      <c r="D19" s="8"/>
      <c r="E19" s="8"/>
      <c r="F19" s="12"/>
      <c r="G19" s="820"/>
      <c r="H19" s="820"/>
      <c r="I19" s="820"/>
      <c r="J19" s="820"/>
    </row>
    <row r="20" spans="2:10" ht="12.75" customHeight="1" x14ac:dyDescent="0.25">
      <c r="B20" s="821" t="s">
        <v>31</v>
      </c>
      <c r="C20" s="822"/>
      <c r="D20" s="822"/>
      <c r="E20" s="823"/>
      <c r="F20" s="12"/>
      <c r="G20" s="130"/>
      <c r="H20" s="130"/>
      <c r="I20" s="130"/>
      <c r="J20" s="130"/>
    </row>
    <row r="21" spans="2:10" x14ac:dyDescent="0.25">
      <c r="B21" s="111"/>
      <c r="C21" s="49"/>
      <c r="D21" s="49"/>
      <c r="E21" s="143"/>
      <c r="F21" s="12"/>
      <c r="G21" s="133"/>
      <c r="H21" s="133"/>
      <c r="I21" s="133"/>
      <c r="J21" s="133"/>
    </row>
    <row r="22" spans="2:10" x14ac:dyDescent="0.25">
      <c r="B22" s="132" t="s">
        <v>139</v>
      </c>
      <c r="C22" s="133" t="s">
        <v>68</v>
      </c>
      <c r="D22" s="133" t="s">
        <v>140</v>
      </c>
      <c r="E22" s="134" t="s">
        <v>141</v>
      </c>
      <c r="F22" s="12"/>
      <c r="G22" s="375"/>
      <c r="H22" s="116"/>
      <c r="I22" s="122"/>
      <c r="J22" s="122"/>
    </row>
    <row r="23" spans="2:10" x14ac:dyDescent="0.25">
      <c r="B23" s="113">
        <v>7</v>
      </c>
      <c r="C23" s="53" t="s">
        <v>144</v>
      </c>
      <c r="D23" s="140">
        <v>2.99</v>
      </c>
      <c r="E23" s="141">
        <f>B23*D23</f>
        <v>20.93</v>
      </c>
      <c r="F23" s="12"/>
      <c r="G23" s="375"/>
      <c r="H23" s="116"/>
      <c r="I23" s="122"/>
      <c r="J23" s="122"/>
    </row>
    <row r="24" spans="2:10" x14ac:dyDescent="0.25">
      <c r="B24" s="113">
        <v>3</v>
      </c>
      <c r="C24" s="72" t="s">
        <v>53</v>
      </c>
      <c r="D24" s="662">
        <v>36.99</v>
      </c>
      <c r="E24" s="663">
        <f>B24*D24</f>
        <v>110.97</v>
      </c>
      <c r="F24" s="12"/>
      <c r="G24" s="375"/>
      <c r="H24" s="116"/>
      <c r="I24" s="122"/>
      <c r="J24" s="122"/>
    </row>
    <row r="25" spans="2:10" x14ac:dyDescent="0.25">
      <c r="B25" s="146" t="s">
        <v>110</v>
      </c>
      <c r="C25" s="126"/>
      <c r="D25" s="144"/>
      <c r="E25" s="142">
        <f>SUM(E23:E24)</f>
        <v>131.9</v>
      </c>
      <c r="F25" s="8"/>
      <c r="G25" s="375"/>
      <c r="H25" s="116"/>
      <c r="I25" s="122"/>
      <c r="J25" s="122"/>
    </row>
    <row r="26" spans="2:10" x14ac:dyDescent="0.25">
      <c r="F26" s="8"/>
      <c r="G26" s="376"/>
      <c r="H26" s="124"/>
      <c r="I26" s="125"/>
      <c r="J26" s="125"/>
    </row>
    <row r="27" spans="2:10" ht="12.75" customHeight="1" x14ac:dyDescent="0.25">
      <c r="B27" s="821" t="s">
        <v>10</v>
      </c>
      <c r="C27" s="822"/>
      <c r="D27" s="822"/>
      <c r="E27" s="823"/>
      <c r="F27" s="16"/>
      <c r="G27" s="375"/>
      <c r="H27" s="116"/>
      <c r="I27" s="122"/>
      <c r="J27" s="122"/>
    </row>
    <row r="28" spans="2:10" x14ac:dyDescent="0.25">
      <c r="B28" s="111"/>
      <c r="C28" s="49"/>
      <c r="D28" s="49"/>
      <c r="E28" s="143"/>
      <c r="F28" s="16"/>
      <c r="G28" s="375"/>
      <c r="H28" s="116"/>
      <c r="I28" s="122"/>
      <c r="J28" s="122"/>
    </row>
    <row r="29" spans="2:10" x14ac:dyDescent="0.25">
      <c r="B29" s="132" t="s">
        <v>139</v>
      </c>
      <c r="C29" s="133" t="s">
        <v>68</v>
      </c>
      <c r="D29" s="133" t="s">
        <v>140</v>
      </c>
      <c r="E29" s="134" t="s">
        <v>141</v>
      </c>
      <c r="F29" s="16"/>
      <c r="G29" s="375"/>
      <c r="H29" s="116"/>
      <c r="I29" s="122"/>
      <c r="J29" s="122"/>
    </row>
    <row r="30" spans="2:10" x14ac:dyDescent="0.25">
      <c r="B30" s="113">
        <v>4</v>
      </c>
      <c r="C30" s="53" t="s">
        <v>145</v>
      </c>
      <c r="D30" s="140">
        <v>29.99</v>
      </c>
      <c r="E30" s="141">
        <f>B30*D30</f>
        <v>119.96</v>
      </c>
      <c r="F30" s="16"/>
      <c r="G30" s="375"/>
      <c r="H30" s="116"/>
      <c r="I30" s="122"/>
      <c r="J30" s="122"/>
    </row>
    <row r="31" spans="2:10" x14ac:dyDescent="0.25">
      <c r="B31" s="113">
        <v>3</v>
      </c>
      <c r="C31" s="72" t="s">
        <v>146</v>
      </c>
      <c r="D31" s="662">
        <v>305</v>
      </c>
      <c r="E31" s="663">
        <f>B31*D31</f>
        <v>915</v>
      </c>
      <c r="F31" s="14"/>
      <c r="G31" s="375"/>
      <c r="H31" s="116"/>
      <c r="I31" s="122"/>
      <c r="J31" s="122"/>
    </row>
    <row r="32" spans="2:10" x14ac:dyDescent="0.25">
      <c r="B32" s="113">
        <v>6</v>
      </c>
      <c r="C32" s="116" t="s">
        <v>147</v>
      </c>
      <c r="D32" s="662">
        <v>3032</v>
      </c>
      <c r="E32" s="663">
        <f>B32*D32</f>
        <v>18192</v>
      </c>
      <c r="F32" s="14"/>
      <c r="G32" s="375"/>
      <c r="H32" s="116"/>
      <c r="I32" s="122"/>
      <c r="J32" s="122"/>
    </row>
    <row r="33" spans="2:10" x14ac:dyDescent="0.25">
      <c r="B33" s="118" t="s">
        <v>110</v>
      </c>
      <c r="C33" s="119"/>
      <c r="D33" s="144"/>
      <c r="E33" s="137">
        <f>SUM(E30:E32)</f>
        <v>19226.96</v>
      </c>
      <c r="F33" s="14"/>
      <c r="G33" s="375"/>
      <c r="H33" s="116"/>
      <c r="I33" s="122"/>
      <c r="J33" s="122"/>
    </row>
    <row r="34" spans="2:10" x14ac:dyDescent="0.25">
      <c r="B34" s="10"/>
      <c r="C34" s="8"/>
      <c r="D34" s="6"/>
      <c r="E34" s="6"/>
      <c r="F34" s="14"/>
      <c r="G34" s="133"/>
      <c r="H34" s="130"/>
      <c r="I34" s="377"/>
      <c r="J34" s="377"/>
    </row>
    <row r="35" spans="2:10" x14ac:dyDescent="0.25">
      <c r="B35" s="779" t="s">
        <v>41</v>
      </c>
      <c r="C35" s="779"/>
      <c r="D35" s="779"/>
      <c r="E35" s="17">
        <f>E18+E25+E33</f>
        <v>19696.39</v>
      </c>
      <c r="F35" s="10"/>
      <c r="G35" s="20"/>
      <c r="H35" s="20"/>
      <c r="I35" s="20"/>
      <c r="J35" s="20"/>
    </row>
    <row r="36" spans="2:10" x14ac:dyDescent="0.25">
      <c r="G36" s="20"/>
      <c r="H36" s="20"/>
      <c r="I36" s="20"/>
      <c r="J36" s="20"/>
    </row>
    <row r="37" spans="2:10" x14ac:dyDescent="0.25">
      <c r="G37" s="20"/>
      <c r="H37" s="20"/>
      <c r="I37" s="20"/>
      <c r="J37" s="20"/>
    </row>
    <row r="38" spans="2:10" x14ac:dyDescent="0.25">
      <c r="G38" s="20"/>
      <c r="H38" s="20"/>
      <c r="I38" s="20"/>
      <c r="J38" s="20"/>
    </row>
  </sheetData>
  <mergeCells count="6">
    <mergeCell ref="B35:D35"/>
    <mergeCell ref="G19:J19"/>
    <mergeCell ref="B1:E1"/>
    <mergeCell ref="B3:E3"/>
    <mergeCell ref="B20:E20"/>
    <mergeCell ref="B27:E27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>
      <selection activeCell="E13" sqref="E13"/>
    </sheetView>
  </sheetViews>
  <sheetFormatPr baseColWidth="10" defaultRowHeight="14.25" x14ac:dyDescent="0.2"/>
  <cols>
    <col min="1" max="1" width="11.42578125" style="1"/>
    <col min="2" max="2" width="23.28515625" style="1" bestFit="1" customWidth="1"/>
    <col min="3" max="3" width="12.85546875" style="1" bestFit="1" customWidth="1"/>
    <col min="4" max="4" width="5.5703125" style="1" customWidth="1"/>
    <col min="5" max="5" width="26.140625" style="1" bestFit="1" customWidth="1"/>
    <col min="6" max="6" width="12.85546875" style="1" bestFit="1" customWidth="1"/>
    <col min="7" max="9" width="11.42578125" style="1"/>
    <col min="10" max="10" width="16.5703125" style="1" bestFit="1" customWidth="1"/>
    <col min="11" max="11" width="11.85546875" style="1" bestFit="1" customWidth="1"/>
    <col min="12" max="16384" width="11.42578125" style="1"/>
  </cols>
  <sheetData>
    <row r="1" spans="1:11" ht="15" customHeight="1" x14ac:dyDescent="0.2">
      <c r="A1" s="181"/>
      <c r="B1" s="824" t="s">
        <v>362</v>
      </c>
      <c r="C1" s="824"/>
      <c r="D1" s="824"/>
      <c r="E1" s="824"/>
      <c r="F1" s="824"/>
    </row>
    <row r="2" spans="1:11" ht="15" thickBot="1" x14ac:dyDescent="0.25">
      <c r="A2" s="181"/>
      <c r="B2" s="824" t="s">
        <v>366</v>
      </c>
      <c r="C2" s="824"/>
      <c r="D2" s="824"/>
      <c r="E2" s="824"/>
      <c r="F2" s="824"/>
    </row>
    <row r="3" spans="1:11" ht="15" customHeight="1" x14ac:dyDescent="0.2">
      <c r="A3" s="181"/>
      <c r="B3" s="824" t="s">
        <v>391</v>
      </c>
      <c r="C3" s="824"/>
      <c r="D3" s="824"/>
      <c r="E3" s="824"/>
      <c r="F3" s="824"/>
      <c r="J3" s="825" t="s">
        <v>413</v>
      </c>
      <c r="K3" s="826"/>
    </row>
    <row r="4" spans="1:11" x14ac:dyDescent="0.2">
      <c r="A4" s="181"/>
      <c r="B4" s="164"/>
      <c r="C4" s="164"/>
      <c r="D4" s="164"/>
      <c r="E4" s="164"/>
      <c r="F4" s="164"/>
      <c r="J4" s="476"/>
      <c r="K4" s="477"/>
    </row>
    <row r="5" spans="1:11" x14ac:dyDescent="0.2">
      <c r="A5" s="181"/>
      <c r="B5" s="317" t="s">
        <v>356</v>
      </c>
      <c r="C5" s="164"/>
      <c r="D5" s="164"/>
      <c r="E5" s="317" t="s">
        <v>365</v>
      </c>
      <c r="F5" s="164"/>
      <c r="J5" s="478" t="s">
        <v>411</v>
      </c>
      <c r="K5" s="479">
        <f>+C6</f>
        <v>4464.0561060542677</v>
      </c>
    </row>
    <row r="6" spans="1:11" x14ac:dyDescent="0.2">
      <c r="A6" s="181"/>
      <c r="B6" s="164" t="s">
        <v>357</v>
      </c>
      <c r="C6" s="350">
        <f>+'flujo efectivo PA con prestamo'!B32</f>
        <v>4464.0561060542677</v>
      </c>
      <c r="D6" s="164"/>
      <c r="E6" s="164" t="s">
        <v>360</v>
      </c>
      <c r="F6" s="351">
        <f>+'Amortizacion '!D3</f>
        <v>23667.678053027135</v>
      </c>
      <c r="J6" s="478" t="s">
        <v>412</v>
      </c>
      <c r="K6" s="673">
        <f>+C7</f>
        <v>40329.86</v>
      </c>
    </row>
    <row r="7" spans="1:11" x14ac:dyDescent="0.2">
      <c r="A7" s="181"/>
      <c r="B7" s="164" t="s">
        <v>363</v>
      </c>
      <c r="C7" s="682">
        <f>+'flujo efectivo PA con prestamo'!B31</f>
        <v>40329.86</v>
      </c>
      <c r="D7" s="164"/>
      <c r="E7" s="317" t="s">
        <v>311</v>
      </c>
      <c r="F7" s="164"/>
      <c r="J7" s="478" t="s">
        <v>358</v>
      </c>
      <c r="K7" s="674">
        <f>+C8</f>
        <v>2541.44</v>
      </c>
    </row>
    <row r="8" spans="1:11" ht="15" thickBot="1" x14ac:dyDescent="0.25">
      <c r="A8" s="181"/>
      <c r="B8" s="164" t="s">
        <v>358</v>
      </c>
      <c r="C8" s="683">
        <f>+'flujo efectivo PA con prestamo'!B33</f>
        <v>2541.44</v>
      </c>
      <c r="D8" s="164"/>
      <c r="E8" s="164" t="s">
        <v>364</v>
      </c>
      <c r="F8" s="351">
        <f>+'CAPITAL y SUELDOS'!N15</f>
        <v>23667.678053027135</v>
      </c>
      <c r="J8" s="481" t="s">
        <v>110</v>
      </c>
      <c r="K8" s="480">
        <f>+SUM(K5:K7)</f>
        <v>47335.356106054271</v>
      </c>
    </row>
    <row r="9" spans="1:11" ht="15" thickBot="1" x14ac:dyDescent="0.25">
      <c r="A9" s="181"/>
      <c r="B9" s="317" t="s">
        <v>359</v>
      </c>
      <c r="C9" s="325">
        <f>+SUM(C6:C8)</f>
        <v>47335.356106054271</v>
      </c>
      <c r="D9" s="164"/>
      <c r="E9" s="317" t="s">
        <v>361</v>
      </c>
      <c r="F9" s="325">
        <f>+SUM(F6:F8)</f>
        <v>47335.356106054271</v>
      </c>
    </row>
    <row r="10" spans="1:11" ht="15" thickTop="1" x14ac:dyDescent="0.2">
      <c r="A10" s="181"/>
      <c r="B10" s="164"/>
      <c r="C10" s="164"/>
      <c r="D10" s="164"/>
      <c r="E10" s="164"/>
      <c r="F10" s="164"/>
    </row>
    <row r="11" spans="1:11" x14ac:dyDescent="0.2">
      <c r="A11" s="181"/>
      <c r="B11" s="164"/>
      <c r="C11" s="164"/>
      <c r="D11" s="164"/>
      <c r="E11" s="164"/>
      <c r="F11" s="164"/>
    </row>
    <row r="12" spans="1:11" x14ac:dyDescent="0.2">
      <c r="B12" s="352"/>
      <c r="C12" s="352"/>
      <c r="D12" s="352"/>
      <c r="E12" s="352"/>
      <c r="F12" s="352"/>
    </row>
    <row r="19" spans="10:11" x14ac:dyDescent="0.2">
      <c r="J19" s="2"/>
      <c r="K19" s="2"/>
    </row>
  </sheetData>
  <mergeCells count="4">
    <mergeCell ref="B2:F2"/>
    <mergeCell ref="B1:F1"/>
    <mergeCell ref="B3:F3"/>
    <mergeCell ref="J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6"/>
  <sheetViews>
    <sheetView showGridLines="0" workbookViewId="0">
      <selection activeCell="C17" sqref="C17"/>
    </sheetView>
  </sheetViews>
  <sheetFormatPr baseColWidth="10" defaultRowHeight="12.75" x14ac:dyDescent="0.25"/>
  <cols>
    <col min="1" max="1" width="11.42578125" style="9"/>
    <col min="2" max="2" width="15.140625" style="9" bestFit="1" customWidth="1"/>
    <col min="3" max="3" width="20.42578125" style="9" bestFit="1" customWidth="1"/>
    <col min="4" max="4" width="14.7109375" style="9" bestFit="1" customWidth="1"/>
    <col min="5" max="5" width="19" style="9" bestFit="1" customWidth="1"/>
    <col min="6" max="6" width="24.140625" style="9" bestFit="1" customWidth="1"/>
    <col min="7" max="7" width="14.85546875" style="9" bestFit="1" customWidth="1"/>
    <col min="8" max="12" width="11.42578125" style="9"/>
    <col min="13" max="13" width="13.28515625" style="9" customWidth="1"/>
    <col min="14" max="14" width="9.28515625" style="9" bestFit="1" customWidth="1"/>
    <col min="15" max="16384" width="11.42578125" style="9"/>
  </cols>
  <sheetData>
    <row r="1" spans="2:7" ht="12.75" customHeight="1" x14ac:dyDescent="0.25"/>
    <row r="2" spans="2:7" x14ac:dyDescent="0.25">
      <c r="F2" s="20"/>
      <c r="G2" s="20"/>
    </row>
    <row r="3" spans="2:7" ht="12.75" customHeight="1" x14ac:dyDescent="0.25">
      <c r="B3" s="827" t="s">
        <v>155</v>
      </c>
      <c r="C3" s="828"/>
      <c r="D3" s="828"/>
      <c r="E3" s="829"/>
      <c r="F3" s="217"/>
      <c r="G3" s="217"/>
    </row>
    <row r="4" spans="2:7" x14ac:dyDescent="0.25">
      <c r="B4" s="147"/>
      <c r="C4" s="67"/>
      <c r="D4" s="67"/>
      <c r="E4" s="148"/>
      <c r="F4" s="67"/>
      <c r="G4" s="67"/>
    </row>
    <row r="5" spans="2:7" x14ac:dyDescent="0.25">
      <c r="B5" s="154" t="s">
        <v>150</v>
      </c>
      <c r="C5" s="153" t="s">
        <v>152</v>
      </c>
      <c r="D5" s="153" t="s">
        <v>154</v>
      </c>
      <c r="E5" s="155" t="s">
        <v>151</v>
      </c>
      <c r="F5" s="153"/>
      <c r="G5" s="153"/>
    </row>
    <row r="6" spans="2:7" ht="25.5" x14ac:dyDescent="0.25">
      <c r="B6" s="147" t="s">
        <v>31</v>
      </c>
      <c r="C6" s="156">
        <f>+'MONTOS-INVERSION(OFICINA)'!E35+'MONTOS-INVERSION (PUBLICENTROS)'!E25</f>
        <v>606.45000000000005</v>
      </c>
      <c r="D6" s="157">
        <v>10</v>
      </c>
      <c r="E6" s="158">
        <f>+C6/D6</f>
        <v>60.645000000000003</v>
      </c>
      <c r="F6" s="67"/>
      <c r="G6" s="67"/>
    </row>
    <row r="7" spans="2:7" ht="25.5" x14ac:dyDescent="0.25">
      <c r="B7" s="147" t="s">
        <v>10</v>
      </c>
      <c r="C7" s="664">
        <f>+'MONTOS-INVERSION(OFICINA)'!J16+'MONTOS-INVERSION (PUBLICENTROS)'!E33-915</f>
        <v>18832.469999999998</v>
      </c>
      <c r="D7" s="157">
        <v>10</v>
      </c>
      <c r="E7" s="665">
        <f>+C7/D7</f>
        <v>1883.2469999999998</v>
      </c>
      <c r="F7" s="67"/>
      <c r="G7" s="67"/>
    </row>
    <row r="8" spans="2:7" ht="25.5" x14ac:dyDescent="0.25">
      <c r="B8" s="147" t="s">
        <v>143</v>
      </c>
      <c r="C8" s="664">
        <f>+'MONTOS-INVERSION(OFICINA)'!J9+915</f>
        <v>3382</v>
      </c>
      <c r="D8" s="157">
        <v>3</v>
      </c>
      <c r="E8" s="665">
        <f>+C8/D8</f>
        <v>1127.3333333333333</v>
      </c>
      <c r="F8" s="67"/>
      <c r="G8" s="67"/>
    </row>
    <row r="9" spans="2:7" x14ac:dyDescent="0.25">
      <c r="B9" s="147" t="s">
        <v>153</v>
      </c>
      <c r="C9" s="664">
        <f>+'MONTOS-INVERSION(OFICINA)'!J29</f>
        <v>14890</v>
      </c>
      <c r="D9" s="157">
        <v>5</v>
      </c>
      <c r="E9" s="665">
        <f>+C9/D9</f>
        <v>2978</v>
      </c>
      <c r="F9" s="67"/>
      <c r="G9" s="67"/>
    </row>
    <row r="10" spans="2:7" x14ac:dyDescent="0.25">
      <c r="B10" s="151" t="s">
        <v>110</v>
      </c>
      <c r="C10" s="159">
        <f>+SUM(C6:C9)</f>
        <v>37710.92</v>
      </c>
      <c r="D10" s="160"/>
      <c r="E10" s="161">
        <f>+SUM(E6:E9)</f>
        <v>6049.2253333333329</v>
      </c>
      <c r="F10" s="67"/>
      <c r="G10" s="67"/>
    </row>
    <row r="11" spans="2:7" x14ac:dyDescent="0.25">
      <c r="F11" s="20"/>
      <c r="G11" s="20"/>
    </row>
    <row r="12" spans="2:7" x14ac:dyDescent="0.25">
      <c r="F12" s="20"/>
      <c r="G12" s="20"/>
    </row>
    <row r="24" spans="2:3" ht="15" x14ac:dyDescent="0.25">
      <c r="B24" s="210"/>
      <c r="C24" s="211"/>
    </row>
    <row r="26" spans="2:3" ht="15" x14ac:dyDescent="0.25">
      <c r="B26" s="210"/>
      <c r="C26" s="211"/>
    </row>
  </sheetData>
  <mergeCells count="1">
    <mergeCell ref="B3:E3"/>
  </mergeCells>
  <pageMargins left="0.7" right="0.7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showGridLines="0" topLeftCell="A43" zoomScaleNormal="100" workbookViewId="0">
      <selection activeCell="A26" sqref="A26:D26"/>
    </sheetView>
  </sheetViews>
  <sheetFormatPr baseColWidth="10" defaultRowHeight="12.75" x14ac:dyDescent="0.2"/>
  <cols>
    <col min="1" max="1" width="35.140625" style="2" customWidth="1"/>
    <col min="2" max="2" width="13.5703125" style="2" bestFit="1" customWidth="1"/>
    <col min="3" max="3" width="15.42578125" style="2" bestFit="1" customWidth="1"/>
    <col min="4" max="4" width="13.7109375" style="2" bestFit="1" customWidth="1"/>
    <col min="5" max="5" width="28.42578125" style="2" bestFit="1" customWidth="1"/>
    <col min="6" max="6" width="9" style="2" bestFit="1" customWidth="1"/>
    <col min="7" max="7" width="4.85546875" style="2" bestFit="1" customWidth="1"/>
    <col min="8" max="8" width="23.140625" style="2" bestFit="1" customWidth="1"/>
    <col min="9" max="9" width="20.28515625" style="2" bestFit="1" customWidth="1"/>
    <col min="10" max="10" width="10.85546875" style="2" bestFit="1" customWidth="1"/>
    <col min="11" max="16384" width="11.42578125" style="2"/>
  </cols>
  <sheetData>
    <row r="1" spans="1:5" x14ac:dyDescent="0.2">
      <c r="A1" s="833" t="s">
        <v>186</v>
      </c>
      <c r="B1" s="833"/>
      <c r="C1" s="833"/>
      <c r="D1" s="833"/>
    </row>
    <row r="2" spans="1:5" ht="13.5" thickBot="1" x14ac:dyDescent="0.25">
      <c r="A2" s="355"/>
      <c r="B2" s="355"/>
      <c r="C2" s="355"/>
      <c r="D2" s="355"/>
    </row>
    <row r="3" spans="1:5" ht="12" customHeight="1" x14ac:dyDescent="0.2">
      <c r="A3" s="359" t="s">
        <v>70</v>
      </c>
      <c r="B3" s="360" t="s">
        <v>68</v>
      </c>
      <c r="C3" s="360" t="s">
        <v>184</v>
      </c>
      <c r="D3" s="361" t="s">
        <v>185</v>
      </c>
    </row>
    <row r="4" spans="1:5" x14ac:dyDescent="0.2">
      <c r="A4" s="362" t="s">
        <v>160</v>
      </c>
      <c r="B4" s="175"/>
      <c r="C4" s="175">
        <f>B5+B6+B7+B8</f>
        <v>1226</v>
      </c>
      <c r="D4" s="363">
        <f>C4*12</f>
        <v>14712</v>
      </c>
    </row>
    <row r="5" spans="1:5" x14ac:dyDescent="0.2">
      <c r="A5" s="364" t="s">
        <v>159</v>
      </c>
      <c r="B5" s="175">
        <v>366</v>
      </c>
      <c r="C5" s="175"/>
      <c r="D5" s="363"/>
      <c r="E5" s="3"/>
    </row>
    <row r="6" spans="1:5" x14ac:dyDescent="0.2">
      <c r="A6" s="364" t="s">
        <v>158</v>
      </c>
      <c r="B6" s="706">
        <v>80</v>
      </c>
      <c r="C6" s="175"/>
      <c r="D6" s="363"/>
    </row>
    <row r="7" spans="1:5" x14ac:dyDescent="0.2">
      <c r="A7" s="364" t="s">
        <v>156</v>
      </c>
      <c r="B7" s="706">
        <f>350*0.8</f>
        <v>280</v>
      </c>
      <c r="C7" s="175"/>
      <c r="D7" s="363"/>
    </row>
    <row r="8" spans="1:5" ht="13.5" thickBot="1" x14ac:dyDescent="0.25">
      <c r="A8" s="365" t="s">
        <v>157</v>
      </c>
      <c r="B8" s="707">
        <v>500</v>
      </c>
      <c r="C8" s="366"/>
      <c r="D8" s="367"/>
    </row>
    <row r="9" spans="1:5" x14ac:dyDescent="0.2">
      <c r="A9" s="356" t="s">
        <v>183</v>
      </c>
      <c r="B9" s="357">
        <f>100*6</f>
        <v>600</v>
      </c>
      <c r="C9" s="357">
        <f>B9</f>
        <v>600</v>
      </c>
      <c r="D9" s="358">
        <f>C9*12</f>
        <v>7200</v>
      </c>
    </row>
    <row r="10" spans="1:5" x14ac:dyDescent="0.2">
      <c r="A10" s="174" t="s">
        <v>182</v>
      </c>
      <c r="B10" s="175">
        <v>100</v>
      </c>
      <c r="C10" s="175">
        <f>+B10</f>
        <v>100</v>
      </c>
      <c r="D10" s="175">
        <f>+C10*12</f>
        <v>1200</v>
      </c>
    </row>
    <row r="11" spans="1:5" x14ac:dyDescent="0.2">
      <c r="A11" s="174" t="s">
        <v>177</v>
      </c>
      <c r="B11" s="175"/>
      <c r="C11" s="175">
        <f>B12+B13+B15+B16+B18</f>
        <v>4177.5013333333336</v>
      </c>
      <c r="D11" s="176">
        <f>(C11*12)+B14+B17</f>
        <v>59270.016000000003</v>
      </c>
    </row>
    <row r="12" spans="1:5" x14ac:dyDescent="0.2">
      <c r="A12" s="177" t="s">
        <v>178</v>
      </c>
      <c r="B12" s="175">
        <f>+'CAPITAL y SUELDOS'!D4+'CAPITAL y SUELDOS'!D5+'CAPITAL y SUELDOS'!D6+'CAPITAL y SUELDOS'!D7+'CAPITAL y SUELDOS'!D8</f>
        <v>2200</v>
      </c>
      <c r="C12" s="175"/>
      <c r="D12" s="176"/>
    </row>
    <row r="13" spans="1:5" x14ac:dyDescent="0.2">
      <c r="A13" s="177" t="s">
        <v>179</v>
      </c>
      <c r="B13" s="706">
        <f>+'CAPITAL y SUELDOS'!D9+'CAPITAL y SUELDOS'!D10+'CAPITAL y SUELDOS'!D11+'CAPITAL y SUELDOS'!D12</f>
        <v>1168</v>
      </c>
      <c r="C13" s="175"/>
      <c r="D13" s="176"/>
    </row>
    <row r="14" spans="1:5" x14ac:dyDescent="0.2">
      <c r="A14" s="177" t="s">
        <v>180</v>
      </c>
      <c r="B14" s="712">
        <f>+'CAPITAL y SUELDOS'!$E$15+'CAPITAL y SUELDOS'!$F$15</f>
        <v>7164</v>
      </c>
      <c r="C14" s="175"/>
      <c r="D14" s="176"/>
    </row>
    <row r="15" spans="1:5" x14ac:dyDescent="0.2">
      <c r="A15" s="177" t="s">
        <v>64</v>
      </c>
      <c r="B15" s="712">
        <f>'CAPITAL y SUELDOS'!H15</f>
        <v>39.52000000000001</v>
      </c>
      <c r="C15" s="175"/>
      <c r="D15" s="176"/>
    </row>
    <row r="16" spans="1:5" x14ac:dyDescent="0.2">
      <c r="A16" s="177" t="s">
        <v>181</v>
      </c>
      <c r="B16" s="712">
        <f>'CAPITAL y SUELDOS'!G15</f>
        <v>440.64799999999997</v>
      </c>
      <c r="C16" s="175"/>
      <c r="D16" s="176"/>
    </row>
    <row r="17" spans="1:4" x14ac:dyDescent="0.2">
      <c r="A17" s="177" t="s">
        <v>394</v>
      </c>
      <c r="B17" s="712">
        <f>+'CAPITAL y SUELDOS'!I15</f>
        <v>1976</v>
      </c>
      <c r="C17" s="175"/>
      <c r="D17" s="176"/>
    </row>
    <row r="18" spans="1:4" x14ac:dyDescent="0.2">
      <c r="A18" s="177" t="s">
        <v>395</v>
      </c>
      <c r="B18" s="712">
        <f>+'CAPITAL y SUELDOS'!J15</f>
        <v>329.33333333333331</v>
      </c>
      <c r="C18" s="175"/>
      <c r="D18" s="176"/>
    </row>
    <row r="19" spans="1:4" x14ac:dyDescent="0.2">
      <c r="A19" s="174" t="s">
        <v>176</v>
      </c>
      <c r="B19" s="175"/>
      <c r="C19" s="175">
        <f>B20+B21+B22</f>
        <v>892.72</v>
      </c>
      <c r="D19" s="176">
        <f>C19</f>
        <v>892.72</v>
      </c>
    </row>
    <row r="20" spans="1:4" x14ac:dyDescent="0.2">
      <c r="A20" s="177" t="s">
        <v>175</v>
      </c>
      <c r="B20" s="175">
        <v>800</v>
      </c>
      <c r="C20" s="175"/>
      <c r="D20" s="176"/>
    </row>
    <row r="21" spans="1:4" x14ac:dyDescent="0.2">
      <c r="A21" s="177" t="s">
        <v>174</v>
      </c>
      <c r="B21" s="706">
        <v>30</v>
      </c>
      <c r="C21" s="175"/>
      <c r="D21" s="176"/>
    </row>
    <row r="22" spans="1:4" x14ac:dyDescent="0.2">
      <c r="A22" s="177" t="s">
        <v>173</v>
      </c>
      <c r="B22" s="706">
        <f>(28*1.12)*2</f>
        <v>62.720000000000006</v>
      </c>
      <c r="C22" s="175"/>
      <c r="D22" s="176"/>
    </row>
    <row r="23" spans="1:4" x14ac:dyDescent="0.2">
      <c r="A23" s="212" t="s">
        <v>204</v>
      </c>
      <c r="B23" s="175">
        <v>450</v>
      </c>
      <c r="C23" s="175">
        <v>450</v>
      </c>
      <c r="D23" s="176">
        <v>450</v>
      </c>
    </row>
    <row r="24" spans="1:4" x14ac:dyDescent="0.2">
      <c r="A24" s="178" t="s">
        <v>110</v>
      </c>
      <c r="B24" s="175"/>
      <c r="C24" s="179"/>
      <c r="D24" s="180">
        <f>+SUM(D4:D23)</f>
        <v>83724.736000000004</v>
      </c>
    </row>
    <row r="25" spans="1:4" ht="13.5" thickBot="1" x14ac:dyDescent="0.25">
      <c r="A25" s="181"/>
      <c r="B25" s="181"/>
      <c r="C25" s="181"/>
      <c r="D25" s="181"/>
    </row>
    <row r="26" spans="1:4" ht="13.5" thickBot="1" x14ac:dyDescent="0.25">
      <c r="A26" s="830" t="s">
        <v>187</v>
      </c>
      <c r="B26" s="831"/>
      <c r="C26" s="831"/>
      <c r="D26" s="832"/>
    </row>
    <row r="27" spans="1:4" ht="26.25" thickBot="1" x14ac:dyDescent="0.25">
      <c r="A27" s="378" t="s">
        <v>188</v>
      </c>
      <c r="B27" s="379" t="s">
        <v>189</v>
      </c>
      <c r="C27" s="379" t="s">
        <v>191</v>
      </c>
      <c r="D27" s="380" t="s">
        <v>190</v>
      </c>
    </row>
    <row r="28" spans="1:4" x14ac:dyDescent="0.2">
      <c r="A28" s="381" t="s">
        <v>43</v>
      </c>
      <c r="B28" s="382">
        <v>99.9</v>
      </c>
      <c r="C28" s="383">
        <v>1000</v>
      </c>
      <c r="D28" s="486">
        <f>B28/C28</f>
        <v>9.9900000000000003E-2</v>
      </c>
    </row>
    <row r="29" spans="1:4" x14ac:dyDescent="0.2">
      <c r="A29" s="384" t="s">
        <v>44</v>
      </c>
      <c r="B29" s="695">
        <v>50</v>
      </c>
      <c r="C29" s="182">
        <v>3000</v>
      </c>
      <c r="D29" s="697">
        <v>1.7500000000000002E-2</v>
      </c>
    </row>
    <row r="30" spans="1:4" x14ac:dyDescent="0.2">
      <c r="A30" s="466" t="s">
        <v>407</v>
      </c>
      <c r="B30" s="696">
        <v>6</v>
      </c>
      <c r="C30" s="467">
        <v>500</v>
      </c>
      <c r="D30" s="698">
        <f>B30/C30</f>
        <v>1.2E-2</v>
      </c>
    </row>
    <row r="31" spans="1:4" ht="13.5" thickBot="1" x14ac:dyDescent="0.25">
      <c r="A31" s="385" t="s">
        <v>110</v>
      </c>
      <c r="B31" s="386"/>
      <c r="C31" s="386"/>
      <c r="D31" s="387">
        <f>SUM(D28:D30)</f>
        <v>0.12940000000000002</v>
      </c>
    </row>
    <row r="32" spans="1:4" x14ac:dyDescent="0.2">
      <c r="A32" s="183"/>
      <c r="B32" s="183"/>
      <c r="C32" s="183"/>
      <c r="D32" s="183"/>
    </row>
    <row r="33" spans="1:11" x14ac:dyDescent="0.2">
      <c r="A33" s="833" t="s">
        <v>45</v>
      </c>
      <c r="B33" s="833"/>
      <c r="C33" s="833"/>
      <c r="D33" s="833"/>
    </row>
    <row r="34" spans="1:11" ht="25.5" x14ac:dyDescent="0.2">
      <c r="A34" s="184" t="s">
        <v>528</v>
      </c>
      <c r="B34" s="184" t="s">
        <v>48</v>
      </c>
      <c r="C34" s="185" t="s">
        <v>49</v>
      </c>
      <c r="D34" s="185" t="s">
        <v>50</v>
      </c>
    </row>
    <row r="35" spans="1:11" x14ac:dyDescent="0.2">
      <c r="A35" s="207" t="s">
        <v>201</v>
      </c>
      <c r="B35" s="184"/>
      <c r="C35" s="185"/>
      <c r="D35" s="185"/>
    </row>
    <row r="36" spans="1:11" x14ac:dyDescent="0.2">
      <c r="A36" s="208" t="s">
        <v>51</v>
      </c>
      <c r="B36" s="193">
        <v>25</v>
      </c>
      <c r="C36" s="194">
        <v>12.21</v>
      </c>
      <c r="D36" s="194">
        <v>146.46</v>
      </c>
    </row>
    <row r="37" spans="1:11" x14ac:dyDescent="0.2">
      <c r="A37" s="209" t="s">
        <v>78</v>
      </c>
      <c r="B37" s="192"/>
      <c r="C37" s="708">
        <v>9.76</v>
      </c>
      <c r="D37" s="708">
        <v>117.17</v>
      </c>
    </row>
    <row r="38" spans="1:11" x14ac:dyDescent="0.2">
      <c r="A38" s="208" t="s">
        <v>203</v>
      </c>
      <c r="B38" s="193">
        <v>600</v>
      </c>
      <c r="C38" s="709">
        <v>91.4</v>
      </c>
      <c r="D38" s="709">
        <v>1096.8</v>
      </c>
    </row>
    <row r="39" spans="1:11" x14ac:dyDescent="0.2">
      <c r="A39" s="186" t="s">
        <v>202</v>
      </c>
      <c r="B39" s="193">
        <v>360</v>
      </c>
      <c r="C39" s="709">
        <v>13.4</v>
      </c>
      <c r="D39" s="709">
        <v>160.80000000000001</v>
      </c>
    </row>
    <row r="40" spans="1:11" x14ac:dyDescent="0.2">
      <c r="A40" s="187" t="s">
        <v>77</v>
      </c>
      <c r="B40" s="195"/>
      <c r="C40" s="710">
        <v>55</v>
      </c>
      <c r="D40" s="710">
        <f>+C40*12</f>
        <v>660</v>
      </c>
    </row>
    <row r="41" spans="1:11" x14ac:dyDescent="0.2">
      <c r="A41" s="187" t="s">
        <v>54</v>
      </c>
      <c r="B41" s="195" t="s">
        <v>60</v>
      </c>
      <c r="C41" s="710">
        <f>20*4</f>
        <v>80</v>
      </c>
      <c r="D41" s="710">
        <f>+C41*12</f>
        <v>960</v>
      </c>
    </row>
    <row r="42" spans="1:11" x14ac:dyDescent="0.2">
      <c r="A42" s="187" t="s">
        <v>199</v>
      </c>
      <c r="B42" s="195"/>
      <c r="C42" s="710">
        <v>44.8</v>
      </c>
      <c r="D42" s="710">
        <f>+C42*12</f>
        <v>537.59999999999991</v>
      </c>
    </row>
    <row r="43" spans="1:11" ht="25.5" x14ac:dyDescent="0.2">
      <c r="A43" s="206" t="s">
        <v>200</v>
      </c>
      <c r="B43" s="195"/>
      <c r="C43" s="710">
        <v>60</v>
      </c>
      <c r="D43" s="710">
        <f>+C43*12</f>
        <v>720</v>
      </c>
    </row>
    <row r="44" spans="1:11" x14ac:dyDescent="0.2">
      <c r="A44" s="188" t="s">
        <v>110</v>
      </c>
      <c r="B44" s="196"/>
      <c r="C44" s="197">
        <v>126.77</v>
      </c>
      <c r="D44" s="197">
        <f>+SUM(D36:D43)</f>
        <v>4398.83</v>
      </c>
    </row>
    <row r="45" spans="1:11" x14ac:dyDescent="0.2">
      <c r="A45" s="183"/>
      <c r="B45" s="183"/>
      <c r="C45" s="183"/>
      <c r="D45" s="183"/>
      <c r="F45" s="7"/>
      <c r="G45" s="7"/>
      <c r="H45" s="7"/>
      <c r="I45" s="7"/>
      <c r="J45" s="7"/>
      <c r="K45" s="7"/>
    </row>
    <row r="46" spans="1:11" x14ac:dyDescent="0.2">
      <c r="A46" s="181"/>
      <c r="B46" s="181"/>
      <c r="C46" s="181"/>
      <c r="D46" s="181"/>
      <c r="F46" s="164"/>
      <c r="G46" s="164"/>
      <c r="H46" s="164"/>
      <c r="I46" s="164"/>
      <c r="J46" s="164"/>
      <c r="K46" s="7"/>
    </row>
    <row r="47" spans="1:11" x14ac:dyDescent="0.2">
      <c r="A47" s="181"/>
      <c r="B47" s="181"/>
      <c r="C47" s="181"/>
      <c r="D47" s="181"/>
      <c r="F47" s="164"/>
      <c r="G47" s="164"/>
      <c r="H47" s="164"/>
      <c r="I47" s="164"/>
      <c r="J47" s="164"/>
      <c r="K47" s="7"/>
    </row>
    <row r="48" spans="1:11" x14ac:dyDescent="0.2">
      <c r="F48" s="189" t="s">
        <v>194</v>
      </c>
      <c r="G48" s="189" t="s">
        <v>192</v>
      </c>
      <c r="H48" s="189" t="s">
        <v>79</v>
      </c>
      <c r="I48" s="189" t="s">
        <v>193</v>
      </c>
      <c r="J48" s="189" t="s">
        <v>110</v>
      </c>
      <c r="K48" s="7"/>
    </row>
    <row r="49" spans="6:11" x14ac:dyDescent="0.2">
      <c r="F49" s="198">
        <v>1</v>
      </c>
      <c r="G49" s="198">
        <v>365</v>
      </c>
      <c r="H49" s="199">
        <v>14890</v>
      </c>
      <c r="I49" s="199">
        <v>957.13</v>
      </c>
      <c r="J49" s="199">
        <f>I49</f>
        <v>957.13</v>
      </c>
      <c r="K49" s="7"/>
    </row>
    <row r="50" spans="6:11" x14ac:dyDescent="0.2">
      <c r="F50" s="198">
        <v>2</v>
      </c>
      <c r="G50" s="198">
        <v>365</v>
      </c>
      <c r="H50" s="713">
        <v>12745.75</v>
      </c>
      <c r="I50" s="713">
        <v>813.62</v>
      </c>
      <c r="J50" s="713">
        <f>I50</f>
        <v>813.62</v>
      </c>
      <c r="K50" s="7"/>
    </row>
    <row r="51" spans="6:11" x14ac:dyDescent="0.2">
      <c r="F51" s="198">
        <v>3</v>
      </c>
      <c r="G51" s="198">
        <v>365</v>
      </c>
      <c r="H51" s="713">
        <v>10833.89</v>
      </c>
      <c r="I51" s="713">
        <v>691.67</v>
      </c>
      <c r="J51" s="713">
        <f>I51</f>
        <v>691.67</v>
      </c>
      <c r="K51" s="7"/>
    </row>
    <row r="52" spans="6:11" x14ac:dyDescent="0.2">
      <c r="F52" s="198">
        <v>4</v>
      </c>
      <c r="G52" s="198">
        <v>365</v>
      </c>
      <c r="H52" s="713">
        <v>9208.81</v>
      </c>
      <c r="I52" s="713">
        <v>587.99</v>
      </c>
      <c r="J52" s="713">
        <f>I52</f>
        <v>587.99</v>
      </c>
      <c r="K52" s="7"/>
    </row>
    <row r="53" spans="6:11" x14ac:dyDescent="0.2">
      <c r="F53" s="198">
        <v>5</v>
      </c>
      <c r="G53" s="198">
        <v>365</v>
      </c>
      <c r="H53" s="713">
        <v>7827.49</v>
      </c>
      <c r="I53" s="713">
        <v>105.85</v>
      </c>
      <c r="J53" s="713">
        <f>I53</f>
        <v>105.85</v>
      </c>
      <c r="K53" s="7"/>
    </row>
    <row r="54" spans="6:11" x14ac:dyDescent="0.2">
      <c r="F54" s="190"/>
      <c r="G54" s="190"/>
      <c r="H54" s="191" t="s">
        <v>110</v>
      </c>
      <c r="I54" s="200">
        <f>SUM(I49:I53)</f>
        <v>3156.2599999999998</v>
      </c>
      <c r="J54" s="200">
        <f>SUM(J49:J53)</f>
        <v>3156.2599999999998</v>
      </c>
      <c r="K54" s="7"/>
    </row>
    <row r="55" spans="6:11" x14ac:dyDescent="0.2">
      <c r="F55" s="164"/>
      <c r="G55" s="164"/>
      <c r="H55" s="164"/>
      <c r="I55" s="164"/>
      <c r="J55" s="164"/>
      <c r="K55" s="7"/>
    </row>
    <row r="56" spans="6:11" x14ac:dyDescent="0.2">
      <c r="F56" s="164"/>
      <c r="G56" s="164"/>
      <c r="H56" s="204" t="s">
        <v>195</v>
      </c>
      <c r="I56" s="51"/>
      <c r="J56" s="205"/>
      <c r="K56" s="7"/>
    </row>
    <row r="57" spans="6:11" x14ac:dyDescent="0.2">
      <c r="F57" s="164"/>
      <c r="G57" s="164"/>
      <c r="H57" s="204" t="s">
        <v>83</v>
      </c>
      <c r="I57" s="201">
        <v>14890</v>
      </c>
      <c r="J57" s="205"/>
      <c r="K57" s="7"/>
    </row>
    <row r="58" spans="6:11" x14ac:dyDescent="0.2">
      <c r="F58" s="164"/>
      <c r="G58" s="164"/>
      <c r="H58" s="204" t="s">
        <v>80</v>
      </c>
      <c r="I58" s="714">
        <v>2707.54</v>
      </c>
      <c r="J58" s="205"/>
      <c r="K58" s="7"/>
    </row>
    <row r="59" spans="6:11" x14ac:dyDescent="0.2">
      <c r="F59" s="164"/>
      <c r="G59" s="164"/>
      <c r="H59" s="204" t="s">
        <v>81</v>
      </c>
      <c r="I59" s="714">
        <f>I58*3.5%</f>
        <v>94.763900000000007</v>
      </c>
      <c r="J59" s="205"/>
      <c r="K59" s="7"/>
    </row>
    <row r="60" spans="6:11" x14ac:dyDescent="0.2">
      <c r="F60" s="164"/>
      <c r="G60" s="164"/>
      <c r="H60" s="204" t="s">
        <v>82</v>
      </c>
      <c r="I60" s="714">
        <f>I58*0.5%</f>
        <v>13.537700000000001</v>
      </c>
      <c r="J60" s="205"/>
      <c r="K60" s="7"/>
    </row>
    <row r="61" spans="6:11" x14ac:dyDescent="0.2">
      <c r="F61" s="164"/>
      <c r="G61" s="164"/>
      <c r="H61" s="204" t="s">
        <v>198</v>
      </c>
      <c r="I61" s="714">
        <f>2.25</f>
        <v>2.25</v>
      </c>
      <c r="J61" s="205"/>
      <c r="K61" s="7"/>
    </row>
    <row r="62" spans="6:11" x14ac:dyDescent="0.2">
      <c r="F62" s="164"/>
      <c r="G62" s="164"/>
      <c r="H62" s="204" t="s">
        <v>196</v>
      </c>
      <c r="I62" s="714">
        <f>(I58+I59+I60+I61)*0.12</f>
        <v>338.17099199999996</v>
      </c>
      <c r="J62" s="164"/>
      <c r="K62" s="7"/>
    </row>
    <row r="63" spans="6:11" ht="13.5" thickBot="1" x14ac:dyDescent="0.25">
      <c r="F63" s="164"/>
      <c r="G63" s="164"/>
      <c r="H63" s="204" t="s">
        <v>197</v>
      </c>
      <c r="I63" s="202">
        <f>SUM(I58:I62)</f>
        <v>3156.2625919999996</v>
      </c>
      <c r="J63" s="164"/>
      <c r="K63" s="7"/>
    </row>
    <row r="64" spans="6:11" ht="13.5" thickTop="1" x14ac:dyDescent="0.2">
      <c r="F64" s="164"/>
      <c r="G64" s="164"/>
      <c r="H64" s="164"/>
      <c r="I64" s="203"/>
      <c r="J64" s="164"/>
      <c r="K64" s="7"/>
    </row>
    <row r="65" spans="6:11" x14ac:dyDescent="0.2">
      <c r="F65" s="164"/>
      <c r="G65" s="164"/>
      <c r="H65" s="164"/>
      <c r="I65" s="164"/>
      <c r="J65" s="164"/>
      <c r="K65" s="7"/>
    </row>
    <row r="66" spans="6:11" x14ac:dyDescent="0.2">
      <c r="F66" s="7"/>
      <c r="G66" s="7"/>
      <c r="H66" s="7"/>
      <c r="I66" s="7"/>
      <c r="J66" s="7"/>
      <c r="K66" s="7"/>
    </row>
    <row r="67" spans="6:11" x14ac:dyDescent="0.2">
      <c r="F67" s="7"/>
      <c r="G67" s="7"/>
      <c r="H67" s="7"/>
      <c r="I67" s="7"/>
      <c r="J67" s="7"/>
      <c r="K67" s="7"/>
    </row>
  </sheetData>
  <mergeCells count="3">
    <mergeCell ref="A26:D26"/>
    <mergeCell ref="A1:D1"/>
    <mergeCell ref="A33:D33"/>
  </mergeCells>
  <pageMargins left="0.7" right="0.7" top="0.75" bottom="0.75" header="0.3" footer="0.3"/>
  <pageSetup orientation="landscape" horizontalDpi="4294967293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showGridLines="0" topLeftCell="A31" zoomScaleNormal="100" workbookViewId="0">
      <selection activeCell="A71" sqref="A71"/>
    </sheetView>
  </sheetViews>
  <sheetFormatPr baseColWidth="10" defaultRowHeight="12.75" x14ac:dyDescent="0.2"/>
  <cols>
    <col min="1" max="1" width="12" style="230" customWidth="1"/>
    <col min="2" max="2" width="16.5703125" style="230" bestFit="1" customWidth="1"/>
    <col min="3" max="3" width="18.42578125" style="230" customWidth="1"/>
    <col min="4" max="6" width="16.5703125" style="230" bestFit="1" customWidth="1"/>
    <col min="7" max="7" width="16.7109375" style="230" bestFit="1" customWidth="1"/>
    <col min="8" max="9" width="16.5703125" style="230" bestFit="1" customWidth="1"/>
    <col min="10" max="10" width="12.42578125" style="230" customWidth="1"/>
    <col min="11" max="11" width="10.85546875" style="230" customWidth="1"/>
    <col min="12" max="12" width="13" style="230" customWidth="1"/>
    <col min="13" max="13" width="13.85546875" style="230" customWidth="1"/>
    <col min="14" max="14" width="10.28515625" style="230" customWidth="1"/>
    <col min="15" max="15" width="13" style="230" bestFit="1" customWidth="1"/>
    <col min="16" max="16" width="13.5703125" style="230" bestFit="1" customWidth="1"/>
    <col min="17" max="17" width="13" style="230" bestFit="1" customWidth="1"/>
    <col min="18" max="18" width="50.42578125" style="230" bestFit="1" customWidth="1"/>
    <col min="19" max="19" width="14.5703125" style="230" customWidth="1"/>
    <col min="20" max="20" width="11.85546875" style="230" bestFit="1" customWidth="1"/>
    <col min="21" max="29" width="12.42578125" style="230" bestFit="1" customWidth="1"/>
    <col min="30" max="30" width="12.85546875" style="230" customWidth="1"/>
    <col min="31" max="31" width="12.85546875" style="230" bestFit="1" customWidth="1"/>
    <col min="32" max="16384" width="11.42578125" style="230"/>
  </cols>
  <sheetData>
    <row r="1" spans="1:18" x14ac:dyDescent="0.2">
      <c r="A1" s="228" t="s">
        <v>216</v>
      </c>
      <c r="B1" s="228"/>
      <c r="C1" s="228"/>
      <c r="D1" s="228"/>
      <c r="E1" s="228"/>
      <c r="F1" s="228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8" ht="25.5" customHeight="1" x14ac:dyDescent="0.2">
      <c r="A2" s="834" t="s">
        <v>217</v>
      </c>
      <c r="B2" s="834"/>
      <c r="C2" s="834"/>
      <c r="D2" s="834"/>
      <c r="E2" s="834"/>
      <c r="F2" s="834"/>
      <c r="G2" s="834"/>
      <c r="H2" s="834"/>
      <c r="I2" s="834"/>
      <c r="J2" s="231"/>
      <c r="K2" s="231"/>
      <c r="L2" s="231"/>
      <c r="M2" s="231"/>
      <c r="N2" s="231"/>
      <c r="O2" s="232"/>
      <c r="P2" s="232"/>
      <c r="Q2" s="232"/>
    </row>
    <row r="3" spans="1:18" ht="15" customHeight="1" x14ac:dyDescent="0.2">
      <c r="A3" s="835" t="s">
        <v>218</v>
      </c>
      <c r="B3" s="836" t="s">
        <v>219</v>
      </c>
      <c r="C3" s="837"/>
      <c r="D3" s="837"/>
      <c r="E3" s="837"/>
      <c r="F3" s="837"/>
      <c r="G3" s="837"/>
      <c r="H3" s="837"/>
      <c r="I3" s="838"/>
      <c r="J3" s="232"/>
      <c r="K3" s="232"/>
      <c r="L3" s="232"/>
      <c r="M3" s="232"/>
      <c r="N3" s="232"/>
      <c r="O3" s="232"/>
      <c r="P3" s="232"/>
      <c r="Q3" s="232"/>
      <c r="R3" s="234"/>
    </row>
    <row r="4" spans="1:18" ht="14.25" x14ac:dyDescent="0.2">
      <c r="A4" s="835"/>
      <c r="B4" s="233">
        <v>2003</v>
      </c>
      <c r="C4" s="233">
        <v>2004</v>
      </c>
      <c r="D4" s="233">
        <v>2005</v>
      </c>
      <c r="E4" s="233">
        <v>2006</v>
      </c>
      <c r="F4" s="233">
        <v>2007</v>
      </c>
      <c r="G4" s="235">
        <v>2008</v>
      </c>
      <c r="H4" s="235">
        <v>2009</v>
      </c>
      <c r="I4" s="235">
        <v>2010</v>
      </c>
      <c r="J4" s="236"/>
      <c r="K4" s="236"/>
      <c r="L4" s="236"/>
      <c r="M4" s="236"/>
      <c r="Q4" s="237"/>
      <c r="R4" s="234"/>
    </row>
    <row r="5" spans="1:18" x14ac:dyDescent="0.2">
      <c r="A5" s="455" t="s">
        <v>220</v>
      </c>
      <c r="B5" s="455"/>
      <c r="C5" s="428"/>
      <c r="D5" s="428"/>
      <c r="E5" s="428"/>
      <c r="F5" s="428"/>
      <c r="G5" s="238">
        <v>6335617.6600000001</v>
      </c>
      <c r="H5" s="238">
        <v>3229103.31</v>
      </c>
      <c r="I5" s="239">
        <v>4255219.83</v>
      </c>
    </row>
    <row r="6" spans="1:18" x14ac:dyDescent="0.2">
      <c r="A6" s="455" t="s">
        <v>221</v>
      </c>
      <c r="B6" s="455"/>
      <c r="C6" s="428"/>
      <c r="D6" s="428"/>
      <c r="E6" s="428"/>
      <c r="F6" s="428"/>
      <c r="G6" s="239">
        <v>1547174.98</v>
      </c>
      <c r="H6" s="239">
        <v>652130.32999999996</v>
      </c>
      <c r="I6" s="239">
        <v>1513865.49</v>
      </c>
    </row>
    <row r="7" spans="1:18" x14ac:dyDescent="0.2">
      <c r="A7" s="455" t="s">
        <v>222</v>
      </c>
      <c r="B7" s="455"/>
      <c r="C7" s="428"/>
      <c r="D7" s="428"/>
      <c r="E7" s="428"/>
      <c r="F7" s="428"/>
      <c r="G7" s="239">
        <v>275839351.77999997</v>
      </c>
      <c r="H7" s="239">
        <v>290020018.27999997</v>
      </c>
      <c r="I7" s="239">
        <v>264755889.03</v>
      </c>
    </row>
    <row r="8" spans="1:18" x14ac:dyDescent="0.2">
      <c r="A8" s="455" t="s">
        <v>223</v>
      </c>
      <c r="B8" s="455"/>
      <c r="C8" s="428"/>
      <c r="D8" s="428"/>
      <c r="E8" s="428"/>
      <c r="F8" s="428"/>
      <c r="G8" s="839">
        <v>4280547.24</v>
      </c>
      <c r="H8" s="839">
        <v>2785941.1</v>
      </c>
      <c r="I8" s="239">
        <v>1174536.23</v>
      </c>
      <c r="M8" s="240"/>
    </row>
    <row r="9" spans="1:18" x14ac:dyDescent="0.2">
      <c r="A9" s="455" t="s">
        <v>224</v>
      </c>
      <c r="B9" s="455"/>
      <c r="C9" s="428"/>
      <c r="D9" s="428"/>
      <c r="E9" s="428"/>
      <c r="F9" s="428"/>
      <c r="G9" s="839"/>
      <c r="H9" s="839"/>
      <c r="I9" s="239">
        <v>1192765.1599999999</v>
      </c>
      <c r="M9" s="240"/>
    </row>
    <row r="10" spans="1:18" x14ac:dyDescent="0.2">
      <c r="A10" s="455" t="s">
        <v>225</v>
      </c>
      <c r="B10" s="455"/>
      <c r="C10" s="428"/>
      <c r="D10" s="428"/>
      <c r="E10" s="428"/>
      <c r="F10" s="428"/>
      <c r="G10" s="239">
        <v>4209813.25</v>
      </c>
      <c r="H10" s="239">
        <v>3407568.75</v>
      </c>
      <c r="I10" s="239">
        <v>3547448.7</v>
      </c>
      <c r="M10" s="241"/>
    </row>
    <row r="11" spans="1:18" x14ac:dyDescent="0.2">
      <c r="A11" s="455" t="s">
        <v>226</v>
      </c>
      <c r="B11" s="455"/>
      <c r="C11" s="428"/>
      <c r="D11" s="428"/>
      <c r="E11" s="428"/>
      <c r="F11" s="428"/>
      <c r="G11" s="239">
        <v>303850046.88999999</v>
      </c>
      <c r="H11" s="239">
        <v>272893518.98000002</v>
      </c>
      <c r="I11" s="239">
        <v>342604388.04000002</v>
      </c>
      <c r="M11" s="240"/>
    </row>
    <row r="12" spans="1:18" x14ac:dyDescent="0.2">
      <c r="A12" s="455" t="s">
        <v>227</v>
      </c>
      <c r="B12" s="455"/>
      <c r="C12" s="428"/>
      <c r="D12" s="428"/>
      <c r="E12" s="428"/>
      <c r="F12" s="428"/>
      <c r="G12" s="239">
        <v>69394898.5</v>
      </c>
      <c r="H12" s="239">
        <v>54582579.68</v>
      </c>
      <c r="I12" s="239">
        <v>10864079.060000001</v>
      </c>
      <c r="M12" s="240"/>
    </row>
    <row r="13" spans="1:18" s="426" customFormat="1" x14ac:dyDescent="0.2">
      <c r="A13" s="455" t="s">
        <v>228</v>
      </c>
      <c r="B13" s="455"/>
      <c r="C13" s="428"/>
      <c r="D13" s="428"/>
      <c r="E13" s="428"/>
      <c r="F13" s="428"/>
      <c r="G13" s="429">
        <v>12633927.23</v>
      </c>
      <c r="H13" s="429">
        <v>13275198.810000001</v>
      </c>
      <c r="I13" s="429">
        <v>7916299.1500000004</v>
      </c>
      <c r="M13" s="234"/>
    </row>
    <row r="14" spans="1:18" s="426" customFormat="1" x14ac:dyDescent="0.2">
      <c r="A14" s="455" t="s">
        <v>229</v>
      </c>
      <c r="B14" s="455"/>
      <c r="C14" s="428"/>
      <c r="D14" s="428"/>
      <c r="E14" s="428"/>
      <c r="F14" s="428"/>
      <c r="G14" s="429">
        <v>0</v>
      </c>
      <c r="H14" s="429">
        <v>0</v>
      </c>
      <c r="I14" s="429">
        <v>51459565.130000003</v>
      </c>
      <c r="M14" s="234"/>
    </row>
    <row r="15" spans="1:18" s="426" customFormat="1" x14ac:dyDescent="0.2">
      <c r="A15" s="455" t="s">
        <v>230</v>
      </c>
      <c r="B15" s="455"/>
      <c r="C15" s="428"/>
      <c r="D15" s="428"/>
      <c r="E15" s="428"/>
      <c r="F15" s="428"/>
      <c r="G15" s="429">
        <v>2575751.89</v>
      </c>
      <c r="H15" s="429">
        <v>2428050.29</v>
      </c>
      <c r="I15" s="429">
        <v>837006.15</v>
      </c>
      <c r="M15" s="234"/>
    </row>
    <row r="16" spans="1:18" s="426" customFormat="1" x14ac:dyDescent="0.2">
      <c r="A16" s="455" t="s">
        <v>231</v>
      </c>
      <c r="B16" s="455"/>
      <c r="C16" s="428"/>
      <c r="D16" s="428"/>
      <c r="E16" s="428"/>
      <c r="F16" s="428"/>
      <c r="G16" s="429">
        <v>48783968.990000002</v>
      </c>
      <c r="H16" s="429">
        <v>71969472.939999998</v>
      </c>
      <c r="I16" s="429">
        <v>12878132.49</v>
      </c>
    </row>
    <row r="17" spans="1:31" s="426" customFormat="1" x14ac:dyDescent="0.2">
      <c r="A17" s="455" t="s">
        <v>232</v>
      </c>
      <c r="B17" s="455"/>
      <c r="C17" s="428"/>
      <c r="D17" s="428"/>
      <c r="E17" s="428"/>
      <c r="F17" s="428"/>
      <c r="G17" s="429">
        <v>0</v>
      </c>
      <c r="H17" s="429">
        <v>0</v>
      </c>
      <c r="I17" s="429">
        <v>38637897.590000004</v>
      </c>
    </row>
    <row r="18" spans="1:31" s="426" customFormat="1" x14ac:dyDescent="0.2">
      <c r="A18" s="455" t="s">
        <v>233</v>
      </c>
      <c r="B18" s="455"/>
      <c r="C18" s="428"/>
      <c r="D18" s="428"/>
      <c r="E18" s="428"/>
      <c r="F18" s="428"/>
      <c r="G18" s="429">
        <v>10583.57</v>
      </c>
      <c r="H18" s="429">
        <v>11920.71</v>
      </c>
      <c r="I18" s="429">
        <v>13309591.15</v>
      </c>
    </row>
    <row r="19" spans="1:31" s="426" customFormat="1" x14ac:dyDescent="0.2">
      <c r="A19" s="455" t="s">
        <v>234</v>
      </c>
      <c r="B19" s="455"/>
      <c r="C19" s="428"/>
      <c r="D19" s="428"/>
      <c r="E19" s="428"/>
      <c r="F19" s="428"/>
      <c r="G19" s="429">
        <v>1757953.32</v>
      </c>
      <c r="H19" s="429">
        <v>1670091.23</v>
      </c>
      <c r="I19" s="429">
        <v>2712993.37</v>
      </c>
    </row>
    <row r="20" spans="1:31" s="426" customFormat="1" x14ac:dyDescent="0.2">
      <c r="A20" s="455" t="s">
        <v>235</v>
      </c>
      <c r="B20" s="455"/>
      <c r="C20" s="428"/>
      <c r="D20" s="428"/>
      <c r="E20" s="428"/>
      <c r="F20" s="428"/>
      <c r="G20" s="429">
        <v>5780069.6600000001</v>
      </c>
      <c r="H20" s="429">
        <v>5454992.96</v>
      </c>
      <c r="I20" s="429">
        <v>4974558.16</v>
      </c>
    </row>
    <row r="21" spans="1:31" s="426" customFormat="1" x14ac:dyDescent="0.2">
      <c r="A21" s="455" t="s">
        <v>236</v>
      </c>
      <c r="B21" s="455"/>
      <c r="C21" s="428"/>
      <c r="D21" s="428"/>
      <c r="E21" s="428"/>
      <c r="F21" s="428"/>
      <c r="G21" s="429">
        <v>822.6</v>
      </c>
      <c r="H21" s="429">
        <v>0</v>
      </c>
      <c r="I21" s="429">
        <v>3822773.2</v>
      </c>
    </row>
    <row r="22" spans="1:31" s="426" customFormat="1" x14ac:dyDescent="0.2">
      <c r="A22" s="455" t="s">
        <v>237</v>
      </c>
      <c r="B22" s="455"/>
      <c r="C22" s="428"/>
      <c r="D22" s="428"/>
      <c r="E22" s="428"/>
      <c r="F22" s="428"/>
      <c r="G22" s="429">
        <v>13566498.710000001</v>
      </c>
      <c r="H22" s="429">
        <v>11757907.27</v>
      </c>
      <c r="I22" s="429">
        <v>1453129.88</v>
      </c>
    </row>
    <row r="23" spans="1:31" s="426" customFormat="1" x14ac:dyDescent="0.2">
      <c r="A23" s="455" t="s">
        <v>238</v>
      </c>
      <c r="B23" s="455"/>
      <c r="C23" s="428"/>
      <c r="D23" s="428"/>
      <c r="E23" s="428"/>
      <c r="F23" s="428"/>
      <c r="G23" s="429">
        <v>0</v>
      </c>
      <c r="H23" s="429">
        <v>0</v>
      </c>
      <c r="I23" s="429">
        <v>0</v>
      </c>
    </row>
    <row r="24" spans="1:31" s="426" customFormat="1" ht="18" customHeight="1" x14ac:dyDescent="0.2">
      <c r="A24" s="456" t="s">
        <v>0</v>
      </c>
      <c r="B24" s="457">
        <v>429560155</v>
      </c>
      <c r="C24" s="430">
        <v>499816810</v>
      </c>
      <c r="D24" s="430">
        <v>614253916</v>
      </c>
      <c r="E24" s="430">
        <v>686114154.88999999</v>
      </c>
      <c r="F24" s="430">
        <v>779206777.10000002</v>
      </c>
      <c r="G24" s="431">
        <f>SUM(G5:G23)</f>
        <v>750567026.2700001</v>
      </c>
      <c r="H24" s="431">
        <f>SUM(H5:H23)</f>
        <v>734138494.63999987</v>
      </c>
      <c r="I24" s="431">
        <f>SUM(I5:I23)</f>
        <v>767910137.80999994</v>
      </c>
    </row>
    <row r="25" spans="1:31" s="426" customFormat="1" x14ac:dyDescent="0.2"/>
    <row r="26" spans="1:31" s="426" customFormat="1" ht="3" customHeight="1" thickBot="1" x14ac:dyDescent="0.25">
      <c r="F26" s="234"/>
      <c r="G26" s="234"/>
      <c r="H26" s="234"/>
    </row>
    <row r="27" spans="1:31" s="426" customFormat="1" ht="20.25" customHeight="1" thickBot="1" x14ac:dyDescent="0.25">
      <c r="A27" s="840" t="s">
        <v>294</v>
      </c>
      <c r="B27" s="841"/>
      <c r="C27" s="841"/>
      <c r="D27" s="841"/>
      <c r="E27" s="841"/>
      <c r="F27" s="841"/>
      <c r="G27" s="841"/>
      <c r="H27" s="841"/>
      <c r="I27" s="841"/>
      <c r="J27" s="841"/>
      <c r="K27" s="841"/>
      <c r="L27" s="842"/>
      <c r="M27" s="843" t="s">
        <v>370</v>
      </c>
      <c r="N27" s="844"/>
      <c r="O27" s="844"/>
      <c r="P27" s="845"/>
    </row>
    <row r="28" spans="1:31" s="426" customFormat="1" ht="51.75" customHeight="1" thickBot="1" x14ac:dyDescent="0.25">
      <c r="A28" s="432" t="s">
        <v>219</v>
      </c>
      <c r="B28" s="389" t="s">
        <v>239</v>
      </c>
      <c r="C28" s="389" t="s">
        <v>240</v>
      </c>
      <c r="D28" s="389" t="s">
        <v>241</v>
      </c>
      <c r="E28" s="433" t="s">
        <v>242</v>
      </c>
      <c r="F28" s="433" t="s">
        <v>300</v>
      </c>
      <c r="G28" s="389" t="s">
        <v>243</v>
      </c>
      <c r="H28" s="389" t="s">
        <v>371</v>
      </c>
      <c r="I28" s="389" t="s">
        <v>372</v>
      </c>
      <c r="J28" s="434" t="s">
        <v>293</v>
      </c>
      <c r="K28" s="389" t="s">
        <v>373</v>
      </c>
      <c r="L28" s="390" t="s">
        <v>374</v>
      </c>
      <c r="M28" s="388" t="s">
        <v>296</v>
      </c>
      <c r="N28" s="389" t="s">
        <v>297</v>
      </c>
      <c r="O28" s="389" t="s">
        <v>298</v>
      </c>
      <c r="P28" s="390" t="s">
        <v>299</v>
      </c>
    </row>
    <row r="29" spans="1:31" s="426" customFormat="1" ht="12.75" customHeight="1" x14ac:dyDescent="0.25">
      <c r="A29" s="397">
        <v>2003</v>
      </c>
      <c r="B29" s="283">
        <f>B24/1000000</f>
        <v>429.56015500000001</v>
      </c>
      <c r="C29" s="283">
        <f>B29*1000000</f>
        <v>429560155</v>
      </c>
      <c r="D29" s="283">
        <f>C29*4%</f>
        <v>17182406.199999999</v>
      </c>
      <c r="E29" s="283">
        <f>D29*(47.01%)</f>
        <v>8077449.1546199992</v>
      </c>
      <c r="F29" s="283">
        <f>E29*8.78%</f>
        <v>709200.03577563586</v>
      </c>
      <c r="G29" s="283">
        <f>F29*0.8</f>
        <v>567360.02862050873</v>
      </c>
      <c r="H29" s="283">
        <f>G29*50%</f>
        <v>283680.01431025437</v>
      </c>
      <c r="I29" s="234"/>
      <c r="J29" s="394"/>
      <c r="K29" s="244"/>
      <c r="L29" s="400"/>
      <c r="M29" s="393"/>
      <c r="N29" s="394"/>
      <c r="O29" s="394">
        <f>M29*K29*1000</f>
        <v>0</v>
      </c>
      <c r="P29" s="395">
        <f>N29*K29*1000</f>
        <v>0</v>
      </c>
      <c r="R29" s="248" t="s">
        <v>246</v>
      </c>
      <c r="S29" s="248" t="s">
        <v>247</v>
      </c>
      <c r="T29" s="248"/>
      <c r="U29" s="248"/>
      <c r="V29" s="248"/>
      <c r="W29" s="234"/>
      <c r="X29" s="234"/>
      <c r="Y29" s="234"/>
      <c r="Z29" s="234"/>
      <c r="AA29" s="234"/>
      <c r="AB29" s="234"/>
    </row>
    <row r="30" spans="1:31" s="426" customFormat="1" ht="12.75" customHeight="1" x14ac:dyDescent="0.25">
      <c r="A30" s="397">
        <v>2004</v>
      </c>
      <c r="B30" s="283">
        <f>C24/1000000</f>
        <v>499.81680999999998</v>
      </c>
      <c r="C30" s="283">
        <f t="shared" ref="C30:C43" si="0">B30*1000000</f>
        <v>499816810</v>
      </c>
      <c r="D30" s="283">
        <f t="shared" ref="D30:D43" si="1">C30*4%</f>
        <v>19992672.400000002</v>
      </c>
      <c r="E30" s="283">
        <f t="shared" ref="E30:E43" si="2">D30*(47.01%)</f>
        <v>9398555.2952399999</v>
      </c>
      <c r="F30" s="283">
        <f t="shared" ref="F30:F43" si="3">E30*8.78%</f>
        <v>825193.15492207184</v>
      </c>
      <c r="G30" s="283">
        <f t="shared" ref="G30:G43" si="4">F30*0.8</f>
        <v>660154.52393765748</v>
      </c>
      <c r="H30" s="283">
        <f t="shared" ref="H30:H43" si="5">G30*50%</f>
        <v>330077.26196882874</v>
      </c>
      <c r="I30" s="399"/>
      <c r="J30" s="394"/>
      <c r="K30" s="244"/>
      <c r="L30" s="400"/>
      <c r="M30" s="393"/>
      <c r="N30" s="394"/>
      <c r="O30" s="394">
        <f t="shared" ref="O30:O43" si="6">M30*K30*1000</f>
        <v>0</v>
      </c>
      <c r="P30" s="395">
        <f t="shared" ref="P30:P43" si="7">N30*K30*1000</f>
        <v>0</v>
      </c>
      <c r="R30" s="435">
        <f>H39</f>
        <v>640954.40762879839</v>
      </c>
      <c r="S30" s="436">
        <f>K39</f>
        <v>4578.2457687771312</v>
      </c>
      <c r="T30" s="248"/>
      <c r="U30" s="248">
        <f>100/12</f>
        <v>8.3333333333333339</v>
      </c>
      <c r="V30" s="248"/>
      <c r="W30" s="234"/>
      <c r="X30" s="234"/>
      <c r="Y30" s="234"/>
      <c r="Z30" s="234"/>
      <c r="AA30" s="234"/>
      <c r="AB30" s="234"/>
    </row>
    <row r="31" spans="1:31" s="426" customFormat="1" ht="12.75" customHeight="1" x14ac:dyDescent="0.25">
      <c r="A31" s="397">
        <v>2005</v>
      </c>
      <c r="B31" s="283">
        <f>D24/1000000</f>
        <v>614.253916</v>
      </c>
      <c r="C31" s="283">
        <f t="shared" si="0"/>
        <v>614253916</v>
      </c>
      <c r="D31" s="283">
        <f t="shared" si="1"/>
        <v>24570156.640000001</v>
      </c>
      <c r="E31" s="283">
        <f t="shared" si="2"/>
        <v>11550430.636464</v>
      </c>
      <c r="F31" s="283">
        <f t="shared" si="3"/>
        <v>1014127.8098815391</v>
      </c>
      <c r="G31" s="283">
        <f t="shared" si="4"/>
        <v>811302.24790523131</v>
      </c>
      <c r="H31" s="283">
        <f t="shared" si="5"/>
        <v>405651.12395261566</v>
      </c>
      <c r="I31" s="399"/>
      <c r="J31" s="394"/>
      <c r="K31" s="244"/>
      <c r="L31" s="400"/>
      <c r="M31" s="393"/>
      <c r="N31" s="394"/>
      <c r="O31" s="394">
        <f t="shared" si="6"/>
        <v>0</v>
      </c>
      <c r="P31" s="395">
        <f t="shared" si="7"/>
        <v>0</v>
      </c>
      <c r="R31" s="248"/>
    </row>
    <row r="32" spans="1:31" s="426" customFormat="1" ht="12.75" customHeight="1" x14ac:dyDescent="0.2">
      <c r="A32" s="397">
        <v>2006</v>
      </c>
      <c r="B32" s="283">
        <f>E24/1000000</f>
        <v>686.11415489000001</v>
      </c>
      <c r="C32" s="283">
        <f t="shared" si="0"/>
        <v>686114154.88999999</v>
      </c>
      <c r="D32" s="283">
        <f t="shared" si="1"/>
        <v>27444566.195599999</v>
      </c>
      <c r="E32" s="283">
        <f t="shared" si="2"/>
        <v>12901690.568551559</v>
      </c>
      <c r="F32" s="283">
        <f t="shared" si="3"/>
        <v>1132768.4319188267</v>
      </c>
      <c r="G32" s="283">
        <f t="shared" si="4"/>
        <v>906214.74553506135</v>
      </c>
      <c r="H32" s="283">
        <f t="shared" si="5"/>
        <v>453107.37276753067</v>
      </c>
      <c r="I32" s="399"/>
      <c r="J32" s="394"/>
      <c r="K32" s="244"/>
      <c r="L32" s="400"/>
      <c r="M32" s="393"/>
      <c r="N32" s="394"/>
      <c r="O32" s="394">
        <f t="shared" si="6"/>
        <v>0</v>
      </c>
      <c r="P32" s="395">
        <f t="shared" si="7"/>
        <v>0</v>
      </c>
      <c r="R32" s="437" t="s">
        <v>352</v>
      </c>
      <c r="S32" s="438" t="s">
        <v>248</v>
      </c>
      <c r="T32" s="438" t="s">
        <v>249</v>
      </c>
      <c r="U32" s="438" t="s">
        <v>250</v>
      </c>
      <c r="V32" s="438" t="s">
        <v>251</v>
      </c>
      <c r="W32" s="438" t="s">
        <v>252</v>
      </c>
      <c r="X32" s="438" t="s">
        <v>253</v>
      </c>
      <c r="Y32" s="438" t="s">
        <v>254</v>
      </c>
      <c r="Z32" s="438" t="s">
        <v>255</v>
      </c>
      <c r="AA32" s="438" t="s">
        <v>256</v>
      </c>
      <c r="AB32" s="438" t="s">
        <v>257</v>
      </c>
      <c r="AC32" s="438" t="s">
        <v>258</v>
      </c>
      <c r="AD32" s="438" t="s">
        <v>259</v>
      </c>
      <c r="AE32" s="426" t="s">
        <v>0</v>
      </c>
    </row>
    <row r="33" spans="1:31" s="426" customFormat="1" ht="12.75" customHeight="1" x14ac:dyDescent="0.2">
      <c r="A33" s="397">
        <v>2007</v>
      </c>
      <c r="B33" s="283">
        <f>F24/1000000</f>
        <v>779.20677710000007</v>
      </c>
      <c r="C33" s="283">
        <f t="shared" si="0"/>
        <v>779206777.10000002</v>
      </c>
      <c r="D33" s="283">
        <f t="shared" si="1"/>
        <v>31168271.084000003</v>
      </c>
      <c r="E33" s="283">
        <f t="shared" si="2"/>
        <v>14652204.2365884</v>
      </c>
      <c r="F33" s="283">
        <f t="shared" si="3"/>
        <v>1286463.5319724614</v>
      </c>
      <c r="G33" s="283">
        <f t="shared" si="4"/>
        <v>1029170.8255779692</v>
      </c>
      <c r="H33" s="283">
        <f t="shared" si="5"/>
        <v>514585.4127889846</v>
      </c>
      <c r="I33" s="399"/>
      <c r="J33" s="394"/>
      <c r="K33" s="244"/>
      <c r="L33" s="400"/>
      <c r="M33" s="393"/>
      <c r="N33" s="394"/>
      <c r="O33" s="394">
        <f t="shared" si="6"/>
        <v>0</v>
      </c>
      <c r="P33" s="395">
        <f t="shared" si="7"/>
        <v>0</v>
      </c>
      <c r="R33" s="439" t="s">
        <v>354</v>
      </c>
      <c r="S33" s="440">
        <v>0.05</v>
      </c>
      <c r="T33" s="440">
        <v>0.13</v>
      </c>
      <c r="U33" s="440">
        <v>0.04</v>
      </c>
      <c r="V33" s="440">
        <v>0.04</v>
      </c>
      <c r="W33" s="440">
        <v>8.3299999999999999E-2</v>
      </c>
      <c r="X33" s="440">
        <v>8.3299999999999999E-2</v>
      </c>
      <c r="Y33" s="440">
        <v>8.3299999999999999E-2</v>
      </c>
      <c r="Z33" s="440">
        <v>0.06</v>
      </c>
      <c r="AA33" s="440">
        <v>0.04</v>
      </c>
      <c r="AB33" s="440">
        <v>8.3299999999999999E-2</v>
      </c>
      <c r="AC33" s="441">
        <v>0.10680000000000001</v>
      </c>
      <c r="AD33" s="441">
        <v>0.2</v>
      </c>
      <c r="AE33" s="442">
        <f>SUM(S33:AD33)</f>
        <v>1.0000000000000002</v>
      </c>
    </row>
    <row r="34" spans="1:31" s="426" customFormat="1" ht="12.75" customHeight="1" x14ac:dyDescent="0.2">
      <c r="A34" s="397">
        <v>2008</v>
      </c>
      <c r="B34" s="283">
        <f>G24/1000000</f>
        <v>750.56702627000016</v>
      </c>
      <c r="C34" s="283">
        <f t="shared" si="0"/>
        <v>750567026.2700001</v>
      </c>
      <c r="D34" s="283">
        <f t="shared" si="1"/>
        <v>30022681.050800003</v>
      </c>
      <c r="E34" s="283">
        <f t="shared" si="2"/>
        <v>14113662.361981081</v>
      </c>
      <c r="F34" s="283">
        <f t="shared" si="3"/>
        <v>1239179.5553819388</v>
      </c>
      <c r="G34" s="283">
        <f t="shared" si="4"/>
        <v>991343.64430555108</v>
      </c>
      <c r="H34" s="283">
        <f t="shared" si="5"/>
        <v>495671.82215277554</v>
      </c>
      <c r="I34" s="399"/>
      <c r="J34" s="394"/>
      <c r="K34" s="244"/>
      <c r="L34" s="400"/>
      <c r="M34" s="393"/>
      <c r="N34" s="394"/>
      <c r="O34" s="394">
        <f t="shared" si="6"/>
        <v>0</v>
      </c>
      <c r="P34" s="395">
        <f t="shared" si="7"/>
        <v>0</v>
      </c>
      <c r="R34" s="439" t="s">
        <v>353</v>
      </c>
      <c r="S34" s="443">
        <f>S33*$S$30</f>
        <v>228.91228843885656</v>
      </c>
      <c r="T34" s="443">
        <f t="shared" ref="T34:AD34" si="8">T33*$S$30</f>
        <v>595.17194994102704</v>
      </c>
      <c r="U34" s="443">
        <f t="shared" si="8"/>
        <v>183.12983075108525</v>
      </c>
      <c r="V34" s="443">
        <f t="shared" si="8"/>
        <v>183.12983075108525</v>
      </c>
      <c r="W34" s="443">
        <f t="shared" si="8"/>
        <v>381.36787253913502</v>
      </c>
      <c r="X34" s="443">
        <f t="shared" si="8"/>
        <v>381.36787253913502</v>
      </c>
      <c r="Y34" s="443">
        <f t="shared" si="8"/>
        <v>381.36787253913502</v>
      </c>
      <c r="Z34" s="443">
        <f t="shared" si="8"/>
        <v>274.69474612662788</v>
      </c>
      <c r="AA34" s="443">
        <f t="shared" si="8"/>
        <v>183.12983075108525</v>
      </c>
      <c r="AB34" s="443">
        <f t="shared" si="8"/>
        <v>381.36787253913502</v>
      </c>
      <c r="AC34" s="443">
        <f t="shared" si="8"/>
        <v>488.95664810539762</v>
      </c>
      <c r="AD34" s="443">
        <f t="shared" si="8"/>
        <v>915.64915375542625</v>
      </c>
      <c r="AE34" s="444">
        <f>SUM(S34:AD34)</f>
        <v>4578.2457687771312</v>
      </c>
    </row>
    <row r="35" spans="1:31" s="426" customFormat="1" ht="12.75" customHeight="1" x14ac:dyDescent="0.2">
      <c r="A35" s="397">
        <v>2009</v>
      </c>
      <c r="B35" s="283">
        <f>H24/1000000</f>
        <v>734.13849463999986</v>
      </c>
      <c r="C35" s="283">
        <f t="shared" si="0"/>
        <v>734138494.63999987</v>
      </c>
      <c r="D35" s="283">
        <f t="shared" si="1"/>
        <v>29365539.785599995</v>
      </c>
      <c r="E35" s="283">
        <f t="shared" si="2"/>
        <v>13804740.253210558</v>
      </c>
      <c r="F35" s="283">
        <f t="shared" si="3"/>
        <v>1212056.1942318869</v>
      </c>
      <c r="G35" s="283">
        <f t="shared" si="4"/>
        <v>969644.95538550953</v>
      </c>
      <c r="H35" s="283">
        <f t="shared" si="5"/>
        <v>484822.47769275476</v>
      </c>
      <c r="I35" s="399"/>
      <c r="J35" s="394"/>
      <c r="K35" s="244"/>
      <c r="L35" s="400"/>
      <c r="M35" s="393"/>
      <c r="N35" s="394"/>
      <c r="O35" s="394">
        <f t="shared" si="6"/>
        <v>0</v>
      </c>
      <c r="P35" s="395">
        <f t="shared" si="7"/>
        <v>0</v>
      </c>
    </row>
    <row r="36" spans="1:31" s="426" customFormat="1" ht="12.75" customHeight="1" x14ac:dyDescent="0.2">
      <c r="A36" s="397">
        <v>2010</v>
      </c>
      <c r="B36" s="283">
        <f>I24/1000000</f>
        <v>767.91013780999992</v>
      </c>
      <c r="C36" s="283">
        <f t="shared" si="0"/>
        <v>767910137.80999994</v>
      </c>
      <c r="D36" s="283">
        <f t="shared" si="1"/>
        <v>30716405.512399998</v>
      </c>
      <c r="E36" s="283">
        <f t="shared" si="2"/>
        <v>14439782.231379237</v>
      </c>
      <c r="F36" s="283">
        <f t="shared" si="3"/>
        <v>1267812.8799150968</v>
      </c>
      <c r="G36" s="283">
        <f t="shared" si="4"/>
        <v>1014250.3039320775</v>
      </c>
      <c r="H36" s="283">
        <f t="shared" si="5"/>
        <v>507125.15196603874</v>
      </c>
      <c r="I36" s="399"/>
      <c r="J36" s="394"/>
      <c r="K36" s="244"/>
      <c r="L36" s="400"/>
      <c r="M36" s="393"/>
      <c r="N36" s="394"/>
      <c r="O36" s="394">
        <f t="shared" si="6"/>
        <v>0</v>
      </c>
      <c r="P36" s="395">
        <f t="shared" si="7"/>
        <v>0</v>
      </c>
      <c r="R36" s="335" t="s">
        <v>261</v>
      </c>
      <c r="S36" s="445">
        <f t="shared" ref="S36:AD36" si="9">$R$30*S33</f>
        <v>32047.720381439922</v>
      </c>
      <c r="T36" s="445">
        <f t="shared" si="9"/>
        <v>83324.0729917438</v>
      </c>
      <c r="U36" s="445">
        <f t="shared" si="9"/>
        <v>25638.176305151937</v>
      </c>
      <c r="V36" s="445">
        <f t="shared" si="9"/>
        <v>25638.176305151937</v>
      </c>
      <c r="W36" s="445">
        <f t="shared" si="9"/>
        <v>53391.502155478905</v>
      </c>
      <c r="X36" s="445">
        <f t="shared" si="9"/>
        <v>53391.502155478905</v>
      </c>
      <c r="Y36" s="445">
        <f t="shared" si="9"/>
        <v>53391.502155478905</v>
      </c>
      <c r="Z36" s="445">
        <f t="shared" si="9"/>
        <v>38457.264457727899</v>
      </c>
      <c r="AA36" s="445">
        <f t="shared" si="9"/>
        <v>25638.176305151937</v>
      </c>
      <c r="AB36" s="445">
        <f t="shared" si="9"/>
        <v>53391.502155478905</v>
      </c>
      <c r="AC36" s="445">
        <f t="shared" si="9"/>
        <v>68453.930734755675</v>
      </c>
      <c r="AD36" s="445">
        <f t="shared" si="9"/>
        <v>128190.88152575969</v>
      </c>
      <c r="AE36" s="296">
        <f>SUM(S36:AD36)</f>
        <v>640954.40762879851</v>
      </c>
    </row>
    <row r="37" spans="1:31" s="426" customFormat="1" ht="12.75" customHeight="1" x14ac:dyDescent="0.2">
      <c r="A37" s="397">
        <v>2011</v>
      </c>
      <c r="B37" s="398">
        <f>48.12*(A37)-95895</f>
        <v>874.31999999999243</v>
      </c>
      <c r="C37" s="283">
        <f t="shared" si="0"/>
        <v>874319999.99999249</v>
      </c>
      <c r="D37" s="283">
        <f t="shared" si="1"/>
        <v>34972799.999999702</v>
      </c>
      <c r="E37" s="283">
        <f t="shared" si="2"/>
        <v>16440713.279999858</v>
      </c>
      <c r="F37" s="283">
        <f t="shared" si="3"/>
        <v>1443494.6259839872</v>
      </c>
      <c r="G37" s="283">
        <f t="shared" si="4"/>
        <v>1154795.7007871899</v>
      </c>
      <c r="H37" s="283">
        <f t="shared" si="5"/>
        <v>577397.85039359494</v>
      </c>
      <c r="I37" s="399"/>
      <c r="J37" s="394"/>
      <c r="K37" s="244"/>
      <c r="L37" s="400"/>
      <c r="M37" s="393"/>
      <c r="N37" s="394"/>
      <c r="O37" s="394">
        <f t="shared" si="6"/>
        <v>0</v>
      </c>
      <c r="P37" s="395">
        <f t="shared" si="7"/>
        <v>0</v>
      </c>
      <c r="R37" s="446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</row>
    <row r="38" spans="1:31" s="426" customFormat="1" ht="12.75" customHeight="1" x14ac:dyDescent="0.2">
      <c r="A38" s="397">
        <v>2012</v>
      </c>
      <c r="B38" s="398">
        <f t="shared" ref="B38:B43" si="10">48.12*(A38)-95895</f>
        <v>922.43999999998778</v>
      </c>
      <c r="C38" s="283">
        <f t="shared" si="0"/>
        <v>922439999.99998772</v>
      </c>
      <c r="D38" s="283">
        <f t="shared" si="1"/>
        <v>36897599.999999508</v>
      </c>
      <c r="E38" s="283">
        <f t="shared" si="2"/>
        <v>17345561.759999767</v>
      </c>
      <c r="F38" s="283">
        <f t="shared" si="3"/>
        <v>1522940.3225279793</v>
      </c>
      <c r="G38" s="283">
        <f t="shared" si="4"/>
        <v>1218352.2580223836</v>
      </c>
      <c r="H38" s="283">
        <f t="shared" si="5"/>
        <v>609176.12901119178</v>
      </c>
      <c r="I38" s="399">
        <f t="shared" ref="I38:I43" si="11">(H38/H37)-1</f>
        <v>5.5037057370294296E-2</v>
      </c>
      <c r="J38" s="394">
        <v>140</v>
      </c>
      <c r="K38" s="244">
        <f t="shared" ref="K38:K43" si="12">H38/J38</f>
        <v>4351.2580643656556</v>
      </c>
      <c r="L38" s="400">
        <f t="shared" ref="L38:L43" si="13">K38*1000</f>
        <v>4351258.0643656552</v>
      </c>
      <c r="M38" s="396">
        <v>9.6000000000000002E-2</v>
      </c>
      <c r="N38" s="394">
        <v>0.02</v>
      </c>
      <c r="O38" s="394">
        <f t="shared" si="6"/>
        <v>417720.77417910291</v>
      </c>
      <c r="P38" s="395">
        <f t="shared" si="7"/>
        <v>87025.161287313109</v>
      </c>
      <c r="Q38" s="276">
        <f t="shared" ref="Q38:Q43" si="14">K38/12</f>
        <v>362.60483869713795</v>
      </c>
      <c r="R38" s="335" t="s">
        <v>301</v>
      </c>
      <c r="S38" s="447">
        <f>SUM(S39:S49)</f>
        <v>33290.907903351806</v>
      </c>
      <c r="T38" s="447">
        <f t="shared" ref="T38:AE38" si="15">SUM(T39:T49)</f>
        <v>75777.028637603595</v>
      </c>
      <c r="U38" s="447">
        <f t="shared" si="15"/>
        <v>27980.142811570338</v>
      </c>
      <c r="V38" s="447">
        <f t="shared" si="15"/>
        <v>27980.142811570338</v>
      </c>
      <c r="W38" s="447">
        <f t="shared" si="15"/>
        <v>50975.755658984104</v>
      </c>
      <c r="X38" s="447">
        <f t="shared" si="15"/>
        <v>50975.755658984104</v>
      </c>
      <c r="Y38" s="447">
        <f t="shared" si="15"/>
        <v>50975.755658984104</v>
      </c>
      <c r="Z38" s="447">
        <f t="shared" si="15"/>
        <v>38601.672995133282</v>
      </c>
      <c r="AA38" s="447">
        <f t="shared" si="15"/>
        <v>27980.142811570338</v>
      </c>
      <c r="AB38" s="447">
        <f t="shared" si="15"/>
        <v>50975.755658984104</v>
      </c>
      <c r="AC38" s="447">
        <f t="shared" si="15"/>
        <v>63456.053624670574</v>
      </c>
      <c r="AD38" s="447">
        <f t="shared" si="15"/>
        <v>112952.38428007391</v>
      </c>
      <c r="AE38" s="332">
        <f t="shared" si="15"/>
        <v>611921.4985114804</v>
      </c>
    </row>
    <row r="39" spans="1:31" s="426" customFormat="1" x14ac:dyDescent="0.2">
      <c r="A39" s="397">
        <v>2013</v>
      </c>
      <c r="B39" s="398">
        <f t="shared" si="10"/>
        <v>970.55999999999767</v>
      </c>
      <c r="C39" s="283">
        <f t="shared" si="0"/>
        <v>970559999.99999762</v>
      </c>
      <c r="D39" s="283">
        <f t="shared" si="1"/>
        <v>38822399.999999903</v>
      </c>
      <c r="E39" s="283">
        <f t="shared" si="2"/>
        <v>18250410.239999954</v>
      </c>
      <c r="F39" s="283">
        <f t="shared" si="3"/>
        <v>1602386.0190719957</v>
      </c>
      <c r="G39" s="283">
        <f t="shared" si="4"/>
        <v>1281908.8152575968</v>
      </c>
      <c r="H39" s="283">
        <f t="shared" si="5"/>
        <v>640954.40762879839</v>
      </c>
      <c r="I39" s="399">
        <f t="shared" si="11"/>
        <v>5.21659945362416E-2</v>
      </c>
      <c r="J39" s="394">
        <v>140</v>
      </c>
      <c r="K39" s="244">
        <f t="shared" si="12"/>
        <v>4578.2457687771312</v>
      </c>
      <c r="L39" s="400">
        <f t="shared" si="13"/>
        <v>4578245.7687771311</v>
      </c>
      <c r="M39" s="396">
        <v>9.6000000000000002E-2</v>
      </c>
      <c r="N39" s="394">
        <v>0.02</v>
      </c>
      <c r="O39" s="394">
        <f t="shared" si="6"/>
        <v>439511.59380260459</v>
      </c>
      <c r="P39" s="395">
        <f t="shared" si="7"/>
        <v>91564.915375542623</v>
      </c>
      <c r="Q39" s="276">
        <f t="shared" si="14"/>
        <v>381.5204807314276</v>
      </c>
      <c r="R39" s="278" t="s">
        <v>40</v>
      </c>
      <c r="S39" s="337">
        <f>S34*$M$38*1000</f>
        <v>21975.579690130231</v>
      </c>
      <c r="T39" s="337">
        <f t="shared" ref="T39:AD39" si="16">T34*$M$38*1000</f>
        <v>57136.507194338599</v>
      </c>
      <c r="U39" s="337">
        <f t="shared" si="16"/>
        <v>17580.463752104184</v>
      </c>
      <c r="V39" s="337">
        <f t="shared" si="16"/>
        <v>17580.463752104184</v>
      </c>
      <c r="W39" s="337">
        <f t="shared" si="16"/>
        <v>36611.31576375696</v>
      </c>
      <c r="X39" s="337">
        <f t="shared" si="16"/>
        <v>36611.31576375696</v>
      </c>
      <c r="Y39" s="337">
        <f t="shared" si="16"/>
        <v>36611.31576375696</v>
      </c>
      <c r="Z39" s="337">
        <f t="shared" si="16"/>
        <v>26370.695628156278</v>
      </c>
      <c r="AA39" s="337">
        <f t="shared" si="16"/>
        <v>17580.463752104184</v>
      </c>
      <c r="AB39" s="337">
        <f t="shared" si="16"/>
        <v>36611.31576375696</v>
      </c>
      <c r="AC39" s="337">
        <f t="shared" si="16"/>
        <v>46939.838218118173</v>
      </c>
      <c r="AD39" s="337">
        <f t="shared" si="16"/>
        <v>87902.318760520924</v>
      </c>
      <c r="AE39" s="296">
        <f t="shared" ref="AE39:AE49" si="17">SUM(S39:AD39)</f>
        <v>439511.59380260459</v>
      </c>
    </row>
    <row r="40" spans="1:31" s="426" customFormat="1" x14ac:dyDescent="0.2">
      <c r="A40" s="397">
        <v>2014</v>
      </c>
      <c r="B40" s="398">
        <f t="shared" si="10"/>
        <v>1018.679999999993</v>
      </c>
      <c r="C40" s="283">
        <f t="shared" si="0"/>
        <v>1018679999.999993</v>
      </c>
      <c r="D40" s="283">
        <f t="shared" si="1"/>
        <v>40747199.999999717</v>
      </c>
      <c r="E40" s="283">
        <f t="shared" si="2"/>
        <v>19155258.719999865</v>
      </c>
      <c r="F40" s="283">
        <f t="shared" si="3"/>
        <v>1681831.715615988</v>
      </c>
      <c r="G40" s="283">
        <f t="shared" si="4"/>
        <v>1345465.3724927905</v>
      </c>
      <c r="H40" s="283">
        <f t="shared" si="5"/>
        <v>672732.68624639523</v>
      </c>
      <c r="I40" s="399">
        <f t="shared" si="11"/>
        <v>4.9579624134515443E-2</v>
      </c>
      <c r="J40" s="394">
        <v>140</v>
      </c>
      <c r="K40" s="244">
        <f t="shared" si="12"/>
        <v>4805.2334731885376</v>
      </c>
      <c r="L40" s="400">
        <f t="shared" si="13"/>
        <v>4805233.4731885372</v>
      </c>
      <c r="M40" s="396">
        <v>9.6000000000000002E-2</v>
      </c>
      <c r="N40" s="394">
        <v>0.02</v>
      </c>
      <c r="O40" s="394">
        <f t="shared" si="6"/>
        <v>461302.41342609964</v>
      </c>
      <c r="P40" s="395">
        <f t="shared" si="7"/>
        <v>96104.669463770741</v>
      </c>
      <c r="Q40" s="276">
        <f t="shared" si="14"/>
        <v>400.43612276571145</v>
      </c>
      <c r="R40" s="278" t="s">
        <v>71</v>
      </c>
      <c r="S40" s="332">
        <f>S34*$N$38*1000</f>
        <v>4578.2457687771321</v>
      </c>
      <c r="T40" s="332">
        <f t="shared" ref="T40:AD40" si="18">T34*$N$38*1000</f>
        <v>11903.43899882054</v>
      </c>
      <c r="U40" s="332">
        <f t="shared" si="18"/>
        <v>3662.5966150217055</v>
      </c>
      <c r="V40" s="332">
        <f t="shared" si="18"/>
        <v>3662.5966150217055</v>
      </c>
      <c r="W40" s="332">
        <f t="shared" si="18"/>
        <v>7627.3574507827007</v>
      </c>
      <c r="X40" s="332">
        <f t="shared" si="18"/>
        <v>7627.3574507827007</v>
      </c>
      <c r="Y40" s="332">
        <f t="shared" si="18"/>
        <v>7627.3574507827007</v>
      </c>
      <c r="Z40" s="332">
        <f t="shared" si="18"/>
        <v>5493.8949225325578</v>
      </c>
      <c r="AA40" s="332">
        <f t="shared" si="18"/>
        <v>3662.5966150217055</v>
      </c>
      <c r="AB40" s="332">
        <f t="shared" si="18"/>
        <v>7627.3574507827007</v>
      </c>
      <c r="AC40" s="332">
        <f t="shared" si="18"/>
        <v>9779.1329621079531</v>
      </c>
      <c r="AD40" s="332">
        <f t="shared" si="18"/>
        <v>18312.983075108528</v>
      </c>
      <c r="AE40" s="296">
        <f t="shared" si="17"/>
        <v>91564.915375542623</v>
      </c>
    </row>
    <row r="41" spans="1:31" s="426" customFormat="1" x14ac:dyDescent="0.2">
      <c r="A41" s="397">
        <v>2015</v>
      </c>
      <c r="B41" s="398">
        <f t="shared" si="10"/>
        <v>1066.7999999999884</v>
      </c>
      <c r="C41" s="283">
        <f t="shared" si="0"/>
        <v>1066799999.9999883</v>
      </c>
      <c r="D41" s="283">
        <f t="shared" si="1"/>
        <v>42671999.999999531</v>
      </c>
      <c r="E41" s="283">
        <f t="shared" si="2"/>
        <v>20060107.199999779</v>
      </c>
      <c r="F41" s="283">
        <f t="shared" si="3"/>
        <v>1761277.4121599805</v>
      </c>
      <c r="G41" s="283">
        <f t="shared" si="4"/>
        <v>1409021.9297279846</v>
      </c>
      <c r="H41" s="283">
        <f t="shared" si="5"/>
        <v>704510.9648639923</v>
      </c>
      <c r="I41" s="399">
        <f t="shared" si="11"/>
        <v>4.7237601602069246E-2</v>
      </c>
      <c r="J41" s="394">
        <v>140</v>
      </c>
      <c r="K41" s="244">
        <f t="shared" si="12"/>
        <v>5032.2211775999449</v>
      </c>
      <c r="L41" s="400">
        <f t="shared" si="13"/>
        <v>5032221.1775999451</v>
      </c>
      <c r="M41" s="396">
        <v>9.6000000000000002E-2</v>
      </c>
      <c r="N41" s="394">
        <v>0.02</v>
      </c>
      <c r="O41" s="394">
        <f t="shared" si="6"/>
        <v>483093.23304959474</v>
      </c>
      <c r="P41" s="395">
        <f t="shared" si="7"/>
        <v>100644.4235519989</v>
      </c>
      <c r="Q41" s="276">
        <f t="shared" si="14"/>
        <v>419.35176479999541</v>
      </c>
      <c r="R41" s="278" t="s">
        <v>211</v>
      </c>
      <c r="S41" s="296">
        <f>'[1]flujo efectivo PA con prestamo'!$C$11/12</f>
        <v>1226</v>
      </c>
      <c r="T41" s="296">
        <f>'[1]flujo efectivo PA con prestamo'!$C$11/12</f>
        <v>1226</v>
      </c>
      <c r="U41" s="296">
        <f>'[1]flujo efectivo PA con prestamo'!$C$11/12</f>
        <v>1226</v>
      </c>
      <c r="V41" s="296">
        <f>'[1]flujo efectivo PA con prestamo'!$C$11/12</f>
        <v>1226</v>
      </c>
      <c r="W41" s="296">
        <f>'[1]flujo efectivo PA con prestamo'!$C$11/12</f>
        <v>1226</v>
      </c>
      <c r="X41" s="296">
        <f>'[1]flujo efectivo PA con prestamo'!$C$11/12</f>
        <v>1226</v>
      </c>
      <c r="Y41" s="296">
        <f>'[1]flujo efectivo PA con prestamo'!$C$11/12</f>
        <v>1226</v>
      </c>
      <c r="Z41" s="296">
        <f>'[1]flujo efectivo PA con prestamo'!$C$11/12</f>
        <v>1226</v>
      </c>
      <c r="AA41" s="296">
        <f>'[1]flujo efectivo PA con prestamo'!$C$11/12</f>
        <v>1226</v>
      </c>
      <c r="AB41" s="296">
        <f>'[1]flujo efectivo PA con prestamo'!$C$11/12</f>
        <v>1226</v>
      </c>
      <c r="AC41" s="296">
        <f>'[1]flujo efectivo PA con prestamo'!$C$11/12</f>
        <v>1226</v>
      </c>
      <c r="AD41" s="296">
        <f>'[1]flujo efectivo PA con prestamo'!$C$11/12</f>
        <v>1226</v>
      </c>
      <c r="AE41" s="296">
        <f t="shared" si="17"/>
        <v>14712</v>
      </c>
    </row>
    <row r="42" spans="1:31" s="426" customFormat="1" x14ac:dyDescent="0.2">
      <c r="A42" s="397">
        <v>2016</v>
      </c>
      <c r="B42" s="398">
        <f t="shared" si="10"/>
        <v>1114.9199999999983</v>
      </c>
      <c r="C42" s="283">
        <f t="shared" si="0"/>
        <v>1114919999.9999983</v>
      </c>
      <c r="D42" s="283">
        <f t="shared" si="1"/>
        <v>44596799.999999933</v>
      </c>
      <c r="E42" s="283">
        <f t="shared" si="2"/>
        <v>20964955.679999966</v>
      </c>
      <c r="F42" s="283">
        <f t="shared" si="3"/>
        <v>1840723.1087039968</v>
      </c>
      <c r="G42" s="283">
        <f t="shared" si="4"/>
        <v>1472578.4869631976</v>
      </c>
      <c r="H42" s="283">
        <f t="shared" si="5"/>
        <v>736289.24348159879</v>
      </c>
      <c r="I42" s="399">
        <f t="shared" si="11"/>
        <v>4.5106861642304485E-2</v>
      </c>
      <c r="J42" s="394">
        <v>140</v>
      </c>
      <c r="K42" s="244">
        <f t="shared" si="12"/>
        <v>5259.2088820114195</v>
      </c>
      <c r="L42" s="400">
        <f t="shared" si="13"/>
        <v>5259208.8820114192</v>
      </c>
      <c r="M42" s="396">
        <v>9.6000000000000002E-2</v>
      </c>
      <c r="N42" s="394">
        <v>0.02</v>
      </c>
      <c r="O42" s="394">
        <f t="shared" si="6"/>
        <v>504884.0526730963</v>
      </c>
      <c r="P42" s="395">
        <f t="shared" si="7"/>
        <v>105184.1776402284</v>
      </c>
      <c r="Q42" s="276">
        <f t="shared" si="14"/>
        <v>438.26740683428494</v>
      </c>
      <c r="R42" s="278" t="s">
        <v>66</v>
      </c>
      <c r="S42" s="332">
        <f>'[1]flujo efectivo PA con prestamo'!$C$12/12</f>
        <v>366.56916666666666</v>
      </c>
      <c r="T42" s="332">
        <f>'[1]flujo efectivo PA con prestamo'!$C$12/12</f>
        <v>366.56916666666666</v>
      </c>
      <c r="U42" s="332">
        <f>'[1]flujo efectivo PA con prestamo'!$C$12/12</f>
        <v>366.56916666666666</v>
      </c>
      <c r="V42" s="332">
        <f>'[1]flujo efectivo PA con prestamo'!$C$12/12</f>
        <v>366.56916666666666</v>
      </c>
      <c r="W42" s="332">
        <f>'[1]flujo efectivo PA con prestamo'!$C$12/12</f>
        <v>366.56916666666666</v>
      </c>
      <c r="X42" s="332">
        <f>'[1]flujo efectivo PA con prestamo'!$C$12/12</f>
        <v>366.56916666666666</v>
      </c>
      <c r="Y42" s="332">
        <f>'[1]flujo efectivo PA con prestamo'!$C$12/12</f>
        <v>366.56916666666666</v>
      </c>
      <c r="Z42" s="332">
        <f>'[1]flujo efectivo PA con prestamo'!$C$12/12</f>
        <v>366.56916666666666</v>
      </c>
      <c r="AA42" s="332">
        <f>'[1]flujo efectivo PA con prestamo'!$C$12/12</f>
        <v>366.56916666666666</v>
      </c>
      <c r="AB42" s="332">
        <f>'[1]flujo efectivo PA con prestamo'!$C$12/12</f>
        <v>366.56916666666666</v>
      </c>
      <c r="AC42" s="332">
        <f>'[1]flujo efectivo PA con prestamo'!$C$12/12</f>
        <v>366.56916666666666</v>
      </c>
      <c r="AD42" s="332">
        <f>'[1]flujo efectivo PA con prestamo'!$C$12/12</f>
        <v>366.56916666666666</v>
      </c>
      <c r="AE42" s="296">
        <f t="shared" si="17"/>
        <v>4398.83</v>
      </c>
    </row>
    <row r="43" spans="1:31" s="426" customFormat="1" ht="13.5" thickBot="1" x14ac:dyDescent="0.25">
      <c r="A43" s="401">
        <v>2017</v>
      </c>
      <c r="B43" s="402">
        <f t="shared" si="10"/>
        <v>1163.0399999999936</v>
      </c>
      <c r="C43" s="403">
        <f t="shared" si="0"/>
        <v>1163039999.9999936</v>
      </c>
      <c r="D43" s="403">
        <f t="shared" si="1"/>
        <v>46521599.999999747</v>
      </c>
      <c r="E43" s="403">
        <f t="shared" si="2"/>
        <v>21869804.159999881</v>
      </c>
      <c r="F43" s="403">
        <f t="shared" si="3"/>
        <v>1920168.8052479893</v>
      </c>
      <c r="G43" s="403">
        <f t="shared" si="4"/>
        <v>1536135.0441983915</v>
      </c>
      <c r="H43" s="403">
        <f t="shared" si="5"/>
        <v>768067.52209919575</v>
      </c>
      <c r="I43" s="404">
        <f t="shared" si="11"/>
        <v>4.3160047357653886E-2</v>
      </c>
      <c r="J43" s="405">
        <v>140</v>
      </c>
      <c r="K43" s="406">
        <f t="shared" si="12"/>
        <v>5486.1965864228268</v>
      </c>
      <c r="L43" s="407">
        <f t="shared" si="13"/>
        <v>5486196.5864228271</v>
      </c>
      <c r="M43" s="408">
        <v>9.6000000000000002E-2</v>
      </c>
      <c r="N43" s="405">
        <v>0.02</v>
      </c>
      <c r="O43" s="405">
        <f t="shared" si="6"/>
        <v>526674.87229659141</v>
      </c>
      <c r="P43" s="409">
        <f t="shared" si="7"/>
        <v>109723.93172845653</v>
      </c>
      <c r="Q43" s="276">
        <f t="shared" si="14"/>
        <v>457.1830488685689</v>
      </c>
      <c r="R43" s="278" t="s">
        <v>72</v>
      </c>
      <c r="S43" s="332">
        <f>'[1]flujo efectivo PA con prestamo'!$C$13/12</f>
        <v>4276.8786666666665</v>
      </c>
      <c r="T43" s="332">
        <f>'[1]flujo efectivo PA con prestamo'!$C$13/12</f>
        <v>4276.8786666666665</v>
      </c>
      <c r="U43" s="332">
        <f>'[1]flujo efectivo PA con prestamo'!$C$13/12</f>
        <v>4276.8786666666665</v>
      </c>
      <c r="V43" s="332">
        <f>'[1]flujo efectivo PA con prestamo'!$C$13/12</f>
        <v>4276.8786666666665</v>
      </c>
      <c r="W43" s="332">
        <f>'[1]flujo efectivo PA con prestamo'!$C$13/12</f>
        <v>4276.8786666666665</v>
      </c>
      <c r="X43" s="332">
        <f>'[1]flujo efectivo PA con prestamo'!$C$13/12</f>
        <v>4276.8786666666665</v>
      </c>
      <c r="Y43" s="332">
        <f>'[1]flujo efectivo PA con prestamo'!$C$13/12</f>
        <v>4276.8786666666665</v>
      </c>
      <c r="Z43" s="332">
        <f>'[1]flujo efectivo PA con prestamo'!$C$13/12</f>
        <v>4276.8786666666665</v>
      </c>
      <c r="AA43" s="332">
        <f>'[1]flujo efectivo PA con prestamo'!$C$13/12</f>
        <v>4276.8786666666665</v>
      </c>
      <c r="AB43" s="332">
        <f>'[1]flujo efectivo PA con prestamo'!$C$13/12</f>
        <v>4276.8786666666665</v>
      </c>
      <c r="AC43" s="332">
        <f>'[1]flujo efectivo PA con prestamo'!$C$13/12</f>
        <v>4276.8786666666665</v>
      </c>
      <c r="AD43" s="332">
        <f>'[1]flujo efectivo PA con prestamo'!$C$13/12</f>
        <v>4276.8786666666665</v>
      </c>
      <c r="AE43" s="296">
        <f t="shared" si="17"/>
        <v>51322.543999999987</v>
      </c>
    </row>
    <row r="44" spans="1:31" s="426" customFormat="1" x14ac:dyDescent="0.2">
      <c r="H44" s="426" t="s">
        <v>375</v>
      </c>
      <c r="I44" s="448">
        <f>AVERAGE(I30:I43)</f>
        <v>4.8714531107179826E-2</v>
      </c>
      <c r="K44" s="449"/>
      <c r="L44" s="449"/>
      <c r="M44" s="449"/>
      <c r="N44" s="449"/>
      <c r="R44" s="278" t="s">
        <v>212</v>
      </c>
      <c r="S44" s="332">
        <f>'[1]flujo efectivo PA con prestamo'!$C$14/12</f>
        <v>200</v>
      </c>
      <c r="T44" s="332">
        <f>'[1]flujo efectivo PA con prestamo'!$C$14/12</f>
        <v>200</v>
      </c>
      <c r="U44" s="332">
        <f>'[1]flujo efectivo PA con prestamo'!$C$14/12</f>
        <v>200</v>
      </c>
      <c r="V44" s="332">
        <f>'[1]flujo efectivo PA con prestamo'!$C$14/12</f>
        <v>200</v>
      </c>
      <c r="W44" s="332">
        <f>'[1]flujo efectivo PA con prestamo'!$C$14/12</f>
        <v>200</v>
      </c>
      <c r="X44" s="332">
        <f>'[1]flujo efectivo PA con prestamo'!$C$14/12</f>
        <v>200</v>
      </c>
      <c r="Y44" s="332">
        <f>'[1]flujo efectivo PA con prestamo'!$C$14/12</f>
        <v>200</v>
      </c>
      <c r="Z44" s="332">
        <f>'[1]flujo efectivo PA con prestamo'!$C$14/12</f>
        <v>200</v>
      </c>
      <c r="AA44" s="332">
        <f>'[1]flujo efectivo PA con prestamo'!$C$14/12</f>
        <v>200</v>
      </c>
      <c r="AB44" s="332">
        <f>'[1]flujo efectivo PA con prestamo'!$C$14/12</f>
        <v>200</v>
      </c>
      <c r="AC44" s="332">
        <f>'[1]flujo efectivo PA con prestamo'!$C$14/12</f>
        <v>200</v>
      </c>
      <c r="AD44" s="332">
        <f>'[1]flujo efectivo PA con prestamo'!$C$14/12</f>
        <v>200</v>
      </c>
      <c r="AE44" s="296">
        <f t="shared" si="17"/>
        <v>2400</v>
      </c>
    </row>
    <row r="45" spans="1:31" s="426" customFormat="1" ht="15" x14ac:dyDescent="0.25">
      <c r="B45" s="234"/>
      <c r="C45" s="248"/>
      <c r="D45" s="248"/>
      <c r="E45" s="450"/>
      <c r="F45" s="248"/>
      <c r="G45" s="248"/>
      <c r="H45" s="283"/>
      <c r="I45" s="248"/>
      <c r="J45" s="284"/>
      <c r="K45" s="285"/>
      <c r="L45" s="234"/>
      <c r="M45" s="234"/>
      <c r="N45" s="234"/>
      <c r="O45" s="234"/>
      <c r="P45" s="234"/>
      <c r="Q45" s="234"/>
      <c r="R45" s="278" t="s">
        <v>214</v>
      </c>
      <c r="S45" s="332">
        <f>'[1]flujo efectivo PA con prestamo'!$C$15/12</f>
        <v>50</v>
      </c>
      <c r="T45" s="332">
        <f>'[1]flujo efectivo PA con prestamo'!$C$15/12</f>
        <v>50</v>
      </c>
      <c r="U45" s="332">
        <f>'[1]flujo efectivo PA con prestamo'!$C$15/12</f>
        <v>50</v>
      </c>
      <c r="V45" s="332">
        <f>'[1]flujo efectivo PA con prestamo'!$C$15/12</f>
        <v>50</v>
      </c>
      <c r="W45" s="332">
        <f>'[1]flujo efectivo PA con prestamo'!$C$15/12</f>
        <v>50</v>
      </c>
      <c r="X45" s="332">
        <f>'[1]flujo efectivo PA con prestamo'!$C$15/12</f>
        <v>50</v>
      </c>
      <c r="Y45" s="332">
        <f>'[1]flujo efectivo PA con prestamo'!$C$15/12</f>
        <v>50</v>
      </c>
      <c r="Z45" s="332">
        <f>'[1]flujo efectivo PA con prestamo'!$C$15/12</f>
        <v>50</v>
      </c>
      <c r="AA45" s="332">
        <f>'[1]flujo efectivo PA con prestamo'!$C$15/12</f>
        <v>50</v>
      </c>
      <c r="AB45" s="332">
        <f>'[1]flujo efectivo PA con prestamo'!$C$15/12</f>
        <v>50</v>
      </c>
      <c r="AC45" s="332">
        <f>'[1]flujo efectivo PA con prestamo'!$C$15/12</f>
        <v>50</v>
      </c>
      <c r="AD45" s="332">
        <f>'[1]flujo efectivo PA con prestamo'!$C$15/12</f>
        <v>50</v>
      </c>
      <c r="AE45" s="296">
        <f t="shared" si="17"/>
        <v>600</v>
      </c>
    </row>
    <row r="46" spans="1:31" s="426" customFormat="1" ht="15" x14ac:dyDescent="0.25">
      <c r="B46" s="234"/>
      <c r="C46" s="248"/>
      <c r="D46" s="248"/>
      <c r="E46" s="248"/>
      <c r="F46" s="248"/>
      <c r="G46" s="248"/>
      <c r="H46" s="248"/>
      <c r="I46" s="248"/>
      <c r="J46" s="248"/>
      <c r="K46" s="248"/>
      <c r="L46" s="234"/>
      <c r="M46" s="234"/>
      <c r="N46" s="234"/>
      <c r="O46" s="283"/>
      <c r="P46" s="234"/>
      <c r="Q46" s="234"/>
      <c r="R46" s="278" t="s">
        <v>213</v>
      </c>
      <c r="S46" s="332">
        <f>'[1]flujo efectivo PA con prestamo'!$C$16/12</f>
        <v>79.760833333333338</v>
      </c>
      <c r="T46" s="332">
        <f>'[1]flujo efectivo PA con prestamo'!$C$16/12</f>
        <v>79.760833333333338</v>
      </c>
      <c r="U46" s="332">
        <f>'[1]flujo efectivo PA con prestamo'!$C$16/12</f>
        <v>79.760833333333338</v>
      </c>
      <c r="V46" s="332">
        <f>'[1]flujo efectivo PA con prestamo'!$C$16/12</f>
        <v>79.760833333333338</v>
      </c>
      <c r="W46" s="332">
        <f>'[1]flujo efectivo PA con prestamo'!$C$16/12</f>
        <v>79.760833333333338</v>
      </c>
      <c r="X46" s="332">
        <f>'[1]flujo efectivo PA con prestamo'!$C$16/12</f>
        <v>79.760833333333338</v>
      </c>
      <c r="Y46" s="332">
        <f>'[1]flujo efectivo PA con prestamo'!$C$16/12</f>
        <v>79.760833333333338</v>
      </c>
      <c r="Z46" s="332">
        <f>'[1]flujo efectivo PA con prestamo'!$C$16/12</f>
        <v>79.760833333333338</v>
      </c>
      <c r="AA46" s="332">
        <f>'[1]flujo efectivo PA con prestamo'!$C$16/12</f>
        <v>79.760833333333338</v>
      </c>
      <c r="AB46" s="332">
        <f>'[1]flujo efectivo PA con prestamo'!$C$16/12</f>
        <v>79.760833333333338</v>
      </c>
      <c r="AC46" s="332">
        <f>'[1]flujo efectivo PA con prestamo'!$C$16/12</f>
        <v>79.760833333333338</v>
      </c>
      <c r="AD46" s="332">
        <f>'[1]flujo efectivo PA con prestamo'!$C$16/12</f>
        <v>79.760833333333338</v>
      </c>
      <c r="AE46" s="296">
        <f t="shared" si="17"/>
        <v>957.13000000000022</v>
      </c>
    </row>
    <row r="47" spans="1:31" s="426" customFormat="1" ht="15" x14ac:dyDescent="0.25">
      <c r="B47" s="234"/>
      <c r="C47" s="255"/>
      <c r="D47" s="255"/>
      <c r="E47" s="248"/>
      <c r="K47" s="234"/>
      <c r="L47" s="234"/>
      <c r="N47" s="234"/>
      <c r="O47" s="283">
        <f>O39+P39</f>
        <v>531076.50917814719</v>
      </c>
      <c r="P47" s="234"/>
      <c r="Q47" s="234"/>
      <c r="R47" s="278" t="s">
        <v>337</v>
      </c>
      <c r="S47" s="332">
        <f>'[1]flujo efectivo PA con prestamo'!$C$17/12</f>
        <v>453.56877777777777</v>
      </c>
      <c r="T47" s="332">
        <f>'[1]flujo efectivo PA con prestamo'!$C$17/12</f>
        <v>453.56877777777777</v>
      </c>
      <c r="U47" s="332">
        <f>'[1]flujo efectivo PA con prestamo'!$C$17/12</f>
        <v>453.56877777777777</v>
      </c>
      <c r="V47" s="332">
        <f>'[1]flujo efectivo PA con prestamo'!$C$17/12</f>
        <v>453.56877777777777</v>
      </c>
      <c r="W47" s="332">
        <f>'[1]flujo efectivo PA con prestamo'!$C$17/12</f>
        <v>453.56877777777777</v>
      </c>
      <c r="X47" s="332">
        <f>'[1]flujo efectivo PA con prestamo'!$C$17/12</f>
        <v>453.56877777777777</v>
      </c>
      <c r="Y47" s="332">
        <f>'[1]flujo efectivo PA con prestamo'!$C$17/12</f>
        <v>453.56877777777777</v>
      </c>
      <c r="Z47" s="332">
        <f>'[1]flujo efectivo PA con prestamo'!$C$17/12</f>
        <v>453.56877777777777</v>
      </c>
      <c r="AA47" s="332">
        <f>'[1]flujo efectivo PA con prestamo'!$C$17/12</f>
        <v>453.56877777777777</v>
      </c>
      <c r="AB47" s="332">
        <f>'[1]flujo efectivo PA con prestamo'!$C$17/12</f>
        <v>453.56877777777777</v>
      </c>
      <c r="AC47" s="332">
        <f>'[1]flujo efectivo PA con prestamo'!$C$17/12</f>
        <v>453.56877777777777</v>
      </c>
      <c r="AD47" s="332">
        <f>'[1]flujo efectivo PA con prestamo'!$C$17/12</f>
        <v>453.56877777777777</v>
      </c>
      <c r="AE47" s="296">
        <f t="shared" si="17"/>
        <v>5442.8253333333314</v>
      </c>
    </row>
    <row r="48" spans="1:31" s="426" customFormat="1" ht="15" x14ac:dyDescent="0.25">
      <c r="B48" s="234"/>
      <c r="C48" s="256"/>
      <c r="D48" s="256"/>
      <c r="E48" s="248"/>
      <c r="K48" s="463"/>
      <c r="L48" s="449"/>
      <c r="R48" s="278" t="s">
        <v>176</v>
      </c>
      <c r="S48" s="332">
        <f>'[1]flujo efectivo PA con prestamo'!$C$18/12</f>
        <v>32.726666666666667</v>
      </c>
      <c r="T48" s="332">
        <f>'[1]flujo efectivo PA con prestamo'!$C$18/12</f>
        <v>32.726666666666667</v>
      </c>
      <c r="U48" s="332">
        <f>'[1]flujo efectivo PA con prestamo'!$C$18/12</f>
        <v>32.726666666666667</v>
      </c>
      <c r="V48" s="332">
        <f>'[1]flujo efectivo PA con prestamo'!$C$18/12</f>
        <v>32.726666666666667</v>
      </c>
      <c r="W48" s="332">
        <f>'[1]flujo efectivo PA con prestamo'!$C$18/12</f>
        <v>32.726666666666667</v>
      </c>
      <c r="X48" s="332">
        <f>'[1]flujo efectivo PA con prestamo'!$C$18/12</f>
        <v>32.726666666666667</v>
      </c>
      <c r="Y48" s="332">
        <f>'[1]flujo efectivo PA con prestamo'!$C$18/12</f>
        <v>32.726666666666667</v>
      </c>
      <c r="Z48" s="332">
        <f>'[1]flujo efectivo PA con prestamo'!$C$18/12</f>
        <v>32.726666666666667</v>
      </c>
      <c r="AA48" s="332">
        <f>'[1]flujo efectivo PA con prestamo'!$C$18/12</f>
        <v>32.726666666666667</v>
      </c>
      <c r="AB48" s="332">
        <f>'[1]flujo efectivo PA con prestamo'!$C$18/12</f>
        <v>32.726666666666667</v>
      </c>
      <c r="AC48" s="332">
        <f>'[1]flujo efectivo PA con prestamo'!$C$18/12</f>
        <v>32.726666666666667</v>
      </c>
      <c r="AD48" s="332">
        <f>'[1]flujo efectivo PA con prestamo'!$C$18/12</f>
        <v>32.726666666666667</v>
      </c>
      <c r="AE48" s="296">
        <f t="shared" si="17"/>
        <v>392.72000000000008</v>
      </c>
    </row>
    <row r="49" spans="1:31" s="426" customFormat="1" ht="15" x14ac:dyDescent="0.25">
      <c r="B49" s="234"/>
      <c r="C49" s="256"/>
      <c r="D49" s="256"/>
      <c r="E49" s="248"/>
      <c r="K49" s="463"/>
      <c r="L49" s="449"/>
      <c r="R49" s="451" t="s">
        <v>5</v>
      </c>
      <c r="S49" s="332">
        <f>'[1]flujo efectivo PA con prestamo'!$C$19/12</f>
        <v>51.578333333333326</v>
      </c>
      <c r="T49" s="332">
        <f>'[1]flujo efectivo PA con prestamo'!$C$19/12</f>
        <v>51.578333333333326</v>
      </c>
      <c r="U49" s="332">
        <f>'[1]flujo efectivo PA con prestamo'!$C$19/12</f>
        <v>51.578333333333326</v>
      </c>
      <c r="V49" s="332">
        <f>'[1]flujo efectivo PA con prestamo'!$C$19/12</f>
        <v>51.578333333333326</v>
      </c>
      <c r="W49" s="332">
        <f>'[1]flujo efectivo PA con prestamo'!$C$19/12</f>
        <v>51.578333333333326</v>
      </c>
      <c r="X49" s="332">
        <f>'[1]flujo efectivo PA con prestamo'!$C$19/12</f>
        <v>51.578333333333326</v>
      </c>
      <c r="Y49" s="332">
        <f>'[1]flujo efectivo PA con prestamo'!$C$19/12</f>
        <v>51.578333333333326</v>
      </c>
      <c r="Z49" s="332">
        <f>'[1]flujo efectivo PA con prestamo'!$C$19/12</f>
        <v>51.578333333333326</v>
      </c>
      <c r="AA49" s="332">
        <f>'[1]flujo efectivo PA con prestamo'!$C$19/12</f>
        <v>51.578333333333326</v>
      </c>
      <c r="AB49" s="332">
        <f>'[1]flujo efectivo PA con prestamo'!$C$19/12</f>
        <v>51.578333333333326</v>
      </c>
      <c r="AC49" s="332">
        <f>'[1]flujo efectivo PA con prestamo'!$C$19/12</f>
        <v>51.578333333333326</v>
      </c>
      <c r="AD49" s="332">
        <f>'[1]flujo efectivo PA con prestamo'!$C$19/12</f>
        <v>51.578333333333326</v>
      </c>
      <c r="AE49" s="296">
        <f t="shared" si="17"/>
        <v>618.94000000000005</v>
      </c>
    </row>
    <row r="50" spans="1:31" s="426" customFormat="1" ht="15" x14ac:dyDescent="0.25">
      <c r="B50" s="234"/>
      <c r="C50" s="256"/>
      <c r="D50" s="256"/>
      <c r="E50" s="248"/>
      <c r="K50" s="463"/>
      <c r="L50" s="449"/>
      <c r="R50" s="290" t="s">
        <v>350</v>
      </c>
      <c r="S50" s="447">
        <f>S36-S38</f>
        <v>-1243.1875219118847</v>
      </c>
      <c r="T50" s="447">
        <f t="shared" ref="T50:AE50" si="19">T36-T38</f>
        <v>7547.0443541402055</v>
      </c>
      <c r="U50" s="447">
        <f t="shared" si="19"/>
        <v>-2341.966506418401</v>
      </c>
      <c r="V50" s="447">
        <f t="shared" si="19"/>
        <v>-2341.966506418401</v>
      </c>
      <c r="W50" s="447">
        <f t="shared" si="19"/>
        <v>2415.7464964948012</v>
      </c>
      <c r="X50" s="447">
        <f t="shared" si="19"/>
        <v>2415.7464964948012</v>
      </c>
      <c r="Y50" s="447">
        <f t="shared" si="19"/>
        <v>2415.7464964948012</v>
      </c>
      <c r="Z50" s="447">
        <f t="shared" si="19"/>
        <v>-144.40853740538296</v>
      </c>
      <c r="AA50" s="447">
        <f t="shared" si="19"/>
        <v>-2341.966506418401</v>
      </c>
      <c r="AB50" s="447">
        <f t="shared" si="19"/>
        <v>2415.7464964948012</v>
      </c>
      <c r="AC50" s="447">
        <f t="shared" si="19"/>
        <v>4997.8771100851009</v>
      </c>
      <c r="AD50" s="447">
        <f t="shared" si="19"/>
        <v>15238.497245685779</v>
      </c>
      <c r="AE50" s="447">
        <f t="shared" si="19"/>
        <v>29032.909117318108</v>
      </c>
    </row>
    <row r="51" spans="1:31" s="426" customFormat="1" ht="15" x14ac:dyDescent="0.25">
      <c r="B51" s="234"/>
      <c r="C51" s="256"/>
      <c r="D51" s="256"/>
      <c r="E51" s="248"/>
      <c r="K51" s="463"/>
      <c r="L51" s="449"/>
      <c r="R51" s="370" t="s">
        <v>351</v>
      </c>
      <c r="S51" s="458">
        <f>S50</f>
        <v>-1243.1875219118847</v>
      </c>
      <c r="T51" s="447">
        <f t="shared" ref="T51:AE51" si="20">S51+T50</f>
        <v>6303.8568322283209</v>
      </c>
      <c r="U51" s="447">
        <f t="shared" si="20"/>
        <v>3961.8903258099199</v>
      </c>
      <c r="V51" s="447">
        <f t="shared" si="20"/>
        <v>1619.9238193915189</v>
      </c>
      <c r="W51" s="447">
        <f t="shared" si="20"/>
        <v>4035.6703158863202</v>
      </c>
      <c r="X51" s="447">
        <f t="shared" si="20"/>
        <v>6451.4168123811214</v>
      </c>
      <c r="Y51" s="447">
        <f t="shared" si="20"/>
        <v>8867.1633088759227</v>
      </c>
      <c r="Z51" s="447">
        <f t="shared" si="20"/>
        <v>8722.7547714705397</v>
      </c>
      <c r="AA51" s="445">
        <f t="shared" si="20"/>
        <v>6380.7882650521387</v>
      </c>
      <c r="AB51" s="447">
        <f t="shared" si="20"/>
        <v>8796.53476154694</v>
      </c>
      <c r="AC51" s="447">
        <f t="shared" si="20"/>
        <v>13794.411871632041</v>
      </c>
      <c r="AD51" s="447">
        <f t="shared" si="20"/>
        <v>29032.90911731782</v>
      </c>
      <c r="AE51" s="447">
        <f t="shared" si="20"/>
        <v>58065.818234635924</v>
      </c>
    </row>
    <row r="52" spans="1:31" s="426" customFormat="1" ht="15" x14ac:dyDescent="0.25">
      <c r="B52" s="234"/>
      <c r="C52" s="256"/>
      <c r="D52" s="256"/>
      <c r="E52" s="248"/>
      <c r="K52" s="463"/>
      <c r="L52" s="449"/>
    </row>
    <row r="53" spans="1:31" s="426" customFormat="1" ht="15" x14ac:dyDescent="0.25">
      <c r="B53" s="234"/>
      <c r="C53" s="248"/>
      <c r="D53" s="248"/>
      <c r="E53" s="248"/>
      <c r="K53" s="463"/>
      <c r="L53" s="449"/>
      <c r="S53" s="471">
        <f>MIN(S51:AD51)</f>
        <v>-1243.1875219118847</v>
      </c>
    </row>
    <row r="54" spans="1:31" s="426" customFormat="1" ht="15" x14ac:dyDescent="0.25">
      <c r="B54" s="234"/>
      <c r="C54" s="248"/>
      <c r="D54" s="248"/>
      <c r="E54" s="248"/>
    </row>
    <row r="55" spans="1:31" s="426" customFormat="1" ht="15" x14ac:dyDescent="0.25">
      <c r="B55" s="234"/>
      <c r="C55" s="253"/>
      <c r="D55" s="253"/>
      <c r="E55" s="253"/>
      <c r="F55" s="253"/>
      <c r="G55" s="452"/>
      <c r="H55" s="452"/>
      <c r="I55" s="452"/>
      <c r="J55" s="452"/>
    </row>
    <row r="56" spans="1:31" s="426" customFormat="1" ht="15" x14ac:dyDescent="0.25">
      <c r="B56" s="234"/>
      <c r="C56" s="256"/>
      <c r="D56" s="256"/>
      <c r="E56" s="256"/>
      <c r="F56" s="453"/>
      <c r="G56" s="453"/>
      <c r="H56" s="453"/>
      <c r="I56" s="454"/>
      <c r="J56" s="454"/>
      <c r="K56" s="248"/>
      <c r="L56" s="234"/>
      <c r="M56" s="234"/>
      <c r="N56" s="234"/>
      <c r="O56" s="234"/>
      <c r="P56" s="234"/>
      <c r="Q56" s="234"/>
    </row>
    <row r="57" spans="1:31" ht="15" x14ac:dyDescent="0.25">
      <c r="B57" s="240"/>
      <c r="C57" s="256"/>
      <c r="D57" s="256"/>
      <c r="E57" s="256"/>
      <c r="F57" s="421"/>
      <c r="G57" s="153"/>
      <c r="H57" s="153"/>
      <c r="I57" s="274"/>
      <c r="J57" s="274"/>
      <c r="K57" s="245"/>
      <c r="L57" s="240"/>
      <c r="M57" s="240"/>
      <c r="N57" s="240"/>
      <c r="O57" s="240"/>
      <c r="P57" s="240"/>
      <c r="Q57" s="240"/>
    </row>
    <row r="58" spans="1:31" ht="15" x14ac:dyDescent="0.25">
      <c r="B58" s="240"/>
      <c r="C58" s="256"/>
      <c r="D58" s="256"/>
      <c r="E58" s="256"/>
      <c r="F58" s="240"/>
      <c r="G58" s="392"/>
      <c r="H58" s="422"/>
      <c r="I58" s="274"/>
      <c r="J58" s="274"/>
      <c r="K58" s="245"/>
      <c r="L58" s="240"/>
      <c r="M58" s="240"/>
      <c r="N58" s="240"/>
      <c r="O58" s="240"/>
      <c r="P58" s="240"/>
      <c r="Q58" s="240"/>
    </row>
    <row r="59" spans="1:31" ht="15" x14ac:dyDescent="0.25">
      <c r="B59" s="240"/>
      <c r="C59" s="245"/>
      <c r="D59" s="245"/>
      <c r="E59" s="245"/>
      <c r="F59" s="240"/>
      <c r="G59" s="392"/>
      <c r="H59" s="422"/>
      <c r="I59" s="274"/>
      <c r="J59" s="274"/>
      <c r="K59" s="245"/>
      <c r="L59" s="240"/>
      <c r="M59" s="240"/>
      <c r="N59" s="240"/>
      <c r="O59" s="240"/>
      <c r="P59" s="240"/>
      <c r="Q59" s="240"/>
    </row>
    <row r="60" spans="1:31" ht="15" x14ac:dyDescent="0.25">
      <c r="B60" s="240"/>
      <c r="C60" s="253"/>
      <c r="D60" s="253"/>
      <c r="E60" s="253"/>
      <c r="F60" s="240"/>
      <c r="G60" s="392"/>
      <c r="H60" s="422"/>
      <c r="I60" s="275"/>
      <c r="J60" s="275"/>
      <c r="K60" s="253"/>
      <c r="L60" s="240"/>
      <c r="M60" s="240"/>
      <c r="N60" s="240"/>
      <c r="O60" s="240"/>
      <c r="P60" s="240"/>
      <c r="Q60" s="240"/>
    </row>
    <row r="61" spans="1:31" ht="15" x14ac:dyDescent="0.25">
      <c r="B61" s="240"/>
      <c r="C61" s="256"/>
      <c r="D61" s="256"/>
      <c r="E61" s="256"/>
      <c r="F61" s="240"/>
      <c r="G61" s="392"/>
      <c r="H61" s="422"/>
      <c r="I61" s="273"/>
      <c r="J61" s="273"/>
      <c r="K61" s="256"/>
      <c r="L61" s="240"/>
      <c r="M61" s="240"/>
      <c r="N61" s="240"/>
      <c r="O61" s="240"/>
      <c r="P61" s="240"/>
      <c r="Q61" s="240"/>
    </row>
    <row r="62" spans="1:31" ht="15" x14ac:dyDescent="0.25">
      <c r="B62" s="240"/>
      <c r="C62" s="256"/>
      <c r="D62" s="256"/>
      <c r="E62" s="256"/>
      <c r="F62" s="240"/>
      <c r="G62" s="392"/>
      <c r="H62" s="422"/>
      <c r="I62" s="273"/>
      <c r="J62" s="273"/>
      <c r="K62" s="256"/>
      <c r="L62" s="240"/>
      <c r="M62" s="240"/>
      <c r="N62" s="240"/>
      <c r="O62" s="240"/>
      <c r="P62" s="240"/>
      <c r="Q62" s="240"/>
    </row>
    <row r="63" spans="1:31" ht="15.75" thickBot="1" x14ac:dyDescent="0.3">
      <c r="B63" s="240"/>
      <c r="C63" s="245"/>
      <c r="D63" s="245"/>
      <c r="E63" s="245"/>
      <c r="F63" s="240"/>
      <c r="G63" s="392"/>
      <c r="H63" s="422"/>
      <c r="I63" s="245"/>
      <c r="J63" s="245"/>
      <c r="K63" s="245"/>
      <c r="L63" s="240"/>
      <c r="M63" s="240"/>
      <c r="N63" s="240"/>
      <c r="O63" s="240"/>
      <c r="P63" s="240"/>
      <c r="Q63" s="240"/>
    </row>
    <row r="64" spans="1:31" ht="15.75" thickBot="1" x14ac:dyDescent="0.3">
      <c r="A64" s="846" t="s">
        <v>262</v>
      </c>
      <c r="B64" s="848" t="s">
        <v>0</v>
      </c>
      <c r="C64" s="849"/>
      <c r="D64" s="245"/>
      <c r="E64" s="245"/>
      <c r="F64" s="240"/>
      <c r="G64" s="420"/>
      <c r="H64" s="423"/>
      <c r="I64" s="245"/>
      <c r="J64" s="245"/>
      <c r="K64" s="245"/>
      <c r="L64" s="240"/>
      <c r="M64" s="240"/>
      <c r="N64" s="240"/>
      <c r="O64" s="240"/>
      <c r="P64" s="240"/>
      <c r="Q64" s="240"/>
    </row>
    <row r="65" spans="1:17" ht="15.75" thickBot="1" x14ac:dyDescent="0.3">
      <c r="A65" s="847"/>
      <c r="B65" s="257" t="s">
        <v>263</v>
      </c>
      <c r="C65" s="258" t="s">
        <v>260</v>
      </c>
      <c r="D65" s="245"/>
      <c r="E65" s="245"/>
      <c r="F65" s="245"/>
      <c r="G65" s="245"/>
      <c r="H65" s="245"/>
      <c r="I65" s="245"/>
      <c r="J65" s="245"/>
      <c r="K65" s="245"/>
      <c r="L65" s="240"/>
      <c r="Q65" s="240"/>
    </row>
    <row r="66" spans="1:17" ht="15" x14ac:dyDescent="0.25">
      <c r="A66" s="259" t="s">
        <v>264</v>
      </c>
      <c r="B66" s="260">
        <v>24280</v>
      </c>
      <c r="C66" s="261">
        <f>B66/B94</f>
        <v>0.54689611676727634</v>
      </c>
      <c r="D66" s="245"/>
      <c r="E66" s="245"/>
      <c r="F66" s="245"/>
      <c r="G66" s="245"/>
      <c r="H66" s="245"/>
      <c r="I66" s="245"/>
      <c r="J66" s="245"/>
      <c r="K66" s="245"/>
      <c r="L66" s="240"/>
      <c r="Q66" s="240"/>
    </row>
    <row r="67" spans="1:17" ht="15" x14ac:dyDescent="0.25">
      <c r="A67" s="262" t="s">
        <v>265</v>
      </c>
      <c r="B67" s="263">
        <v>1193</v>
      </c>
      <c r="C67" s="264">
        <f t="shared" ref="C67:C72" si="21">B67/$B$94</f>
        <v>2.6871790251373998E-2</v>
      </c>
      <c r="D67" s="245"/>
      <c r="E67" s="245"/>
      <c r="F67" s="245"/>
      <c r="G67" s="245"/>
      <c r="H67" s="245"/>
      <c r="I67" s="245"/>
      <c r="J67" s="245"/>
      <c r="K67" s="245"/>
      <c r="L67" s="240"/>
      <c r="Q67" s="240"/>
    </row>
    <row r="68" spans="1:17" ht="26.25" thickBot="1" x14ac:dyDescent="0.3">
      <c r="A68" s="262" t="s">
        <v>266</v>
      </c>
      <c r="B68" s="263">
        <v>174</v>
      </c>
      <c r="C68" s="264">
        <f t="shared" si="21"/>
        <v>3.919272006487071E-3</v>
      </c>
      <c r="D68" s="424" t="s">
        <v>390</v>
      </c>
      <c r="E68" s="245"/>
      <c r="F68" s="245"/>
      <c r="G68" s="245"/>
      <c r="H68" s="245"/>
      <c r="I68" s="245"/>
      <c r="J68" s="245"/>
      <c r="K68" s="245"/>
      <c r="L68" s="240"/>
      <c r="Q68" s="240"/>
    </row>
    <row r="69" spans="1:17" ht="15.75" thickBot="1" x14ac:dyDescent="0.3">
      <c r="A69" s="265" t="s">
        <v>267</v>
      </c>
      <c r="B69" s="266">
        <v>20870</v>
      </c>
      <c r="C69" s="267">
        <f t="shared" si="21"/>
        <v>0.47008739526083432</v>
      </c>
      <c r="D69" s="425">
        <f>1833/20870</f>
        <v>8.7829420220412069E-2</v>
      </c>
      <c r="E69" s="245"/>
      <c r="F69" s="245"/>
      <c r="G69" s="245"/>
      <c r="H69" s="245"/>
      <c r="I69" s="245"/>
      <c r="J69" s="245"/>
      <c r="K69" s="245"/>
      <c r="L69" s="240"/>
      <c r="Q69" s="240"/>
    </row>
    <row r="70" spans="1:17" ht="15" x14ac:dyDescent="0.25">
      <c r="A70" s="262" t="s">
        <v>268</v>
      </c>
      <c r="B70" s="263">
        <v>314</v>
      </c>
      <c r="C70" s="264">
        <f t="shared" si="21"/>
        <v>7.0727092530858638E-3</v>
      </c>
      <c r="D70" s="256"/>
      <c r="E70" s="245"/>
      <c r="F70" s="245"/>
      <c r="G70" s="245"/>
      <c r="H70" s="245"/>
      <c r="I70" s="245"/>
      <c r="J70" s="245"/>
      <c r="K70" s="245"/>
      <c r="L70" s="240"/>
      <c r="Q70" s="240"/>
    </row>
    <row r="71" spans="1:17" ht="15" x14ac:dyDescent="0.25">
      <c r="A71" s="262" t="s">
        <v>269</v>
      </c>
      <c r="B71" s="263">
        <v>1486</v>
      </c>
      <c r="C71" s="264">
        <f t="shared" si="21"/>
        <v>3.3471483917470041E-2</v>
      </c>
      <c r="D71" s="256"/>
      <c r="E71" s="245"/>
      <c r="F71" s="245"/>
      <c r="G71" s="245"/>
      <c r="H71" s="245"/>
      <c r="I71" s="245"/>
      <c r="J71" s="245"/>
      <c r="K71" s="245"/>
      <c r="L71" s="240"/>
      <c r="Q71" s="240"/>
    </row>
    <row r="72" spans="1:17" ht="25.5" x14ac:dyDescent="0.25">
      <c r="A72" s="262" t="s">
        <v>270</v>
      </c>
      <c r="B72" s="263">
        <v>243</v>
      </c>
      <c r="C72" s="264">
        <f t="shared" si="21"/>
        <v>5.4734660780250471E-3</v>
      </c>
      <c r="D72" s="256"/>
      <c r="E72" s="245"/>
      <c r="F72" s="245"/>
      <c r="G72" s="245"/>
      <c r="H72" s="245"/>
      <c r="I72" s="245"/>
      <c r="J72" s="245"/>
      <c r="K72" s="245"/>
      <c r="L72" s="240"/>
      <c r="Q72" s="240"/>
    </row>
    <row r="73" spans="1:17" ht="15" x14ac:dyDescent="0.25">
      <c r="A73" s="268" t="s">
        <v>271</v>
      </c>
      <c r="B73" s="266">
        <v>19469</v>
      </c>
      <c r="C73" s="267">
        <f>B73/B94</f>
        <v>0.43853049824308499</v>
      </c>
      <c r="D73" s="256"/>
      <c r="E73" s="245"/>
      <c r="F73" s="245"/>
      <c r="G73" s="245"/>
      <c r="H73" s="245"/>
      <c r="I73" s="245"/>
      <c r="J73" s="245"/>
      <c r="K73" s="245"/>
      <c r="L73" s="240"/>
      <c r="M73" s="240"/>
      <c r="N73" s="240"/>
      <c r="O73" s="240"/>
      <c r="P73" s="240"/>
      <c r="Q73" s="240"/>
    </row>
    <row r="74" spans="1:17" ht="15" x14ac:dyDescent="0.25">
      <c r="A74" s="269" t="s">
        <v>272</v>
      </c>
      <c r="B74" s="263">
        <v>1921</v>
      </c>
      <c r="C74" s="264">
        <f t="shared" ref="C74:C84" si="22">B74/$B$94</f>
        <v>4.3269663933687717E-2</v>
      </c>
      <c r="D74" s="256"/>
      <c r="E74" s="245"/>
      <c r="F74" s="245"/>
      <c r="G74" s="245"/>
      <c r="H74" s="245"/>
      <c r="I74" s="245"/>
      <c r="J74" s="245"/>
      <c r="K74" s="245"/>
      <c r="L74" s="240"/>
      <c r="M74" s="240"/>
      <c r="N74" s="240"/>
      <c r="O74" s="240"/>
      <c r="P74" s="240"/>
      <c r="Q74" s="240"/>
    </row>
    <row r="75" spans="1:17" ht="15" x14ac:dyDescent="0.25">
      <c r="A75" s="269" t="s">
        <v>273</v>
      </c>
      <c r="B75" s="263">
        <v>27</v>
      </c>
      <c r="C75" s="264">
        <f t="shared" si="22"/>
        <v>6.0816289755833862E-4</v>
      </c>
      <c r="D75" s="256"/>
      <c r="E75" s="245"/>
      <c r="F75" s="245"/>
      <c r="G75" s="245"/>
      <c r="H75" s="245"/>
      <c r="I75" s="245"/>
      <c r="J75" s="245"/>
      <c r="K75" s="245"/>
      <c r="L75" s="240"/>
      <c r="M75" s="240"/>
      <c r="N75" s="240"/>
      <c r="O75" s="240"/>
      <c r="P75" s="240"/>
      <c r="Q75" s="240"/>
    </row>
    <row r="76" spans="1:17" ht="15" x14ac:dyDescent="0.25">
      <c r="A76" s="269" t="s">
        <v>274</v>
      </c>
      <c r="B76" s="263">
        <v>152</v>
      </c>
      <c r="C76" s="264">
        <f t="shared" si="22"/>
        <v>3.4237318677358321E-3</v>
      </c>
      <c r="D76" s="256"/>
      <c r="E76" s="245"/>
      <c r="F76" s="245"/>
      <c r="G76" s="245"/>
      <c r="H76" s="245"/>
      <c r="I76" s="245"/>
      <c r="J76" s="245"/>
      <c r="K76" s="245"/>
      <c r="L76" s="240"/>
      <c r="Q76" s="240"/>
    </row>
    <row r="77" spans="1:17" ht="14.25" x14ac:dyDescent="0.2">
      <c r="A77" s="269" t="s">
        <v>275</v>
      </c>
      <c r="B77" s="263">
        <v>90</v>
      </c>
      <c r="C77" s="264">
        <f t="shared" si="22"/>
        <v>2.0272096585277951E-3</v>
      </c>
      <c r="D77" s="240"/>
      <c r="E77" s="240"/>
      <c r="F77" s="240"/>
      <c r="G77" s="240"/>
      <c r="H77" s="240"/>
      <c r="I77" s="240"/>
      <c r="J77" s="240"/>
      <c r="K77" s="240"/>
      <c r="L77" s="240"/>
      <c r="Q77" s="240"/>
    </row>
    <row r="78" spans="1:17" ht="14.25" x14ac:dyDescent="0.2">
      <c r="A78" s="269" t="s">
        <v>276</v>
      </c>
      <c r="B78" s="263">
        <v>298</v>
      </c>
      <c r="C78" s="264">
        <f t="shared" si="22"/>
        <v>6.7123164249031442E-3</v>
      </c>
      <c r="D78" s="240"/>
      <c r="E78" s="240"/>
      <c r="F78" s="240"/>
      <c r="G78" s="240"/>
      <c r="H78" s="240"/>
      <c r="I78" s="240"/>
      <c r="J78" s="240"/>
      <c r="K78" s="240"/>
      <c r="L78" s="240"/>
      <c r="Q78" s="240"/>
    </row>
    <row r="79" spans="1:17" ht="25.5" x14ac:dyDescent="0.2">
      <c r="A79" s="269" t="s">
        <v>277</v>
      </c>
      <c r="B79" s="263">
        <v>226</v>
      </c>
      <c r="C79" s="264">
        <f t="shared" si="22"/>
        <v>5.0905486980809085E-3</v>
      </c>
      <c r="D79" s="240"/>
      <c r="E79" s="240"/>
      <c r="F79" s="240"/>
      <c r="G79" s="240"/>
      <c r="H79" s="240"/>
      <c r="I79" s="240"/>
      <c r="J79" s="240"/>
      <c r="K79" s="240"/>
      <c r="L79" s="240"/>
      <c r="Q79" s="240"/>
    </row>
    <row r="80" spans="1:17" ht="14.25" x14ac:dyDescent="0.2">
      <c r="A80" s="269" t="s">
        <v>278</v>
      </c>
      <c r="B80" s="263">
        <v>363</v>
      </c>
      <c r="C80" s="264">
        <f t="shared" si="22"/>
        <v>8.1764122893954409E-3</v>
      </c>
      <c r="D80" s="240"/>
      <c r="E80" s="240"/>
      <c r="F80" s="240"/>
      <c r="G80" s="240"/>
      <c r="H80" s="240"/>
      <c r="I80" s="240"/>
      <c r="J80" s="240"/>
      <c r="K80" s="240"/>
      <c r="L80" s="240"/>
      <c r="Q80" s="240"/>
    </row>
    <row r="81" spans="1:17" ht="14.25" x14ac:dyDescent="0.2">
      <c r="A81" s="269" t="s">
        <v>279</v>
      </c>
      <c r="B81" s="263">
        <v>482</v>
      </c>
      <c r="C81" s="264">
        <f t="shared" si="22"/>
        <v>1.0856833949004415E-2</v>
      </c>
      <c r="D81" s="240"/>
      <c r="E81" s="240"/>
      <c r="F81" s="240"/>
      <c r="G81" s="240"/>
      <c r="H81" s="240"/>
      <c r="I81" s="240"/>
      <c r="J81" s="240"/>
      <c r="K81" s="240"/>
      <c r="L81" s="240"/>
      <c r="Q81" s="240"/>
    </row>
    <row r="82" spans="1:17" ht="14.25" x14ac:dyDescent="0.2">
      <c r="A82" s="269" t="s">
        <v>280</v>
      </c>
      <c r="B82" s="263">
        <v>14830</v>
      </c>
      <c r="C82" s="264">
        <f t="shared" si="22"/>
        <v>0.33403910262185782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ht="25.5" x14ac:dyDescent="0.2">
      <c r="A83" s="269" t="s">
        <v>281</v>
      </c>
      <c r="B83" s="263">
        <v>687</v>
      </c>
      <c r="C83" s="264">
        <f t="shared" si="22"/>
        <v>1.5474367060095504E-2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ht="51" x14ac:dyDescent="0.2">
      <c r="A84" s="269" t="s">
        <v>282</v>
      </c>
      <c r="B84" s="263">
        <v>393</v>
      </c>
      <c r="C84" s="264">
        <f t="shared" si="22"/>
        <v>8.8521488422380386E-3</v>
      </c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ht="15" x14ac:dyDescent="0.25">
      <c r="A85" s="268" t="s">
        <v>283</v>
      </c>
      <c r="B85" s="266">
        <v>513</v>
      </c>
      <c r="C85" s="267">
        <f>B85/B94</f>
        <v>1.1555095053608433E-2</v>
      </c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ht="25.5" x14ac:dyDescent="0.2">
      <c r="A86" s="269" t="s">
        <v>284</v>
      </c>
      <c r="B86" s="263">
        <v>57</v>
      </c>
      <c r="C86" s="264">
        <f t="shared" ref="C86:C93" si="23">B86/$B$94</f>
        <v>1.2838994504009371E-3</v>
      </c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</row>
    <row r="87" spans="1:17" ht="14.25" x14ac:dyDescent="0.2">
      <c r="A87" s="269" t="s">
        <v>285</v>
      </c>
      <c r="B87" s="263">
        <v>38</v>
      </c>
      <c r="C87" s="264">
        <f t="shared" si="23"/>
        <v>8.5593296693395804E-4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</row>
    <row r="88" spans="1:17" ht="14.25" x14ac:dyDescent="0.2">
      <c r="A88" s="269" t="s">
        <v>286</v>
      </c>
      <c r="B88" s="263">
        <v>61</v>
      </c>
      <c r="C88" s="264">
        <f t="shared" si="23"/>
        <v>1.3739976574466167E-3</v>
      </c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</row>
    <row r="89" spans="1:17" ht="25.5" x14ac:dyDescent="0.2">
      <c r="A89" s="269" t="s">
        <v>287</v>
      </c>
      <c r="B89" s="263">
        <v>93</v>
      </c>
      <c r="C89" s="264">
        <f t="shared" si="23"/>
        <v>2.0947833138120551E-3</v>
      </c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</row>
    <row r="90" spans="1:17" ht="25.5" x14ac:dyDescent="0.2">
      <c r="A90" s="269" t="s">
        <v>288</v>
      </c>
      <c r="B90" s="263">
        <v>166</v>
      </c>
      <c r="C90" s="264">
        <f t="shared" si="23"/>
        <v>3.7390755923957112E-3</v>
      </c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</row>
    <row r="91" spans="1:17" ht="14.25" x14ac:dyDescent="0.2">
      <c r="A91" s="269" t="s">
        <v>289</v>
      </c>
      <c r="B91" s="263">
        <v>98</v>
      </c>
      <c r="C91" s="264">
        <f t="shared" si="23"/>
        <v>2.2074060726191549E-3</v>
      </c>
    </row>
    <row r="92" spans="1:17" ht="38.25" x14ac:dyDescent="0.25">
      <c r="A92" s="268" t="s">
        <v>290</v>
      </c>
      <c r="B92" s="266">
        <v>134</v>
      </c>
      <c r="C92" s="264">
        <f t="shared" si="23"/>
        <v>3.0182899360302732E-3</v>
      </c>
    </row>
    <row r="93" spans="1:17" ht="25.5" x14ac:dyDescent="0.2">
      <c r="A93" s="269" t="s">
        <v>291</v>
      </c>
      <c r="B93" s="263">
        <v>134</v>
      </c>
      <c r="C93" s="264">
        <f t="shared" si="23"/>
        <v>3.0182899360302732E-3</v>
      </c>
    </row>
    <row r="94" spans="1:17" ht="30.75" thickBot="1" x14ac:dyDescent="0.3">
      <c r="A94" s="270" t="s">
        <v>292</v>
      </c>
      <c r="B94" s="271">
        <f>+B66+B73+B85+B92</f>
        <v>44396</v>
      </c>
      <c r="C94" s="272">
        <v>1</v>
      </c>
    </row>
    <row r="97" spans="2:16" ht="15" customHeight="1" x14ac:dyDescent="0.2">
      <c r="B97" s="850" t="s">
        <v>376</v>
      </c>
      <c r="C97" s="850"/>
      <c r="D97" s="772" t="s">
        <v>377</v>
      </c>
      <c r="E97" s="772"/>
      <c r="F97" s="853" t="s">
        <v>378</v>
      </c>
      <c r="G97" s="853"/>
    </row>
    <row r="98" spans="2:16" ht="13.5" customHeight="1" thickBot="1" x14ac:dyDescent="0.25">
      <c r="B98" s="851"/>
      <c r="C98" s="851"/>
      <c r="D98" s="852"/>
      <c r="E98" s="852"/>
      <c r="F98" s="854"/>
      <c r="G98" s="854"/>
    </row>
    <row r="99" spans="2:16" ht="15" customHeight="1" x14ac:dyDescent="0.2">
      <c r="B99" s="410"/>
      <c r="C99" s="858" t="s">
        <v>379</v>
      </c>
      <c r="D99" s="861" t="s">
        <v>380</v>
      </c>
      <c r="E99" s="864" t="s">
        <v>381</v>
      </c>
      <c r="F99" s="867" t="s">
        <v>382</v>
      </c>
      <c r="G99" s="868"/>
    </row>
    <row r="100" spans="2:16" ht="15" customHeight="1" x14ac:dyDescent="0.2">
      <c r="B100" s="411"/>
      <c r="C100" s="859"/>
      <c r="D100" s="862"/>
      <c r="E100" s="865"/>
      <c r="F100" s="869" t="s">
        <v>383</v>
      </c>
      <c r="G100" s="871" t="s">
        <v>384</v>
      </c>
    </row>
    <row r="101" spans="2:16" ht="15" customHeight="1" x14ac:dyDescent="0.2">
      <c r="B101" s="411"/>
      <c r="C101" s="859"/>
      <c r="D101" s="862"/>
      <c r="E101" s="865"/>
      <c r="F101" s="869"/>
      <c r="G101" s="871"/>
    </row>
    <row r="102" spans="2:16" ht="15" customHeight="1" thickBot="1" x14ac:dyDescent="0.25">
      <c r="B102" s="411"/>
      <c r="C102" s="860"/>
      <c r="D102" s="862"/>
      <c r="E102" s="865"/>
      <c r="F102" s="869"/>
      <c r="G102" s="871"/>
      <c r="I102" s="230">
        <v>292</v>
      </c>
    </row>
    <row r="103" spans="2:16" ht="15" customHeight="1" x14ac:dyDescent="0.2">
      <c r="B103" s="411"/>
      <c r="C103" s="412"/>
      <c r="D103" s="862"/>
      <c r="E103" s="865"/>
      <c r="F103" s="869"/>
      <c r="G103" s="871"/>
      <c r="I103" s="230">
        <f>292/12</f>
        <v>24.333333333333332</v>
      </c>
    </row>
    <row r="104" spans="2:16" ht="15" customHeight="1" x14ac:dyDescent="0.2">
      <c r="B104" s="411"/>
      <c r="C104" s="412"/>
      <c r="D104" s="862"/>
      <c r="E104" s="865"/>
      <c r="F104" s="869"/>
      <c r="G104" s="871"/>
      <c r="I104" s="230">
        <f>292/24</f>
        <v>12.166666666666666</v>
      </c>
    </row>
    <row r="105" spans="2:16" ht="15" customHeight="1" x14ac:dyDescent="0.2">
      <c r="B105" s="411"/>
      <c r="C105" s="412"/>
      <c r="D105" s="862"/>
      <c r="E105" s="865"/>
      <c r="F105" s="869"/>
      <c r="G105" s="871"/>
      <c r="I105" s="230">
        <f>292*0.1115</f>
        <v>32.558</v>
      </c>
    </row>
    <row r="106" spans="2:16" ht="15" customHeight="1" thickBot="1" x14ac:dyDescent="0.25">
      <c r="B106" s="411"/>
      <c r="C106" s="412"/>
      <c r="D106" s="862"/>
      <c r="E106" s="866"/>
      <c r="F106" s="870"/>
      <c r="G106" s="872"/>
      <c r="I106" s="230">
        <f>0.01*292</f>
        <v>2.92</v>
      </c>
    </row>
    <row r="107" spans="2:16" ht="15" customHeight="1" x14ac:dyDescent="0.2">
      <c r="B107" s="411"/>
      <c r="C107" s="412"/>
      <c r="D107" s="862"/>
      <c r="E107" s="873" t="s">
        <v>385</v>
      </c>
      <c r="F107" s="876" t="s">
        <v>386</v>
      </c>
      <c r="G107" s="877"/>
      <c r="I107" s="230">
        <f>292/12</f>
        <v>24.333333333333332</v>
      </c>
    </row>
    <row r="108" spans="2:16" ht="15" customHeight="1" x14ac:dyDescent="0.2">
      <c r="B108" s="411"/>
      <c r="C108" s="412"/>
      <c r="D108" s="862"/>
      <c r="E108" s="874"/>
      <c r="F108" s="878"/>
      <c r="G108" s="879"/>
      <c r="I108" s="230">
        <f>292/12</f>
        <v>24.333333333333332</v>
      </c>
    </row>
    <row r="109" spans="2:16" ht="15.75" customHeight="1" thickBot="1" x14ac:dyDescent="0.25">
      <c r="B109" s="413"/>
      <c r="C109" s="414"/>
      <c r="D109" s="863"/>
      <c r="E109" s="875"/>
      <c r="F109" s="880"/>
      <c r="G109" s="881"/>
      <c r="I109" s="230">
        <f>SUM(I102:I108)</f>
        <v>412.64466666666664</v>
      </c>
    </row>
    <row r="111" spans="2:16" ht="13.5" thickBot="1" x14ac:dyDescent="0.25"/>
    <row r="112" spans="2:16" ht="15" customHeight="1" thickBot="1" x14ac:dyDescent="0.25">
      <c r="G112" s="824" t="s">
        <v>387</v>
      </c>
      <c r="H112" s="824"/>
      <c r="I112" s="824"/>
      <c r="L112" s="855" t="s">
        <v>507</v>
      </c>
      <c r="M112" s="856"/>
      <c r="N112" s="856"/>
      <c r="O112" s="856"/>
      <c r="P112" s="857"/>
    </row>
    <row r="113" spans="7:16" ht="30" customHeight="1" thickBot="1" x14ac:dyDescent="0.25">
      <c r="G113" s="415" t="s">
        <v>389</v>
      </c>
      <c r="H113" s="101" t="s">
        <v>388</v>
      </c>
      <c r="I113" s="107" t="s">
        <v>397</v>
      </c>
      <c r="L113" s="415" t="s">
        <v>389</v>
      </c>
      <c r="M113" s="101" t="s">
        <v>296</v>
      </c>
      <c r="N113" s="101" t="s">
        <v>297</v>
      </c>
      <c r="O113" s="101" t="s">
        <v>298</v>
      </c>
      <c r="P113" s="107" t="s">
        <v>299</v>
      </c>
    </row>
    <row r="114" spans="7:16" x14ac:dyDescent="0.2">
      <c r="G114" s="525">
        <v>2012</v>
      </c>
      <c r="H114" s="302">
        <v>609176.12901119178</v>
      </c>
      <c r="I114" s="545">
        <v>5.5037057370294296E-2</v>
      </c>
      <c r="L114" s="391">
        <v>2012</v>
      </c>
      <c r="M114" s="392">
        <v>9.6000000000000002E-2</v>
      </c>
      <c r="N114" s="392">
        <v>0.02</v>
      </c>
      <c r="O114" s="392">
        <v>417720.77417910291</v>
      </c>
      <c r="P114" s="416">
        <v>87025.161287313109</v>
      </c>
    </row>
    <row r="115" spans="7:16" x14ac:dyDescent="0.2">
      <c r="G115" s="525">
        <v>2013</v>
      </c>
      <c r="H115" s="302">
        <v>640954.40762879839</v>
      </c>
      <c r="I115" s="545">
        <v>5.21659945362416E-2</v>
      </c>
      <c r="L115" s="391">
        <v>2013</v>
      </c>
      <c r="M115" s="392">
        <v>9.6000000000000002E-2</v>
      </c>
      <c r="N115" s="392">
        <v>0.02</v>
      </c>
      <c r="O115" s="392">
        <v>439511.59380260459</v>
      </c>
      <c r="P115" s="416">
        <v>91564.915375542623</v>
      </c>
    </row>
    <row r="116" spans="7:16" x14ac:dyDescent="0.2">
      <c r="G116" s="525">
        <v>2014</v>
      </c>
      <c r="H116" s="302">
        <v>672732.68624639523</v>
      </c>
      <c r="I116" s="545">
        <v>4.9579624134515443E-2</v>
      </c>
      <c r="L116" s="391">
        <v>2014</v>
      </c>
      <c r="M116" s="392">
        <v>9.6000000000000002E-2</v>
      </c>
      <c r="N116" s="392">
        <v>0.02</v>
      </c>
      <c r="O116" s="392">
        <v>461302.41342609964</v>
      </c>
      <c r="P116" s="416">
        <v>96104.669463770741</v>
      </c>
    </row>
    <row r="117" spans="7:16" x14ac:dyDescent="0.2">
      <c r="G117" s="525">
        <v>2015</v>
      </c>
      <c r="H117" s="302">
        <v>704510.9648639923</v>
      </c>
      <c r="I117" s="545">
        <v>4.7237601602069246E-2</v>
      </c>
      <c r="L117" s="391">
        <v>2015</v>
      </c>
      <c r="M117" s="392">
        <v>9.6000000000000002E-2</v>
      </c>
      <c r="N117" s="392">
        <v>0.02</v>
      </c>
      <c r="O117" s="392">
        <v>483093.23304959474</v>
      </c>
      <c r="P117" s="416">
        <v>100644.4235519989</v>
      </c>
    </row>
    <row r="118" spans="7:16" x14ac:dyDescent="0.2">
      <c r="G118" s="525">
        <v>2016</v>
      </c>
      <c r="H118" s="302">
        <v>736289.24348159879</v>
      </c>
      <c r="I118" s="545">
        <v>4.5106861642304485E-2</v>
      </c>
      <c r="L118" s="391">
        <v>2016</v>
      </c>
      <c r="M118" s="392">
        <v>9.6000000000000002E-2</v>
      </c>
      <c r="N118" s="392">
        <v>0.02</v>
      </c>
      <c r="O118" s="392">
        <v>504884.0526730963</v>
      </c>
      <c r="P118" s="416">
        <v>105184.1776402284</v>
      </c>
    </row>
    <row r="119" spans="7:16" ht="13.5" thickBot="1" x14ac:dyDescent="0.25">
      <c r="G119" s="530">
        <v>2017</v>
      </c>
      <c r="H119" s="531">
        <v>768067.52209919575</v>
      </c>
      <c r="I119" s="546">
        <v>4.3160047357653886E-2</v>
      </c>
      <c r="L119" s="417">
        <v>2017</v>
      </c>
      <c r="M119" s="418">
        <v>9.6000000000000002E-2</v>
      </c>
      <c r="N119" s="418">
        <v>0.02</v>
      </c>
      <c r="O119" s="418">
        <v>526674.87229659141</v>
      </c>
      <c r="P119" s="419">
        <v>109723.93172845653</v>
      </c>
    </row>
    <row r="120" spans="7:16" ht="13.5" thickBot="1" x14ac:dyDescent="0.25">
      <c r="G120" s="242"/>
      <c r="H120" s="488" t="s">
        <v>375</v>
      </c>
      <c r="I120" s="547">
        <v>4.8714531107179826E-2</v>
      </c>
    </row>
    <row r="121" spans="7:16" x14ac:dyDescent="0.2">
      <c r="G121" s="242"/>
      <c r="H121" s="242"/>
      <c r="I121" s="242"/>
    </row>
    <row r="122" spans="7:16" x14ac:dyDescent="0.2">
      <c r="G122" s="242"/>
      <c r="H122" s="242"/>
      <c r="I122" s="242"/>
    </row>
    <row r="123" spans="7:16" x14ac:dyDescent="0.2">
      <c r="G123" s="242"/>
      <c r="H123" s="242"/>
      <c r="I123" s="242"/>
    </row>
  </sheetData>
  <mergeCells count="22">
    <mergeCell ref="G112:I112"/>
    <mergeCell ref="L112:P112"/>
    <mergeCell ref="C99:C102"/>
    <mergeCell ref="D99:D109"/>
    <mergeCell ref="E99:E106"/>
    <mergeCell ref="F99:G99"/>
    <mergeCell ref="F100:F106"/>
    <mergeCell ref="G100:G106"/>
    <mergeCell ref="E107:E109"/>
    <mergeCell ref="F107:G109"/>
    <mergeCell ref="A27:L27"/>
    <mergeCell ref="M27:P27"/>
    <mergeCell ref="A64:A65"/>
    <mergeCell ref="B64:C64"/>
    <mergeCell ref="B97:C98"/>
    <mergeCell ref="D97:E98"/>
    <mergeCell ref="F97:G98"/>
    <mergeCell ref="A2:I2"/>
    <mergeCell ref="A3:A4"/>
    <mergeCell ref="B3:I3"/>
    <mergeCell ref="G8:G9"/>
    <mergeCell ref="H8:H9"/>
  </mergeCells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CAPITAL y SUELDOS</vt:lpstr>
      <vt:lpstr>DETALLE INVERSION OFICINA</vt:lpstr>
      <vt:lpstr>MONTOS-INVERSION(OFICINA)</vt:lpstr>
      <vt:lpstr>DETALLE INVERSION (publicentro)</vt:lpstr>
      <vt:lpstr>MONTOS-INVERSION (PUBLICENTROS)</vt:lpstr>
      <vt:lpstr>ESI</vt:lpstr>
      <vt:lpstr>DEPRECIACION</vt:lpstr>
      <vt:lpstr>COSTOS</vt:lpstr>
      <vt:lpstr>INGRESOS-COSTOS TOTALES cuadro</vt:lpstr>
      <vt:lpstr>flujo efectivo PA SIN PRESTAMO</vt:lpstr>
      <vt:lpstr>flujo efectivo PA con prestamo</vt:lpstr>
      <vt:lpstr>Estado de Resultado PA</vt:lpstr>
      <vt:lpstr>Amortizacion </vt:lpstr>
      <vt:lpstr>Tasas de dESCUENTO  </vt:lpstr>
      <vt:lpstr>IC</vt:lpstr>
      <vt:lpstr>Punto de Equilibrio </vt:lpstr>
      <vt:lpstr>A.Sensibilidad Precio</vt:lpstr>
      <vt:lpstr>A. Sensibilidad Costo</vt:lpstr>
      <vt:lpstr>VAN-TIR=0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2012-01-16T03:19:19Z</cp:lastPrinted>
  <dcterms:created xsi:type="dcterms:W3CDTF">2011-12-27T15:38:15Z</dcterms:created>
  <dcterms:modified xsi:type="dcterms:W3CDTF">2012-04-23T21:15:07Z</dcterms:modified>
</cp:coreProperties>
</file>