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35" windowWidth="9420" windowHeight="4500" tabRatio="815" firstSheet="4" activeTab="17"/>
  </bookViews>
  <sheets>
    <sheet name="organigrama" sheetId="4" r:id="rId1"/>
    <sheet name="Hoja2" sheetId="2" r:id="rId2"/>
    <sheet name="Herramientas" sheetId="6" r:id="rId3"/>
    <sheet name="Encuestas" sheetId="3" r:id="rId4"/>
    <sheet name="Demanda" sheetId="7" r:id="rId5"/>
    <sheet name="Obra civil" sheetId="8" r:id="rId6"/>
    <sheet name="Equipos" sheetId="9" r:id="rId7"/>
    <sheet name="A diferido" sheetId="10" r:id="rId8"/>
    <sheet name="I Total" sheetId="11" r:id="rId9"/>
    <sheet name="Personal" sheetId="5" r:id="rId10"/>
    <sheet name="CPrest.Ser." sheetId="15" r:id="rId11"/>
    <sheet name="K de Trabajo" sheetId="22" r:id="rId12"/>
    <sheet name="GAdmin" sheetId="16" r:id="rId13"/>
    <sheet name="Gvtas" sheetId="17" r:id="rId14"/>
    <sheet name="Costos mes" sheetId="18" r:id="rId15"/>
    <sheet name="Ingresos1" sheetId="19" r:id="rId16"/>
    <sheet name="Ytotales" sheetId="20" r:id="rId17"/>
    <sheet name="Dep y amort" sheetId="21" r:id="rId18"/>
    <sheet name="costo totales" sheetId="23" r:id="rId19"/>
    <sheet name="BGI" sheetId="25" r:id="rId20"/>
    <sheet name="EP&amp;G" sheetId="26" r:id="rId21"/>
    <sheet name="FC" sheetId="27" r:id="rId22"/>
    <sheet name="FC_CB" sheetId="29" r:id="rId23"/>
    <sheet name="PE" sheetId="28" r:id="rId24"/>
  </sheets>
  <definedNames>
    <definedName name="b">Ingresos1!$D$15</definedName>
    <definedName name="ZA0" localSheetId="22">"Crystal Ball Data : Ver. 4.0.3"</definedName>
    <definedName name="ZA0A" localSheetId="22">4+107</definedName>
    <definedName name="ZA0C" localSheetId="22">0+0</definedName>
    <definedName name="ZA0D" localSheetId="22">0+0</definedName>
    <definedName name="ZA0F" localSheetId="22">1+101</definedName>
    <definedName name="ZA0T" localSheetId="22">5374468+0</definedName>
    <definedName name="_ZA104" localSheetId="22">FC_CB!$C$1+"aC1"+16929+256089.6+25608.96</definedName>
    <definedName name="_ZA105" localSheetId="22">FC_CB!$C$2+"aC2"+16929+70651.3999999999+7065.13999999999</definedName>
    <definedName name="_ZA106" localSheetId="22">FC_CB!$C$3+"aC3"+16929+65212.4+6521.24</definedName>
    <definedName name="_ZA107" localSheetId="22">FC_CB!$C$4+"aC4"+16929+12000+1200</definedName>
    <definedName name="_ZF101" localSheetId="22">FC_CB!$B$26+"VAN"+"$"+545+545+441+0+0+0+0+4+3+"-"+"+"+2.6+50+2</definedName>
  </definedNames>
  <calcPr calcId="125725"/>
</workbook>
</file>

<file path=xl/calcChain.xml><?xml version="1.0" encoding="utf-8"?>
<calcChain xmlns="http://schemas.openxmlformats.org/spreadsheetml/2006/main">
  <c r="H25" i="7"/>
  <c r="G27"/>
  <c r="G23"/>
  <c r="F29"/>
  <c r="D29"/>
  <c r="J13" i="27"/>
  <c r="C7" i="29"/>
  <c r="C8"/>
  <c r="C9"/>
  <c r="C10"/>
  <c r="D1"/>
  <c r="D7"/>
  <c r="D2"/>
  <c r="D8"/>
  <c r="D3"/>
  <c r="D9"/>
  <c r="D4"/>
  <c r="D10"/>
  <c r="E1"/>
  <c r="E7"/>
  <c r="E2"/>
  <c r="E8"/>
  <c r="E3"/>
  <c r="E9"/>
  <c r="E4"/>
  <c r="E10"/>
  <c r="C4" i="10"/>
  <c r="C7" i="16"/>
  <c r="E15" i="5"/>
  <c r="J18"/>
  <c r="J19"/>
  <c r="J20"/>
  <c r="J21"/>
  <c r="J22"/>
  <c r="B9" i="19"/>
  <c r="B2"/>
  <c r="B4" s="1"/>
  <c r="B6" s="1"/>
  <c r="B2" i="22" s="1"/>
  <c r="C5" i="10"/>
  <c r="C7"/>
  <c r="B4" i="8"/>
  <c r="B3"/>
  <c r="G23" i="5"/>
  <c r="H23"/>
  <c r="I23"/>
  <c r="K23"/>
  <c r="G22"/>
  <c r="H22"/>
  <c r="I22"/>
  <c r="K22"/>
  <c r="G19"/>
  <c r="H19"/>
  <c r="L19"/>
  <c r="M19"/>
  <c r="I19"/>
  <c r="K19"/>
  <c r="G24"/>
  <c r="H24"/>
  <c r="I24"/>
  <c r="K24"/>
  <c r="G21"/>
  <c r="H21"/>
  <c r="L21"/>
  <c r="M21"/>
  <c r="I21"/>
  <c r="K21"/>
  <c r="G18"/>
  <c r="H18"/>
  <c r="I18"/>
  <c r="K18"/>
  <c r="L18"/>
  <c r="M18"/>
  <c r="G20"/>
  <c r="H20"/>
  <c r="I20"/>
  <c r="K20"/>
  <c r="D15"/>
  <c r="D2"/>
  <c r="E2"/>
  <c r="E9"/>
  <c r="D3"/>
  <c r="E3"/>
  <c r="D4"/>
  <c r="E4"/>
  <c r="D5"/>
  <c r="E5"/>
  <c r="D6"/>
  <c r="E6"/>
  <c r="D7"/>
  <c r="E7"/>
  <c r="D8"/>
  <c r="E8"/>
  <c r="D9"/>
  <c r="E14"/>
  <c r="D12"/>
  <c r="D14"/>
  <c r="B4" i="17"/>
  <c r="D9" i="19"/>
  <c r="E9"/>
  <c r="B6" i="8"/>
  <c r="B4" i="11"/>
  <c r="B11" i="25" s="1"/>
  <c r="F9" i="19"/>
  <c r="G8"/>
  <c r="G9"/>
  <c r="H8"/>
  <c r="H9"/>
  <c r="I8"/>
  <c r="I9"/>
  <c r="J8"/>
  <c r="J9"/>
  <c r="K8"/>
  <c r="K9"/>
  <c r="L8"/>
  <c r="L9"/>
  <c r="M8"/>
  <c r="M9"/>
  <c r="C3"/>
  <c r="D3"/>
  <c r="E3"/>
  <c r="F3"/>
  <c r="G3"/>
  <c r="H3"/>
  <c r="I3"/>
  <c r="J3"/>
  <c r="K3"/>
  <c r="L3"/>
  <c r="M3"/>
  <c r="C4" i="17"/>
  <c r="B5" i="23"/>
  <c r="C5"/>
  <c r="D5" s="1"/>
  <c r="E5" s="1"/>
  <c r="F5" s="1"/>
  <c r="B7" i="26"/>
  <c r="C5" i="27" s="1"/>
  <c r="C9" i="28" s="1"/>
  <c r="B5" i="21"/>
  <c r="D5" s="1"/>
  <c r="E5" s="1"/>
  <c r="F5" s="1"/>
  <c r="G5" s="1"/>
  <c r="H5" s="1"/>
  <c r="D4" i="6"/>
  <c r="B3" i="21"/>
  <c r="D3"/>
  <c r="E3" s="1"/>
  <c r="F3" s="1"/>
  <c r="G3" s="1"/>
  <c r="H3" s="1"/>
  <c r="D5" i="6"/>
  <c r="D6"/>
  <c r="D7"/>
  <c r="D8"/>
  <c r="D9"/>
  <c r="D10"/>
  <c r="C6" i="16"/>
  <c r="D11" i="6"/>
  <c r="C3"/>
  <c r="D3"/>
  <c r="B4" i="21"/>
  <c r="C9" i="19"/>
  <c r="E4" i="9"/>
  <c r="E5"/>
  <c r="E6"/>
  <c r="D7"/>
  <c r="E7"/>
  <c r="D8"/>
  <c r="E8"/>
  <c r="E9"/>
  <c r="E10"/>
  <c r="E11"/>
  <c r="E12"/>
  <c r="E13"/>
  <c r="E15"/>
  <c r="B2" i="11"/>
  <c r="B6" s="1"/>
  <c r="B4" i="18"/>
  <c r="C4" s="1"/>
  <c r="D4" s="1"/>
  <c r="E4" s="1"/>
  <c r="F4" s="1"/>
  <c r="G4" s="1"/>
  <c r="H4" s="1"/>
  <c r="I4" s="1"/>
  <c r="J4" s="1"/>
  <c r="K4" s="1"/>
  <c r="L4" s="1"/>
  <c r="M4" s="1"/>
  <c r="B9" i="25"/>
  <c r="B12" s="1"/>
  <c r="C5" i="7"/>
  <c r="C6"/>
  <c r="D5"/>
  <c r="D6"/>
  <c r="D7"/>
  <c r="D8"/>
  <c r="D9"/>
  <c r="D10"/>
  <c r="D11"/>
  <c r="D12"/>
  <c r="D13"/>
  <c r="B3" i="3"/>
  <c r="B2"/>
  <c r="C16"/>
  <c r="D12" i="6"/>
  <c r="D13"/>
  <c r="D19"/>
  <c r="B3" i="11"/>
  <c r="B10" i="25"/>
  <c r="D14" i="6"/>
  <c r="D15"/>
  <c r="D16"/>
  <c r="D17"/>
  <c r="H3" i="2"/>
  <c r="H8"/>
  <c r="H4"/>
  <c r="H5"/>
  <c r="H6"/>
  <c r="H7"/>
  <c r="D3"/>
  <c r="D8"/>
  <c r="D4"/>
  <c r="D5"/>
  <c r="D6"/>
  <c r="D7"/>
  <c r="F3"/>
  <c r="F8"/>
  <c r="F4"/>
  <c r="F5"/>
  <c r="F6"/>
  <c r="F7"/>
  <c r="B8"/>
  <c r="E12" i="5"/>
  <c r="E16"/>
  <c r="E13"/>
  <c r="E17"/>
  <c r="B3" i="16"/>
  <c r="C3" s="1"/>
  <c r="N21" i="5"/>
  <c r="N19"/>
  <c r="B6" i="21"/>
  <c r="D6" s="1"/>
  <c r="B5" i="11"/>
  <c r="L22" i="5"/>
  <c r="M22"/>
  <c r="J23"/>
  <c r="J24"/>
  <c r="L24"/>
  <c r="M24"/>
  <c r="N24"/>
  <c r="L23"/>
  <c r="M23"/>
  <c r="E15" i="27"/>
  <c r="E20" i="29" s="1"/>
  <c r="D4" i="21"/>
  <c r="E4" s="1"/>
  <c r="F4" s="1"/>
  <c r="B2" i="16"/>
  <c r="N18" i="5"/>
  <c r="C15" i="3"/>
  <c r="C25"/>
  <c r="C23"/>
  <c r="C21"/>
  <c r="C19"/>
  <c r="C17"/>
  <c r="C26"/>
  <c r="C24"/>
  <c r="C22"/>
  <c r="C20"/>
  <c r="C18"/>
  <c r="L20" i="5"/>
  <c r="M20"/>
  <c r="D13"/>
  <c r="D16"/>
  <c r="D17"/>
  <c r="L25"/>
  <c r="F4" i="29"/>
  <c r="F3"/>
  <c r="F2"/>
  <c r="F1"/>
  <c r="F7"/>
  <c r="G1"/>
  <c r="G7"/>
  <c r="B5" i="16"/>
  <c r="C5" s="1"/>
  <c r="N23" i="5"/>
  <c r="B4" i="16"/>
  <c r="C4"/>
  <c r="N22" i="5"/>
  <c r="C3" i="15"/>
  <c r="D3" s="1"/>
  <c r="F9" i="29"/>
  <c r="G3"/>
  <c r="G9"/>
  <c r="F8"/>
  <c r="G2"/>
  <c r="G8"/>
  <c r="F10"/>
  <c r="G4"/>
  <c r="G10"/>
  <c r="N20" i="5"/>
  <c r="N25"/>
  <c r="C2" i="15"/>
  <c r="B9" i="16"/>
  <c r="B3" i="18" s="1"/>
  <c r="C3" s="1"/>
  <c r="D3" s="1"/>
  <c r="E3" s="1"/>
  <c r="F3" s="1"/>
  <c r="G3" s="1"/>
  <c r="H3" s="1"/>
  <c r="I3" s="1"/>
  <c r="J3" s="1"/>
  <c r="K3" s="1"/>
  <c r="L3" s="1"/>
  <c r="M3" s="1"/>
  <c r="C2" i="16"/>
  <c r="M25" i="5"/>
  <c r="D2" i="15"/>
  <c r="F3" i="28"/>
  <c r="G3"/>
  <c r="H3"/>
  <c r="C7" i="7"/>
  <c r="C8"/>
  <c r="C9"/>
  <c r="C10"/>
  <c r="C11"/>
  <c r="C12"/>
  <c r="C13"/>
  <c r="C4" i="15"/>
  <c r="D4" s="1"/>
  <c r="C2" i="19"/>
  <c r="D2" s="1"/>
  <c r="E2" s="1"/>
  <c r="F2" s="1"/>
  <c r="G2" s="1"/>
  <c r="H2" s="1"/>
  <c r="C4"/>
  <c r="C6" i="15"/>
  <c r="B3" i="22" s="1"/>
  <c r="F5" i="28"/>
  <c r="C6" i="19"/>
  <c r="C2" i="22" s="1"/>
  <c r="B4"/>
  <c r="B5" s="1"/>
  <c r="G3"/>
  <c r="E3"/>
  <c r="I3"/>
  <c r="J3" s="1"/>
  <c r="K3"/>
  <c r="L3" s="1"/>
  <c r="M3" s="1"/>
  <c r="B2" i="18"/>
  <c r="B6" s="1"/>
  <c r="D4" i="19"/>
  <c r="D6" s="1"/>
  <c r="D2" i="22" s="1"/>
  <c r="G5" i="28"/>
  <c r="E4" i="19"/>
  <c r="E6" s="1"/>
  <c r="E2" i="22"/>
  <c r="E4" s="1"/>
  <c r="C2" i="18"/>
  <c r="C6" s="1"/>
  <c r="F4" i="19"/>
  <c r="F6" s="1"/>
  <c r="F2" i="22" s="1"/>
  <c r="D2" i="18"/>
  <c r="E2" s="1"/>
  <c r="E6" s="1"/>
  <c r="H5" i="28"/>
  <c r="G4" i="19"/>
  <c r="G6" s="1"/>
  <c r="G2" i="22" s="1"/>
  <c r="G4" s="1"/>
  <c r="D6" i="18"/>
  <c r="F2"/>
  <c r="G2" s="1"/>
  <c r="G6" s="1"/>
  <c r="H4" i="19"/>
  <c r="H6" s="1"/>
  <c r="H2" i="22"/>
  <c r="I2" i="19"/>
  <c r="F4" i="22" l="1"/>
  <c r="F4" i="28"/>
  <c r="D6" i="15"/>
  <c r="B3" i="23" s="1"/>
  <c r="C7" i="27"/>
  <c r="E6" i="21"/>
  <c r="B7" i="11"/>
  <c r="B14" i="25" s="1"/>
  <c r="B9" i="11"/>
  <c r="E11" i="25"/>
  <c r="I4" i="19"/>
  <c r="J2"/>
  <c r="H2" i="18"/>
  <c r="F6"/>
  <c r="C9" i="16"/>
  <c r="B4" i="23" s="1"/>
  <c r="F3" i="22"/>
  <c r="C3"/>
  <c r="C4" s="1"/>
  <c r="C5" s="1"/>
  <c r="D3"/>
  <c r="D4" s="1"/>
  <c r="H3"/>
  <c r="H4" s="1"/>
  <c r="I5" i="21"/>
  <c r="B2"/>
  <c r="C7" i="26"/>
  <c r="D5" i="22" l="1"/>
  <c r="E5" s="1"/>
  <c r="D2" i="21"/>
  <c r="C4" i="23"/>
  <c r="B6" i="26"/>
  <c r="C4" i="27" s="1"/>
  <c r="C8" i="28" s="1"/>
  <c r="I2" i="18"/>
  <c r="H6"/>
  <c r="I6" i="19"/>
  <c r="I2" i="22" s="1"/>
  <c r="I4" s="1"/>
  <c r="F2" i="11"/>
  <c r="B14" i="27"/>
  <c r="D7"/>
  <c r="F6" i="21"/>
  <c r="C3" i="23"/>
  <c r="B3" i="26"/>
  <c r="C3" i="27" s="1"/>
  <c r="D5"/>
  <c r="D9" i="28" s="1"/>
  <c r="D7" i="26"/>
  <c r="J4" i="19"/>
  <c r="J6" s="1"/>
  <c r="J2" i="22" s="1"/>
  <c r="J4" s="1"/>
  <c r="K2" i="19"/>
  <c r="C12" i="29"/>
  <c r="C18" s="1"/>
  <c r="C7" i="28"/>
  <c r="C13" i="27"/>
  <c r="G4" i="28"/>
  <c r="F10"/>
  <c r="H4" l="1"/>
  <c r="H10" s="1"/>
  <c r="G10"/>
  <c r="K4" i="19"/>
  <c r="K6" s="1"/>
  <c r="K2" i="22" s="1"/>
  <c r="K4" s="1"/>
  <c r="L2" i="19"/>
  <c r="E7" i="26"/>
  <c r="E5" i="27"/>
  <c r="E9" i="28" s="1"/>
  <c r="D3" i="23"/>
  <c r="C3" i="26"/>
  <c r="D3" i="27" s="1"/>
  <c r="D13"/>
  <c r="D12" i="29"/>
  <c r="D18" s="1"/>
  <c r="D7" i="28"/>
  <c r="J2" i="18"/>
  <c r="I6"/>
  <c r="C6" i="26"/>
  <c r="D4" i="27" s="1"/>
  <c r="D8" i="28" s="1"/>
  <c r="D4" i="23"/>
  <c r="G6" i="21"/>
  <c r="E7" i="27"/>
  <c r="B19" i="29"/>
  <c r="D8" i="21"/>
  <c r="E2"/>
  <c r="F3" i="11"/>
  <c r="B16" i="27"/>
  <c r="B21" i="29" s="1"/>
  <c r="B5" i="25"/>
  <c r="F5" i="22"/>
  <c r="G5" s="1"/>
  <c r="H5" s="1"/>
  <c r="I5" s="1"/>
  <c r="J5" s="1"/>
  <c r="K5" s="1"/>
  <c r="E8" i="21" l="1"/>
  <c r="F2"/>
  <c r="E7" i="28"/>
  <c r="E12" i="29"/>
  <c r="E18" s="1"/>
  <c r="E13" i="27"/>
  <c r="D6" i="26"/>
  <c r="E4" i="27" s="1"/>
  <c r="E8" i="28" s="1"/>
  <c r="E4" i="23"/>
  <c r="L4" i="19"/>
  <c r="M2"/>
  <c r="E5" i="25"/>
  <c r="E16" s="1"/>
  <c r="B6"/>
  <c r="B16" s="1"/>
  <c r="C6" i="27"/>
  <c r="B6" i="23"/>
  <c r="H6" i="21"/>
  <c r="G7" i="27" s="1"/>
  <c r="F7"/>
  <c r="K2" i="18"/>
  <c r="J6"/>
  <c r="E3" i="23"/>
  <c r="D3" i="26"/>
  <c r="E3" i="27" s="1"/>
  <c r="F7" i="26"/>
  <c r="G5" i="27" s="1"/>
  <c r="F5"/>
  <c r="B24" i="29"/>
  <c r="B19" i="27"/>
  <c r="F5" i="11"/>
  <c r="G2" s="1"/>
  <c r="E3" i="26" l="1"/>
  <c r="F3" i="27" s="1"/>
  <c r="F3" i="23"/>
  <c r="F12" i="29"/>
  <c r="F18" s="1"/>
  <c r="F13" i="27"/>
  <c r="B8" i="26"/>
  <c r="B8" i="23"/>
  <c r="B10" s="1"/>
  <c r="M4" i="19"/>
  <c r="M6" s="1"/>
  <c r="M2" i="22" s="1"/>
  <c r="M4" s="1"/>
  <c r="E6" i="26"/>
  <c r="F4" i="27" s="1"/>
  <c r="F4" i="23"/>
  <c r="F6" i="26" s="1"/>
  <c r="G4" i="27" s="1"/>
  <c r="G2" i="21"/>
  <c r="F8"/>
  <c r="K6" i="18"/>
  <c r="L2"/>
  <c r="G12" i="29"/>
  <c r="G18" s="1"/>
  <c r="G13" i="27"/>
  <c r="C12"/>
  <c r="C11" i="29"/>
  <c r="C6" i="28"/>
  <c r="C10" s="1"/>
  <c r="L6" i="19"/>
  <c r="L2" i="22" s="1"/>
  <c r="L4" s="1"/>
  <c r="L5" s="1"/>
  <c r="M5" s="1"/>
  <c r="N4" i="19"/>
  <c r="C6" i="23"/>
  <c r="D6" i="27"/>
  <c r="G3" i="11"/>
  <c r="C8" i="26" l="1"/>
  <c r="C8" i="23"/>
  <c r="C10" s="1"/>
  <c r="C17" i="29"/>
  <c r="C13"/>
  <c r="M2" i="18"/>
  <c r="M6" s="1"/>
  <c r="L6"/>
  <c r="E6" i="27"/>
  <c r="D6" i="23"/>
  <c r="F3" i="26"/>
  <c r="G3" i="27" s="1"/>
  <c r="D6" i="28"/>
  <c r="D10" s="1"/>
  <c r="D11" i="29"/>
  <c r="D12" i="27"/>
  <c r="N6" i="19"/>
  <c r="C2" i="20"/>
  <c r="H2" i="21"/>
  <c r="G8"/>
  <c r="E6" i="23" l="1"/>
  <c r="F6" i="27"/>
  <c r="C3" i="20"/>
  <c r="B2" i="26" s="1"/>
  <c r="D2" i="20"/>
  <c r="E11" i="29"/>
  <c r="E6" i="28"/>
  <c r="E10" s="1"/>
  <c r="E12" i="27"/>
  <c r="H8" i="21"/>
  <c r="I2"/>
  <c r="I8" s="1"/>
  <c r="D17" i="29"/>
  <c r="D13"/>
  <c r="D8" i="26"/>
  <c r="D8" i="23"/>
  <c r="D10" s="1"/>
  <c r="C14" i="29"/>
  <c r="C15" s="1"/>
  <c r="C16" s="1"/>
  <c r="C24" s="1"/>
  <c r="D15" l="1"/>
  <c r="D14"/>
  <c r="D16" s="1"/>
  <c r="D24" s="1"/>
  <c r="F6" i="23"/>
  <c r="G6" i="27"/>
  <c r="E17" i="29"/>
  <c r="E13"/>
  <c r="C2" i="27"/>
  <c r="B4" i="26"/>
  <c r="B10" s="1"/>
  <c r="E8"/>
  <c r="E8" i="23"/>
  <c r="E10" s="1"/>
  <c r="D3" i="20"/>
  <c r="C2" i="26" s="1"/>
  <c r="E2" i="20"/>
  <c r="F11" i="29"/>
  <c r="F12" i="27"/>
  <c r="F17" i="29" l="1"/>
  <c r="F13"/>
  <c r="C8" i="27"/>
  <c r="C11" i="28"/>
  <c r="C12" s="1"/>
  <c r="C13" s="1"/>
  <c r="D13" s="1"/>
  <c r="E13" s="1"/>
  <c r="F8" i="26"/>
  <c r="F8" i="23"/>
  <c r="F10" s="1"/>
  <c r="C4" i="26"/>
  <c r="C10" s="1"/>
  <c r="D2" i="27"/>
  <c r="E3" i="20"/>
  <c r="D2" i="26" s="1"/>
  <c r="F2" i="20"/>
  <c r="B11" i="26"/>
  <c r="C9" i="27" s="1"/>
  <c r="B12" i="26"/>
  <c r="E14" i="29"/>
  <c r="E16"/>
  <c r="E24" s="1"/>
  <c r="E15"/>
  <c r="G12" i="27"/>
  <c r="G11" i="29"/>
  <c r="B13" i="26" l="1"/>
  <c r="C10" i="27" s="1"/>
  <c r="G2" i="20"/>
  <c r="G3" s="1"/>
  <c r="F2" i="26" s="1"/>
  <c r="F3" i="20"/>
  <c r="E2" i="26" s="1"/>
  <c r="D8" i="27"/>
  <c r="D11" i="28"/>
  <c r="D12" s="1"/>
  <c r="F15" i="29"/>
  <c r="F14"/>
  <c r="F16"/>
  <c r="F24" s="1"/>
  <c r="G22" s="1"/>
  <c r="G13"/>
  <c r="G17"/>
  <c r="D4" i="26"/>
  <c r="D10" s="1"/>
  <c r="E2" i="27"/>
  <c r="C11" i="26"/>
  <c r="D9" i="27" s="1"/>
  <c r="C12" i="26"/>
  <c r="C11" i="27"/>
  <c r="C19" s="1"/>
  <c r="C13" i="26" l="1"/>
  <c r="D10" i="27" s="1"/>
  <c r="F4" i="26"/>
  <c r="F10" s="1"/>
  <c r="G2" i="27"/>
  <c r="G8" s="1"/>
  <c r="D11"/>
  <c r="D19" s="1"/>
  <c r="E11" i="28"/>
  <c r="E12" s="1"/>
  <c r="E8" i="27"/>
  <c r="D11" i="26"/>
  <c r="E9" i="27" s="1"/>
  <c r="G14" i="29"/>
  <c r="G15"/>
  <c r="G16" s="1"/>
  <c r="G24" s="1"/>
  <c r="B26" s="1"/>
  <c r="E4" i="26"/>
  <c r="E10" s="1"/>
  <c r="F2" i="27"/>
  <c r="F8" s="1"/>
  <c r="B15" i="26"/>
  <c r="F12" l="1"/>
  <c r="F11"/>
  <c r="G9" i="27" s="1"/>
  <c r="E11" i="26"/>
  <c r="F9" i="27" s="1"/>
  <c r="D12" i="26"/>
  <c r="C15"/>
  <c r="D13" l="1"/>
  <c r="E10" i="27" s="1"/>
  <c r="E11" s="1"/>
  <c r="E19" s="1"/>
  <c r="D15" i="26"/>
  <c r="F13"/>
  <c r="G10" i="27" s="1"/>
  <c r="G11" s="1"/>
  <c r="F15" i="26"/>
  <c r="E12"/>
  <c r="E13" l="1"/>
  <c r="F10" i="27" s="1"/>
  <c r="F11" s="1"/>
  <c r="F19" s="1"/>
  <c r="G17" s="1"/>
  <c r="G19"/>
  <c r="B21" s="1"/>
  <c r="B22" l="1"/>
  <c r="E15" i="26"/>
</calcChain>
</file>

<file path=xl/sharedStrings.xml><?xml version="1.0" encoding="utf-8"?>
<sst xmlns="http://schemas.openxmlformats.org/spreadsheetml/2006/main" count="377" uniqueCount="277">
  <si>
    <t>Gerente General</t>
  </si>
  <si>
    <t>Secretaria</t>
  </si>
  <si>
    <t>Gerente Técnico</t>
  </si>
  <si>
    <t>Terapeutas</t>
  </si>
  <si>
    <t>Nivel de seguridad</t>
  </si>
  <si>
    <t>Cercanía Mercado</t>
  </si>
  <si>
    <t>Servicios básicos</t>
  </si>
  <si>
    <t>MO disponible</t>
  </si>
  <si>
    <t>TOTALES</t>
  </si>
  <si>
    <t>FACTOR</t>
  </si>
  <si>
    <t>PESO</t>
  </si>
  <si>
    <t>Calificación</t>
  </si>
  <si>
    <t>Ponderación</t>
  </si>
  <si>
    <t>ZONA NORTE</t>
  </si>
  <si>
    <t>ZONA SAMBORONDÓN</t>
  </si>
  <si>
    <t>ZONA VÍA A LA COSTA</t>
  </si>
  <si>
    <t>Distancia a proveedores</t>
  </si>
  <si>
    <t>Descripción</t>
  </si>
  <si>
    <t>Cantidad</t>
  </si>
  <si>
    <t>Sueldo mensual</t>
  </si>
  <si>
    <t>Costo mensual</t>
  </si>
  <si>
    <t>Costo anual</t>
  </si>
  <si>
    <t>Conserje</t>
  </si>
  <si>
    <t>Guardia</t>
  </si>
  <si>
    <t>Técnico asistente</t>
  </si>
  <si>
    <t>Total</t>
  </si>
  <si>
    <t>Supervisor técnico</t>
  </si>
  <si>
    <t>Director General</t>
  </si>
  <si>
    <t>Terapeutas*</t>
  </si>
  <si>
    <t>Concepto</t>
  </si>
  <si>
    <t>Precio unitario</t>
  </si>
  <si>
    <t>Costo total</t>
  </si>
  <si>
    <t>en dólares</t>
  </si>
  <si>
    <t>Computadoras e impresoras</t>
  </si>
  <si>
    <t>Escritorios "kit"</t>
  </si>
  <si>
    <t>Escritorio gerencial</t>
  </si>
  <si>
    <t>Silla gerencial</t>
  </si>
  <si>
    <t>Sillas de oficina</t>
  </si>
  <si>
    <t>Sofá para clientes</t>
  </si>
  <si>
    <t>Mesa central</t>
  </si>
  <si>
    <t>Archivadores</t>
  </si>
  <si>
    <t>Fax-scanner</t>
  </si>
  <si>
    <t>Dispensador de agua</t>
  </si>
  <si>
    <t>Teléfonos de escritorio</t>
  </si>
  <si>
    <t>Suministros varios de oficina</t>
  </si>
  <si>
    <t>Adornos florales</t>
  </si>
  <si>
    <t>Alfombras</t>
  </si>
  <si>
    <t>Suministros de limpieza</t>
  </si>
  <si>
    <t>SI</t>
  </si>
  <si>
    <t>NO</t>
  </si>
  <si>
    <t>Permanente por enfermedad</t>
  </si>
  <si>
    <t>Congenita - de nacimiento</t>
  </si>
  <si>
    <t>Permanente por accidente</t>
  </si>
  <si>
    <t>Permanente por lesión deportiva</t>
  </si>
  <si>
    <t>Permanente por causa de guerra</t>
  </si>
  <si>
    <t>Temporal por enfermedad</t>
  </si>
  <si>
    <t>Temporal por accidente laboral</t>
  </si>
  <si>
    <t>Temporal por accidente de tránsito</t>
  </si>
  <si>
    <t>Temporal por lesión deportiva</t>
  </si>
  <si>
    <t>Permanente por causa delincuencial</t>
  </si>
  <si>
    <t>Temporal por causa delincuencial</t>
  </si>
  <si>
    <t>Otro</t>
  </si>
  <si>
    <t>Toda la cara</t>
  </si>
  <si>
    <t>Un brazo</t>
  </si>
  <si>
    <t>Solo los labios</t>
  </si>
  <si>
    <t>Dos brazos</t>
  </si>
  <si>
    <t>Una pierna</t>
  </si>
  <si>
    <t>Dos piernas</t>
  </si>
  <si>
    <t>La parte izquierda del cuerpo</t>
  </si>
  <si>
    <t>La parte derecha del cuerpo</t>
  </si>
  <si>
    <t>Otra</t>
  </si>
  <si>
    <t>La espalda</t>
  </si>
  <si>
    <t>Clínica Kennedy</t>
  </si>
  <si>
    <t>Clínica Alcívar</t>
  </si>
  <si>
    <t>Clìnica San Francisco</t>
  </si>
  <si>
    <t>Clínica Guayaquil</t>
  </si>
  <si>
    <t>SERLI</t>
  </si>
  <si>
    <t>Centro de rehabilitación física</t>
  </si>
  <si>
    <t>Hospital Naval</t>
  </si>
  <si>
    <t>Hospital de la Policía</t>
  </si>
  <si>
    <t>Profesional independiente</t>
  </si>
  <si>
    <t>Ecuasanitas</t>
  </si>
  <si>
    <t>MEDEC</t>
  </si>
  <si>
    <t>SALUD</t>
  </si>
  <si>
    <t>Med.i.ken</t>
  </si>
  <si>
    <t>AVANTMED</t>
  </si>
  <si>
    <t>IESS</t>
  </si>
  <si>
    <t>Seguro Municipal - PREVENIR</t>
  </si>
  <si>
    <t>Ninguno</t>
  </si>
  <si>
    <t>Muy satisfecho</t>
  </si>
  <si>
    <t>Algo satisfecho</t>
  </si>
  <si>
    <t>Poco satisfecho</t>
  </si>
  <si>
    <t>Nada satisfecho</t>
  </si>
  <si>
    <t>No sabe / no contesta</t>
  </si>
  <si>
    <t>Muy interesado</t>
  </si>
  <si>
    <t>Algo interesado</t>
  </si>
  <si>
    <t>Poco interesado</t>
  </si>
  <si>
    <t>Nada interesado</t>
  </si>
  <si>
    <t>Nivel de los profesionales</t>
  </si>
  <si>
    <t>Uso de última tecnología médica</t>
  </si>
  <si>
    <t>Calidad en los servicios terapeutas</t>
  </si>
  <si>
    <t>Infraestructura</t>
  </si>
  <si>
    <t>Precio</t>
  </si>
  <si>
    <t>10 horas</t>
  </si>
  <si>
    <t>14 horas</t>
  </si>
  <si>
    <t>16 horas</t>
  </si>
  <si>
    <t>18 horas</t>
  </si>
  <si>
    <t>Más de 20 horas</t>
  </si>
  <si>
    <t>US$ 10</t>
  </si>
  <si>
    <t>US$ 20</t>
  </si>
  <si>
    <t>US$ 30</t>
  </si>
  <si>
    <t>Más de US$ 30</t>
  </si>
  <si>
    <t>Urdesa Central</t>
  </si>
  <si>
    <t>Vía a la Costa</t>
  </si>
  <si>
    <t>Av. 9 de Octubre</t>
  </si>
  <si>
    <t>Vía a Samborondón</t>
  </si>
  <si>
    <t>Periódico</t>
  </si>
  <si>
    <t>Programas de televisión</t>
  </si>
  <si>
    <t>Revistas de salud, hogar, deportes</t>
  </si>
  <si>
    <t>Cuñas radiales</t>
  </si>
  <si>
    <t>Trípticos, folletos</t>
  </si>
  <si>
    <t>Internet</t>
  </si>
  <si>
    <t>Año</t>
  </si>
  <si>
    <t>DPI</t>
  </si>
  <si>
    <t>ajustada</t>
  </si>
  <si>
    <t xml:space="preserve">Incremento </t>
  </si>
  <si>
    <t>anual</t>
  </si>
  <si>
    <t>Costo en dólares</t>
  </si>
  <si>
    <t>Terreno</t>
  </si>
  <si>
    <t>Reconstrucción de concreto</t>
  </si>
  <si>
    <t>Reconstrucción de lámina</t>
  </si>
  <si>
    <t>Equipo y herramientas</t>
  </si>
  <si>
    <t>5% fletes</t>
  </si>
  <si>
    <t>y seguros</t>
  </si>
  <si>
    <t>puesto en planta</t>
  </si>
  <si>
    <t>Guantes de trabajo</t>
  </si>
  <si>
    <t>Total en dólares</t>
  </si>
  <si>
    <t>Constitución de empresa</t>
  </si>
  <si>
    <t>Honorarios para abogado</t>
  </si>
  <si>
    <t>Promoción preoperativa</t>
  </si>
  <si>
    <t xml:space="preserve">Folletos, cuñas en radio, vallas </t>
  </si>
  <si>
    <t>Capacitación</t>
  </si>
  <si>
    <t>Monto (en US$)</t>
  </si>
  <si>
    <t>%</t>
  </si>
  <si>
    <t>Inversión en activos fijos y diferidos</t>
  </si>
  <si>
    <t>Inversión en capital de trabajo</t>
  </si>
  <si>
    <t>Activo diferido</t>
  </si>
  <si>
    <t>Subtotal</t>
  </si>
  <si>
    <t>(+) 5% imprevistos</t>
  </si>
  <si>
    <t>Ref.</t>
  </si>
  <si>
    <t>1/</t>
  </si>
  <si>
    <t>Mano de obra directa</t>
  </si>
  <si>
    <t>2/</t>
  </si>
  <si>
    <t>Mano de obra indirecta</t>
  </si>
  <si>
    <t>3/</t>
  </si>
  <si>
    <t>Mantenimiento y reparación</t>
  </si>
  <si>
    <t>Costo mensual en dólares</t>
  </si>
  <si>
    <t>Costo anual en dólares</t>
  </si>
  <si>
    <t>Limpieza general</t>
  </si>
  <si>
    <t>Vigilancia</t>
  </si>
  <si>
    <t>Suministros de oficina</t>
  </si>
  <si>
    <t>Alquiler local</t>
  </si>
  <si>
    <t>Publicidad</t>
  </si>
  <si>
    <t>Gastos Administrativos</t>
  </si>
  <si>
    <t>Gastos de ventas</t>
  </si>
  <si>
    <t>Egreso mensual</t>
  </si>
  <si>
    <t>TOTAL</t>
  </si>
  <si>
    <t>Ventas netas</t>
  </si>
  <si>
    <t>Ingreso mensual</t>
  </si>
  <si>
    <t>Ref</t>
  </si>
  <si>
    <t>Ingresos anuales</t>
  </si>
  <si>
    <t>Valor</t>
  </si>
  <si>
    <t>Años</t>
  </si>
  <si>
    <t>VD</t>
  </si>
  <si>
    <t>Equipo de oficina</t>
  </si>
  <si>
    <t>Obra civil</t>
  </si>
  <si>
    <t>Inversión diferida</t>
  </si>
  <si>
    <t>Saldo mensual</t>
  </si>
  <si>
    <t>Saldo acumulado</t>
  </si>
  <si>
    <t>Costo</t>
  </si>
  <si>
    <t>Gasto de administración</t>
  </si>
  <si>
    <t>Gasto de ventas</t>
  </si>
  <si>
    <t>Depreciación y amortización</t>
  </si>
  <si>
    <t>Activo</t>
  </si>
  <si>
    <t>Pasivo</t>
  </si>
  <si>
    <t>Activo circulante</t>
  </si>
  <si>
    <t>Pasivo circulante</t>
  </si>
  <si>
    <t>Caja, bancos</t>
  </si>
  <si>
    <t>Sueldo, deudores, impuestos</t>
  </si>
  <si>
    <t>Pasivo fijo</t>
  </si>
  <si>
    <t>Activo fijo</t>
  </si>
  <si>
    <t>CAPITAL</t>
  </si>
  <si>
    <t>Capital social</t>
  </si>
  <si>
    <t>Total de Activos</t>
  </si>
  <si>
    <t>Pasivo + Capital</t>
  </si>
  <si>
    <t>CONCEPTO</t>
  </si>
  <si>
    <t>Ingresos por ventas</t>
  </si>
  <si>
    <t>Margen unitario de contribución</t>
  </si>
  <si>
    <t>(-) Gastos Administrativos</t>
  </si>
  <si>
    <t>(-) Gastos de ventas</t>
  </si>
  <si>
    <t>(-) Depreciación y amortización</t>
  </si>
  <si>
    <t>Utilidad Bruta</t>
  </si>
  <si>
    <t>(-) 15% participación trabajadores</t>
  </si>
  <si>
    <t>Utilidad antes impuesto</t>
  </si>
  <si>
    <t>(-) 25% impuesto a la renta</t>
  </si>
  <si>
    <t>Utilidad neta</t>
  </si>
  <si>
    <t>Ingresos por ventas netas</t>
  </si>
  <si>
    <t>Gastos de administración</t>
  </si>
  <si>
    <t>Depreciación</t>
  </si>
  <si>
    <t>Amortización</t>
  </si>
  <si>
    <t>Utilidad bruta</t>
  </si>
  <si>
    <t>Participación trabajadores</t>
  </si>
  <si>
    <t>Impuesto a la renta</t>
  </si>
  <si>
    <t>Inversión inicial</t>
  </si>
  <si>
    <t>Reinversiones</t>
  </si>
  <si>
    <t>FLUJO DE CAJA NETO</t>
  </si>
  <si>
    <t>TIR</t>
  </si>
  <si>
    <t>VAN</t>
  </si>
  <si>
    <t>Para personal</t>
  </si>
  <si>
    <t>Alquiler local, dos meses</t>
  </si>
  <si>
    <t>Colchonetas especiales</t>
  </si>
  <si>
    <t>Camillas estáticas ortopédicas</t>
  </si>
  <si>
    <t>Balones terapeúticos</t>
  </si>
  <si>
    <t>Máquinas computarizadas de ejercicio</t>
  </si>
  <si>
    <t>Máquinas para electroshocks</t>
  </si>
  <si>
    <t>Televisores con DVD</t>
  </si>
  <si>
    <t>Equipo de sonido</t>
  </si>
  <si>
    <t>Aire acondicionado central</t>
  </si>
  <si>
    <t>Mandiles de trabajo</t>
  </si>
  <si>
    <t>Muebles y enseres</t>
  </si>
  <si>
    <t>Equipos y herramientas</t>
  </si>
  <si>
    <t>Director General*</t>
  </si>
  <si>
    <t>Personas atendidas</t>
  </si>
  <si>
    <t>Precio de sesiones *</t>
  </si>
  <si>
    <t>Subtotal sesiones</t>
  </si>
  <si>
    <t>Costos de prestación</t>
  </si>
  <si>
    <t>Equipos de cómputo</t>
  </si>
  <si>
    <t>Costo de prestación</t>
  </si>
  <si>
    <t>(-) Costo de prestación</t>
  </si>
  <si>
    <t>BENEFICIOS DE LEY</t>
  </si>
  <si>
    <t>Aporte IESS personal</t>
  </si>
  <si>
    <t>Aporte IESS patronal</t>
  </si>
  <si>
    <t>Décimo tercero</t>
  </si>
  <si>
    <t>Décimo cuarto</t>
  </si>
  <si>
    <t>Total beneficios de ley</t>
  </si>
  <si>
    <t>TOTAL SUELDOS Y BENEFICIOS DE LEY</t>
  </si>
  <si>
    <t>UNITARIO</t>
  </si>
  <si>
    <t>GENERAL</t>
  </si>
  <si>
    <t>ANUAL</t>
  </si>
  <si>
    <t>IESS PERS.</t>
  </si>
  <si>
    <t>IESS PATR.</t>
  </si>
  <si>
    <t>D.T.</t>
  </si>
  <si>
    <t>D.C.</t>
  </si>
  <si>
    <t>REMUNER.</t>
  </si>
  <si>
    <t>Derecho de llave (depósito)</t>
  </si>
  <si>
    <t>Costo unitario anual por paciente</t>
  </si>
  <si>
    <t>Valor de desecho</t>
  </si>
  <si>
    <t>Depreciaciones</t>
  </si>
  <si>
    <t>Amortizaciones</t>
  </si>
  <si>
    <t>Gastos administrativos</t>
  </si>
  <si>
    <t>VENTAS</t>
  </si>
  <si>
    <t>Fijo</t>
  </si>
  <si>
    <t>Variable</t>
  </si>
  <si>
    <t>PUNTO DE EQUILIBRIO (%)</t>
  </si>
  <si>
    <t>PUNTO DE EQUILIBRIO (U)</t>
  </si>
  <si>
    <t>Ingresos netos</t>
  </si>
  <si>
    <t>FLUJO NETO DE EFECTIVO</t>
  </si>
  <si>
    <t>Guardias</t>
  </si>
  <si>
    <t>CPrest.Ser.!C6+GAdmin!B9+Gvtas!B4+Ingresos1!B8</t>
  </si>
  <si>
    <t>I. anuales*0.9</t>
  </si>
  <si>
    <t>Informacion</t>
  </si>
  <si>
    <t>rf</t>
  </si>
  <si>
    <t>b</t>
  </si>
  <si>
    <t>m</t>
  </si>
  <si>
    <t>R Pecu</t>
  </si>
  <si>
    <t>Ri</t>
  </si>
  <si>
    <t>CAPM</t>
  </si>
</sst>
</file>

<file path=xl/styles.xml><?xml version="1.0" encoding="utf-8"?>
<styleSheet xmlns="http://schemas.openxmlformats.org/spreadsheetml/2006/main">
  <numFmts count="3">
    <numFmt numFmtId="202" formatCode="[$$-409]#,##0.00"/>
    <numFmt numFmtId="203" formatCode="&quot;$&quot;#,##0.00"/>
    <numFmt numFmtId="213" formatCode="&quot;$&quot;#,##0"/>
  </numFmts>
  <fonts count="17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</font>
    <font>
      <b/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/>
    <xf numFmtId="0" fontId="0" fillId="0" borderId="2" xfId="0" applyBorder="1"/>
    <xf numFmtId="0" fontId="3" fillId="2" borderId="3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/>
    <xf numFmtId="0" fontId="2" fillId="3" borderId="4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/>
    <xf numFmtId="2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/>
    <xf numFmtId="2" fontId="5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0" fillId="6" borderId="4" xfId="0" applyFill="1" applyBorder="1"/>
    <xf numFmtId="0" fontId="0" fillId="6" borderId="2" xfId="0" applyFill="1" applyBorder="1" applyAlignment="1">
      <alignment horizontal="center"/>
    </xf>
    <xf numFmtId="203" fontId="0" fillId="6" borderId="2" xfId="0" applyNumberFormat="1" applyFill="1" applyBorder="1" applyAlignment="1">
      <alignment horizontal="center"/>
    </xf>
    <xf numFmtId="203" fontId="0" fillId="6" borderId="6" xfId="0" applyNumberFormat="1" applyFill="1" applyBorder="1"/>
    <xf numFmtId="203" fontId="0" fillId="6" borderId="6" xfId="0" applyNumberFormat="1" applyFill="1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/>
    <xf numFmtId="0" fontId="3" fillId="6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/>
    <xf numFmtId="4" fontId="0" fillId="6" borderId="2" xfId="0" applyNumberFormat="1" applyFill="1" applyBorder="1" applyAlignment="1">
      <alignment horizontal="center"/>
    </xf>
    <xf numFmtId="4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4" fontId="3" fillId="6" borderId="14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1" fontId="0" fillId="0" borderId="0" xfId="0" applyNumberFormat="1"/>
    <xf numFmtId="9" fontId="0" fillId="0" borderId="0" xfId="0" applyNumberFormat="1"/>
    <xf numFmtId="0" fontId="0" fillId="6" borderId="8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10" fontId="0" fillId="6" borderId="5" xfId="0" applyNumberFormat="1" applyFill="1" applyBorder="1" applyAlignment="1">
      <alignment horizontal="center"/>
    </xf>
    <xf numFmtId="10" fontId="0" fillId="6" borderId="9" xfId="0" applyNumberForma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4" fontId="0" fillId="6" borderId="6" xfId="0" applyNumberFormat="1" applyFill="1" applyBorder="1"/>
    <xf numFmtId="0" fontId="3" fillId="6" borderId="11" xfId="0" applyFont="1" applyFill="1" applyBorder="1"/>
    <xf numFmtId="4" fontId="3" fillId="6" borderId="14" xfId="0" applyNumberFormat="1" applyFont="1" applyFill="1" applyBorder="1"/>
    <xf numFmtId="0" fontId="0" fillId="6" borderId="6" xfId="0" applyFill="1" applyBorder="1"/>
    <xf numFmtId="0" fontId="3" fillId="6" borderId="12" xfId="0" applyFont="1" applyFill="1" applyBorder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4" fontId="3" fillId="6" borderId="14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/>
    <xf numFmtId="10" fontId="0" fillId="6" borderId="6" xfId="0" applyNumberFormat="1" applyFill="1" applyBorder="1"/>
    <xf numFmtId="4" fontId="3" fillId="6" borderId="12" xfId="0" applyNumberFormat="1" applyFont="1" applyFill="1" applyBorder="1"/>
    <xf numFmtId="0" fontId="0" fillId="6" borderId="14" xfId="0" applyFill="1" applyBorder="1"/>
    <xf numFmtId="0" fontId="3" fillId="5" borderId="15" xfId="0" applyFont="1" applyFill="1" applyBorder="1"/>
    <xf numFmtId="0" fontId="5" fillId="5" borderId="21" xfId="0" applyFont="1" applyFill="1" applyBorder="1" applyAlignment="1">
      <alignment horizontal="center"/>
    </xf>
    <xf numFmtId="0" fontId="3" fillId="5" borderId="16" xfId="0" applyFont="1" applyFill="1" applyBorder="1"/>
    <xf numFmtId="0" fontId="3" fillId="5" borderId="17" xfId="0" applyFont="1" applyFill="1" applyBorder="1"/>
    <xf numFmtId="0" fontId="6" fillId="6" borderId="5" xfId="0" applyFont="1" applyFill="1" applyBorder="1" applyAlignment="1">
      <alignment horizontal="center"/>
    </xf>
    <xf numFmtId="202" fontId="0" fillId="6" borderId="2" xfId="0" applyNumberFormat="1" applyFill="1" applyBorder="1"/>
    <xf numFmtId="202" fontId="0" fillId="6" borderId="6" xfId="0" applyNumberFormat="1" applyFill="1" applyBorder="1"/>
    <xf numFmtId="0" fontId="5" fillId="6" borderId="13" xfId="0" applyFont="1" applyFill="1" applyBorder="1" applyAlignment="1">
      <alignment horizontal="center"/>
    </xf>
    <xf numFmtId="202" fontId="3" fillId="6" borderId="12" xfId="0" applyNumberFormat="1" applyFont="1" applyFill="1" applyBorder="1"/>
    <xf numFmtId="202" fontId="3" fillId="6" borderId="14" xfId="0" applyNumberFormat="1" applyFont="1" applyFill="1" applyBorder="1"/>
    <xf numFmtId="0" fontId="6" fillId="0" borderId="0" xfId="0" applyFont="1"/>
    <xf numFmtId="0" fontId="0" fillId="0" borderId="4" xfId="0" applyBorder="1"/>
    <xf numFmtId="0" fontId="0" fillId="0" borderId="0" xfId="0" applyAlignment="1">
      <alignment horizontal="center"/>
    </xf>
    <xf numFmtId="203" fontId="0" fillId="6" borderId="2" xfId="0" applyNumberFormat="1" applyFill="1" applyBorder="1"/>
    <xf numFmtId="203" fontId="3" fillId="6" borderId="12" xfId="0" applyNumberFormat="1" applyFont="1" applyFill="1" applyBorder="1"/>
    <xf numFmtId="203" fontId="3" fillId="6" borderId="14" xfId="0" applyNumberFormat="1" applyFont="1" applyFill="1" applyBorder="1"/>
    <xf numFmtId="0" fontId="2" fillId="6" borderId="15" xfId="0" applyFont="1" applyFill="1" applyBorder="1"/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2" fillId="6" borderId="4" xfId="0" applyFont="1" applyFill="1" applyBorder="1"/>
    <xf numFmtId="202" fontId="2" fillId="6" borderId="2" xfId="0" applyNumberFormat="1" applyFont="1" applyFill="1" applyBorder="1"/>
    <xf numFmtId="202" fontId="2" fillId="6" borderId="6" xfId="0" applyNumberFormat="1" applyFont="1" applyFill="1" applyBorder="1"/>
    <xf numFmtId="0" fontId="2" fillId="6" borderId="2" xfId="0" applyFont="1" applyFill="1" applyBorder="1"/>
    <xf numFmtId="0" fontId="2" fillId="6" borderId="6" xfId="0" applyFont="1" applyFill="1" applyBorder="1"/>
    <xf numFmtId="0" fontId="7" fillId="6" borderId="11" xfId="0" applyFont="1" applyFill="1" applyBorder="1"/>
    <xf numFmtId="202" fontId="7" fillId="6" borderId="12" xfId="0" applyNumberFormat="1" applyFont="1" applyFill="1" applyBorder="1"/>
    <xf numFmtId="202" fontId="7" fillId="6" borderId="14" xfId="0" applyNumberFormat="1" applyFont="1" applyFill="1" applyBorder="1"/>
    <xf numFmtId="0" fontId="2" fillId="5" borderId="15" xfId="0" applyFont="1" applyFill="1" applyBorder="1"/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2" fillId="6" borderId="7" xfId="0" applyFont="1" applyFill="1" applyBorder="1"/>
    <xf numFmtId="202" fontId="2" fillId="6" borderId="8" xfId="0" applyNumberFormat="1" applyFont="1" applyFill="1" applyBorder="1"/>
    <xf numFmtId="202" fontId="2" fillId="6" borderId="10" xfId="0" applyNumberFormat="1" applyFont="1" applyFill="1" applyBorder="1"/>
    <xf numFmtId="0" fontId="5" fillId="6" borderId="11" xfId="0" applyFont="1" applyFill="1" applyBorder="1"/>
    <xf numFmtId="202" fontId="5" fillId="6" borderId="12" xfId="0" applyNumberFormat="1" applyFont="1" applyFill="1" applyBorder="1"/>
    <xf numFmtId="10" fontId="2" fillId="0" borderId="0" xfId="0" applyNumberFormat="1" applyFont="1"/>
    <xf numFmtId="0" fontId="3" fillId="6" borderId="4" xfId="0" applyFont="1" applyFill="1" applyBorder="1"/>
    <xf numFmtId="0" fontId="5" fillId="6" borderId="5" xfId="0" applyFont="1" applyFill="1" applyBorder="1"/>
    <xf numFmtId="0" fontId="6" fillId="6" borderId="13" xfId="0" applyFont="1" applyFill="1" applyBorder="1" applyAlignment="1">
      <alignment horizontal="center"/>
    </xf>
    <xf numFmtId="203" fontId="2" fillId="6" borderId="2" xfId="0" applyNumberFormat="1" applyFont="1" applyFill="1" applyBorder="1"/>
    <xf numFmtId="203" fontId="2" fillId="6" borderId="6" xfId="0" applyNumberFormat="1" applyFont="1" applyFill="1" applyBorder="1"/>
    <xf numFmtId="0" fontId="2" fillId="6" borderId="22" xfId="0" applyFont="1" applyFill="1" applyBorder="1"/>
    <xf numFmtId="203" fontId="2" fillId="6" borderId="8" xfId="0" applyNumberFormat="1" applyFont="1" applyFill="1" applyBorder="1"/>
    <xf numFmtId="203" fontId="2" fillId="6" borderId="10" xfId="0" applyNumberFormat="1" applyFont="1" applyFill="1" applyBorder="1"/>
    <xf numFmtId="0" fontId="2" fillId="6" borderId="11" xfId="0" applyFont="1" applyFill="1" applyBorder="1"/>
    <xf numFmtId="203" fontId="2" fillId="6" borderId="12" xfId="0" applyNumberFormat="1" applyFont="1" applyFill="1" applyBorder="1"/>
    <xf numFmtId="203" fontId="2" fillId="6" borderId="14" xfId="0" applyNumberFormat="1" applyFont="1" applyFill="1" applyBorder="1"/>
    <xf numFmtId="202" fontId="3" fillId="6" borderId="2" xfId="0" applyNumberFormat="1" applyFont="1" applyFill="1" applyBorder="1"/>
    <xf numFmtId="202" fontId="3" fillId="6" borderId="6" xfId="0" applyNumberFormat="1" applyFont="1" applyFill="1" applyBorder="1"/>
    <xf numFmtId="202" fontId="0" fillId="0" borderId="0" xfId="0" applyNumberFormat="1"/>
    <xf numFmtId="0" fontId="8" fillId="6" borderId="4" xfId="0" applyFont="1" applyFill="1" applyBorder="1"/>
    <xf numFmtId="0" fontId="0" fillId="6" borderId="0" xfId="0" applyFill="1" applyBorder="1"/>
    <xf numFmtId="0" fontId="3" fillId="6" borderId="2" xfId="0" applyFont="1" applyFill="1" applyBorder="1"/>
    <xf numFmtId="0" fontId="0" fillId="6" borderId="23" xfId="0" applyFill="1" applyBorder="1"/>
    <xf numFmtId="213" fontId="0" fillId="6" borderId="2" xfId="0" applyNumberFormat="1" applyFill="1" applyBorder="1"/>
    <xf numFmtId="213" fontId="0" fillId="6" borderId="0" xfId="0" applyNumberFormat="1" applyFill="1" applyBorder="1"/>
    <xf numFmtId="213" fontId="0" fillId="6" borderId="6" xfId="0" applyNumberFormat="1" applyFill="1" applyBorder="1"/>
    <xf numFmtId="213" fontId="3" fillId="6" borderId="12" xfId="0" applyNumberFormat="1" applyFont="1" applyFill="1" applyBorder="1"/>
    <xf numFmtId="213" fontId="0" fillId="6" borderId="24" xfId="0" applyNumberFormat="1" applyFill="1" applyBorder="1"/>
    <xf numFmtId="213" fontId="3" fillId="6" borderId="14" xfId="0" applyNumberFormat="1" applyFont="1" applyFill="1" applyBorder="1"/>
    <xf numFmtId="0" fontId="3" fillId="5" borderId="25" xfId="0" applyFont="1" applyFill="1" applyBorder="1" applyAlignment="1">
      <alignment horizontal="center"/>
    </xf>
    <xf numFmtId="10" fontId="0" fillId="0" borderId="0" xfId="0" applyNumberFormat="1"/>
    <xf numFmtId="3" fontId="0" fillId="6" borderId="2" xfId="0" applyNumberFormat="1" applyFill="1" applyBorder="1"/>
    <xf numFmtId="3" fontId="0" fillId="6" borderId="6" xfId="0" applyNumberFormat="1" applyFill="1" applyBorder="1"/>
    <xf numFmtId="0" fontId="0" fillId="6" borderId="26" xfId="0" applyFill="1" applyBorder="1"/>
    <xf numFmtId="3" fontId="0" fillId="6" borderId="27" xfId="0" applyNumberFormat="1" applyFill="1" applyBorder="1"/>
    <xf numFmtId="3" fontId="0" fillId="6" borderId="28" xfId="0" applyNumberFormat="1" applyFill="1" applyBorder="1"/>
    <xf numFmtId="0" fontId="3" fillId="6" borderId="26" xfId="0" applyFont="1" applyFill="1" applyBorder="1"/>
    <xf numFmtId="3" fontId="3" fillId="6" borderId="27" xfId="0" applyNumberFormat="1" applyFont="1" applyFill="1" applyBorder="1"/>
    <xf numFmtId="3" fontId="3" fillId="6" borderId="28" xfId="0" applyNumberFormat="1" applyFont="1" applyFill="1" applyBorder="1"/>
    <xf numFmtId="10" fontId="3" fillId="6" borderId="29" xfId="0" applyNumberFormat="1" applyFont="1" applyFill="1" applyBorder="1"/>
    <xf numFmtId="4" fontId="0" fillId="0" borderId="0" xfId="0" applyNumberFormat="1"/>
    <xf numFmtId="0" fontId="9" fillId="5" borderId="1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0" fillId="0" borderId="0" xfId="0" applyFont="1"/>
    <xf numFmtId="0" fontId="9" fillId="5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/>
    </xf>
    <xf numFmtId="4" fontId="10" fillId="6" borderId="6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left"/>
    </xf>
    <xf numFmtId="0" fontId="10" fillId="6" borderId="4" xfId="0" applyFont="1" applyFill="1" applyBorder="1"/>
    <xf numFmtId="0" fontId="10" fillId="6" borderId="6" xfId="0" applyFont="1" applyFill="1" applyBorder="1"/>
    <xf numFmtId="0" fontId="10" fillId="6" borderId="11" xfId="0" applyFont="1" applyFill="1" applyBorder="1"/>
    <xf numFmtId="0" fontId="10" fillId="6" borderId="12" xfId="0" applyFont="1" applyFill="1" applyBorder="1"/>
    <xf numFmtId="0" fontId="9" fillId="6" borderId="12" xfId="0" applyFont="1" applyFill="1" applyBorder="1"/>
    <xf numFmtId="4" fontId="9" fillId="6" borderId="14" xfId="0" applyNumberFormat="1" applyFont="1" applyFill="1" applyBorder="1" applyAlignment="1">
      <alignment horizontal="center"/>
    </xf>
    <xf numFmtId="202" fontId="3" fillId="6" borderId="12" xfId="0" applyNumberFormat="1" applyFont="1" applyFill="1" applyBorder="1" applyAlignment="1">
      <alignment horizontal="center"/>
    </xf>
    <xf numFmtId="202" fontId="3" fillId="6" borderId="14" xfId="0" applyNumberFormat="1" applyFont="1" applyFill="1" applyBorder="1" applyAlignment="1">
      <alignment horizontal="center"/>
    </xf>
    <xf numFmtId="202" fontId="0" fillId="6" borderId="2" xfId="0" applyNumberFormat="1" applyFill="1" applyBorder="1" applyAlignment="1">
      <alignment horizontal="right"/>
    </xf>
    <xf numFmtId="1" fontId="2" fillId="6" borderId="2" xfId="0" applyNumberFormat="1" applyFont="1" applyFill="1" applyBorder="1"/>
    <xf numFmtId="1" fontId="2" fillId="0" borderId="0" xfId="0" applyNumberFormat="1" applyFont="1"/>
    <xf numFmtId="202" fontId="5" fillId="6" borderId="10" xfId="0" applyNumberFormat="1" applyFont="1" applyFill="1" applyBorder="1"/>
    <xf numFmtId="0" fontId="2" fillId="6" borderId="7" xfId="0" applyFont="1" applyFill="1" applyBorder="1" applyAlignment="1">
      <alignment horizontal="right"/>
    </xf>
    <xf numFmtId="203" fontId="11" fillId="6" borderId="2" xfId="0" applyNumberFormat="1" applyFont="1" applyFill="1" applyBorder="1"/>
    <xf numFmtId="203" fontId="11" fillId="6" borderId="6" xfId="0" applyNumberFormat="1" applyFont="1" applyFill="1" applyBorder="1"/>
    <xf numFmtId="203" fontId="11" fillId="0" borderId="12" xfId="0" applyNumberFormat="1" applyFont="1" applyBorder="1"/>
    <xf numFmtId="203" fontId="11" fillId="0" borderId="14" xfId="0" applyNumberFormat="1" applyFont="1" applyBorder="1"/>
    <xf numFmtId="0" fontId="11" fillId="6" borderId="4" xfId="0" applyFont="1" applyFill="1" applyBorder="1"/>
    <xf numFmtId="0" fontId="11" fillId="6" borderId="11" xfId="0" applyFont="1" applyFill="1" applyBorder="1"/>
    <xf numFmtId="203" fontId="6" fillId="6" borderId="12" xfId="0" applyNumberFormat="1" applyFont="1" applyFill="1" applyBorder="1"/>
    <xf numFmtId="203" fontId="12" fillId="6" borderId="12" xfId="0" applyNumberFormat="1" applyFont="1" applyFill="1" applyBorder="1"/>
    <xf numFmtId="202" fontId="5" fillId="6" borderId="14" xfId="0" applyNumberFormat="1" applyFont="1" applyFill="1" applyBorder="1"/>
    <xf numFmtId="0" fontId="13" fillId="6" borderId="4" xfId="0" applyFont="1" applyFill="1" applyBorder="1"/>
    <xf numFmtId="10" fontId="0" fillId="6" borderId="2" xfId="0" applyNumberFormat="1" applyFill="1" applyBorder="1"/>
    <xf numFmtId="213" fontId="0" fillId="6" borderId="2" xfId="0" applyNumberFormat="1" applyFill="1" applyBorder="1" applyAlignment="1">
      <alignment horizontal="center"/>
    </xf>
    <xf numFmtId="213" fontId="0" fillId="6" borderId="6" xfId="0" applyNumberFormat="1" applyFill="1" applyBorder="1" applyAlignment="1">
      <alignment horizontal="center"/>
    </xf>
    <xf numFmtId="203" fontId="3" fillId="6" borderId="28" xfId="0" applyNumberFormat="1" applyFont="1" applyFill="1" applyBorder="1" applyAlignment="1">
      <alignment horizontal="center"/>
    </xf>
    <xf numFmtId="0" fontId="0" fillId="6" borderId="30" xfId="0" applyFill="1" applyBorder="1"/>
    <xf numFmtId="203" fontId="3" fillId="6" borderId="31" xfId="0" applyNumberFormat="1" applyFont="1" applyFill="1" applyBorder="1" applyAlignment="1">
      <alignment horizontal="center"/>
    </xf>
    <xf numFmtId="203" fontId="3" fillId="6" borderId="32" xfId="0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3" fillId="6" borderId="8" xfId="0" applyFont="1" applyFill="1" applyBorder="1" applyAlignment="1">
      <alignment horizontal="center"/>
    </xf>
    <xf numFmtId="203" fontId="3" fillId="6" borderId="8" xfId="0" applyNumberFormat="1" applyFont="1" applyFill="1" applyBorder="1" applyAlignment="1">
      <alignment horizontal="center"/>
    </xf>
    <xf numFmtId="203" fontId="3" fillId="6" borderId="10" xfId="0" applyNumberFormat="1" applyFont="1" applyFill="1" applyBorder="1" applyAlignment="1">
      <alignment horizontal="right"/>
    </xf>
    <xf numFmtId="203" fontId="3" fillId="6" borderId="33" xfId="0" applyNumberFormat="1" applyFont="1" applyFill="1" applyBorder="1" applyAlignment="1">
      <alignment horizontal="center"/>
    </xf>
    <xf numFmtId="0" fontId="0" fillId="6" borderId="34" xfId="0" applyFill="1" applyBorder="1"/>
    <xf numFmtId="203" fontId="0" fillId="0" borderId="0" xfId="0" applyNumberFormat="1"/>
    <xf numFmtId="203" fontId="3" fillId="0" borderId="0" xfId="0" applyNumberFormat="1" applyFont="1"/>
    <xf numFmtId="203" fontId="0" fillId="6" borderId="6" xfId="0" applyNumberForma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203" fontId="0" fillId="8" borderId="0" xfId="0" applyNumberFormat="1" applyFill="1"/>
    <xf numFmtId="203" fontId="0" fillId="0" borderId="0" xfId="0" applyNumberFormat="1" applyFill="1"/>
    <xf numFmtId="202" fontId="0" fillId="6" borderId="2" xfId="0" applyNumberFormat="1" applyFill="1" applyBorder="1" applyAlignment="1">
      <alignment horizontal="center"/>
    </xf>
    <xf numFmtId="202" fontId="0" fillId="6" borderId="6" xfId="0" applyNumberFormat="1" applyFill="1" applyBorder="1" applyAlignment="1">
      <alignment horizontal="center"/>
    </xf>
    <xf numFmtId="0" fontId="0" fillId="0" borderId="7" xfId="0" applyBorder="1"/>
    <xf numFmtId="202" fontId="0" fillId="6" borderId="8" xfId="0" applyNumberFormat="1" applyFill="1" applyBorder="1"/>
    <xf numFmtId="202" fontId="0" fillId="6" borderId="10" xfId="0" applyNumberFormat="1" applyFill="1" applyBorder="1"/>
    <xf numFmtId="0" fontId="3" fillId="0" borderId="0" xfId="0" applyFont="1"/>
    <xf numFmtId="3" fontId="0" fillId="0" borderId="0" xfId="0" applyNumberFormat="1"/>
    <xf numFmtId="0" fontId="0" fillId="6" borderId="0" xfId="0" applyFill="1"/>
    <xf numFmtId="203" fontId="0" fillId="6" borderId="8" xfId="0" applyNumberFormat="1" applyFill="1" applyBorder="1"/>
    <xf numFmtId="203" fontId="0" fillId="6" borderId="19" xfId="0" applyNumberFormat="1" applyFill="1" applyBorder="1"/>
    <xf numFmtId="0" fontId="0" fillId="6" borderId="20" xfId="0" applyFill="1" applyBorder="1"/>
    <xf numFmtId="0" fontId="0" fillId="6" borderId="5" xfId="0" applyFill="1" applyBorder="1"/>
    <xf numFmtId="203" fontId="0" fillId="6" borderId="5" xfId="0" applyNumberFormat="1" applyFill="1" applyBorder="1"/>
    <xf numFmtId="203" fontId="0" fillId="6" borderId="9" xfId="0" applyNumberFormat="1" applyFill="1" applyBorder="1"/>
    <xf numFmtId="203" fontId="0" fillId="6" borderId="20" xfId="0" applyNumberFormat="1" applyFill="1" applyBorder="1"/>
    <xf numFmtId="0" fontId="0" fillId="6" borderId="9" xfId="0" applyFill="1" applyBorder="1"/>
    <xf numFmtId="203" fontId="3" fillId="6" borderId="8" xfId="0" applyNumberFormat="1" applyFont="1" applyFill="1" applyBorder="1"/>
    <xf numFmtId="203" fontId="3" fillId="6" borderId="9" xfId="0" applyNumberFormat="1" applyFont="1" applyFill="1" applyBorder="1"/>
    <xf numFmtId="203" fontId="3" fillId="6" borderId="35" xfId="0" applyNumberFormat="1" applyFont="1" applyFill="1" applyBorder="1"/>
    <xf numFmtId="203" fontId="3" fillId="6" borderId="29" xfId="0" applyNumberFormat="1" applyFont="1" applyFill="1" applyBorder="1"/>
    <xf numFmtId="4" fontId="3" fillId="0" borderId="0" xfId="0" applyNumberFormat="1" applyFont="1"/>
    <xf numFmtId="0" fontId="5" fillId="0" borderId="0" xfId="0" applyFont="1" applyFill="1" applyBorder="1" applyAlignment="1">
      <alignment vertical="center"/>
    </xf>
    <xf numFmtId="2" fontId="2" fillId="0" borderId="0" xfId="0" applyNumberFormat="1" applyFont="1"/>
    <xf numFmtId="0" fontId="11" fillId="0" borderId="0" xfId="0" applyFont="1"/>
    <xf numFmtId="0" fontId="14" fillId="0" borderId="29" xfId="0" applyFont="1" applyBorder="1" applyAlignment="1">
      <alignment horizontal="center"/>
    </xf>
    <xf numFmtId="0" fontId="14" fillId="0" borderId="29" xfId="0" applyFont="1" applyBorder="1"/>
    <xf numFmtId="0" fontId="14" fillId="0" borderId="29" xfId="0" applyFont="1" applyFill="1" applyBorder="1"/>
    <xf numFmtId="10" fontId="16" fillId="0" borderId="36" xfId="0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0" fontId="14" fillId="0" borderId="29" xfId="1" applyNumberFormat="1" applyFont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0" fillId="6" borderId="29" xfId="0" applyFill="1" applyBorder="1" applyAlignment="1">
      <alignment horizontal="right"/>
    </xf>
    <xf numFmtId="0" fontId="0" fillId="6" borderId="29" xfId="0" applyFill="1" applyBorder="1" applyAlignment="1">
      <alignment horizontal="center"/>
    </xf>
    <xf numFmtId="0" fontId="3" fillId="10" borderId="27" xfId="0" applyFont="1" applyFill="1" applyBorder="1" applyAlignment="1">
      <alignment horizontal="right"/>
    </xf>
    <xf numFmtId="0" fontId="0" fillId="10" borderId="37" xfId="0" applyFill="1" applyBorder="1"/>
    <xf numFmtId="10" fontId="3" fillId="11" borderId="29" xfId="0" applyNumberFormat="1" applyFont="1" applyFill="1" applyBorder="1"/>
    <xf numFmtId="1" fontId="3" fillId="11" borderId="29" xfId="0" applyNumberFormat="1" applyFont="1" applyFill="1" applyBorder="1"/>
    <xf numFmtId="0" fontId="3" fillId="11" borderId="29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3" fillId="11" borderId="29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3" fillId="12" borderId="27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Número de personas por hogar con discapacidades físicas</a:t>
            </a:r>
          </a:p>
        </c:rich>
      </c:tx>
      <c:layout>
        <c:manualLayout>
          <c:xMode val="edge"/>
          <c:yMode val="edge"/>
          <c:x val="0.13227541001819215"/>
          <c:y val="4.615384615384615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656174190264832"/>
          <c:y val="0.52820777347642967"/>
          <c:w val="0.30952460918022789"/>
          <c:h val="0.235898617280735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Encuestas!$A$2:$A$3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Encuestas!$B$2:$B$3</c:f>
              <c:numCache>
                <c:formatCode>0</c:formatCode>
                <c:ptCount val="2"/>
                <c:pt idx="0">
                  <c:v>106.05</c:v>
                </c:pt>
                <c:pt idx="1">
                  <c:v>196.95000000000002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a la semana que podría asistir al Centro de Rehabilitación Física</a:t>
            </a:r>
          </a:p>
        </c:rich>
      </c:tx>
      <c:layout>
        <c:manualLayout>
          <c:xMode val="edge"/>
          <c:yMode val="edge"/>
          <c:x val="0.12698440472718686"/>
          <c:y val="4.615384615384615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656174190264832"/>
          <c:y val="0.49743838861372502"/>
          <c:w val="0.30952460918022789"/>
          <c:h val="0.235898617280735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Encuestas!$A$136:$A$140</c:f>
              <c:strCache>
                <c:ptCount val="5"/>
                <c:pt idx="0">
                  <c:v>10 horas</c:v>
                </c:pt>
                <c:pt idx="1">
                  <c:v>14 horas</c:v>
                </c:pt>
                <c:pt idx="2">
                  <c:v>16 horas</c:v>
                </c:pt>
                <c:pt idx="3">
                  <c:v>18 horas</c:v>
                </c:pt>
                <c:pt idx="4">
                  <c:v>Más de 20 horas</c:v>
                </c:pt>
              </c:strCache>
            </c:strRef>
          </c:cat>
          <c:val>
            <c:numRef>
              <c:f>Encuestas!$B$136:$B$140</c:f>
              <c:numCache>
                <c:formatCode>0%</c:formatCode>
                <c:ptCount val="5"/>
                <c:pt idx="0">
                  <c:v>0.52</c:v>
                </c:pt>
                <c:pt idx="1">
                  <c:v>0.18</c:v>
                </c:pt>
                <c:pt idx="2">
                  <c:v>0.17</c:v>
                </c:pt>
                <c:pt idx="3">
                  <c:v>0.09</c:v>
                </c:pt>
                <c:pt idx="4">
                  <c:v>0.04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Precio máximo dispuesto a pagar por terapias físicas semanales</a:t>
            </a:r>
          </a:p>
        </c:rich>
      </c:tx>
      <c:layout>
        <c:manualLayout>
          <c:xMode val="edge"/>
          <c:yMode val="edge"/>
          <c:x val="0.18004917268553111"/>
          <c:y val="4.0540540540540543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5060886796891152"/>
          <c:y val="0.47297505355721053"/>
          <c:w val="0.55231274785381468"/>
          <c:h val="0.4054071887633233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Encuestas!$A$149:$A$152</c:f>
              <c:strCache>
                <c:ptCount val="4"/>
                <c:pt idx="0">
                  <c:v>US$ 10</c:v>
                </c:pt>
                <c:pt idx="1">
                  <c:v>US$ 20</c:v>
                </c:pt>
                <c:pt idx="2">
                  <c:v>US$ 30</c:v>
                </c:pt>
                <c:pt idx="3">
                  <c:v>Más de US$ 30</c:v>
                </c:pt>
              </c:strCache>
            </c:strRef>
          </c:cat>
          <c:val>
            <c:numRef>
              <c:f>Encuestas!$B$149:$B$152</c:f>
              <c:numCache>
                <c:formatCode>0%</c:formatCode>
                <c:ptCount val="4"/>
                <c:pt idx="0">
                  <c:v>0.65</c:v>
                </c:pt>
                <c:pt idx="1">
                  <c:v>0.25</c:v>
                </c:pt>
                <c:pt idx="2">
                  <c:v>0.08</c:v>
                </c:pt>
                <c:pt idx="3">
                  <c:v>0.02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Preferencia por ubicación del nuevo Centro de Rehabilitación Física</a:t>
            </a:r>
          </a:p>
        </c:rich>
      </c:tx>
      <c:layout>
        <c:manualLayout>
          <c:xMode val="edge"/>
          <c:yMode val="edge"/>
          <c:x val="0.14554015255135361"/>
          <c:y val="3.982300884955752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037636713332403"/>
          <c:y val="0.49115150362862892"/>
          <c:w val="0.32159698136045095"/>
          <c:h val="0.238938569332846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Encuestas!$A$164:$A$168</c:f>
              <c:strCache>
                <c:ptCount val="5"/>
                <c:pt idx="0">
                  <c:v>Urdesa Central</c:v>
                </c:pt>
                <c:pt idx="1">
                  <c:v>Vía a la Costa</c:v>
                </c:pt>
                <c:pt idx="2">
                  <c:v>Av. 9 de Octubre</c:v>
                </c:pt>
                <c:pt idx="3">
                  <c:v>Vía a Samborondón</c:v>
                </c:pt>
                <c:pt idx="4">
                  <c:v>Otro</c:v>
                </c:pt>
              </c:strCache>
            </c:strRef>
          </c:cat>
          <c:val>
            <c:numRef>
              <c:f>Encuestas!$B$164:$B$168</c:f>
              <c:numCache>
                <c:formatCode>0%</c:formatCode>
                <c:ptCount val="5"/>
                <c:pt idx="0">
                  <c:v>0.18</c:v>
                </c:pt>
                <c:pt idx="1">
                  <c:v>7.0000000000000007E-2</c:v>
                </c:pt>
                <c:pt idx="2">
                  <c:v>0.33</c:v>
                </c:pt>
                <c:pt idx="3">
                  <c:v>0.36</c:v>
                </c:pt>
                <c:pt idx="4">
                  <c:v>0.06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Preferencia por medio publicitario</a:t>
            </a:r>
          </a:p>
        </c:rich>
      </c:tx>
      <c:layout>
        <c:manualLayout>
          <c:xMode val="edge"/>
          <c:yMode val="edge"/>
          <c:x val="0.23445001193032688"/>
          <c:y val="3.913043478260869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679428967260587"/>
          <c:y val="0.35652173913043478"/>
          <c:w val="0.48803884760817839"/>
          <c:h val="0.35217391304347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Encuestas!$A$178:$A$184</c:f>
              <c:strCache>
                <c:ptCount val="7"/>
                <c:pt idx="0">
                  <c:v>Periódico</c:v>
                </c:pt>
                <c:pt idx="1">
                  <c:v>Programas de televisión</c:v>
                </c:pt>
                <c:pt idx="2">
                  <c:v>Revistas de salud, hogar, deportes</c:v>
                </c:pt>
                <c:pt idx="3">
                  <c:v>Cuñas radiales</c:v>
                </c:pt>
                <c:pt idx="4">
                  <c:v>Trípticos, folletos</c:v>
                </c:pt>
                <c:pt idx="5">
                  <c:v>Internet</c:v>
                </c:pt>
                <c:pt idx="6">
                  <c:v>Otro</c:v>
                </c:pt>
              </c:strCache>
            </c:strRef>
          </c:cat>
          <c:val>
            <c:numRef>
              <c:f>Encuestas!$B$178:$B$184</c:f>
              <c:numCache>
                <c:formatCode>0%</c:formatCode>
                <c:ptCount val="7"/>
                <c:pt idx="0">
                  <c:v>0.17</c:v>
                </c:pt>
                <c:pt idx="1">
                  <c:v>0.34</c:v>
                </c:pt>
                <c:pt idx="2">
                  <c:v>0.11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0.09</c:v>
                </c:pt>
                <c:pt idx="6">
                  <c:v>0.03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Tipo y causa de discapacidad física</a:t>
            </a:r>
          </a:p>
        </c:rich>
      </c:tx>
      <c:layout>
        <c:manualLayout>
          <c:xMode val="edge"/>
          <c:yMode val="edge"/>
          <c:x val="0.3241382930581953"/>
          <c:y val="3.5483870967741936E-2"/>
        </c:manualLayout>
      </c:layout>
      <c:spPr>
        <a:noFill/>
        <a:ln w="25400">
          <a:noFill/>
        </a:ln>
      </c:spPr>
    </c:title>
    <c:view3D>
      <c:hPercent val="206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896578576726309"/>
          <c:y val="9.0322722912554984E-2"/>
          <c:w val="0.65517296535978364"/>
          <c:h val="0.82903356387595117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3286584128486854E-2"/>
                  <c:y val="8.0156906729850243E-3"/>
                </c:manualLayout>
              </c:layout>
              <c:showVal val="1"/>
            </c:dLbl>
            <c:dLbl>
              <c:idx val="1"/>
              <c:layout>
                <c:manualLayout>
                  <c:x val="3.143496714492061E-3"/>
                  <c:y val="2.4358376296309301E-2"/>
                </c:manualLayout>
              </c:layout>
              <c:showVal val="1"/>
            </c:dLbl>
            <c:dLbl>
              <c:idx val="2"/>
              <c:layout>
                <c:manualLayout>
                  <c:x val="6.666235218088905E-3"/>
                  <c:y val="1.4894569658903515E-2"/>
                </c:manualLayout>
              </c:layout>
              <c:showVal val="1"/>
            </c:dLbl>
            <c:dLbl>
              <c:idx val="3"/>
              <c:layout>
                <c:manualLayout>
                  <c:x val="-2.2890779883528965E-3"/>
                  <c:y val="2.4785293549701246E-2"/>
                </c:manualLayout>
              </c:layout>
              <c:showVal val="1"/>
            </c:dLbl>
            <c:dLbl>
              <c:idx val="4"/>
              <c:layout>
                <c:manualLayout>
                  <c:x val="4.6446189050945979E-3"/>
                  <c:y val="2.1773109977478004E-2"/>
                </c:manualLayout>
              </c:layout>
              <c:showVal val="1"/>
            </c:dLbl>
            <c:dLbl>
              <c:idx val="5"/>
              <c:layout>
                <c:manualLayout>
                  <c:x val="-5.7744961167488975E-3"/>
                  <c:y val="1.2309303340072218E-2"/>
                </c:manualLayout>
              </c:layout>
              <c:showVal val="1"/>
            </c:dLbl>
            <c:dLbl>
              <c:idx val="6"/>
              <c:layout>
                <c:manualLayout>
                  <c:x val="-8.7022807594085653E-3"/>
                  <c:y val="5.4458142556782552E-2"/>
                </c:manualLayout>
              </c:layout>
              <c:showVal val="1"/>
            </c:dLbl>
            <c:dLbl>
              <c:idx val="7"/>
              <c:layout>
                <c:manualLayout>
                  <c:x val="1.3450786052773549E-3"/>
                  <c:y val="9.510409060873002E-3"/>
                </c:manualLayout>
              </c:layout>
              <c:showVal val="1"/>
            </c:dLbl>
            <c:dLbl>
              <c:idx val="8"/>
              <c:layout>
                <c:manualLayout>
                  <c:x val="8.3159148620693558E-3"/>
                  <c:y val="2.2627283151606007E-2"/>
                </c:manualLayout>
              </c:layout>
              <c:showVal val="1"/>
            </c:dLbl>
            <c:dLbl>
              <c:idx val="9"/>
              <c:layout>
                <c:manualLayout>
                  <c:x val="1.1727054263776343E-2"/>
                  <c:y val="2.5989171649124225E-4"/>
                </c:manualLayout>
              </c:layout>
              <c:showVal val="1"/>
            </c:dLbl>
            <c:dLbl>
              <c:idx val="10"/>
              <c:layout>
                <c:manualLayout>
                  <c:x val="-2.1217608450806575E-2"/>
                  <c:y val="3.9183258067954252E-2"/>
                </c:manualLayout>
              </c:layout>
              <c:showVal val="1"/>
            </c:dLbl>
            <c:dLbl>
              <c:idx val="11"/>
              <c:layout>
                <c:manualLayout>
                  <c:x val="-2.1217471832791601E-2"/>
                  <c:y val="-5.764475427955244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Baskerville Old Face"/>
                    <a:ea typeface="Baskerville Old Face"/>
                    <a:cs typeface="Baskerville Old Face"/>
                  </a:defRPr>
                </a:pPr>
                <a:endParaRPr lang="es-EC"/>
              </a:p>
            </c:txPr>
            <c:showVal val="1"/>
          </c:dLbls>
          <c:cat>
            <c:strRef>
              <c:f>Encuestas!$A$15:$A$26</c:f>
              <c:strCache>
                <c:ptCount val="12"/>
                <c:pt idx="0">
                  <c:v>Permanente por enfermedad</c:v>
                </c:pt>
                <c:pt idx="1">
                  <c:v>Congenita - de nacimiento</c:v>
                </c:pt>
                <c:pt idx="2">
                  <c:v>Permanente por accidente</c:v>
                </c:pt>
                <c:pt idx="3">
                  <c:v>Permanente por lesión deportiva</c:v>
                </c:pt>
                <c:pt idx="4">
                  <c:v>Permanente por causa delincuencial</c:v>
                </c:pt>
                <c:pt idx="5">
                  <c:v>Permanente por causa de guerra</c:v>
                </c:pt>
                <c:pt idx="6">
                  <c:v>Temporal por enfermedad</c:v>
                </c:pt>
                <c:pt idx="7">
                  <c:v>Temporal por accidente laboral</c:v>
                </c:pt>
                <c:pt idx="8">
                  <c:v>Temporal por accidente de tránsito</c:v>
                </c:pt>
                <c:pt idx="9">
                  <c:v>Temporal por lesión deportiva</c:v>
                </c:pt>
                <c:pt idx="10">
                  <c:v>Temporal por causa delincuencial</c:v>
                </c:pt>
                <c:pt idx="11">
                  <c:v>Otro</c:v>
                </c:pt>
              </c:strCache>
            </c:strRef>
          </c:cat>
          <c:val>
            <c:numRef>
              <c:f>Encuestas!$B$15:$B$26</c:f>
              <c:numCache>
                <c:formatCode>0%</c:formatCode>
                <c:ptCount val="12"/>
                <c:pt idx="0">
                  <c:v>0.16</c:v>
                </c:pt>
                <c:pt idx="1">
                  <c:v>0.09</c:v>
                </c:pt>
                <c:pt idx="2">
                  <c:v>0.11</c:v>
                </c:pt>
                <c:pt idx="3">
                  <c:v>0.02</c:v>
                </c:pt>
                <c:pt idx="4">
                  <c:v>0.03</c:v>
                </c:pt>
                <c:pt idx="5">
                  <c:v>0.01</c:v>
                </c:pt>
                <c:pt idx="6">
                  <c:v>0.15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0.08</c:v>
                </c:pt>
                <c:pt idx="10">
                  <c:v>0.16</c:v>
                </c:pt>
                <c:pt idx="11">
                  <c:v>0.03</c:v>
                </c:pt>
              </c:numCache>
            </c:numRef>
          </c:val>
        </c:ser>
        <c:dLbls>
          <c:showVal val="1"/>
        </c:dLbls>
        <c:shape val="box"/>
        <c:axId val="109623936"/>
        <c:axId val="115745152"/>
        <c:axId val="0"/>
      </c:bar3DChart>
      <c:catAx>
        <c:axId val="109623936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745152"/>
        <c:crosses val="autoZero"/>
        <c:auto val="1"/>
        <c:lblAlgn val="ctr"/>
        <c:lblOffset val="100"/>
        <c:tickLblSkip val="2"/>
        <c:tickMarkSkip val="1"/>
      </c:catAx>
      <c:valAx>
        <c:axId val="1157451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623936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50000">
              <a:srgbClr val="C0C0C0">
                <a:gamma/>
                <a:tint val="34902"/>
                <a:invGamma/>
              </a:srgbClr>
            </a:gs>
            <a:gs pos="100000">
              <a:srgbClr val="C0C0C0"/>
            </a:gs>
          </a:gsLst>
          <a:lin ang="5400000" scaled="1"/>
        </a:gra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Parte del cuerpo afectado por discapacidad</a:t>
            </a:r>
          </a:p>
        </c:rich>
      </c:tx>
      <c:layout>
        <c:manualLayout>
          <c:xMode val="edge"/>
          <c:yMode val="edge"/>
          <c:x val="0.16880386746528478"/>
          <c:y val="3.6900369003690037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0940214635530674"/>
          <c:y val="0.38007448554702916"/>
          <c:w val="0.57265076758389999"/>
          <c:h val="0.3911446161940299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9.9199147759075373E-2"/>
                  <c:y val="8.2995305413128093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1.4866326213909693E-2"/>
                  <c:y val="-9.0849660624482506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Encuestas!$A$34:$A$43</c:f>
              <c:strCache>
                <c:ptCount val="10"/>
                <c:pt idx="0">
                  <c:v>Toda la cara</c:v>
                </c:pt>
                <c:pt idx="1">
                  <c:v>Solo los labios</c:v>
                </c:pt>
                <c:pt idx="2">
                  <c:v>Un brazo</c:v>
                </c:pt>
                <c:pt idx="3">
                  <c:v>Dos brazos</c:v>
                </c:pt>
                <c:pt idx="4">
                  <c:v>Una pierna</c:v>
                </c:pt>
                <c:pt idx="5">
                  <c:v>Dos piernas</c:v>
                </c:pt>
                <c:pt idx="6">
                  <c:v>La parte izquierda del cuerpo</c:v>
                </c:pt>
                <c:pt idx="7">
                  <c:v>La parte derecha del cuerpo</c:v>
                </c:pt>
                <c:pt idx="8">
                  <c:v>La espalda</c:v>
                </c:pt>
                <c:pt idx="9">
                  <c:v>Otra</c:v>
                </c:pt>
              </c:strCache>
            </c:strRef>
          </c:cat>
          <c:val>
            <c:numRef>
              <c:f>Encuestas!$B$34:$B$43</c:f>
              <c:numCache>
                <c:formatCode>0%</c:formatCode>
                <c:ptCount val="10"/>
                <c:pt idx="0">
                  <c:v>0.04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0.09</c:v>
                </c:pt>
                <c:pt idx="6">
                  <c:v>0.06</c:v>
                </c:pt>
                <c:pt idx="7">
                  <c:v>0.12</c:v>
                </c:pt>
                <c:pt idx="8">
                  <c:v>0.16</c:v>
                </c:pt>
                <c:pt idx="9">
                  <c:v>0.05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0C0C0"/>
        </a:gs>
        <a:gs pos="50000">
          <a:srgbClr val="C0C0C0">
            <a:gamma/>
            <a:tint val="19216"/>
            <a:invGamma/>
          </a:srgbClr>
        </a:gs>
        <a:gs pos="100000">
          <a:srgbClr val="C0C0C0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Asiste a rehabilitarse físicamente en algún centro, clínica u hospital</a:t>
            </a:r>
          </a:p>
        </c:rich>
      </c:tx>
      <c:layout>
        <c:manualLayout>
          <c:xMode val="edge"/>
          <c:yMode val="edge"/>
          <c:x val="0.13227541001819215"/>
          <c:y val="4.615384615384615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656174190264832"/>
          <c:y val="0.52820777347642967"/>
          <c:w val="0.30952460918022789"/>
          <c:h val="0.235898617280735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Encuestas!$A$50:$A$51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Encuestas!$B$50:$B$51</c:f>
              <c:numCache>
                <c:formatCode>0%</c:formatCode>
                <c:ptCount val="2"/>
                <c:pt idx="0">
                  <c:v>0.91</c:v>
                </c:pt>
                <c:pt idx="1">
                  <c:v>0.09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Centro médico donde asisten para realziar rehabilitaciones físicas</a:t>
            </a:r>
          </a:p>
        </c:rich>
      </c:tx>
      <c:layout>
        <c:manualLayout>
          <c:xMode val="edge"/>
          <c:yMode val="edge"/>
          <c:x val="0.21383691818396913"/>
          <c:y val="3.623188405797101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2704469471611047"/>
          <c:y val="0.47463936056159617"/>
          <c:w val="0.34800909822355341"/>
          <c:h val="0.2391312808936286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9.9951741293348328E-2"/>
                  <c:y val="3.98023905485485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3.838235237981958E-2"/>
                  <c:y val="4.861765097223297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7863296425261359E-2"/>
                  <c:y val="0.1661314015498810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2337954032271103"/>
                  <c:y val="-7.4645793475106109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1.1053820839257218E-2"/>
                  <c:y val="-0.1082274854214671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Encuestas!$A$63:$A$72</c:f>
              <c:strCache>
                <c:ptCount val="10"/>
                <c:pt idx="0">
                  <c:v>Clínica Kennedy</c:v>
                </c:pt>
                <c:pt idx="1">
                  <c:v>Clínica Alcívar</c:v>
                </c:pt>
                <c:pt idx="2">
                  <c:v>Clìnica San Francisco</c:v>
                </c:pt>
                <c:pt idx="3">
                  <c:v>Clínica Guayaquil</c:v>
                </c:pt>
                <c:pt idx="4">
                  <c:v>SERLI</c:v>
                </c:pt>
                <c:pt idx="5">
                  <c:v>Centro de rehabilitación física</c:v>
                </c:pt>
                <c:pt idx="6">
                  <c:v>Hospital Naval</c:v>
                </c:pt>
                <c:pt idx="7">
                  <c:v>Hospital de la Policía</c:v>
                </c:pt>
                <c:pt idx="8">
                  <c:v>Profesional independiente</c:v>
                </c:pt>
                <c:pt idx="9">
                  <c:v>Otro</c:v>
                </c:pt>
              </c:strCache>
            </c:strRef>
          </c:cat>
          <c:val>
            <c:numRef>
              <c:f>Encuestas!$B$63:$B$72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0.35</c:v>
                </c:pt>
                <c:pt idx="2">
                  <c:v>0.03</c:v>
                </c:pt>
                <c:pt idx="3">
                  <c:v>0.03</c:v>
                </c:pt>
                <c:pt idx="4">
                  <c:v>0.11</c:v>
                </c:pt>
                <c:pt idx="5">
                  <c:v>0.15</c:v>
                </c:pt>
                <c:pt idx="6">
                  <c:v>0.02</c:v>
                </c:pt>
                <c:pt idx="7">
                  <c:v>0.03</c:v>
                </c:pt>
                <c:pt idx="8">
                  <c:v>0.18</c:v>
                </c:pt>
                <c:pt idx="9">
                  <c:v>0.03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0C0C0"/>
        </a:gs>
        <a:gs pos="50000">
          <a:srgbClr val="C0C0C0">
            <a:gamma/>
            <a:tint val="22353"/>
            <a:invGamma/>
          </a:srgbClr>
        </a:gs>
        <a:gs pos="100000">
          <a:srgbClr val="C0C0C0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Seguro de Salud con el que cuenta</a:t>
            </a:r>
          </a:p>
        </c:rich>
      </c:tx>
      <c:layout>
        <c:manualLayout>
          <c:xMode val="edge"/>
          <c:yMode val="edge"/>
          <c:x val="0.23543172488054376"/>
          <c:y val="3.982300884955752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032711503659274"/>
          <c:y val="0.45132840873982116"/>
          <c:w val="0.3193480463014603"/>
          <c:h val="0.238938569332846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layout>
                <c:manualLayout>
                  <c:x val="7.4442039908913155E-2"/>
                  <c:y val="0.10843039215324617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5252513422128963E-2"/>
                  <c:y val="0.10360325162687975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3739615186132614"/>
                  <c:y val="5.2503205414598762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Encuestas!$A$80:$A$88</c:f>
              <c:strCache>
                <c:ptCount val="9"/>
                <c:pt idx="0">
                  <c:v>SALUD</c:v>
                </c:pt>
                <c:pt idx="1">
                  <c:v>Ecuasanitas</c:v>
                </c:pt>
                <c:pt idx="2">
                  <c:v>MEDEC</c:v>
                </c:pt>
                <c:pt idx="3">
                  <c:v>Med.i.ken</c:v>
                </c:pt>
                <c:pt idx="4">
                  <c:v>AVANTMED</c:v>
                </c:pt>
                <c:pt idx="5">
                  <c:v>IESS</c:v>
                </c:pt>
                <c:pt idx="6">
                  <c:v>Seguro Municipal - PREVENIR</c:v>
                </c:pt>
                <c:pt idx="7">
                  <c:v>Ninguno</c:v>
                </c:pt>
                <c:pt idx="8">
                  <c:v>Otro</c:v>
                </c:pt>
              </c:strCache>
            </c:strRef>
          </c:cat>
          <c:val>
            <c:numRef>
              <c:f>Encuestas!$B$80:$B$88</c:f>
              <c:numCache>
                <c:formatCode>0%</c:formatCode>
                <c:ptCount val="9"/>
                <c:pt idx="0">
                  <c:v>0.27</c:v>
                </c:pt>
                <c:pt idx="1">
                  <c:v>0.12</c:v>
                </c:pt>
                <c:pt idx="2">
                  <c:v>0.11</c:v>
                </c:pt>
                <c:pt idx="3">
                  <c:v>0.05</c:v>
                </c:pt>
                <c:pt idx="4">
                  <c:v>0.02</c:v>
                </c:pt>
                <c:pt idx="5">
                  <c:v>0.17</c:v>
                </c:pt>
                <c:pt idx="6">
                  <c:v>0.08</c:v>
                </c:pt>
                <c:pt idx="7">
                  <c:v>0.15</c:v>
                </c:pt>
                <c:pt idx="8">
                  <c:v>0.03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de satisfacción de su actual centro médico de rehabilitación física</a:t>
            </a:r>
          </a:p>
        </c:rich>
      </c:tx>
      <c:layout>
        <c:manualLayout>
          <c:xMode val="edge"/>
          <c:yMode val="edge"/>
          <c:x val="0.14832561001645128"/>
          <c:y val="3.982300884955752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732096819977037"/>
          <c:y val="0.48672671530765027"/>
          <c:w val="0.32775157903098251"/>
          <c:h val="0.238938569332846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0.25377581126066301"/>
                  <c:y val="3.1506959932169176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Encuestas!$A$94:$A$98</c:f>
              <c:strCache>
                <c:ptCount val="5"/>
                <c:pt idx="0">
                  <c:v>Muy satisfecho</c:v>
                </c:pt>
                <c:pt idx="1">
                  <c:v>Algo satisfecho</c:v>
                </c:pt>
                <c:pt idx="2">
                  <c:v>Poco satisfecho</c:v>
                </c:pt>
                <c:pt idx="3">
                  <c:v>Nada satisfecho</c:v>
                </c:pt>
                <c:pt idx="4">
                  <c:v>No sabe / no contesta</c:v>
                </c:pt>
              </c:strCache>
            </c:strRef>
          </c:cat>
          <c:val>
            <c:numRef>
              <c:f>Encuestas!$B$94:$B$98</c:f>
              <c:numCache>
                <c:formatCode>0%</c:formatCode>
                <c:ptCount val="5"/>
                <c:pt idx="0">
                  <c:v>0.41</c:v>
                </c:pt>
                <c:pt idx="1">
                  <c:v>0.2</c:v>
                </c:pt>
                <c:pt idx="2">
                  <c:v>0.17</c:v>
                </c:pt>
                <c:pt idx="3">
                  <c:v>0.18</c:v>
                </c:pt>
                <c:pt idx="4">
                  <c:v>0.04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Interés en nuevo centro Integral de Rehabilitación física con personal y tecnología alemana</a:t>
            </a:r>
          </a:p>
        </c:rich>
      </c:tx>
      <c:layout>
        <c:manualLayout>
          <c:xMode val="edge"/>
          <c:yMode val="edge"/>
          <c:x val="0.12433890208168422"/>
          <c:y val="4.615384615384615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656174190264832"/>
          <c:y val="0.49743838861372502"/>
          <c:w val="0.30952460918022789"/>
          <c:h val="0.235898617280735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Encuestas!$A$109:$A$112</c:f>
              <c:strCache>
                <c:ptCount val="4"/>
                <c:pt idx="0">
                  <c:v>Muy interesado</c:v>
                </c:pt>
                <c:pt idx="1">
                  <c:v>Algo interesado</c:v>
                </c:pt>
                <c:pt idx="2">
                  <c:v>Poco interesado</c:v>
                </c:pt>
                <c:pt idx="3">
                  <c:v>Nada interesado</c:v>
                </c:pt>
              </c:strCache>
            </c:strRef>
          </c:cat>
          <c:val>
            <c:numRef>
              <c:f>Encuestas!$B$109:$B$112</c:f>
              <c:numCache>
                <c:formatCode>0%</c:formatCode>
                <c:ptCount val="4"/>
                <c:pt idx="0">
                  <c:v>0.35</c:v>
                </c:pt>
                <c:pt idx="1">
                  <c:v>0.2</c:v>
                </c:pt>
                <c:pt idx="2">
                  <c:v>0.3</c:v>
                </c:pt>
                <c:pt idx="3">
                  <c:v>0.15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caracterísitcas que busca en el nuevo Centro Integral de Rehabilitación Física</a:t>
            </a:r>
          </a:p>
        </c:rich>
      </c:tx>
      <c:layout>
        <c:manualLayout>
          <c:xMode val="edge"/>
          <c:yMode val="edge"/>
          <c:x val="0.15625"/>
          <c:y val="4.186046511627906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5096153846153844"/>
          <c:y val="0.49302325581395351"/>
          <c:w val="0.30048076923076922"/>
          <c:h val="0.2325581395348837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CatName val="1"/>
            <c:showPercent val="1"/>
            <c:showLeaderLines val="1"/>
          </c:dLbls>
          <c:cat>
            <c:strRef>
              <c:f>Encuestas!$A$121:$A$126</c:f>
              <c:strCache>
                <c:ptCount val="6"/>
                <c:pt idx="0">
                  <c:v>Nivel de los profesionales</c:v>
                </c:pt>
                <c:pt idx="1">
                  <c:v>Uso de última tecnología médica</c:v>
                </c:pt>
                <c:pt idx="2">
                  <c:v>Calidad en los servicios terapeutas</c:v>
                </c:pt>
                <c:pt idx="3">
                  <c:v>Infraestructura</c:v>
                </c:pt>
                <c:pt idx="4">
                  <c:v>Precio</c:v>
                </c:pt>
                <c:pt idx="5">
                  <c:v>Otra</c:v>
                </c:pt>
              </c:strCache>
            </c:strRef>
          </c:cat>
          <c:val>
            <c:numRef>
              <c:f>Encuestas!$B$121:$B$126</c:f>
              <c:numCache>
                <c:formatCode>0%</c:formatCode>
                <c:ptCount val="6"/>
                <c:pt idx="0">
                  <c:v>0.28999999999999998</c:v>
                </c:pt>
                <c:pt idx="1">
                  <c:v>0.21</c:v>
                </c:pt>
                <c:pt idx="2">
                  <c:v>0.17</c:v>
                </c:pt>
                <c:pt idx="3">
                  <c:v>0.1</c:v>
                </c:pt>
                <c:pt idx="4">
                  <c:v>0.2</c:v>
                </c:pt>
                <c:pt idx="5">
                  <c:v>0.03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219075</xdr:rowOff>
    </xdr:from>
    <xdr:to>
      <xdr:col>7</xdr:col>
      <xdr:colOff>0</xdr:colOff>
      <xdr:row>5</xdr:row>
      <xdr:rowOff>219075</xdr:rowOff>
    </xdr:to>
    <xdr:sp macro="" textlink="">
      <xdr:nvSpPr>
        <xdr:cNvPr id="1143" name="Line 16"/>
        <xdr:cNvSpPr>
          <a:spLocks noChangeShapeType="1"/>
        </xdr:cNvSpPr>
      </xdr:nvSpPr>
      <xdr:spPr bwMode="auto">
        <a:xfrm>
          <a:off x="5200650" y="11334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</xdr:row>
      <xdr:rowOff>123825</xdr:rowOff>
    </xdr:from>
    <xdr:to>
      <xdr:col>7</xdr:col>
      <xdr:colOff>9525</xdr:colOff>
      <xdr:row>3</xdr:row>
      <xdr:rowOff>123825</xdr:rowOff>
    </xdr:to>
    <xdr:sp macro="" textlink="">
      <xdr:nvSpPr>
        <xdr:cNvPr id="1144" name="Line 17"/>
        <xdr:cNvSpPr>
          <a:spLocks noChangeShapeType="1"/>
        </xdr:cNvSpPr>
      </xdr:nvSpPr>
      <xdr:spPr bwMode="auto">
        <a:xfrm>
          <a:off x="4514850" y="80962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323850</xdr:colOff>
      <xdr:row>7</xdr:row>
      <xdr:rowOff>9525</xdr:rowOff>
    </xdr:from>
    <xdr:to>
      <xdr:col>6</xdr:col>
      <xdr:colOff>323850</xdr:colOff>
      <xdr:row>7</xdr:row>
      <xdr:rowOff>133350</xdr:rowOff>
    </xdr:to>
    <xdr:sp macro="" textlink="">
      <xdr:nvSpPr>
        <xdr:cNvPr id="1145" name="Line 19"/>
        <xdr:cNvSpPr>
          <a:spLocks noChangeShapeType="1"/>
        </xdr:cNvSpPr>
      </xdr:nvSpPr>
      <xdr:spPr bwMode="auto">
        <a:xfrm>
          <a:off x="4829175" y="1609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323850</xdr:colOff>
      <xdr:row>7</xdr:row>
      <xdr:rowOff>142875</xdr:rowOff>
    </xdr:from>
    <xdr:to>
      <xdr:col>8</xdr:col>
      <xdr:colOff>409575</xdr:colOff>
      <xdr:row>7</xdr:row>
      <xdr:rowOff>142875</xdr:rowOff>
    </xdr:to>
    <xdr:sp macro="" textlink="">
      <xdr:nvSpPr>
        <xdr:cNvPr id="1146" name="Line 20"/>
        <xdr:cNvSpPr>
          <a:spLocks noChangeShapeType="1"/>
        </xdr:cNvSpPr>
      </xdr:nvSpPr>
      <xdr:spPr bwMode="auto">
        <a:xfrm>
          <a:off x="4829175" y="17430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419100</xdr:colOff>
      <xdr:row>7</xdr:row>
      <xdr:rowOff>142875</xdr:rowOff>
    </xdr:from>
    <xdr:to>
      <xdr:col>8</xdr:col>
      <xdr:colOff>419100</xdr:colOff>
      <xdr:row>7</xdr:row>
      <xdr:rowOff>219075</xdr:rowOff>
    </xdr:to>
    <xdr:sp macro="" textlink="">
      <xdr:nvSpPr>
        <xdr:cNvPr id="1147" name="Line 21"/>
        <xdr:cNvSpPr>
          <a:spLocks noChangeShapeType="1"/>
        </xdr:cNvSpPr>
      </xdr:nvSpPr>
      <xdr:spPr bwMode="auto">
        <a:xfrm>
          <a:off x="6257925" y="17430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323850</xdr:colOff>
      <xdr:row>7</xdr:row>
      <xdr:rowOff>152400</xdr:rowOff>
    </xdr:from>
    <xdr:to>
      <xdr:col>6</xdr:col>
      <xdr:colOff>323850</xdr:colOff>
      <xdr:row>7</xdr:row>
      <xdr:rowOff>219075</xdr:rowOff>
    </xdr:to>
    <xdr:sp macro="" textlink="">
      <xdr:nvSpPr>
        <xdr:cNvPr id="1148" name="Line 24"/>
        <xdr:cNvSpPr>
          <a:spLocks noChangeShapeType="1"/>
        </xdr:cNvSpPr>
      </xdr:nvSpPr>
      <xdr:spPr bwMode="auto">
        <a:xfrm>
          <a:off x="4829175" y="175260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7</xdr:row>
      <xdr:rowOff>142875</xdr:rowOff>
    </xdr:from>
    <xdr:to>
      <xdr:col>6</xdr:col>
      <xdr:colOff>323850</xdr:colOff>
      <xdr:row>7</xdr:row>
      <xdr:rowOff>142875</xdr:rowOff>
    </xdr:to>
    <xdr:sp macro="" textlink="">
      <xdr:nvSpPr>
        <xdr:cNvPr id="1149" name="Line 26"/>
        <xdr:cNvSpPr>
          <a:spLocks noChangeShapeType="1"/>
        </xdr:cNvSpPr>
      </xdr:nvSpPr>
      <xdr:spPr bwMode="auto">
        <a:xfrm flipH="1">
          <a:off x="3371850" y="17430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7</xdr:row>
      <xdr:rowOff>142875</xdr:rowOff>
    </xdr:from>
    <xdr:to>
      <xdr:col>4</xdr:col>
      <xdr:colOff>323850</xdr:colOff>
      <xdr:row>8</xdr:row>
      <xdr:rowOff>0</xdr:rowOff>
    </xdr:to>
    <xdr:sp macro="" textlink="">
      <xdr:nvSpPr>
        <xdr:cNvPr id="1150" name="Line 29"/>
        <xdr:cNvSpPr>
          <a:spLocks noChangeShapeType="1"/>
        </xdr:cNvSpPr>
      </xdr:nvSpPr>
      <xdr:spPr bwMode="auto">
        <a:xfrm>
          <a:off x="3371850" y="17430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19050</xdr:rowOff>
    </xdr:from>
    <xdr:to>
      <xdr:col>9</xdr:col>
      <xdr:colOff>95250</xdr:colOff>
      <xdr:row>12</xdr:row>
      <xdr:rowOff>95250</xdr:rowOff>
    </xdr:to>
    <xdr:graphicFrame macro="">
      <xdr:nvGraphicFramePr>
        <xdr:cNvPr id="2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13</xdr:row>
      <xdr:rowOff>133350</xdr:rowOff>
    </xdr:from>
    <xdr:to>
      <xdr:col>12</xdr:col>
      <xdr:colOff>561975</xdr:colOff>
      <xdr:row>32</xdr:row>
      <xdr:rowOff>9525</xdr:rowOff>
    </xdr:to>
    <xdr:graphicFrame macro="">
      <xdr:nvGraphicFramePr>
        <xdr:cNvPr id="22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32</xdr:row>
      <xdr:rowOff>95250</xdr:rowOff>
    </xdr:from>
    <xdr:to>
      <xdr:col>12</xdr:col>
      <xdr:colOff>123825</xdr:colOff>
      <xdr:row>48</xdr:row>
      <xdr:rowOff>85725</xdr:rowOff>
    </xdr:to>
    <xdr:graphicFrame macro="">
      <xdr:nvGraphicFramePr>
        <xdr:cNvPr id="22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352425</xdr:colOff>
      <xdr:row>49</xdr:row>
      <xdr:rowOff>142875</xdr:rowOff>
    </xdr:from>
    <xdr:to>
      <xdr:col>11</xdr:col>
      <xdr:colOff>295275</xdr:colOff>
      <xdr:row>61</xdr:row>
      <xdr:rowOff>57150</xdr:rowOff>
    </xdr:to>
    <xdr:graphicFrame macro="">
      <xdr:nvGraphicFramePr>
        <xdr:cNvPr id="22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61</xdr:row>
      <xdr:rowOff>142875</xdr:rowOff>
    </xdr:from>
    <xdr:to>
      <xdr:col>12</xdr:col>
      <xdr:colOff>266700</xdr:colOff>
      <xdr:row>78</xdr:row>
      <xdr:rowOff>19050</xdr:rowOff>
    </xdr:to>
    <xdr:graphicFrame macro="">
      <xdr:nvGraphicFramePr>
        <xdr:cNvPr id="220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76200</xdr:colOff>
      <xdr:row>79</xdr:row>
      <xdr:rowOff>0</xdr:rowOff>
    </xdr:from>
    <xdr:to>
      <xdr:col>11</xdr:col>
      <xdr:colOff>504825</xdr:colOff>
      <xdr:row>92</xdr:row>
      <xdr:rowOff>47625</xdr:rowOff>
    </xdr:to>
    <xdr:graphicFrame macro="">
      <xdr:nvGraphicFramePr>
        <xdr:cNvPr id="22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495300</xdr:colOff>
      <xdr:row>93</xdr:row>
      <xdr:rowOff>38100</xdr:rowOff>
    </xdr:from>
    <xdr:to>
      <xdr:col>12</xdr:col>
      <xdr:colOff>209550</xdr:colOff>
      <xdr:row>106</xdr:row>
      <xdr:rowOff>85725</xdr:rowOff>
    </xdr:to>
    <xdr:graphicFrame macro="">
      <xdr:nvGraphicFramePr>
        <xdr:cNvPr id="22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57150</xdr:colOff>
      <xdr:row>108</xdr:row>
      <xdr:rowOff>76200</xdr:rowOff>
    </xdr:from>
    <xdr:to>
      <xdr:col>12</xdr:col>
      <xdr:colOff>0</xdr:colOff>
      <xdr:row>119</xdr:row>
      <xdr:rowOff>152400</xdr:rowOff>
    </xdr:to>
    <xdr:graphicFrame macro="">
      <xdr:nvGraphicFramePr>
        <xdr:cNvPr id="22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514350</xdr:colOff>
      <xdr:row>121</xdr:row>
      <xdr:rowOff>66675</xdr:rowOff>
    </xdr:from>
    <xdr:to>
      <xdr:col>12</xdr:col>
      <xdr:colOff>209550</xdr:colOff>
      <xdr:row>134</xdr:row>
      <xdr:rowOff>9525</xdr:rowOff>
    </xdr:to>
    <xdr:graphicFrame macro="">
      <xdr:nvGraphicFramePr>
        <xdr:cNvPr id="221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76200</xdr:colOff>
      <xdr:row>135</xdr:row>
      <xdr:rowOff>152400</xdr:rowOff>
    </xdr:from>
    <xdr:to>
      <xdr:col>12</xdr:col>
      <xdr:colOff>19050</xdr:colOff>
      <xdr:row>147</xdr:row>
      <xdr:rowOff>66675</xdr:rowOff>
    </xdr:to>
    <xdr:graphicFrame macro="">
      <xdr:nvGraphicFramePr>
        <xdr:cNvPr id="221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314325</xdr:colOff>
      <xdr:row>149</xdr:row>
      <xdr:rowOff>0</xdr:rowOff>
    </xdr:from>
    <xdr:to>
      <xdr:col>11</xdr:col>
      <xdr:colOff>571500</xdr:colOff>
      <xdr:row>162</xdr:row>
      <xdr:rowOff>9525</xdr:rowOff>
    </xdr:to>
    <xdr:graphicFrame macro="">
      <xdr:nvGraphicFramePr>
        <xdr:cNvPr id="221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123825</xdr:colOff>
      <xdr:row>163</xdr:row>
      <xdr:rowOff>9525</xdr:rowOff>
    </xdr:from>
    <xdr:to>
      <xdr:col>11</xdr:col>
      <xdr:colOff>523875</xdr:colOff>
      <xdr:row>176</xdr:row>
      <xdr:rowOff>57150</xdr:rowOff>
    </xdr:to>
    <xdr:graphicFrame macro="">
      <xdr:nvGraphicFramePr>
        <xdr:cNvPr id="221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342900</xdr:colOff>
      <xdr:row>178</xdr:row>
      <xdr:rowOff>9525</xdr:rowOff>
    </xdr:from>
    <xdr:to>
      <xdr:col>12</xdr:col>
      <xdr:colOff>57150</xdr:colOff>
      <xdr:row>191</xdr:row>
      <xdr:rowOff>95250</xdr:rowOff>
    </xdr:to>
    <xdr:graphicFrame macro="">
      <xdr:nvGraphicFramePr>
        <xdr:cNvPr id="221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2"/>
  <sheetViews>
    <sheetView topLeftCell="B1" workbookViewId="0">
      <selection activeCell="G14" sqref="G14"/>
    </sheetView>
  </sheetViews>
  <sheetFormatPr baseColWidth="10" defaultRowHeight="12.75"/>
  <cols>
    <col min="5" max="5" width="11.140625" bestFit="1" customWidth="1"/>
    <col min="6" max="6" width="10.7109375" bestFit="1" customWidth="1"/>
    <col min="7" max="7" width="10.42578125" bestFit="1" customWidth="1"/>
    <col min="8" max="8" width="9.5703125" customWidth="1"/>
    <col min="9" max="9" width="12.5703125" bestFit="1" customWidth="1"/>
  </cols>
  <sheetData>
    <row r="1" spans="2:11" ht="18" customHeight="1" thickBot="1">
      <c r="G1" s="246" t="s">
        <v>0</v>
      </c>
      <c r="H1" s="247"/>
    </row>
    <row r="2" spans="2:11" ht="18" customHeight="1">
      <c r="H2" s="1"/>
    </row>
    <row r="3" spans="2:11" ht="18" customHeight="1" thickBot="1">
      <c r="H3" s="2"/>
      <c r="I3" s="7"/>
    </row>
    <row r="4" spans="2:11" ht="18" customHeight="1" thickBot="1">
      <c r="F4" s="3" t="s">
        <v>1</v>
      </c>
      <c r="H4" s="2"/>
      <c r="I4" s="53"/>
    </row>
    <row r="5" spans="2:11" ht="18" customHeight="1">
      <c r="B5" s="6"/>
      <c r="C5" s="6"/>
      <c r="D5" s="6"/>
      <c r="E5" s="6"/>
      <c r="F5" s="6"/>
      <c r="G5" s="6"/>
      <c r="H5" s="2"/>
      <c r="I5" s="54"/>
    </row>
    <row r="6" spans="2:11" ht="18" customHeight="1" thickBot="1">
      <c r="I6" s="53"/>
    </row>
    <row r="7" spans="2:11" ht="18" customHeight="1" thickBot="1">
      <c r="F7" s="246" t="s">
        <v>2</v>
      </c>
      <c r="G7" s="248"/>
      <c r="H7" s="247"/>
      <c r="I7" s="249"/>
      <c r="J7" s="249"/>
      <c r="K7" s="4"/>
    </row>
    <row r="8" spans="2:11" ht="18" customHeight="1" thickBot="1">
      <c r="I8" s="6"/>
      <c r="J8" s="6"/>
      <c r="K8" s="6"/>
    </row>
    <row r="9" spans="2:11" ht="18" customHeight="1" thickBot="1">
      <c r="C9" s="5"/>
      <c r="E9" s="3" t="s">
        <v>3</v>
      </c>
      <c r="G9" s="3" t="s">
        <v>22</v>
      </c>
      <c r="I9" s="3" t="s">
        <v>267</v>
      </c>
      <c r="K9" s="7"/>
    </row>
    <row r="10" spans="2:11" ht="18" customHeight="1"/>
    <row r="11" spans="2:11" ht="18" customHeight="1">
      <c r="B11" s="6"/>
    </row>
    <row r="12" spans="2:11" ht="18" customHeight="1">
      <c r="F12" s="229"/>
      <c r="G12" s="229"/>
      <c r="H12" s="229"/>
      <c r="I12" s="8"/>
    </row>
  </sheetData>
  <mergeCells count="3">
    <mergeCell ref="G1:H1"/>
    <mergeCell ref="F7:H7"/>
    <mergeCell ref="I7:J7"/>
  </mergeCells>
  <phoneticPr fontId="2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G36" sqref="G36"/>
    </sheetView>
  </sheetViews>
  <sheetFormatPr baseColWidth="10" defaultRowHeight="12.75"/>
  <cols>
    <col min="1" max="1" width="21.85546875" bestFit="1" customWidth="1"/>
    <col min="3" max="3" width="15.7109375" bestFit="1" customWidth="1"/>
    <col min="4" max="4" width="14.28515625" bestFit="1" customWidth="1"/>
    <col min="5" max="5" width="11.7109375" bestFit="1" customWidth="1"/>
  </cols>
  <sheetData>
    <row r="1" spans="1:5" ht="15" customHeight="1">
      <c r="A1" s="32" t="s">
        <v>17</v>
      </c>
      <c r="B1" s="33" t="s">
        <v>18</v>
      </c>
      <c r="C1" s="33" t="s">
        <v>19</v>
      </c>
      <c r="D1" s="33" t="s">
        <v>20</v>
      </c>
      <c r="E1" s="34" t="s">
        <v>21</v>
      </c>
    </row>
    <row r="2" spans="1:5" ht="15" customHeight="1">
      <c r="A2" s="35" t="s">
        <v>27</v>
      </c>
      <c r="B2" s="36">
        <v>1</v>
      </c>
      <c r="C2" s="37">
        <v>1500</v>
      </c>
      <c r="D2" s="37">
        <f t="shared" ref="D2:D8" si="0">B2*C2</f>
        <v>1500</v>
      </c>
      <c r="E2" s="38">
        <f t="shared" ref="E2:E8" si="1">D2*12</f>
        <v>18000</v>
      </c>
    </row>
    <row r="3" spans="1:5" ht="15" customHeight="1">
      <c r="A3" s="35" t="s">
        <v>26</v>
      </c>
      <c r="B3" s="36">
        <v>1</v>
      </c>
      <c r="C3" s="37">
        <v>1000</v>
      </c>
      <c r="D3" s="37">
        <f t="shared" si="0"/>
        <v>1000</v>
      </c>
      <c r="E3" s="38">
        <f t="shared" si="1"/>
        <v>12000</v>
      </c>
    </row>
    <row r="4" spans="1:5" ht="15" customHeight="1">
      <c r="A4" s="35" t="s">
        <v>28</v>
      </c>
      <c r="B4" s="36">
        <v>5</v>
      </c>
      <c r="C4" s="37">
        <v>600</v>
      </c>
      <c r="D4" s="37">
        <f t="shared" si="0"/>
        <v>3000</v>
      </c>
      <c r="E4" s="38">
        <f t="shared" si="1"/>
        <v>36000</v>
      </c>
    </row>
    <row r="5" spans="1:5" ht="15" customHeight="1">
      <c r="A5" s="35" t="s">
        <v>1</v>
      </c>
      <c r="B5" s="36">
        <v>1</v>
      </c>
      <c r="C5" s="37">
        <v>220</v>
      </c>
      <c r="D5" s="37">
        <f t="shared" si="0"/>
        <v>220</v>
      </c>
      <c r="E5" s="38">
        <f t="shared" si="1"/>
        <v>2640</v>
      </c>
    </row>
    <row r="6" spans="1:5" ht="15" customHeight="1">
      <c r="A6" s="35" t="s">
        <v>22</v>
      </c>
      <c r="B6" s="36">
        <v>1</v>
      </c>
      <c r="C6" s="37">
        <v>220</v>
      </c>
      <c r="D6" s="37">
        <f t="shared" si="0"/>
        <v>220</v>
      </c>
      <c r="E6" s="38">
        <f t="shared" si="1"/>
        <v>2640</v>
      </c>
    </row>
    <row r="7" spans="1:5" ht="15" customHeight="1">
      <c r="A7" s="35" t="s">
        <v>23</v>
      </c>
      <c r="B7" s="36">
        <v>2</v>
      </c>
      <c r="C7" s="37">
        <v>250</v>
      </c>
      <c r="D7" s="37">
        <f t="shared" si="0"/>
        <v>500</v>
      </c>
      <c r="E7" s="38">
        <f t="shared" si="1"/>
        <v>6000</v>
      </c>
    </row>
    <row r="8" spans="1:5" ht="15" customHeight="1">
      <c r="A8" s="35" t="s">
        <v>24</v>
      </c>
      <c r="B8" s="36">
        <v>1</v>
      </c>
      <c r="C8" s="37">
        <v>350</v>
      </c>
      <c r="D8" s="37">
        <f t="shared" si="0"/>
        <v>350</v>
      </c>
      <c r="E8" s="203">
        <f t="shared" si="1"/>
        <v>4200</v>
      </c>
    </row>
    <row r="9" spans="1:5" ht="15" customHeight="1">
      <c r="A9" s="194"/>
      <c r="B9" s="195"/>
      <c r="C9" s="196" t="s">
        <v>25</v>
      </c>
      <c r="D9" s="197">
        <f>SUM(D2:D8)</f>
        <v>6790</v>
      </c>
      <c r="E9" s="198">
        <f>SUM(E2:E8)</f>
        <v>81480</v>
      </c>
    </row>
    <row r="10" spans="1:5" ht="15" customHeight="1">
      <c r="A10" s="186" t="s">
        <v>239</v>
      </c>
      <c r="B10" s="48"/>
      <c r="C10" s="48"/>
      <c r="D10" s="48"/>
      <c r="E10" s="69"/>
    </row>
    <row r="11" spans="1:5" ht="15" customHeight="1">
      <c r="A11" s="91"/>
      <c r="B11" s="48"/>
      <c r="C11" s="48"/>
      <c r="D11" s="48"/>
      <c r="E11" s="69"/>
    </row>
    <row r="12" spans="1:5" ht="15" customHeight="1">
      <c r="A12" s="35" t="s">
        <v>240</v>
      </c>
      <c r="B12" s="187">
        <v>9.35E-2</v>
      </c>
      <c r="C12" s="48"/>
      <c r="D12" s="37">
        <f>D9*B12</f>
        <v>634.86500000000001</v>
      </c>
      <c r="E12" s="39">
        <f>E9*B12</f>
        <v>7618.38</v>
      </c>
    </row>
    <row r="13" spans="1:5" ht="15" customHeight="1">
      <c r="A13" s="35" t="s">
        <v>241</v>
      </c>
      <c r="B13" s="187">
        <v>0.1115</v>
      </c>
      <c r="C13" s="48"/>
      <c r="D13" s="37">
        <f>D9*B13</f>
        <v>757.08500000000004</v>
      </c>
      <c r="E13" s="39">
        <f>E9*B13</f>
        <v>9085.02</v>
      </c>
    </row>
    <row r="14" spans="1:5" ht="15" customHeight="1">
      <c r="A14" s="35" t="s">
        <v>242</v>
      </c>
      <c r="B14" s="48"/>
      <c r="C14" s="48"/>
      <c r="D14" s="188">
        <f>D9/12</f>
        <v>565.83333333333337</v>
      </c>
      <c r="E14" s="189">
        <f>+D9</f>
        <v>6790</v>
      </c>
    </row>
    <row r="15" spans="1:5" ht="15" customHeight="1">
      <c r="A15" s="35" t="s">
        <v>243</v>
      </c>
      <c r="B15" s="48"/>
      <c r="C15" s="48"/>
      <c r="D15" s="188">
        <f>E15/12</f>
        <v>218</v>
      </c>
      <c r="E15" s="189">
        <f>218*12</f>
        <v>2616</v>
      </c>
    </row>
    <row r="16" spans="1:5" ht="15" customHeight="1" thickBot="1">
      <c r="A16" s="147" t="s">
        <v>244</v>
      </c>
      <c r="B16" s="191"/>
      <c r="C16" s="200"/>
      <c r="D16" s="199">
        <f>D12+D13+D14+D15</f>
        <v>2175.7833333333333</v>
      </c>
      <c r="E16" s="190">
        <f>E12+E13+E14+E15</f>
        <v>26109.4</v>
      </c>
    </row>
    <row r="17" spans="1:14" ht="15" customHeight="1" thickBot="1">
      <c r="A17" s="269" t="s">
        <v>245</v>
      </c>
      <c r="B17" s="270"/>
      <c r="C17" s="270"/>
      <c r="D17" s="192">
        <f>D9+D16</f>
        <v>8965.7833333333328</v>
      </c>
      <c r="E17" s="193">
        <f>E9+E16</f>
        <v>107589.4</v>
      </c>
      <c r="G17" s="204" t="s">
        <v>249</v>
      </c>
      <c r="H17" s="204" t="s">
        <v>250</v>
      </c>
      <c r="I17" s="204" t="s">
        <v>251</v>
      </c>
      <c r="J17" s="204" t="s">
        <v>252</v>
      </c>
      <c r="K17" s="205" t="s">
        <v>253</v>
      </c>
      <c r="L17" s="204" t="s">
        <v>246</v>
      </c>
      <c r="M17" s="204" t="s">
        <v>247</v>
      </c>
      <c r="N17" s="204" t="s">
        <v>248</v>
      </c>
    </row>
    <row r="18" spans="1:14">
      <c r="G18" s="201">
        <f t="shared" ref="G18:G24" si="2">+C2*$B$12</f>
        <v>140.25</v>
      </c>
      <c r="H18" s="201">
        <f t="shared" ref="H18:H24" si="3">C2*$B$13</f>
        <v>167.25</v>
      </c>
      <c r="I18" s="201">
        <f t="shared" ref="I18:I24" si="4">C2/12</f>
        <v>125</v>
      </c>
      <c r="J18" s="201">
        <f>218/12</f>
        <v>18.166666666666668</v>
      </c>
      <c r="K18" s="201">
        <f t="shared" ref="K18:K24" si="5">+C2</f>
        <v>1500</v>
      </c>
      <c r="L18" s="201">
        <f>G18+H18+I18+J18+K18</f>
        <v>1950.6666666666667</v>
      </c>
      <c r="M18" s="201">
        <f>+L18*1</f>
        <v>1950.6666666666667</v>
      </c>
      <c r="N18" s="201">
        <f>+M18*12</f>
        <v>23408</v>
      </c>
    </row>
    <row r="19" spans="1:14">
      <c r="G19" s="206">
        <f t="shared" si="2"/>
        <v>93.5</v>
      </c>
      <c r="H19" s="206">
        <f t="shared" si="3"/>
        <v>111.5</v>
      </c>
      <c r="I19" s="206">
        <f t="shared" si="4"/>
        <v>83.333333333333329</v>
      </c>
      <c r="J19" s="206">
        <f t="shared" ref="J19:J24" si="6">+J18</f>
        <v>18.166666666666668</v>
      </c>
      <c r="K19" s="206">
        <f t="shared" si="5"/>
        <v>1000</v>
      </c>
      <c r="L19" s="206">
        <f t="shared" ref="L19:L24" si="7">G19+H19+I19+J19+K19</f>
        <v>1306.5</v>
      </c>
      <c r="M19" s="206">
        <f t="shared" ref="M19:M24" si="8">+L19*1</f>
        <v>1306.5</v>
      </c>
      <c r="N19" s="206">
        <f t="shared" ref="N19:N24" si="9">+M19*12</f>
        <v>15678</v>
      </c>
    </row>
    <row r="20" spans="1:14">
      <c r="G20" s="201">
        <f t="shared" si="2"/>
        <v>56.1</v>
      </c>
      <c r="H20" s="201">
        <f t="shared" si="3"/>
        <v>66.900000000000006</v>
      </c>
      <c r="I20" s="201">
        <f t="shared" si="4"/>
        <v>50</v>
      </c>
      <c r="J20" s="201">
        <f t="shared" si="6"/>
        <v>18.166666666666668</v>
      </c>
      <c r="K20" s="201">
        <f t="shared" si="5"/>
        <v>600</v>
      </c>
      <c r="L20" s="201">
        <f t="shared" si="7"/>
        <v>791.16666666666663</v>
      </c>
      <c r="M20" s="201">
        <f>+L20*5</f>
        <v>3955.833333333333</v>
      </c>
      <c r="N20" s="201">
        <f t="shared" si="9"/>
        <v>47470</v>
      </c>
    </row>
    <row r="21" spans="1:14">
      <c r="G21" s="207">
        <f t="shared" si="2"/>
        <v>20.57</v>
      </c>
      <c r="H21" s="207">
        <f t="shared" si="3"/>
        <v>24.53</v>
      </c>
      <c r="I21" s="207">
        <f t="shared" si="4"/>
        <v>18.333333333333332</v>
      </c>
      <c r="J21" s="207">
        <f t="shared" si="6"/>
        <v>18.166666666666668</v>
      </c>
      <c r="K21" s="207">
        <f t="shared" si="5"/>
        <v>220</v>
      </c>
      <c r="L21" s="207">
        <f t="shared" si="7"/>
        <v>301.60000000000002</v>
      </c>
      <c r="M21" s="207">
        <f t="shared" si="8"/>
        <v>301.60000000000002</v>
      </c>
      <c r="N21" s="207">
        <f t="shared" si="9"/>
        <v>3619.2000000000003</v>
      </c>
    </row>
    <row r="22" spans="1:14">
      <c r="G22" s="201">
        <f t="shared" si="2"/>
        <v>20.57</v>
      </c>
      <c r="H22" s="201">
        <f t="shared" si="3"/>
        <v>24.53</v>
      </c>
      <c r="I22" s="201">
        <f t="shared" si="4"/>
        <v>18.333333333333332</v>
      </c>
      <c r="J22" s="207">
        <f t="shared" si="6"/>
        <v>18.166666666666668</v>
      </c>
      <c r="K22" s="201">
        <f t="shared" si="5"/>
        <v>220</v>
      </c>
      <c r="L22" s="201">
        <f t="shared" si="7"/>
        <v>301.60000000000002</v>
      </c>
      <c r="M22" s="201">
        <f t="shared" si="8"/>
        <v>301.60000000000002</v>
      </c>
      <c r="N22" s="201">
        <f t="shared" si="9"/>
        <v>3619.2000000000003</v>
      </c>
    </row>
    <row r="23" spans="1:14">
      <c r="G23" s="201">
        <f t="shared" si="2"/>
        <v>23.375</v>
      </c>
      <c r="H23" s="201">
        <f t="shared" si="3"/>
        <v>27.875</v>
      </c>
      <c r="I23" s="201">
        <f t="shared" si="4"/>
        <v>20.833333333333332</v>
      </c>
      <c r="J23" s="207">
        <f t="shared" si="6"/>
        <v>18.166666666666668</v>
      </c>
      <c r="K23" s="201">
        <f t="shared" si="5"/>
        <v>250</v>
      </c>
      <c r="L23" s="201">
        <f t="shared" si="7"/>
        <v>340.25</v>
      </c>
      <c r="M23" s="201">
        <f>+L23*2</f>
        <v>680.5</v>
      </c>
      <c r="N23" s="201">
        <f t="shared" si="9"/>
        <v>8166</v>
      </c>
    </row>
    <row r="24" spans="1:14">
      <c r="G24" s="206">
        <f t="shared" si="2"/>
        <v>32.725000000000001</v>
      </c>
      <c r="H24" s="206">
        <f t="shared" si="3"/>
        <v>39.024999999999999</v>
      </c>
      <c r="I24" s="206">
        <f t="shared" si="4"/>
        <v>29.166666666666668</v>
      </c>
      <c r="J24" s="207">
        <f t="shared" si="6"/>
        <v>18.166666666666668</v>
      </c>
      <c r="K24" s="206">
        <f t="shared" si="5"/>
        <v>350</v>
      </c>
      <c r="L24" s="206">
        <f t="shared" si="7"/>
        <v>469.08333333333337</v>
      </c>
      <c r="M24" s="206">
        <f t="shared" si="8"/>
        <v>469.08333333333337</v>
      </c>
      <c r="N24" s="206">
        <f t="shared" si="9"/>
        <v>5629</v>
      </c>
    </row>
    <row r="25" spans="1:14">
      <c r="G25" s="201"/>
      <c r="L25" s="202">
        <f>SUM(L18:L24)</f>
        <v>5460.8666666666668</v>
      </c>
      <c r="M25" s="202">
        <f>SUM(M18:M24)</f>
        <v>8965.7833333333347</v>
      </c>
      <c r="N25" s="202">
        <f>SUM(N18:N24)</f>
        <v>107589.4</v>
      </c>
    </row>
  </sheetData>
  <mergeCells count="1">
    <mergeCell ref="A17:C17"/>
  </mergeCells>
  <phoneticPr fontId="2" type="noConversion"/>
  <pageMargins left="0.75" right="0.75" top="1" bottom="1" header="0" footer="0"/>
  <pageSetup orientation="portrait" horizontalDpi="300" verticalDpi="300" r:id="rId1"/>
  <headerFooter alignWithMargins="0"/>
  <ignoredErrors>
    <ignoredError sqref="M20:M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E19" sqref="E19"/>
    </sheetView>
  </sheetViews>
  <sheetFormatPr baseColWidth="10" defaultRowHeight="12.75"/>
  <cols>
    <col min="1" max="1" width="24.140625" bestFit="1" customWidth="1"/>
    <col min="2" max="2" width="4" style="90" bestFit="1" customWidth="1"/>
    <col min="3" max="3" width="14.28515625" bestFit="1" customWidth="1"/>
    <col min="4" max="4" width="11.7109375" bestFit="1" customWidth="1"/>
  </cols>
  <sheetData>
    <row r="1" spans="1:4" ht="15" customHeight="1">
      <c r="A1" s="80" t="s">
        <v>29</v>
      </c>
      <c r="B1" s="81" t="s">
        <v>149</v>
      </c>
      <c r="C1" s="82" t="s">
        <v>20</v>
      </c>
      <c r="D1" s="83" t="s">
        <v>21</v>
      </c>
    </row>
    <row r="2" spans="1:4" ht="15" customHeight="1">
      <c r="A2" s="35" t="s">
        <v>151</v>
      </c>
      <c r="B2" s="84" t="s">
        <v>150</v>
      </c>
      <c r="C2" s="172">
        <f>+Personal!M20</f>
        <v>3955.833333333333</v>
      </c>
      <c r="D2" s="86">
        <f>+C2*12</f>
        <v>47470</v>
      </c>
    </row>
    <row r="3" spans="1:4" ht="15" customHeight="1">
      <c r="A3" s="35" t="s">
        <v>153</v>
      </c>
      <c r="B3" s="84" t="s">
        <v>152</v>
      </c>
      <c r="C3" s="172">
        <f>+Personal!M19+Personal!M24</f>
        <v>1775.5833333333335</v>
      </c>
      <c r="D3" s="86">
        <f>+C3*12</f>
        <v>21307</v>
      </c>
    </row>
    <row r="4" spans="1:4" ht="15" customHeight="1">
      <c r="A4" s="35" t="s">
        <v>155</v>
      </c>
      <c r="B4" s="84" t="s">
        <v>154</v>
      </c>
      <c r="C4" s="172">
        <f>0.005*'I Total'!B2</f>
        <v>156.20000000000002</v>
      </c>
      <c r="D4" s="86">
        <f>+C4*12</f>
        <v>1874.4</v>
      </c>
    </row>
    <row r="5" spans="1:4" ht="15" customHeight="1">
      <c r="A5" s="35"/>
      <c r="B5" s="84"/>
      <c r="C5" s="48"/>
      <c r="D5" s="69"/>
    </row>
    <row r="6" spans="1:4" ht="15" customHeight="1" thickBot="1">
      <c r="A6" s="67" t="s">
        <v>25</v>
      </c>
      <c r="B6" s="87"/>
      <c r="C6" s="170">
        <f>SUM(C2:C5)</f>
        <v>5887.6166666666659</v>
      </c>
      <c r="D6" s="171">
        <f>SUM(D2:D5)</f>
        <v>70651.399999999994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B2" sqref="B2"/>
    </sheetView>
  </sheetViews>
  <sheetFormatPr baseColWidth="10" defaultRowHeight="11.25"/>
  <cols>
    <col min="1" max="1" width="12.7109375" style="9" bestFit="1" customWidth="1"/>
    <col min="2" max="3" width="9.28515625" style="9" bestFit="1" customWidth="1"/>
    <col min="4" max="4" width="10.5703125" style="9" bestFit="1" customWidth="1"/>
    <col min="5" max="6" width="9.28515625" style="9" bestFit="1" customWidth="1"/>
    <col min="7" max="7" width="9.5703125" style="9" bestFit="1" customWidth="1"/>
    <col min="8" max="10" width="8.7109375" style="9" bestFit="1" customWidth="1"/>
    <col min="11" max="11" width="9.5703125" style="9" bestFit="1" customWidth="1"/>
    <col min="12" max="13" width="10.5703125" style="9" bestFit="1" customWidth="1"/>
    <col min="14" max="16384" width="11.42578125" style="9"/>
  </cols>
  <sheetData>
    <row r="1" spans="1:14" ht="15" customHeight="1">
      <c r="A1" s="107"/>
      <c r="B1" s="108">
        <v>1</v>
      </c>
      <c r="C1" s="108">
        <v>2</v>
      </c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9">
        <v>12</v>
      </c>
    </row>
    <row r="2" spans="1:14" ht="15" customHeight="1">
      <c r="A2" s="99" t="s">
        <v>168</v>
      </c>
      <c r="B2" s="119">
        <f>+Ingresos1!B6</f>
        <v>2496</v>
      </c>
      <c r="C2" s="119">
        <f>+Ingresos1!C6</f>
        <v>4992</v>
      </c>
      <c r="D2" s="119">
        <f>+Ingresos1!D6</f>
        <v>7488.0000000000009</v>
      </c>
      <c r="E2" s="119">
        <f>+Ingresos1!E6</f>
        <v>9984</v>
      </c>
      <c r="F2" s="119">
        <f>+Ingresos1!F6</f>
        <v>14976.000000000002</v>
      </c>
      <c r="G2" s="119">
        <f>+Ingresos1!G6</f>
        <v>19968</v>
      </c>
      <c r="H2" s="119">
        <f>+Ingresos1!H6</f>
        <v>24960</v>
      </c>
      <c r="I2" s="119">
        <f>+Ingresos1!I6</f>
        <v>29952</v>
      </c>
      <c r="J2" s="119">
        <f>+Ingresos1!J6</f>
        <v>34944</v>
      </c>
      <c r="K2" s="119">
        <f>+Ingresos1!K6</f>
        <v>39936</v>
      </c>
      <c r="L2" s="119">
        <f>+Ingresos1!L6</f>
        <v>44928.000000000007</v>
      </c>
      <c r="M2" s="120">
        <f>+Ingresos1!M6</f>
        <v>49920.000000000007</v>
      </c>
    </row>
    <row r="3" spans="1:14" ht="15" customHeight="1">
      <c r="A3" s="121" t="s">
        <v>165</v>
      </c>
      <c r="B3" s="122">
        <f>CPrest.Ser.!C6+GAdmin!B9+Gvtas!B4+Ingresos1!B8</f>
        <v>12322.033333333333</v>
      </c>
      <c r="C3" s="122">
        <f>CPrest.Ser.!C6+GAdmin!B9+Gvtas!B4+Ingresos1!C8</f>
        <v>12322.033333333333</v>
      </c>
      <c r="D3" s="122">
        <f>CPrest.Ser.!C6+GAdmin!B9+Gvtas!B4+Ingresos1!D8</f>
        <v>12322.033333333333</v>
      </c>
      <c r="E3" s="122">
        <f>CPrest.Ser.!C6+GAdmin!B9+Gvtas!B4+Ingresos1!E8</f>
        <v>12322.033333333333</v>
      </c>
      <c r="F3" s="122">
        <f>CPrest.Ser.!C6+GAdmin!B9+Gvtas!B4+Ingresos1!F8</f>
        <v>12322.083333333334</v>
      </c>
      <c r="G3" s="122">
        <f>CPrest.Ser.!C6+GAdmin!B9+Gvtas!B4+Ingresos1!G8</f>
        <v>12322.083333333334</v>
      </c>
      <c r="H3" s="122">
        <f>CPrest.Ser.!C6+GAdmin!B9+Gvtas!B4+Ingresos1!H8</f>
        <v>12322.083333333334</v>
      </c>
      <c r="I3" s="122">
        <f>CPrest.Ser.!C6+GAdmin!B9+Gvtas!B4+Ingresos1!I8</f>
        <v>12322.083333333334</v>
      </c>
      <c r="J3" s="122">
        <f>+I3</f>
        <v>12322.083333333334</v>
      </c>
      <c r="K3" s="122">
        <f>+J3</f>
        <v>12322.083333333334</v>
      </c>
      <c r="L3" s="122">
        <f>+K3</f>
        <v>12322.083333333334</v>
      </c>
      <c r="M3" s="123">
        <f>+L3</f>
        <v>12322.083333333334</v>
      </c>
      <c r="N3" s="9" t="s">
        <v>268</v>
      </c>
    </row>
    <row r="4" spans="1:14" ht="15" customHeight="1">
      <c r="A4" s="99" t="s">
        <v>177</v>
      </c>
      <c r="B4" s="119">
        <f t="shared" ref="B4:M4" si="0">B2-B3</f>
        <v>-9826.0333333333328</v>
      </c>
      <c r="C4" s="119">
        <f t="shared" si="0"/>
        <v>-7330.0333333333328</v>
      </c>
      <c r="D4" s="119">
        <f t="shared" si="0"/>
        <v>-4834.0333333333319</v>
      </c>
      <c r="E4" s="119">
        <f t="shared" si="0"/>
        <v>-2338.0333333333328</v>
      </c>
      <c r="F4" s="119">
        <f t="shared" si="0"/>
        <v>2653.9166666666679</v>
      </c>
      <c r="G4" s="119">
        <f t="shared" si="0"/>
        <v>7645.9166666666661</v>
      </c>
      <c r="H4" s="119">
        <f t="shared" si="0"/>
        <v>12637.916666666666</v>
      </c>
      <c r="I4" s="119">
        <f t="shared" si="0"/>
        <v>17629.916666666664</v>
      </c>
      <c r="J4" s="119">
        <f t="shared" si="0"/>
        <v>22621.916666666664</v>
      </c>
      <c r="K4" s="119">
        <f t="shared" si="0"/>
        <v>27613.916666666664</v>
      </c>
      <c r="L4" s="119">
        <f t="shared" si="0"/>
        <v>32605.916666666672</v>
      </c>
      <c r="M4" s="120">
        <f t="shared" si="0"/>
        <v>37597.916666666672</v>
      </c>
    </row>
    <row r="5" spans="1:14" ht="15" customHeight="1" thickBot="1">
      <c r="A5" s="124" t="s">
        <v>178</v>
      </c>
      <c r="B5" s="125">
        <f>+B4</f>
        <v>-9826.0333333333328</v>
      </c>
      <c r="C5" s="183">
        <f>B5+C4</f>
        <v>-17156.066666666666</v>
      </c>
      <c r="D5" s="125">
        <f t="shared" ref="D5:M5" si="1">C5+D4</f>
        <v>-21990.1</v>
      </c>
      <c r="E5" s="184">
        <f t="shared" si="1"/>
        <v>-24328.133333333331</v>
      </c>
      <c r="F5" s="125">
        <f t="shared" si="1"/>
        <v>-21674.216666666664</v>
      </c>
      <c r="G5" s="125">
        <f t="shared" si="1"/>
        <v>-14028.299999999997</v>
      </c>
      <c r="H5" s="125">
        <f t="shared" si="1"/>
        <v>-1390.3833333333314</v>
      </c>
      <c r="I5" s="125">
        <f t="shared" si="1"/>
        <v>16239.533333333333</v>
      </c>
      <c r="J5" s="125">
        <f t="shared" si="1"/>
        <v>38861.449999999997</v>
      </c>
      <c r="K5" s="125">
        <f t="shared" si="1"/>
        <v>66475.366666666669</v>
      </c>
      <c r="L5" s="125">
        <f t="shared" si="1"/>
        <v>99081.28333333334</v>
      </c>
      <c r="M5" s="126">
        <f t="shared" si="1"/>
        <v>136679.20000000001</v>
      </c>
    </row>
    <row r="11" spans="1:14">
      <c r="D11" s="115"/>
    </row>
    <row r="13" spans="1:14">
      <c r="M13" s="230"/>
    </row>
    <row r="15" spans="1:14">
      <c r="L15" s="115"/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9"/>
  <sheetViews>
    <sheetView topLeftCell="A4" workbookViewId="0">
      <selection activeCell="I40" sqref="I40"/>
    </sheetView>
  </sheetViews>
  <sheetFormatPr baseColWidth="10" defaultRowHeight="12.75"/>
  <cols>
    <col min="1" max="1" width="19.42578125" bestFit="1" customWidth="1"/>
    <col min="2" max="2" width="26.140625" bestFit="1" customWidth="1"/>
    <col min="3" max="3" width="23.5703125" bestFit="1" customWidth="1"/>
  </cols>
  <sheetData>
    <row r="1" spans="1:3" ht="15" customHeight="1">
      <c r="A1" s="80" t="s">
        <v>29</v>
      </c>
      <c r="B1" s="33" t="s">
        <v>156</v>
      </c>
      <c r="C1" s="34" t="s">
        <v>157</v>
      </c>
    </row>
    <row r="2" spans="1:3" ht="15" customHeight="1">
      <c r="A2" s="35" t="s">
        <v>231</v>
      </c>
      <c r="B2" s="208">
        <f>+Personal!M18</f>
        <v>1950.6666666666667</v>
      </c>
      <c r="C2" s="209">
        <f t="shared" ref="C2:C7" si="0">+B2*12</f>
        <v>23408</v>
      </c>
    </row>
    <row r="3" spans="1:3" ht="15" customHeight="1">
      <c r="A3" s="35" t="s">
        <v>1</v>
      </c>
      <c r="B3" s="208">
        <f>+Personal!M21</f>
        <v>301.60000000000002</v>
      </c>
      <c r="C3" s="209">
        <f t="shared" si="0"/>
        <v>3619.2000000000003</v>
      </c>
    </row>
    <row r="4" spans="1:3" ht="15" customHeight="1">
      <c r="A4" s="35" t="s">
        <v>158</v>
      </c>
      <c r="B4" s="208">
        <f>+Personal!M22</f>
        <v>301.60000000000002</v>
      </c>
      <c r="C4" s="209">
        <f t="shared" si="0"/>
        <v>3619.2000000000003</v>
      </c>
    </row>
    <row r="5" spans="1:3" ht="15" customHeight="1">
      <c r="A5" s="35" t="s">
        <v>159</v>
      </c>
      <c r="B5" s="208">
        <f>+Personal!M23</f>
        <v>680.5</v>
      </c>
      <c r="C5" s="209">
        <f t="shared" si="0"/>
        <v>8166</v>
      </c>
    </row>
    <row r="6" spans="1:3" ht="15" customHeight="1">
      <c r="A6" s="35" t="s">
        <v>160</v>
      </c>
      <c r="B6" s="208">
        <v>200</v>
      </c>
      <c r="C6" s="209">
        <f t="shared" si="0"/>
        <v>2400</v>
      </c>
    </row>
    <row r="7" spans="1:3" ht="15" customHeight="1">
      <c r="A7" s="35" t="s">
        <v>161</v>
      </c>
      <c r="B7" s="208">
        <v>2000</v>
      </c>
      <c r="C7" s="209">
        <f t="shared" si="0"/>
        <v>24000</v>
      </c>
    </row>
    <row r="8" spans="1:3" ht="15" customHeight="1">
      <c r="A8" s="210"/>
      <c r="B8" s="211"/>
      <c r="C8" s="212"/>
    </row>
    <row r="9" spans="1:3" ht="15" customHeight="1" thickBot="1">
      <c r="A9" s="67" t="s">
        <v>25</v>
      </c>
      <c r="B9" s="170">
        <f>SUM(B2:B7)</f>
        <v>5434.3666666666668</v>
      </c>
      <c r="C9" s="171">
        <f>SUM(C2:C7)</f>
        <v>65212.4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E14" sqref="E14"/>
    </sheetView>
  </sheetViews>
  <sheetFormatPr baseColWidth="10" defaultRowHeight="12.75"/>
  <cols>
    <col min="1" max="1" width="19.28515625" bestFit="1" customWidth="1"/>
    <col min="2" max="2" width="14.28515625" bestFit="1" customWidth="1"/>
    <col min="3" max="3" width="11.7109375" bestFit="1" customWidth="1"/>
  </cols>
  <sheetData>
    <row r="1" spans="1:4" ht="15" customHeight="1">
      <c r="A1" s="32" t="s">
        <v>29</v>
      </c>
      <c r="B1" s="33" t="s">
        <v>20</v>
      </c>
      <c r="C1" s="34" t="s">
        <v>21</v>
      </c>
      <c r="D1" s="92"/>
    </row>
    <row r="2" spans="1:4" ht="15" customHeight="1">
      <c r="A2" s="35" t="s">
        <v>162</v>
      </c>
      <c r="B2" s="93">
        <v>1000</v>
      </c>
      <c r="C2" s="38">
        <v>12000</v>
      </c>
    </row>
    <row r="3" spans="1:4" ht="15" customHeight="1">
      <c r="A3" s="35"/>
      <c r="B3" s="48"/>
      <c r="C3" s="69"/>
    </row>
    <row r="4" spans="1:4" ht="15" customHeight="1" thickBot="1">
      <c r="A4" s="67" t="s">
        <v>25</v>
      </c>
      <c r="B4" s="94">
        <f>SUM(B2:B3)</f>
        <v>1000</v>
      </c>
      <c r="C4" s="95">
        <f>SUM(C2:C3)</f>
        <v>12000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P42" sqref="P42"/>
    </sheetView>
  </sheetViews>
  <sheetFormatPr baseColWidth="10" defaultRowHeight="11.25"/>
  <cols>
    <col min="1" max="1" width="17.140625" style="9" bestFit="1" customWidth="1"/>
    <col min="2" max="13" width="8.7109375" style="9" bestFit="1" customWidth="1"/>
    <col min="14" max="16384" width="11.42578125" style="9"/>
  </cols>
  <sheetData>
    <row r="1" spans="1:13" ht="15" customHeight="1">
      <c r="A1" s="96"/>
      <c r="B1" s="97">
        <v>1</v>
      </c>
      <c r="C1" s="97">
        <v>2</v>
      </c>
      <c r="D1" s="97">
        <v>3</v>
      </c>
      <c r="E1" s="97">
        <v>4</v>
      </c>
      <c r="F1" s="97">
        <v>5</v>
      </c>
      <c r="G1" s="97">
        <v>6</v>
      </c>
      <c r="H1" s="97">
        <v>7</v>
      </c>
      <c r="I1" s="97">
        <v>8</v>
      </c>
      <c r="J1" s="97">
        <v>9</v>
      </c>
      <c r="K1" s="97">
        <v>10</v>
      </c>
      <c r="L1" s="97">
        <v>11</v>
      </c>
      <c r="M1" s="98">
        <v>12</v>
      </c>
    </row>
    <row r="2" spans="1:13" ht="15" customHeight="1">
      <c r="A2" s="99" t="s">
        <v>235</v>
      </c>
      <c r="B2" s="100">
        <f>CPrest.Ser.!C6</f>
        <v>5887.6166666666659</v>
      </c>
      <c r="C2" s="100">
        <f t="shared" ref="C2:M2" si="0">+B2</f>
        <v>5887.6166666666659</v>
      </c>
      <c r="D2" s="100">
        <f t="shared" si="0"/>
        <v>5887.6166666666659</v>
      </c>
      <c r="E2" s="100">
        <f t="shared" si="0"/>
        <v>5887.6166666666659</v>
      </c>
      <c r="F2" s="100">
        <f t="shared" si="0"/>
        <v>5887.6166666666659</v>
      </c>
      <c r="G2" s="100">
        <f t="shared" si="0"/>
        <v>5887.6166666666659</v>
      </c>
      <c r="H2" s="100">
        <f t="shared" si="0"/>
        <v>5887.6166666666659</v>
      </c>
      <c r="I2" s="100">
        <f t="shared" si="0"/>
        <v>5887.6166666666659</v>
      </c>
      <c r="J2" s="100">
        <f t="shared" si="0"/>
        <v>5887.6166666666659</v>
      </c>
      <c r="K2" s="100">
        <f t="shared" si="0"/>
        <v>5887.6166666666659</v>
      </c>
      <c r="L2" s="100">
        <f t="shared" si="0"/>
        <v>5887.6166666666659</v>
      </c>
      <c r="M2" s="101">
        <f t="shared" si="0"/>
        <v>5887.6166666666659</v>
      </c>
    </row>
    <row r="3" spans="1:13" ht="15" customHeight="1">
      <c r="A3" s="99" t="s">
        <v>163</v>
      </c>
      <c r="B3" s="100">
        <f>GAdmin!B9</f>
        <v>5434.3666666666668</v>
      </c>
      <c r="C3" s="100">
        <f t="shared" ref="C3:M3" si="1">+B3</f>
        <v>5434.3666666666668</v>
      </c>
      <c r="D3" s="100">
        <f t="shared" si="1"/>
        <v>5434.3666666666668</v>
      </c>
      <c r="E3" s="100">
        <f t="shared" si="1"/>
        <v>5434.3666666666668</v>
      </c>
      <c r="F3" s="100">
        <f t="shared" si="1"/>
        <v>5434.3666666666668</v>
      </c>
      <c r="G3" s="100">
        <f t="shared" si="1"/>
        <v>5434.3666666666668</v>
      </c>
      <c r="H3" s="100">
        <f t="shared" si="1"/>
        <v>5434.3666666666668</v>
      </c>
      <c r="I3" s="100">
        <f t="shared" si="1"/>
        <v>5434.3666666666668</v>
      </c>
      <c r="J3" s="100">
        <f t="shared" si="1"/>
        <v>5434.3666666666668</v>
      </c>
      <c r="K3" s="100">
        <f t="shared" si="1"/>
        <v>5434.3666666666668</v>
      </c>
      <c r="L3" s="100">
        <f t="shared" si="1"/>
        <v>5434.3666666666668</v>
      </c>
      <c r="M3" s="101">
        <f t="shared" si="1"/>
        <v>5434.3666666666668</v>
      </c>
    </row>
    <row r="4" spans="1:13" ht="15" customHeight="1">
      <c r="A4" s="99" t="s">
        <v>164</v>
      </c>
      <c r="B4" s="100">
        <f>Gvtas!B4</f>
        <v>1000</v>
      </c>
      <c r="C4" s="100">
        <f t="shared" ref="C4:M4" si="2">+B4</f>
        <v>1000</v>
      </c>
      <c r="D4" s="100">
        <f t="shared" si="2"/>
        <v>1000</v>
      </c>
      <c r="E4" s="100">
        <f t="shared" si="2"/>
        <v>1000</v>
      </c>
      <c r="F4" s="100">
        <f t="shared" si="2"/>
        <v>1000</v>
      </c>
      <c r="G4" s="100">
        <f t="shared" si="2"/>
        <v>1000</v>
      </c>
      <c r="H4" s="100">
        <f t="shared" si="2"/>
        <v>1000</v>
      </c>
      <c r="I4" s="100">
        <f t="shared" si="2"/>
        <v>1000</v>
      </c>
      <c r="J4" s="100">
        <f t="shared" si="2"/>
        <v>1000</v>
      </c>
      <c r="K4" s="100">
        <f t="shared" si="2"/>
        <v>1000</v>
      </c>
      <c r="L4" s="100">
        <f t="shared" si="2"/>
        <v>1000</v>
      </c>
      <c r="M4" s="101">
        <f t="shared" si="2"/>
        <v>1000</v>
      </c>
    </row>
    <row r="5" spans="1:13" ht="15" customHeight="1">
      <c r="A5" s="99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" customHeight="1" thickBot="1">
      <c r="A6" s="104" t="s">
        <v>165</v>
      </c>
      <c r="B6" s="105">
        <f t="shared" ref="B6:M6" si="3">SUM(B2:B5)</f>
        <v>12321.983333333334</v>
      </c>
      <c r="C6" s="105">
        <f t="shared" si="3"/>
        <v>12321.983333333334</v>
      </c>
      <c r="D6" s="105">
        <f t="shared" si="3"/>
        <v>12321.983333333334</v>
      </c>
      <c r="E6" s="105">
        <f t="shared" si="3"/>
        <v>12321.983333333334</v>
      </c>
      <c r="F6" s="105">
        <f t="shared" si="3"/>
        <v>12321.983333333334</v>
      </c>
      <c r="G6" s="105">
        <f t="shared" si="3"/>
        <v>12321.983333333334</v>
      </c>
      <c r="H6" s="105">
        <f t="shared" si="3"/>
        <v>12321.983333333334</v>
      </c>
      <c r="I6" s="105">
        <f t="shared" si="3"/>
        <v>12321.983333333334</v>
      </c>
      <c r="J6" s="105">
        <f t="shared" si="3"/>
        <v>12321.983333333334</v>
      </c>
      <c r="K6" s="105">
        <f t="shared" si="3"/>
        <v>12321.983333333334</v>
      </c>
      <c r="L6" s="105">
        <f t="shared" si="3"/>
        <v>12321.983333333334</v>
      </c>
      <c r="M6" s="106">
        <f t="shared" si="3"/>
        <v>12321.983333333334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J40" sqref="J40"/>
    </sheetView>
  </sheetViews>
  <sheetFormatPr baseColWidth="10" defaultRowHeight="11.25"/>
  <cols>
    <col min="1" max="1" width="15.140625" style="9" bestFit="1" customWidth="1"/>
    <col min="2" max="13" width="8.7109375" style="9" bestFit="1" customWidth="1"/>
    <col min="14" max="14" width="9.5703125" style="9" bestFit="1" customWidth="1"/>
    <col min="15" max="16384" width="11.42578125" style="9"/>
  </cols>
  <sheetData>
    <row r="1" spans="1:14" ht="15" customHeight="1">
      <c r="A1" s="107"/>
      <c r="B1" s="108">
        <v>1</v>
      </c>
      <c r="C1" s="108">
        <v>2</v>
      </c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09" t="s">
        <v>166</v>
      </c>
    </row>
    <row r="2" spans="1:14" ht="15" customHeight="1">
      <c r="A2" s="99" t="s">
        <v>232</v>
      </c>
      <c r="B2" s="173">
        <f>+B9</f>
        <v>41.6</v>
      </c>
      <c r="C2" s="173">
        <f>+B9+C9</f>
        <v>83.2</v>
      </c>
      <c r="D2" s="173">
        <f t="shared" ref="D2:M2" si="0">+C2+D9</f>
        <v>124.80000000000001</v>
      </c>
      <c r="E2" s="173">
        <f t="shared" si="0"/>
        <v>166.4</v>
      </c>
      <c r="F2" s="173">
        <f t="shared" si="0"/>
        <v>249.60000000000002</v>
      </c>
      <c r="G2" s="173">
        <f t="shared" si="0"/>
        <v>332.8</v>
      </c>
      <c r="H2" s="173">
        <f t="shared" si="0"/>
        <v>416</v>
      </c>
      <c r="I2" s="173">
        <f t="shared" si="0"/>
        <v>499.2</v>
      </c>
      <c r="J2" s="173">
        <f t="shared" si="0"/>
        <v>582.4</v>
      </c>
      <c r="K2" s="173">
        <f t="shared" si="0"/>
        <v>665.6</v>
      </c>
      <c r="L2" s="173">
        <f t="shared" si="0"/>
        <v>748.80000000000007</v>
      </c>
      <c r="M2" s="173">
        <f t="shared" si="0"/>
        <v>832.00000000000011</v>
      </c>
      <c r="N2" s="103"/>
    </row>
    <row r="3" spans="1:14" ht="15" customHeight="1">
      <c r="A3" s="99" t="s">
        <v>233</v>
      </c>
      <c r="B3" s="100">
        <v>60</v>
      </c>
      <c r="C3" s="100">
        <f>15*4</f>
        <v>60</v>
      </c>
      <c r="D3" s="100">
        <f>+C3</f>
        <v>60</v>
      </c>
      <c r="E3" s="100">
        <f t="shared" ref="E3:M3" si="1">+D3</f>
        <v>60</v>
      </c>
      <c r="F3" s="100">
        <f t="shared" si="1"/>
        <v>60</v>
      </c>
      <c r="G3" s="100">
        <f t="shared" si="1"/>
        <v>60</v>
      </c>
      <c r="H3" s="100">
        <f t="shared" si="1"/>
        <v>60</v>
      </c>
      <c r="I3" s="100">
        <f t="shared" si="1"/>
        <v>60</v>
      </c>
      <c r="J3" s="100">
        <f t="shared" si="1"/>
        <v>60</v>
      </c>
      <c r="K3" s="100">
        <f t="shared" si="1"/>
        <v>60</v>
      </c>
      <c r="L3" s="100">
        <f t="shared" si="1"/>
        <v>60</v>
      </c>
      <c r="M3" s="100">
        <f t="shared" si="1"/>
        <v>60</v>
      </c>
      <c r="N3" s="101"/>
    </row>
    <row r="4" spans="1:14" ht="15" customHeight="1">
      <c r="A4" s="176" t="s">
        <v>234</v>
      </c>
      <c r="B4" s="111">
        <f>B2*B3</f>
        <v>2496</v>
      </c>
      <c r="C4" s="111">
        <f t="shared" ref="C4:M4" si="2">C2*C3</f>
        <v>4992</v>
      </c>
      <c r="D4" s="111">
        <f t="shared" si="2"/>
        <v>7488.0000000000009</v>
      </c>
      <c r="E4" s="111">
        <f t="shared" si="2"/>
        <v>9984</v>
      </c>
      <c r="F4" s="111">
        <f t="shared" si="2"/>
        <v>14976.000000000002</v>
      </c>
      <c r="G4" s="111">
        <f t="shared" si="2"/>
        <v>19968</v>
      </c>
      <c r="H4" s="111">
        <f t="shared" si="2"/>
        <v>24960</v>
      </c>
      <c r="I4" s="111">
        <f t="shared" si="2"/>
        <v>29952</v>
      </c>
      <c r="J4" s="111">
        <f t="shared" si="2"/>
        <v>34944</v>
      </c>
      <c r="K4" s="111">
        <f t="shared" si="2"/>
        <v>39936</v>
      </c>
      <c r="L4" s="111">
        <f t="shared" si="2"/>
        <v>44928.000000000007</v>
      </c>
      <c r="M4" s="111">
        <f t="shared" si="2"/>
        <v>49920.000000000007</v>
      </c>
      <c r="N4" s="175">
        <f>SUM(B4:M4)</f>
        <v>284544</v>
      </c>
    </row>
    <row r="5" spans="1:14" ht="15" customHeight="1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</row>
    <row r="6" spans="1:14" ht="15" customHeight="1" thickBot="1">
      <c r="A6" s="113" t="s">
        <v>168</v>
      </c>
      <c r="B6" s="114">
        <f>+B4</f>
        <v>2496</v>
      </c>
      <c r="C6" s="114">
        <f t="shared" ref="C6:N6" si="3">+C4</f>
        <v>4992</v>
      </c>
      <c r="D6" s="114">
        <f t="shared" si="3"/>
        <v>7488.0000000000009</v>
      </c>
      <c r="E6" s="114">
        <f t="shared" si="3"/>
        <v>9984</v>
      </c>
      <c r="F6" s="114">
        <f t="shared" si="3"/>
        <v>14976.000000000002</v>
      </c>
      <c r="G6" s="114">
        <f t="shared" si="3"/>
        <v>19968</v>
      </c>
      <c r="H6" s="114">
        <f t="shared" si="3"/>
        <v>24960</v>
      </c>
      <c r="I6" s="114">
        <f t="shared" si="3"/>
        <v>29952</v>
      </c>
      <c r="J6" s="114">
        <f t="shared" si="3"/>
        <v>34944</v>
      </c>
      <c r="K6" s="114">
        <f t="shared" si="3"/>
        <v>39936</v>
      </c>
      <c r="L6" s="114">
        <f t="shared" si="3"/>
        <v>44928.000000000007</v>
      </c>
      <c r="M6" s="114">
        <f t="shared" si="3"/>
        <v>49920.000000000007</v>
      </c>
      <c r="N6" s="185">
        <f t="shared" si="3"/>
        <v>284544</v>
      </c>
    </row>
    <row r="8" spans="1:14">
      <c r="B8" s="115">
        <v>0.05</v>
      </c>
      <c r="C8" s="115">
        <v>0.05</v>
      </c>
      <c r="D8" s="115">
        <v>0.05</v>
      </c>
      <c r="E8" s="115">
        <v>0.05</v>
      </c>
      <c r="F8" s="115">
        <v>0.1</v>
      </c>
      <c r="G8" s="115">
        <f t="shared" ref="G8:M8" si="4">+F8</f>
        <v>0.1</v>
      </c>
      <c r="H8" s="115">
        <f t="shared" si="4"/>
        <v>0.1</v>
      </c>
      <c r="I8" s="115">
        <f t="shared" si="4"/>
        <v>0.1</v>
      </c>
      <c r="J8" s="115">
        <f t="shared" si="4"/>
        <v>0.1</v>
      </c>
      <c r="K8" s="115">
        <f t="shared" si="4"/>
        <v>0.1</v>
      </c>
      <c r="L8" s="115">
        <f t="shared" si="4"/>
        <v>0.1</v>
      </c>
      <c r="M8" s="115">
        <f t="shared" si="4"/>
        <v>0.1</v>
      </c>
      <c r="N8" s="115"/>
    </row>
    <row r="9" spans="1:14">
      <c r="B9" s="174">
        <f>+Demanda!C4*Ingresos1!B8</f>
        <v>41.6</v>
      </c>
      <c r="C9" s="174">
        <f>+Demanda!$C$4*Ingresos1!C8</f>
        <v>41.6</v>
      </c>
      <c r="D9" s="174">
        <f>+Demanda!$C$4*Ingresos1!D8</f>
        <v>41.6</v>
      </c>
      <c r="E9" s="174">
        <f>+Demanda!$C$4*Ingresos1!E8</f>
        <v>41.6</v>
      </c>
      <c r="F9" s="174">
        <f>+Demanda!$C$4*Ingresos1!F8</f>
        <v>83.2</v>
      </c>
      <c r="G9" s="174">
        <f>+Demanda!$C$4*Ingresos1!G8</f>
        <v>83.2</v>
      </c>
      <c r="H9" s="174">
        <f>+Demanda!$C$4*Ingresos1!H8</f>
        <v>83.2</v>
      </c>
      <c r="I9" s="174">
        <f>+Demanda!$C$4*Ingresos1!I8</f>
        <v>83.2</v>
      </c>
      <c r="J9" s="174">
        <f>+Demanda!$C$4*Ingresos1!J8</f>
        <v>83.2</v>
      </c>
      <c r="K9" s="174">
        <f>+Demanda!$C$4*Ingresos1!K8</f>
        <v>83.2</v>
      </c>
      <c r="L9" s="174">
        <f>+Demanda!$C$4*Ingresos1!L8</f>
        <v>83.2</v>
      </c>
      <c r="M9" s="174">
        <f>+Demanda!$C$4*Ingresos1!M8</f>
        <v>83.2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2" sqref="F12"/>
    </sheetView>
  </sheetViews>
  <sheetFormatPr baseColWidth="10" defaultRowHeight="12.75"/>
  <cols>
    <col min="1" max="1" width="18.42578125" bestFit="1" customWidth="1"/>
    <col min="2" max="2" width="3.5703125" style="90" bestFit="1" customWidth="1"/>
    <col min="3" max="7" width="11.140625" bestFit="1" customWidth="1"/>
  </cols>
  <sheetData>
    <row r="1" spans="1:8" ht="17.25" customHeight="1">
      <c r="A1" s="32" t="s">
        <v>29</v>
      </c>
      <c r="B1" s="81" t="s">
        <v>169</v>
      </c>
      <c r="C1" s="33">
        <v>1</v>
      </c>
      <c r="D1" s="33">
        <v>2</v>
      </c>
      <c r="E1" s="33">
        <v>3</v>
      </c>
      <c r="F1" s="33">
        <v>4</v>
      </c>
      <c r="G1" s="34">
        <v>5</v>
      </c>
    </row>
    <row r="2" spans="1:8" ht="17.25" customHeight="1">
      <c r="A2" s="181" t="s">
        <v>170</v>
      </c>
      <c r="B2" s="117"/>
      <c r="C2" s="177">
        <f>+Ingresos1!N4</f>
        <v>284544</v>
      </c>
      <c r="D2" s="177">
        <f>+C2*1.027</f>
        <v>292226.68799999997</v>
      </c>
      <c r="E2" s="177">
        <f>+D2*1.027</f>
        <v>300116.80857599992</v>
      </c>
      <c r="F2" s="177">
        <f>+E2*1.027</f>
        <v>308219.96240755188</v>
      </c>
      <c r="G2" s="178">
        <f>+F2*1.027</f>
        <v>316541.90139255574</v>
      </c>
    </row>
    <row r="3" spans="1:8" ht="17.25" customHeight="1" thickBot="1">
      <c r="A3" s="182" t="s">
        <v>167</v>
      </c>
      <c r="B3" s="118" t="s">
        <v>150</v>
      </c>
      <c r="C3" s="179">
        <f>+C2*0.9</f>
        <v>256089.60000000001</v>
      </c>
      <c r="D3" s="179">
        <f>+D2*0.9</f>
        <v>263004.01919999998</v>
      </c>
      <c r="E3" s="179">
        <f>+E2*0.9</f>
        <v>270105.12771839992</v>
      </c>
      <c r="F3" s="179">
        <f>+F2*0.9</f>
        <v>277397.96616679669</v>
      </c>
      <c r="G3" s="180">
        <f>+G2*0.9</f>
        <v>284887.71125330019</v>
      </c>
      <c r="H3" s="231" t="s">
        <v>269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O29" sqref="O29"/>
    </sheetView>
  </sheetViews>
  <sheetFormatPr baseColWidth="10" defaultRowHeight="12.75"/>
  <cols>
    <col min="1" max="1" width="20.7109375" bestFit="1" customWidth="1"/>
    <col min="2" max="2" width="11.140625" bestFit="1" customWidth="1"/>
    <col min="3" max="3" width="5.42578125" bestFit="1" customWidth="1"/>
    <col min="4" max="8" width="10.140625" bestFit="1" customWidth="1"/>
    <col min="9" max="9" width="11.140625" bestFit="1" customWidth="1"/>
  </cols>
  <sheetData>
    <row r="1" spans="1:9" ht="15" customHeight="1">
      <c r="A1" s="32" t="s">
        <v>29</v>
      </c>
      <c r="B1" s="33" t="s">
        <v>171</v>
      </c>
      <c r="C1" s="33" t="s">
        <v>172</v>
      </c>
      <c r="D1" s="33">
        <v>1</v>
      </c>
      <c r="E1" s="33">
        <v>2</v>
      </c>
      <c r="F1" s="33">
        <v>3</v>
      </c>
      <c r="G1" s="33">
        <v>4</v>
      </c>
      <c r="H1" s="33">
        <v>5</v>
      </c>
      <c r="I1" s="34" t="s">
        <v>173</v>
      </c>
    </row>
    <row r="2" spans="1:9" ht="15" customHeight="1">
      <c r="A2" s="35" t="s">
        <v>230</v>
      </c>
      <c r="B2" s="93">
        <f>+'I Total'!B2</f>
        <v>31240</v>
      </c>
      <c r="C2" s="36">
        <v>10</v>
      </c>
      <c r="D2" s="85">
        <f>B2/$C$2</f>
        <v>3124</v>
      </c>
      <c r="E2" s="85">
        <f t="shared" ref="E2:H3" si="0">+D2</f>
        <v>3124</v>
      </c>
      <c r="F2" s="85">
        <f t="shared" si="0"/>
        <v>3124</v>
      </c>
      <c r="G2" s="85">
        <f t="shared" si="0"/>
        <v>3124</v>
      </c>
      <c r="H2" s="85">
        <f t="shared" si="0"/>
        <v>3124</v>
      </c>
      <c r="I2" s="86">
        <f>B2-SUM(D2:H2)</f>
        <v>15620</v>
      </c>
    </row>
    <row r="3" spans="1:9" ht="15" customHeight="1">
      <c r="A3" s="35" t="s">
        <v>174</v>
      </c>
      <c r="B3" s="93">
        <f>+Herramientas!D4+Herramientas!D5+Herramientas!D6+Herramientas!D7+Herramientas!D8+Herramientas!D9+Herramientas!D10</f>
        <v>1165</v>
      </c>
      <c r="C3" s="36">
        <v>5</v>
      </c>
      <c r="D3" s="85">
        <f>B3/$C$3</f>
        <v>233</v>
      </c>
      <c r="E3" s="85">
        <f t="shared" si="0"/>
        <v>233</v>
      </c>
      <c r="F3" s="85">
        <f t="shared" si="0"/>
        <v>233</v>
      </c>
      <c r="G3" s="85">
        <f t="shared" si="0"/>
        <v>233</v>
      </c>
      <c r="H3" s="85">
        <f t="shared" si="0"/>
        <v>233</v>
      </c>
      <c r="I3" s="86">
        <v>0</v>
      </c>
    </row>
    <row r="4" spans="1:9" ht="15" customHeight="1">
      <c r="A4" s="35" t="s">
        <v>236</v>
      </c>
      <c r="B4" s="93">
        <f>+Herramientas!D11+Herramientas!D3</f>
        <v>1670</v>
      </c>
      <c r="C4" s="36">
        <v>3</v>
      </c>
      <c r="D4" s="85">
        <f>B4/C4</f>
        <v>556.66666666666663</v>
      </c>
      <c r="E4" s="85">
        <f t="shared" ref="E4:F6" si="1">+D4</f>
        <v>556.66666666666663</v>
      </c>
      <c r="F4" s="85">
        <f t="shared" si="1"/>
        <v>556.66666666666663</v>
      </c>
      <c r="G4" s="85">
        <v>0</v>
      </c>
      <c r="H4" s="85">
        <v>0</v>
      </c>
      <c r="I4" s="86">
        <v>0</v>
      </c>
    </row>
    <row r="5" spans="1:9" ht="15" customHeight="1">
      <c r="A5" s="35" t="s">
        <v>175</v>
      </c>
      <c r="B5" s="93">
        <f>'Obra civil'!B6</f>
        <v>34380</v>
      </c>
      <c r="C5" s="36">
        <v>20</v>
      </c>
      <c r="D5" s="85">
        <f>B5/C5</f>
        <v>1719</v>
      </c>
      <c r="E5" s="85">
        <f t="shared" si="1"/>
        <v>1719</v>
      </c>
      <c r="F5" s="85">
        <f t="shared" si="1"/>
        <v>1719</v>
      </c>
      <c r="G5" s="85">
        <f>+F5</f>
        <v>1719</v>
      </c>
      <c r="H5" s="85">
        <f>+G5</f>
        <v>1719</v>
      </c>
      <c r="I5" s="86">
        <f>B5-SUM(D5:H5)</f>
        <v>25785</v>
      </c>
    </row>
    <row r="6" spans="1:9" ht="15" customHeight="1">
      <c r="A6" s="35" t="s">
        <v>176</v>
      </c>
      <c r="B6" s="93">
        <f>+'A diferido'!C7</f>
        <v>10560</v>
      </c>
      <c r="C6" s="36">
        <v>5</v>
      </c>
      <c r="D6" s="85">
        <f>B6/C6</f>
        <v>2112</v>
      </c>
      <c r="E6" s="85">
        <f t="shared" si="1"/>
        <v>2112</v>
      </c>
      <c r="F6" s="85">
        <f t="shared" si="1"/>
        <v>2112</v>
      </c>
      <c r="G6" s="85">
        <f>+F6</f>
        <v>2112</v>
      </c>
      <c r="H6" s="85">
        <f>+G6</f>
        <v>2112</v>
      </c>
      <c r="I6" s="86">
        <v>0</v>
      </c>
    </row>
    <row r="7" spans="1:9" ht="15" customHeight="1">
      <c r="A7" s="35"/>
      <c r="B7" s="48"/>
      <c r="C7" s="48"/>
      <c r="D7" s="85"/>
      <c r="E7" s="85"/>
      <c r="F7" s="85"/>
      <c r="G7" s="85"/>
      <c r="H7" s="85"/>
      <c r="I7" s="86"/>
    </row>
    <row r="8" spans="1:9" ht="15" customHeight="1" thickBot="1">
      <c r="A8" s="67" t="s">
        <v>25</v>
      </c>
      <c r="B8" s="70"/>
      <c r="C8" s="70"/>
      <c r="D8" s="88">
        <f t="shared" ref="D8:I8" si="2">SUM(D2:D7)</f>
        <v>7744.6666666666661</v>
      </c>
      <c r="E8" s="88">
        <f t="shared" si="2"/>
        <v>7744.6666666666661</v>
      </c>
      <c r="F8" s="88">
        <f t="shared" si="2"/>
        <v>7744.6666666666661</v>
      </c>
      <c r="G8" s="88">
        <f t="shared" si="2"/>
        <v>7188</v>
      </c>
      <c r="H8" s="88">
        <f t="shared" si="2"/>
        <v>7188</v>
      </c>
      <c r="I8" s="89">
        <f t="shared" si="2"/>
        <v>41405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4" sqref="C4"/>
    </sheetView>
  </sheetViews>
  <sheetFormatPr baseColWidth="10" defaultRowHeight="12.75"/>
  <cols>
    <col min="1" max="1" width="31.85546875" bestFit="1" customWidth="1"/>
  </cols>
  <sheetData>
    <row r="1" spans="1:6" ht="15" customHeight="1">
      <c r="A1" s="257" t="s">
        <v>29</v>
      </c>
      <c r="B1" s="271" t="s">
        <v>179</v>
      </c>
      <c r="C1" s="272"/>
      <c r="D1" s="272"/>
      <c r="E1" s="272"/>
      <c r="F1" s="273"/>
    </row>
    <row r="2" spans="1:6" ht="15" customHeight="1">
      <c r="A2" s="274"/>
      <c r="B2" s="45">
        <v>1</v>
      </c>
      <c r="C2" s="45">
        <v>2</v>
      </c>
      <c r="D2" s="45">
        <v>3</v>
      </c>
      <c r="E2" s="45">
        <v>4</v>
      </c>
      <c r="F2" s="46">
        <v>5</v>
      </c>
    </row>
    <row r="3" spans="1:6" ht="15" customHeight="1">
      <c r="A3" s="35" t="s">
        <v>237</v>
      </c>
      <c r="B3" s="85">
        <f>+CPrest.Ser.!D6</f>
        <v>70651.399999999994</v>
      </c>
      <c r="C3" s="85">
        <f>B3*1.027</f>
        <v>72558.987799999988</v>
      </c>
      <c r="D3" s="85">
        <f>C3*1.027</f>
        <v>74518.080470599976</v>
      </c>
      <c r="E3" s="85">
        <f>D3*1.027</f>
        <v>76530.068643306164</v>
      </c>
      <c r="F3" s="86">
        <f>E3*1.027</f>
        <v>78596.380496675425</v>
      </c>
    </row>
    <row r="4" spans="1:6" ht="15" customHeight="1">
      <c r="A4" s="35" t="s">
        <v>180</v>
      </c>
      <c r="B4" s="85">
        <f>+GAdmin!C9</f>
        <v>65212.4</v>
      </c>
      <c r="C4" s="85">
        <f t="shared" ref="C4:F5" si="0">+B4</f>
        <v>65212.4</v>
      </c>
      <c r="D4" s="85">
        <f t="shared" si="0"/>
        <v>65212.4</v>
      </c>
      <c r="E4" s="85">
        <f t="shared" si="0"/>
        <v>65212.4</v>
      </c>
      <c r="F4" s="86">
        <f t="shared" si="0"/>
        <v>65212.4</v>
      </c>
    </row>
    <row r="5" spans="1:6" ht="15" customHeight="1">
      <c r="A5" s="35" t="s">
        <v>181</v>
      </c>
      <c r="B5" s="85">
        <f>+Gvtas!C4</f>
        <v>12000</v>
      </c>
      <c r="C5" s="85">
        <f t="shared" si="0"/>
        <v>12000</v>
      </c>
      <c r="D5" s="85">
        <f t="shared" si="0"/>
        <v>12000</v>
      </c>
      <c r="E5" s="85">
        <f t="shared" si="0"/>
        <v>12000</v>
      </c>
      <c r="F5" s="86">
        <f t="shared" si="0"/>
        <v>12000</v>
      </c>
    </row>
    <row r="6" spans="1:6" ht="15" customHeight="1">
      <c r="A6" s="35" t="s">
        <v>182</v>
      </c>
      <c r="B6" s="85">
        <f>'Dep y amort'!D8</f>
        <v>7744.6666666666661</v>
      </c>
      <c r="C6" s="85">
        <f>'Dep y amort'!E8</f>
        <v>7744.6666666666661</v>
      </c>
      <c r="D6" s="85">
        <f>'Dep y amort'!F8</f>
        <v>7744.6666666666661</v>
      </c>
      <c r="E6" s="85">
        <f>'Dep y amort'!G8</f>
        <v>7188</v>
      </c>
      <c r="F6" s="86">
        <f>'Dep y amort'!H8</f>
        <v>7188</v>
      </c>
    </row>
    <row r="7" spans="1:6" ht="15" customHeight="1">
      <c r="A7" s="35"/>
      <c r="B7" s="85"/>
      <c r="C7" s="85"/>
      <c r="D7" s="85"/>
      <c r="E7" s="85"/>
      <c r="F7" s="86"/>
    </row>
    <row r="8" spans="1:6" ht="15" customHeight="1">
      <c r="A8" s="116" t="s">
        <v>25</v>
      </c>
      <c r="B8" s="127">
        <f>SUM(B3:B7)</f>
        <v>155608.46666666665</v>
      </c>
      <c r="C8" s="127">
        <f>SUM(C3:C7)</f>
        <v>157516.05446666665</v>
      </c>
      <c r="D8" s="127">
        <f>SUM(D3:D7)</f>
        <v>159475.14713726664</v>
      </c>
      <c r="E8" s="127">
        <f>SUM(E3:E7)</f>
        <v>160930.46864330617</v>
      </c>
      <c r="F8" s="128">
        <f>SUM(F3:F7)</f>
        <v>162996.78049667543</v>
      </c>
    </row>
    <row r="9" spans="1:6" ht="15" customHeight="1">
      <c r="A9" s="35"/>
      <c r="B9" s="85"/>
      <c r="C9" s="85"/>
      <c r="D9" s="85"/>
      <c r="E9" s="85"/>
      <c r="F9" s="86"/>
    </row>
    <row r="10" spans="1:6" ht="15" customHeight="1" thickBot="1">
      <c r="A10" s="67" t="s">
        <v>255</v>
      </c>
      <c r="B10" s="88">
        <f>B8/Demanda!C4</f>
        <v>187.02940705128202</v>
      </c>
      <c r="C10" s="88">
        <f>+C8/Demanda!C5</f>
        <v>187.40317236434802</v>
      </c>
      <c r="D10" s="88">
        <f>+D8/Demanda!C6</f>
        <v>187.81080094675306</v>
      </c>
      <c r="E10" s="88">
        <f>+E8/Demanda!C7</f>
        <v>187.60364366760908</v>
      </c>
      <c r="F10" s="89">
        <f>+F8/Demanda!C8</f>
        <v>188.08642820214638</v>
      </c>
    </row>
    <row r="12" spans="1:6">
      <c r="C12" s="129"/>
      <c r="D12" s="129"/>
      <c r="E12" s="129"/>
      <c r="F12" s="129"/>
    </row>
  </sheetData>
  <mergeCells count="2">
    <mergeCell ref="B1:F1"/>
    <mergeCell ref="A1:A2"/>
  </mergeCells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17" sqref="G17"/>
    </sheetView>
  </sheetViews>
  <sheetFormatPr baseColWidth="10" defaultColWidth="9.140625" defaultRowHeight="11.25"/>
  <cols>
    <col min="1" max="1" width="18" style="9" bestFit="1" customWidth="1"/>
    <col min="2" max="2" width="9.140625" style="9" customWidth="1"/>
    <col min="3" max="3" width="9.85546875" style="9" bestFit="1" customWidth="1"/>
    <col min="4" max="4" width="10.85546875" style="9" bestFit="1" customWidth="1"/>
    <col min="5" max="5" width="9.85546875" style="9" bestFit="1" customWidth="1"/>
    <col min="6" max="6" width="10.85546875" style="9" bestFit="1" customWidth="1"/>
    <col min="7" max="7" width="9.85546875" style="9" bestFit="1" customWidth="1"/>
    <col min="8" max="8" width="10.85546875" style="9" bestFit="1" customWidth="1"/>
    <col min="9" max="16384" width="9.140625" style="9"/>
  </cols>
  <sheetData>
    <row r="1" spans="1:8">
      <c r="A1" s="253" t="s">
        <v>9</v>
      </c>
      <c r="B1" s="255" t="s">
        <v>10</v>
      </c>
      <c r="C1" s="250" t="s">
        <v>13</v>
      </c>
      <c r="D1" s="251"/>
      <c r="E1" s="250" t="s">
        <v>14</v>
      </c>
      <c r="F1" s="251"/>
      <c r="G1" s="250" t="s">
        <v>15</v>
      </c>
      <c r="H1" s="252"/>
    </row>
    <row r="2" spans="1:8">
      <c r="A2" s="254"/>
      <c r="B2" s="256"/>
      <c r="C2" s="29" t="s">
        <v>11</v>
      </c>
      <c r="D2" s="30" t="s">
        <v>12</v>
      </c>
      <c r="E2" s="29" t="s">
        <v>11</v>
      </c>
      <c r="F2" s="30" t="s">
        <v>12</v>
      </c>
      <c r="G2" s="29" t="s">
        <v>11</v>
      </c>
      <c r="H2" s="31" t="s">
        <v>12</v>
      </c>
    </row>
    <row r="3" spans="1:8">
      <c r="A3" s="10" t="s">
        <v>4</v>
      </c>
      <c r="B3" s="11">
        <v>0.2</v>
      </c>
      <c r="C3" s="12">
        <v>6</v>
      </c>
      <c r="D3" s="13">
        <f>+C3*B3</f>
        <v>1.2000000000000002</v>
      </c>
      <c r="E3" s="12">
        <v>7</v>
      </c>
      <c r="F3" s="14">
        <f>+E3*B3</f>
        <v>1.4000000000000001</v>
      </c>
      <c r="G3" s="12">
        <v>7</v>
      </c>
      <c r="H3" s="15">
        <f>G3*B3</f>
        <v>1.4000000000000001</v>
      </c>
    </row>
    <row r="4" spans="1:8">
      <c r="A4" s="10" t="s">
        <v>5</v>
      </c>
      <c r="B4" s="11">
        <v>0.35</v>
      </c>
      <c r="C4" s="12">
        <v>6</v>
      </c>
      <c r="D4" s="13">
        <f>+C4*B4</f>
        <v>2.0999999999999996</v>
      </c>
      <c r="E4" s="12">
        <v>8</v>
      </c>
      <c r="F4" s="14">
        <f>+E4*B4</f>
        <v>2.8</v>
      </c>
      <c r="G4" s="12">
        <v>7</v>
      </c>
      <c r="H4" s="15">
        <f>G4*B4</f>
        <v>2.4499999999999997</v>
      </c>
    </row>
    <row r="5" spans="1:8">
      <c r="A5" s="10" t="s">
        <v>16</v>
      </c>
      <c r="B5" s="11">
        <v>0.15</v>
      </c>
      <c r="C5" s="12">
        <v>6</v>
      </c>
      <c r="D5" s="13">
        <f>+C5*B5</f>
        <v>0.89999999999999991</v>
      </c>
      <c r="E5" s="12">
        <v>8</v>
      </c>
      <c r="F5" s="14">
        <f>+E5*B5</f>
        <v>1.2</v>
      </c>
      <c r="G5" s="12">
        <v>5</v>
      </c>
      <c r="H5" s="15">
        <f>G5*B5</f>
        <v>0.75</v>
      </c>
    </row>
    <row r="6" spans="1:8">
      <c r="A6" s="10" t="s">
        <v>6</v>
      </c>
      <c r="B6" s="11">
        <v>0.05</v>
      </c>
      <c r="C6" s="12">
        <v>7</v>
      </c>
      <c r="D6" s="13">
        <f>+C6*B6</f>
        <v>0.35000000000000003</v>
      </c>
      <c r="E6" s="12">
        <v>8</v>
      </c>
      <c r="F6" s="14">
        <f>+E6*B6</f>
        <v>0.4</v>
      </c>
      <c r="G6" s="12">
        <v>8</v>
      </c>
      <c r="H6" s="15">
        <f>G6*B6</f>
        <v>0.4</v>
      </c>
    </row>
    <row r="7" spans="1:8">
      <c r="A7" s="16" t="s">
        <v>7</v>
      </c>
      <c r="B7" s="17">
        <v>0.25</v>
      </c>
      <c r="C7" s="18">
        <v>8</v>
      </c>
      <c r="D7" s="19">
        <f>+C7*B7</f>
        <v>2</v>
      </c>
      <c r="E7" s="18">
        <v>7</v>
      </c>
      <c r="F7" s="20">
        <f>+E7*B7</f>
        <v>1.75</v>
      </c>
      <c r="G7" s="18">
        <v>7</v>
      </c>
      <c r="H7" s="21">
        <f>G7*B7</f>
        <v>1.75</v>
      </c>
    </row>
    <row r="8" spans="1:8" ht="12" thickBot="1">
      <c r="A8" s="22" t="s">
        <v>8</v>
      </c>
      <c r="B8" s="23">
        <f>SUM(B3:B7)</f>
        <v>1</v>
      </c>
      <c r="C8" s="24"/>
      <c r="D8" s="25">
        <f>SUM(D3:D7)</f>
        <v>6.5499999999999989</v>
      </c>
      <c r="E8" s="26"/>
      <c r="F8" s="27">
        <f>SUM(F3:F7)</f>
        <v>7.5500000000000007</v>
      </c>
      <c r="G8" s="24"/>
      <c r="H8" s="28">
        <f>SUM(H3:H7)</f>
        <v>6.75</v>
      </c>
    </row>
  </sheetData>
  <mergeCells count="5">
    <mergeCell ref="C1:D1"/>
    <mergeCell ref="E1:F1"/>
    <mergeCell ref="G1:H1"/>
    <mergeCell ref="A1:A2"/>
    <mergeCell ref="B1:B2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baseColWidth="10" defaultRowHeight="12.75"/>
  <cols>
    <col min="1" max="1" width="22.85546875" bestFit="1" customWidth="1"/>
    <col min="3" max="3" width="4" bestFit="1" customWidth="1"/>
    <col min="4" max="4" width="25.42578125" bestFit="1" customWidth="1"/>
  </cols>
  <sheetData>
    <row r="1" spans="1:5" ht="15" customHeight="1">
      <c r="A1" s="257" t="s">
        <v>183</v>
      </c>
      <c r="B1" s="275"/>
      <c r="C1" s="276"/>
      <c r="D1" s="259" t="s">
        <v>184</v>
      </c>
      <c r="E1" s="279"/>
    </row>
    <row r="2" spans="1:5" ht="15" customHeight="1">
      <c r="A2" s="274"/>
      <c r="B2" s="277"/>
      <c r="C2" s="278"/>
      <c r="D2" s="280"/>
      <c r="E2" s="281"/>
    </row>
    <row r="3" spans="1:5" ht="15" customHeight="1">
      <c r="A3" s="130" t="s">
        <v>185</v>
      </c>
      <c r="B3" s="48"/>
      <c r="C3" s="131"/>
      <c r="D3" s="132" t="s">
        <v>186</v>
      </c>
      <c r="E3" s="133"/>
    </row>
    <row r="4" spans="1:5" ht="15" customHeight="1">
      <c r="A4" s="35"/>
      <c r="B4" s="48"/>
      <c r="C4" s="131"/>
      <c r="D4" s="48"/>
      <c r="E4" s="69"/>
    </row>
    <row r="5" spans="1:5" ht="15" customHeight="1">
      <c r="A5" s="35" t="s">
        <v>187</v>
      </c>
      <c r="B5" s="134">
        <f>-'K de Trabajo'!E5</f>
        <v>24328.133333333331</v>
      </c>
      <c r="C5" s="135"/>
      <c r="D5" s="48" t="s">
        <v>188</v>
      </c>
      <c r="E5" s="136">
        <f>+B5</f>
        <v>24328.133333333331</v>
      </c>
    </row>
    <row r="6" spans="1:5" ht="15" customHeight="1">
      <c r="A6" s="35" t="s">
        <v>147</v>
      </c>
      <c r="B6" s="134">
        <f>+B5</f>
        <v>24328.133333333331</v>
      </c>
      <c r="C6" s="135"/>
      <c r="D6" s="48"/>
      <c r="E6" s="69"/>
    </row>
    <row r="7" spans="1:5" ht="15" customHeight="1">
      <c r="A7" s="35"/>
      <c r="B7" s="134"/>
      <c r="C7" s="135"/>
      <c r="D7" s="132" t="s">
        <v>189</v>
      </c>
      <c r="E7" s="69"/>
    </row>
    <row r="8" spans="1:5" ht="15" customHeight="1">
      <c r="A8" s="130" t="s">
        <v>190</v>
      </c>
      <c r="B8" s="134"/>
      <c r="C8" s="135"/>
      <c r="D8" s="48"/>
      <c r="E8" s="69"/>
    </row>
    <row r="9" spans="1:5" ht="15" customHeight="1">
      <c r="A9" s="35" t="s">
        <v>230</v>
      </c>
      <c r="B9" s="134">
        <f>+'I Total'!B2</f>
        <v>31240</v>
      </c>
      <c r="C9" s="135"/>
      <c r="D9" s="48"/>
      <c r="E9" s="69"/>
    </row>
    <row r="10" spans="1:5" ht="15" customHeight="1">
      <c r="A10" s="35" t="s">
        <v>229</v>
      </c>
      <c r="B10" s="134">
        <f>+'I Total'!B3</f>
        <v>3600</v>
      </c>
      <c r="C10" s="135"/>
      <c r="D10" s="132" t="s">
        <v>191</v>
      </c>
      <c r="E10" s="69"/>
    </row>
    <row r="11" spans="1:5" ht="15" customHeight="1">
      <c r="A11" s="35" t="s">
        <v>175</v>
      </c>
      <c r="B11" s="134">
        <f>+'I Total'!B4</f>
        <v>34380</v>
      </c>
      <c r="C11" s="135"/>
      <c r="D11" s="48" t="s">
        <v>192</v>
      </c>
      <c r="E11" s="136">
        <f>+B12+B14</f>
        <v>83769</v>
      </c>
    </row>
    <row r="12" spans="1:5" ht="15" customHeight="1">
      <c r="A12" s="35" t="s">
        <v>147</v>
      </c>
      <c r="B12" s="134">
        <f>SUM(B9:B11)</f>
        <v>69220</v>
      </c>
      <c r="C12" s="135"/>
      <c r="D12" s="48"/>
      <c r="E12" s="69"/>
    </row>
    <row r="13" spans="1:5" ht="15" customHeight="1">
      <c r="A13" s="35"/>
      <c r="B13" s="134"/>
      <c r="C13" s="135"/>
      <c r="D13" s="48"/>
      <c r="E13" s="69"/>
    </row>
    <row r="14" spans="1:5" ht="15" customHeight="1">
      <c r="A14" s="130" t="s">
        <v>146</v>
      </c>
      <c r="B14" s="134">
        <f>'I Total'!B5+'I Total'!B7</f>
        <v>14549</v>
      </c>
      <c r="C14" s="135"/>
      <c r="D14" s="48"/>
      <c r="E14" s="69"/>
    </row>
    <row r="15" spans="1:5" ht="15" customHeight="1">
      <c r="A15" s="35"/>
      <c r="B15" s="134"/>
      <c r="C15" s="135"/>
      <c r="D15" s="48"/>
      <c r="E15" s="69"/>
    </row>
    <row r="16" spans="1:5" ht="15" customHeight="1" thickBot="1">
      <c r="A16" s="67" t="s">
        <v>193</v>
      </c>
      <c r="B16" s="137">
        <f>B14+B12+B6</f>
        <v>108097.13333333333</v>
      </c>
      <c r="C16" s="138"/>
      <c r="D16" s="70" t="s">
        <v>194</v>
      </c>
      <c r="E16" s="139">
        <f>E11+E5</f>
        <v>108097.13333333333</v>
      </c>
    </row>
  </sheetData>
  <mergeCells count="2">
    <mergeCell ref="A1:C2"/>
    <mergeCell ref="D1:E2"/>
  </mergeCells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K26" sqref="K26"/>
    </sheetView>
  </sheetViews>
  <sheetFormatPr baseColWidth="10" defaultRowHeight="12.75"/>
  <cols>
    <col min="1" max="1" width="29.140625" bestFit="1" customWidth="1"/>
  </cols>
  <sheetData>
    <row r="1" spans="1:6" ht="15" customHeight="1">
      <c r="A1" s="140" t="s">
        <v>195</v>
      </c>
      <c r="B1" s="43">
        <v>1</v>
      </c>
      <c r="C1" s="43">
        <v>2</v>
      </c>
      <c r="D1" s="43">
        <v>3</v>
      </c>
      <c r="E1" s="43">
        <v>4</v>
      </c>
      <c r="F1" s="44">
        <v>5</v>
      </c>
    </row>
    <row r="2" spans="1:6" ht="15" customHeight="1">
      <c r="A2" s="35" t="s">
        <v>196</v>
      </c>
      <c r="B2" s="76">
        <f>+Ytotales!C3</f>
        <v>256089.60000000001</v>
      </c>
      <c r="C2" s="76">
        <f>+Ytotales!D3</f>
        <v>263004.01919999998</v>
      </c>
      <c r="D2" s="76">
        <f>+Ytotales!E3</f>
        <v>270105.12771839992</v>
      </c>
      <c r="E2" s="76">
        <f>+Ytotales!F3</f>
        <v>277397.96616679669</v>
      </c>
      <c r="F2" s="66">
        <f>+Ytotales!G3</f>
        <v>284887.71125330019</v>
      </c>
    </row>
    <row r="3" spans="1:6" ht="15" customHeight="1">
      <c r="A3" s="35" t="s">
        <v>238</v>
      </c>
      <c r="B3" s="76">
        <f>+'costo totales'!B3</f>
        <v>70651.399999999994</v>
      </c>
      <c r="C3" s="76">
        <f>+'costo totales'!C3</f>
        <v>72558.987799999988</v>
      </c>
      <c r="D3" s="76">
        <f>+'costo totales'!D3</f>
        <v>74518.080470599976</v>
      </c>
      <c r="E3" s="76">
        <f>+'costo totales'!E3</f>
        <v>76530.068643306164</v>
      </c>
      <c r="F3" s="66">
        <f>+'costo totales'!F3</f>
        <v>78596.380496675425</v>
      </c>
    </row>
    <row r="4" spans="1:6" ht="15" customHeight="1">
      <c r="A4" s="35" t="s">
        <v>197</v>
      </c>
      <c r="B4" s="76">
        <f>B2-B3</f>
        <v>185438.2</v>
      </c>
      <c r="C4" s="76">
        <f>C2-C3</f>
        <v>190445.03139999998</v>
      </c>
      <c r="D4" s="76">
        <f>D2-D3</f>
        <v>195587.04724779993</v>
      </c>
      <c r="E4" s="76">
        <f>E2-E3</f>
        <v>200867.89752349054</v>
      </c>
      <c r="F4" s="66">
        <f>F2-F3</f>
        <v>206291.33075662475</v>
      </c>
    </row>
    <row r="5" spans="1:6" ht="15" customHeight="1">
      <c r="A5" s="35"/>
      <c r="B5" s="76"/>
      <c r="C5" s="76"/>
      <c r="D5" s="76"/>
      <c r="E5" s="76"/>
      <c r="F5" s="66"/>
    </row>
    <row r="6" spans="1:6" ht="15" customHeight="1">
      <c r="A6" s="35" t="s">
        <v>198</v>
      </c>
      <c r="B6" s="76">
        <f>+'costo totales'!B4</f>
        <v>65212.4</v>
      </c>
      <c r="C6" s="76">
        <f>+'costo totales'!C4</f>
        <v>65212.4</v>
      </c>
      <c r="D6" s="76">
        <f>+'costo totales'!D4</f>
        <v>65212.4</v>
      </c>
      <c r="E6" s="76">
        <f>+'costo totales'!E4</f>
        <v>65212.4</v>
      </c>
      <c r="F6" s="66">
        <f>+'costo totales'!F4</f>
        <v>65212.4</v>
      </c>
    </row>
    <row r="7" spans="1:6" ht="15" customHeight="1">
      <c r="A7" s="35" t="s">
        <v>199</v>
      </c>
      <c r="B7" s="76">
        <f>+Gvtas!C4</f>
        <v>12000</v>
      </c>
      <c r="C7" s="76">
        <f>+B7</f>
        <v>12000</v>
      </c>
      <c r="D7" s="76">
        <f>+C7</f>
        <v>12000</v>
      </c>
      <c r="E7" s="76">
        <f>+D7</f>
        <v>12000</v>
      </c>
      <c r="F7" s="66">
        <f>+E7</f>
        <v>12000</v>
      </c>
    </row>
    <row r="8" spans="1:6" ht="15" customHeight="1">
      <c r="A8" s="35" t="s">
        <v>200</v>
      </c>
      <c r="B8" s="76">
        <f>'costo totales'!B6</f>
        <v>7744.6666666666661</v>
      </c>
      <c r="C8" s="76">
        <f>'costo totales'!C6</f>
        <v>7744.6666666666661</v>
      </c>
      <c r="D8" s="76">
        <f>'costo totales'!D6</f>
        <v>7744.6666666666661</v>
      </c>
      <c r="E8" s="76">
        <f>'costo totales'!E6</f>
        <v>7188</v>
      </c>
      <c r="F8" s="66">
        <f>'costo totales'!F6</f>
        <v>7188</v>
      </c>
    </row>
    <row r="9" spans="1:6" ht="15" customHeight="1">
      <c r="A9" s="35"/>
      <c r="B9" s="76"/>
      <c r="C9" s="76"/>
      <c r="D9" s="76"/>
      <c r="E9" s="76"/>
      <c r="F9" s="66"/>
    </row>
    <row r="10" spans="1:6" ht="15" customHeight="1">
      <c r="A10" s="35" t="s">
        <v>201</v>
      </c>
      <c r="B10" s="76">
        <f>B4-B6-B7-B8</f>
        <v>100481.13333333335</v>
      </c>
      <c r="C10" s="76">
        <f>C4-C6-C7-C8</f>
        <v>105487.96473333331</v>
      </c>
      <c r="D10" s="76">
        <f>D4-D6-D7-D8</f>
        <v>110629.98058113326</v>
      </c>
      <c r="E10" s="76">
        <f>E4-E6-E7-E8</f>
        <v>116467.49752349054</v>
      </c>
      <c r="F10" s="66">
        <f>F4-F6-F7-F8</f>
        <v>121890.93075662476</v>
      </c>
    </row>
    <row r="11" spans="1:6" ht="15" customHeight="1">
      <c r="A11" s="35" t="s">
        <v>202</v>
      </c>
      <c r="B11" s="76">
        <f>0.15*B10</f>
        <v>15072.170000000002</v>
      </c>
      <c r="C11" s="76">
        <f>0.15*C10</f>
        <v>15823.194709999996</v>
      </c>
      <c r="D11" s="76">
        <f>0.15*D10</f>
        <v>16594.497087169988</v>
      </c>
      <c r="E11" s="76">
        <f>0.15*E10</f>
        <v>17470.124628523579</v>
      </c>
      <c r="F11" s="66">
        <f>0.15*F10</f>
        <v>18283.639613493713</v>
      </c>
    </row>
    <row r="12" spans="1:6" ht="15" customHeight="1">
      <c r="A12" s="35" t="s">
        <v>203</v>
      </c>
      <c r="B12" s="76">
        <f>B10-B11</f>
        <v>85408.963333333348</v>
      </c>
      <c r="C12" s="76">
        <f>C10-C11</f>
        <v>89664.770023333316</v>
      </c>
      <c r="D12" s="76">
        <f>D10-D11</f>
        <v>94035.483493963271</v>
      </c>
      <c r="E12" s="76">
        <f>E10-E11</f>
        <v>98997.37289496696</v>
      </c>
      <c r="F12" s="66">
        <f>F10-F11</f>
        <v>103607.29114313105</v>
      </c>
    </row>
    <row r="13" spans="1:6" ht="15" customHeight="1">
      <c r="A13" s="35" t="s">
        <v>204</v>
      </c>
      <c r="B13" s="76">
        <f>0.25*B12</f>
        <v>21352.240833333337</v>
      </c>
      <c r="C13" s="76">
        <f>0.25*C12</f>
        <v>22416.192505833329</v>
      </c>
      <c r="D13" s="76">
        <f>0.25*D12</f>
        <v>23508.870873490818</v>
      </c>
      <c r="E13" s="76">
        <f>0.25*E12</f>
        <v>24749.34322374174</v>
      </c>
      <c r="F13" s="66">
        <f>0.25*F12</f>
        <v>25901.822785782762</v>
      </c>
    </row>
    <row r="14" spans="1:6" ht="15" customHeight="1">
      <c r="A14" s="35"/>
      <c r="B14" s="76"/>
      <c r="C14" s="76"/>
      <c r="D14" s="76"/>
      <c r="E14" s="76"/>
      <c r="F14" s="66"/>
    </row>
    <row r="15" spans="1:6" ht="15" customHeight="1" thickBot="1">
      <c r="A15" s="67" t="s">
        <v>205</v>
      </c>
      <c r="B15" s="78">
        <f>B12-B13</f>
        <v>64056.722500000011</v>
      </c>
      <c r="C15" s="78">
        <f>C12-C13</f>
        <v>67248.577517499987</v>
      </c>
      <c r="D15" s="78">
        <f>D12-D13</f>
        <v>70526.612620472457</v>
      </c>
      <c r="E15" s="78">
        <f>E12-E13</f>
        <v>74248.029671225217</v>
      </c>
      <c r="F15" s="68">
        <f>F12-F13</f>
        <v>77705.468357348291</v>
      </c>
    </row>
    <row r="18" spans="3:6">
      <c r="C18" s="141"/>
      <c r="D18" s="141"/>
      <c r="E18" s="141"/>
      <c r="F18" s="141"/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N16" sqref="N16"/>
    </sheetView>
  </sheetViews>
  <sheetFormatPr baseColWidth="10" defaultRowHeight="12.75"/>
  <cols>
    <col min="1" max="1" width="29.140625" bestFit="1" customWidth="1"/>
    <col min="2" max="2" width="11.140625" bestFit="1" customWidth="1"/>
    <col min="3" max="3" width="8.7109375" bestFit="1" customWidth="1"/>
    <col min="4" max="7" width="8.140625" bestFit="1" customWidth="1"/>
  </cols>
  <sheetData>
    <row r="1" spans="1:10" ht="15" customHeight="1">
      <c r="A1" s="80" t="s">
        <v>29</v>
      </c>
      <c r="B1" s="33">
        <v>0</v>
      </c>
      <c r="C1" s="33">
        <v>1</v>
      </c>
      <c r="D1" s="33">
        <v>2</v>
      </c>
      <c r="E1" s="33">
        <v>3</v>
      </c>
      <c r="F1" s="33">
        <v>4</v>
      </c>
      <c r="G1" s="34">
        <v>5</v>
      </c>
    </row>
    <row r="2" spans="1:10" ht="15" customHeight="1">
      <c r="A2" s="35" t="s">
        <v>206</v>
      </c>
      <c r="B2" s="142"/>
      <c r="C2" s="142">
        <f>+'EP&amp;G'!B2</f>
        <v>256089.60000000001</v>
      </c>
      <c r="D2" s="142">
        <f>+'EP&amp;G'!C2</f>
        <v>263004.01919999998</v>
      </c>
      <c r="E2" s="142">
        <f>+'EP&amp;G'!D2</f>
        <v>270105.12771839992</v>
      </c>
      <c r="F2" s="142">
        <f>+'EP&amp;G'!E2</f>
        <v>277397.96616679669</v>
      </c>
      <c r="G2" s="143">
        <f>+'EP&amp;G'!F2</f>
        <v>284887.71125330019</v>
      </c>
    </row>
    <row r="3" spans="1:10" ht="15" customHeight="1">
      <c r="A3" s="35" t="s">
        <v>237</v>
      </c>
      <c r="B3" s="142"/>
      <c r="C3" s="142">
        <f>-'EP&amp;G'!B3</f>
        <v>-70651.399999999994</v>
      </c>
      <c r="D3" s="142">
        <f>-'EP&amp;G'!C3</f>
        <v>-72558.987799999988</v>
      </c>
      <c r="E3" s="142">
        <f>-'EP&amp;G'!D3</f>
        <v>-74518.080470599976</v>
      </c>
      <c r="F3" s="142">
        <f>-'EP&amp;G'!E3</f>
        <v>-76530.068643306164</v>
      </c>
      <c r="G3" s="143">
        <f>-'EP&amp;G'!F3</f>
        <v>-78596.380496675425</v>
      </c>
    </row>
    <row r="4" spans="1:10" ht="15" customHeight="1">
      <c r="A4" s="35" t="s">
        <v>207</v>
      </c>
      <c r="B4" s="142"/>
      <c r="C4" s="142">
        <f>-'EP&amp;G'!B6</f>
        <v>-65212.4</v>
      </c>
      <c r="D4" s="142">
        <f>-'EP&amp;G'!C6</f>
        <v>-65212.4</v>
      </c>
      <c r="E4" s="142">
        <f>-'EP&amp;G'!D6</f>
        <v>-65212.4</v>
      </c>
      <c r="F4" s="142">
        <f>-'EP&amp;G'!E6</f>
        <v>-65212.4</v>
      </c>
      <c r="G4" s="143">
        <f>-'EP&amp;G'!F6</f>
        <v>-65212.4</v>
      </c>
    </row>
    <row r="5" spans="1:10" ht="15" customHeight="1">
      <c r="A5" s="35" t="s">
        <v>164</v>
      </c>
      <c r="B5" s="142"/>
      <c r="C5" s="142">
        <f>-'EP&amp;G'!B7</f>
        <v>-12000</v>
      </c>
      <c r="D5" s="142">
        <f>-'EP&amp;G'!C7</f>
        <v>-12000</v>
      </c>
      <c r="E5" s="142">
        <f>-'EP&amp;G'!D7</f>
        <v>-12000</v>
      </c>
      <c r="F5" s="142">
        <f>-'EP&amp;G'!E7</f>
        <v>-12000</v>
      </c>
      <c r="G5" s="143">
        <f>-'EP&amp;G'!F7</f>
        <v>-12000</v>
      </c>
    </row>
    <row r="6" spans="1:10" ht="15" customHeight="1">
      <c r="A6" s="35" t="s">
        <v>208</v>
      </c>
      <c r="B6" s="142"/>
      <c r="C6" s="142">
        <f>-'Dep y amort'!D8+'Dep y amort'!D6</f>
        <v>-5632.6666666666661</v>
      </c>
      <c r="D6" s="142">
        <f>-'Dep y amort'!E8+'Dep y amort'!E6</f>
        <v>-5632.6666666666661</v>
      </c>
      <c r="E6" s="142">
        <f>-'Dep y amort'!F8+'Dep y amort'!F6</f>
        <v>-5632.6666666666661</v>
      </c>
      <c r="F6" s="142">
        <f>-'Dep y amort'!G8+'Dep y amort'!G6</f>
        <v>-5076</v>
      </c>
      <c r="G6" s="143">
        <f>-'Dep y amort'!H8+'Dep y amort'!H6</f>
        <v>-5076</v>
      </c>
    </row>
    <row r="7" spans="1:10" ht="15" customHeight="1">
      <c r="A7" s="35" t="s">
        <v>209</v>
      </c>
      <c r="B7" s="142"/>
      <c r="C7" s="142">
        <f>-'Dep y amort'!D6</f>
        <v>-2112</v>
      </c>
      <c r="D7" s="142">
        <f>-'Dep y amort'!E6</f>
        <v>-2112</v>
      </c>
      <c r="E7" s="142">
        <f>-'Dep y amort'!F6</f>
        <v>-2112</v>
      </c>
      <c r="F7" s="142">
        <f>-'Dep y amort'!G6</f>
        <v>-2112</v>
      </c>
      <c r="G7" s="143">
        <f>-'Dep y amort'!H6</f>
        <v>-2112</v>
      </c>
      <c r="I7" s="282" t="s">
        <v>276</v>
      </c>
      <c r="J7" s="282"/>
    </row>
    <row r="8" spans="1:10" ht="15" customHeight="1">
      <c r="A8" s="144" t="s">
        <v>210</v>
      </c>
      <c r="B8" s="145"/>
      <c r="C8" s="145">
        <f>SUM(C2:C7)</f>
        <v>100481.13333333335</v>
      </c>
      <c r="D8" s="145">
        <f>SUM(D2:D7)</f>
        <v>105487.96473333331</v>
      </c>
      <c r="E8" s="145">
        <f>SUM(E2:E7)</f>
        <v>110629.98058113326</v>
      </c>
      <c r="F8" s="145">
        <f>SUM(F2:F7)</f>
        <v>116467.49752349054</v>
      </c>
      <c r="G8" s="146">
        <f>SUM(G2:G7)</f>
        <v>121890.93075662476</v>
      </c>
      <c r="I8" s="232" t="s">
        <v>270</v>
      </c>
      <c r="J8" s="232" t="s">
        <v>143</v>
      </c>
    </row>
    <row r="9" spans="1:10" ht="15" customHeight="1" thickBot="1">
      <c r="A9" s="35" t="s">
        <v>211</v>
      </c>
      <c r="B9" s="142"/>
      <c r="C9" s="142">
        <f>-'EP&amp;G'!B11</f>
        <v>-15072.170000000002</v>
      </c>
      <c r="D9" s="142">
        <f>-'EP&amp;G'!C11</f>
        <v>-15823.194709999996</v>
      </c>
      <c r="E9" s="142">
        <f>-'EP&amp;G'!D11</f>
        <v>-16594.497087169988</v>
      </c>
      <c r="F9" s="142">
        <f>-'EP&amp;G'!E11</f>
        <v>-17470.124628523579</v>
      </c>
      <c r="G9" s="143">
        <f>-'EP&amp;G'!F11</f>
        <v>-18283.639613493713</v>
      </c>
      <c r="I9" s="233" t="s">
        <v>271</v>
      </c>
      <c r="J9" s="235">
        <v>4.3499999999999997E-2</v>
      </c>
    </row>
    <row r="10" spans="1:10" ht="15" customHeight="1" thickBot="1">
      <c r="A10" s="35" t="s">
        <v>212</v>
      </c>
      <c r="B10" s="142"/>
      <c r="C10" s="142">
        <f>-'EP&amp;G'!B13</f>
        <v>-21352.240833333337</v>
      </c>
      <c r="D10" s="142">
        <f>-'EP&amp;G'!C13</f>
        <v>-22416.192505833329</v>
      </c>
      <c r="E10" s="142">
        <f>-'EP&amp;G'!D13</f>
        <v>-23508.870873490818</v>
      </c>
      <c r="F10" s="142">
        <f>-'EP&amp;G'!E13</f>
        <v>-24749.34322374174</v>
      </c>
      <c r="G10" s="143">
        <f>-'EP&amp;G'!F13</f>
        <v>-25901.822785782762</v>
      </c>
      <c r="I10" s="233" t="s">
        <v>272</v>
      </c>
      <c r="J10" s="236">
        <v>0.9</v>
      </c>
    </row>
    <row r="11" spans="1:10" ht="15" customHeight="1" thickBot="1">
      <c r="A11" s="144" t="s">
        <v>205</v>
      </c>
      <c r="B11" s="145"/>
      <c r="C11" s="145">
        <f>SUM(C8:C10)</f>
        <v>64056.722500000011</v>
      </c>
      <c r="D11" s="145">
        <f>SUM(D8:D10)</f>
        <v>67248.577517499987</v>
      </c>
      <c r="E11" s="145">
        <f>SUM(E8:E10)</f>
        <v>70526.612620472457</v>
      </c>
      <c r="F11" s="145">
        <f>SUM(F8:F10)</f>
        <v>74248.029671225217</v>
      </c>
      <c r="G11" s="146">
        <f>SUM(G8:G10)</f>
        <v>77705.468357348291</v>
      </c>
      <c r="I11" s="233" t="s">
        <v>273</v>
      </c>
      <c r="J11" s="235">
        <v>4.0500000000000001E-2</v>
      </c>
    </row>
    <row r="12" spans="1:10" ht="15" customHeight="1" thickBot="1">
      <c r="A12" s="35" t="s">
        <v>208</v>
      </c>
      <c r="B12" s="142"/>
      <c r="C12" s="142">
        <f t="shared" ref="C12:G13" si="0">-C6</f>
        <v>5632.6666666666661</v>
      </c>
      <c r="D12" s="142">
        <f t="shared" si="0"/>
        <v>5632.6666666666661</v>
      </c>
      <c r="E12" s="142">
        <f t="shared" si="0"/>
        <v>5632.6666666666661</v>
      </c>
      <c r="F12" s="142">
        <f t="shared" si="0"/>
        <v>5076</v>
      </c>
      <c r="G12" s="143">
        <f t="shared" si="0"/>
        <v>5076</v>
      </c>
      <c r="I12" s="233" t="s">
        <v>274</v>
      </c>
      <c r="J12" s="235">
        <v>0.2026</v>
      </c>
    </row>
    <row r="13" spans="1:10" ht="15" customHeight="1">
      <c r="A13" s="35" t="s">
        <v>209</v>
      </c>
      <c r="B13" s="142"/>
      <c r="C13" s="142">
        <f t="shared" si="0"/>
        <v>2112</v>
      </c>
      <c r="D13" s="142">
        <f t="shared" si="0"/>
        <v>2112</v>
      </c>
      <c r="E13" s="142">
        <f t="shared" si="0"/>
        <v>2112</v>
      </c>
      <c r="F13" s="142">
        <f t="shared" si="0"/>
        <v>2112</v>
      </c>
      <c r="G13" s="143">
        <f t="shared" si="0"/>
        <v>2112</v>
      </c>
      <c r="I13" s="234" t="s">
        <v>275</v>
      </c>
      <c r="J13" s="237">
        <f>((J9+(J10*(J11-J9)+J12)))</f>
        <v>0.24340000000000001</v>
      </c>
    </row>
    <row r="14" spans="1:10" ht="15" customHeight="1">
      <c r="A14" s="35" t="s">
        <v>213</v>
      </c>
      <c r="B14" s="142">
        <f>-'I Total'!B9</f>
        <v>-83769</v>
      </c>
      <c r="C14" s="142"/>
      <c r="D14" s="142"/>
      <c r="E14" s="142"/>
      <c r="F14" s="142"/>
      <c r="G14" s="143"/>
    </row>
    <row r="15" spans="1:10" ht="15" customHeight="1">
      <c r="A15" s="35" t="s">
        <v>214</v>
      </c>
      <c r="B15" s="142"/>
      <c r="C15" s="142"/>
      <c r="D15" s="142"/>
      <c r="E15" s="142">
        <f>-'Dep y amort'!B4</f>
        <v>-1670</v>
      </c>
      <c r="F15" s="142"/>
      <c r="G15" s="143"/>
    </row>
    <row r="16" spans="1:10" ht="15" customHeight="1">
      <c r="A16" s="35" t="s">
        <v>145</v>
      </c>
      <c r="B16" s="142">
        <f>+'K de Trabajo'!E5</f>
        <v>-24328.133333333331</v>
      </c>
      <c r="C16" s="142"/>
      <c r="D16" s="142"/>
      <c r="E16" s="142"/>
      <c r="F16" s="142"/>
      <c r="G16" s="143"/>
    </row>
    <row r="17" spans="1:7" ht="15" customHeight="1">
      <c r="A17" s="35" t="s">
        <v>256</v>
      </c>
      <c r="B17" s="142"/>
      <c r="C17" s="142"/>
      <c r="D17" s="142"/>
      <c r="E17" s="142"/>
      <c r="F17" s="142"/>
      <c r="G17" s="143">
        <f>(F19-F12)/J13</f>
        <v>313722.38977495983</v>
      </c>
    </row>
    <row r="18" spans="1:7" ht="15" customHeight="1">
      <c r="A18" s="35"/>
      <c r="B18" s="142"/>
      <c r="C18" s="142"/>
      <c r="D18" s="142"/>
      <c r="E18" s="142"/>
      <c r="F18" s="142"/>
      <c r="G18" s="143"/>
    </row>
    <row r="19" spans="1:7" ht="15" customHeight="1">
      <c r="A19" s="147" t="s">
        <v>215</v>
      </c>
      <c r="B19" s="148">
        <f>B14+B16</f>
        <v>-108097.13333333333</v>
      </c>
      <c r="C19" s="148">
        <f>C11+C12+C13+C15+C18</f>
        <v>71801.389166666675</v>
      </c>
      <c r="D19" s="148">
        <f>D11+D12+D13+D15+D18</f>
        <v>74993.244184166659</v>
      </c>
      <c r="E19" s="148">
        <f>E11+E12+E13+E15+E18</f>
        <v>76601.279287139128</v>
      </c>
      <c r="F19" s="148">
        <f>F11+F12+F13+F15+F18</f>
        <v>81436.029671225217</v>
      </c>
      <c r="G19" s="149">
        <f>G11+G12+G13+G15+G18+G17</f>
        <v>398615.85813230812</v>
      </c>
    </row>
    <row r="20" spans="1:7" ht="15" customHeight="1">
      <c r="A20" s="35"/>
      <c r="B20" s="48"/>
      <c r="C20" s="48"/>
      <c r="D20" s="48"/>
      <c r="E20" s="48"/>
      <c r="F20" s="48"/>
      <c r="G20" s="69"/>
    </row>
    <row r="21" spans="1:7" ht="15" customHeight="1">
      <c r="A21" s="147" t="s">
        <v>216</v>
      </c>
      <c r="B21" s="150">
        <f>IRR(B19:G19)</f>
        <v>0.77942592712056391</v>
      </c>
      <c r="C21" s="48"/>
      <c r="D21" s="48"/>
      <c r="E21" s="48"/>
      <c r="F21" s="48"/>
      <c r="G21" s="69"/>
    </row>
    <row r="22" spans="1:7" ht="15" customHeight="1" thickBot="1">
      <c r="A22" s="67" t="s">
        <v>217</v>
      </c>
      <c r="B22" s="94">
        <f>NPV(32.17%,C19:G19)+B19</f>
        <v>147850.86245147462</v>
      </c>
      <c r="C22" s="41"/>
      <c r="D22" s="41"/>
      <c r="E22" s="41"/>
      <c r="F22" s="41"/>
      <c r="G22" s="79"/>
    </row>
    <row r="25" spans="1:7">
      <c r="C25" s="151"/>
    </row>
  </sheetData>
  <mergeCells count="1">
    <mergeCell ref="I7:J7"/>
  </mergeCells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H16" sqref="H16"/>
    </sheetView>
  </sheetViews>
  <sheetFormatPr baseColWidth="10" defaultRowHeight="12.75"/>
  <cols>
    <col min="1" max="1" width="25.7109375" bestFit="1" customWidth="1"/>
  </cols>
  <sheetData>
    <row r="1" spans="1:7">
      <c r="A1" t="s">
        <v>265</v>
      </c>
      <c r="C1" s="151">
        <v>256089.60000000001</v>
      </c>
      <c r="D1" s="151">
        <f>+C1*1.014</f>
        <v>259674.85440000001</v>
      </c>
      <c r="E1" s="151">
        <f>+D1*1.014</f>
        <v>263310.30236160004</v>
      </c>
      <c r="F1" s="151">
        <f>+E1*1.014</f>
        <v>266996.64659466245</v>
      </c>
      <c r="G1" s="151">
        <f>+F1*1.014</f>
        <v>270734.59964698774</v>
      </c>
    </row>
    <row r="2" spans="1:7">
      <c r="A2" t="s">
        <v>235</v>
      </c>
      <c r="C2" s="151">
        <v>70651.399999999994</v>
      </c>
      <c r="D2" s="151">
        <f>+C2*1.027</f>
        <v>72558.987799999988</v>
      </c>
      <c r="E2" s="151">
        <f>+D2*1.027</f>
        <v>74518.080470599976</v>
      </c>
      <c r="F2" s="151">
        <f>+E2*1.027</f>
        <v>76530.068643306164</v>
      </c>
      <c r="G2" s="151">
        <f>+F2*1.027</f>
        <v>78596.380496675425</v>
      </c>
    </row>
    <row r="3" spans="1:7">
      <c r="A3" t="s">
        <v>207</v>
      </c>
      <c r="C3" s="151">
        <v>65212.4</v>
      </c>
      <c r="D3" s="151">
        <f t="shared" ref="D3:G4" si="0">+C3</f>
        <v>65212.4</v>
      </c>
      <c r="E3" s="151">
        <f t="shared" si="0"/>
        <v>65212.4</v>
      </c>
      <c r="F3" s="151">
        <f t="shared" si="0"/>
        <v>65212.4</v>
      </c>
      <c r="G3" s="151">
        <f t="shared" si="0"/>
        <v>65212.4</v>
      </c>
    </row>
    <row r="4" spans="1:7">
      <c r="A4" t="s">
        <v>164</v>
      </c>
      <c r="C4" s="151">
        <v>12000</v>
      </c>
      <c r="D4" s="151">
        <f t="shared" si="0"/>
        <v>12000</v>
      </c>
      <c r="E4" s="151">
        <f t="shared" si="0"/>
        <v>12000</v>
      </c>
      <c r="F4" s="151">
        <f t="shared" si="0"/>
        <v>12000</v>
      </c>
      <c r="G4" s="151">
        <f t="shared" si="0"/>
        <v>12000</v>
      </c>
    </row>
    <row r="7" spans="1:7">
      <c r="A7" t="s">
        <v>206</v>
      </c>
      <c r="C7" s="151">
        <f>+C1</f>
        <v>256089.60000000001</v>
      </c>
      <c r="D7" s="151">
        <f>+D1</f>
        <v>259674.85440000001</v>
      </c>
      <c r="E7" s="151">
        <f>+E1</f>
        <v>263310.30236160004</v>
      </c>
      <c r="F7" s="151">
        <f>+F1</f>
        <v>266996.64659466245</v>
      </c>
      <c r="G7" s="151">
        <f>+G1</f>
        <v>270734.59964698774</v>
      </c>
    </row>
    <row r="8" spans="1:7">
      <c r="A8" t="s">
        <v>237</v>
      </c>
      <c r="C8" s="151">
        <f t="shared" ref="C8:G10" si="1">-C2</f>
        <v>-70651.399999999994</v>
      </c>
      <c r="D8" s="151">
        <f t="shared" si="1"/>
        <v>-72558.987799999988</v>
      </c>
      <c r="E8" s="151">
        <f t="shared" si="1"/>
        <v>-74518.080470599976</v>
      </c>
      <c r="F8" s="151">
        <f t="shared" si="1"/>
        <v>-76530.068643306164</v>
      </c>
      <c r="G8" s="151">
        <f t="shared" si="1"/>
        <v>-78596.380496675425</v>
      </c>
    </row>
    <row r="9" spans="1:7">
      <c r="A9" t="s">
        <v>207</v>
      </c>
      <c r="C9" s="151">
        <f t="shared" si="1"/>
        <v>-65212.4</v>
      </c>
      <c r="D9" s="151">
        <f t="shared" si="1"/>
        <v>-65212.4</v>
      </c>
      <c r="E9" s="151">
        <f t="shared" si="1"/>
        <v>-65212.4</v>
      </c>
      <c r="F9" s="151">
        <f t="shared" si="1"/>
        <v>-65212.4</v>
      </c>
      <c r="G9" s="151">
        <f t="shared" si="1"/>
        <v>-65212.4</v>
      </c>
    </row>
    <row r="10" spans="1:7">
      <c r="A10" t="s">
        <v>164</v>
      </c>
      <c r="C10" s="151">
        <f t="shared" si="1"/>
        <v>-12000</v>
      </c>
      <c r="D10" s="151">
        <f t="shared" si="1"/>
        <v>-12000</v>
      </c>
      <c r="E10" s="151">
        <f t="shared" si="1"/>
        <v>-12000</v>
      </c>
      <c r="F10" s="151">
        <f t="shared" si="1"/>
        <v>-12000</v>
      </c>
      <c r="G10" s="151">
        <f t="shared" si="1"/>
        <v>-12000</v>
      </c>
    </row>
    <row r="11" spans="1:7">
      <c r="A11" t="s">
        <v>208</v>
      </c>
      <c r="C11" s="214">
        <f>+FC!C6</f>
        <v>-5632.6666666666661</v>
      </c>
      <c r="D11" s="214">
        <f>+FC!D6</f>
        <v>-5632.6666666666661</v>
      </c>
      <c r="E11" s="214">
        <f>+FC!E6</f>
        <v>-5632.6666666666661</v>
      </c>
      <c r="F11" s="214">
        <f>+FC!F6</f>
        <v>-5076</v>
      </c>
      <c r="G11" s="214">
        <f>+FC!G6</f>
        <v>-5076</v>
      </c>
    </row>
    <row r="12" spans="1:7">
      <c r="A12" t="s">
        <v>209</v>
      </c>
      <c r="C12" s="214">
        <f>+FC!C7</f>
        <v>-2112</v>
      </c>
      <c r="D12" s="214">
        <f>+FC!D7</f>
        <v>-2112</v>
      </c>
      <c r="E12" s="214">
        <f>+FC!E7</f>
        <v>-2112</v>
      </c>
      <c r="F12" s="214">
        <f>+FC!F7</f>
        <v>-2112</v>
      </c>
      <c r="G12" s="214">
        <f>+FC!G7</f>
        <v>-2112</v>
      </c>
    </row>
    <row r="13" spans="1:7">
      <c r="A13" t="s">
        <v>210</v>
      </c>
      <c r="C13" s="151">
        <f>SUM(C7:C12)</f>
        <v>100481.13333333335</v>
      </c>
      <c r="D13" s="151">
        <f>SUM(D7:D12)</f>
        <v>102158.79993333334</v>
      </c>
      <c r="E13" s="151">
        <f>SUM(E7:E12)</f>
        <v>103835.15522433339</v>
      </c>
      <c r="F13" s="151">
        <f>SUM(F7:F12)</f>
        <v>106066.17795135631</v>
      </c>
      <c r="G13" s="151">
        <f>SUM(G7:G12)</f>
        <v>107737.81915031231</v>
      </c>
    </row>
    <row r="14" spans="1:7">
      <c r="A14" t="s">
        <v>211</v>
      </c>
      <c r="C14" s="151">
        <f>-0.15*C13</f>
        <v>-15072.170000000002</v>
      </c>
      <c r="D14" s="151">
        <f>-0.15*D13</f>
        <v>-15323.81999</v>
      </c>
      <c r="E14" s="151">
        <f>-0.15*E13</f>
        <v>-15575.273283650007</v>
      </c>
      <c r="F14" s="151">
        <f>-0.15*F13</f>
        <v>-15909.926692703446</v>
      </c>
      <c r="G14" s="151">
        <f>-0.15*G13</f>
        <v>-16160.672872546846</v>
      </c>
    </row>
    <row r="15" spans="1:7">
      <c r="A15" t="s">
        <v>212</v>
      </c>
      <c r="C15" s="151">
        <f>-0.25*(C13+C14)</f>
        <v>-21352.240833333337</v>
      </c>
      <c r="D15" s="151">
        <f>-0.25*(D13+D14)</f>
        <v>-21708.744985833335</v>
      </c>
      <c r="E15" s="151">
        <f>-0.25*(E13+E14)</f>
        <v>-22064.970485170845</v>
      </c>
      <c r="F15" s="151">
        <f>-0.25*(F13+F14)</f>
        <v>-22539.062814663215</v>
      </c>
      <c r="G15" s="151">
        <f>-0.25*(G13+G14)</f>
        <v>-22894.286569441367</v>
      </c>
    </row>
    <row r="16" spans="1:7">
      <c r="A16" t="s">
        <v>205</v>
      </c>
      <c r="C16" s="151">
        <f>C13+C14+C15</f>
        <v>64056.722500000011</v>
      </c>
      <c r="D16" s="151">
        <f>D13+D14+D15</f>
        <v>65126.234957500004</v>
      </c>
      <c r="E16" s="151">
        <f>E13+E14+E15</f>
        <v>66194.911455512542</v>
      </c>
      <c r="F16" s="151">
        <f>F13+F14+F15</f>
        <v>67617.188443989638</v>
      </c>
      <c r="G16" s="151">
        <f>G13+G14+G15</f>
        <v>68682.859708324104</v>
      </c>
    </row>
    <row r="17" spans="1:7">
      <c r="A17" t="s">
        <v>208</v>
      </c>
      <c r="C17" s="214">
        <f t="shared" ref="C17:G18" si="2">-C11</f>
        <v>5632.6666666666661</v>
      </c>
      <c r="D17" s="214">
        <f t="shared" si="2"/>
        <v>5632.6666666666661</v>
      </c>
      <c r="E17" s="214">
        <f t="shared" si="2"/>
        <v>5632.6666666666661</v>
      </c>
      <c r="F17" s="214">
        <f t="shared" si="2"/>
        <v>5076</v>
      </c>
      <c r="G17" s="214">
        <f t="shared" si="2"/>
        <v>5076</v>
      </c>
    </row>
    <row r="18" spans="1:7">
      <c r="A18" t="s">
        <v>209</v>
      </c>
      <c r="C18" s="214">
        <f t="shared" si="2"/>
        <v>2112</v>
      </c>
      <c r="D18" s="214">
        <f t="shared" si="2"/>
        <v>2112</v>
      </c>
      <c r="E18" s="214">
        <f t="shared" si="2"/>
        <v>2112</v>
      </c>
      <c r="F18" s="214">
        <f t="shared" si="2"/>
        <v>2112</v>
      </c>
      <c r="G18" s="214">
        <f t="shared" si="2"/>
        <v>2112</v>
      </c>
    </row>
    <row r="19" spans="1:7">
      <c r="A19" t="s">
        <v>213</v>
      </c>
      <c r="B19" s="151">
        <f>+FC!B14</f>
        <v>-83769</v>
      </c>
      <c r="C19" s="214"/>
      <c r="D19" s="214"/>
      <c r="E19" s="214"/>
      <c r="F19" s="214"/>
      <c r="G19" s="214"/>
    </row>
    <row r="20" spans="1:7">
      <c r="A20" t="s">
        <v>214</v>
      </c>
      <c r="B20" s="151"/>
      <c r="C20" s="214"/>
      <c r="D20" s="214"/>
      <c r="E20" s="214">
        <f>+FC!E15</f>
        <v>-1670</v>
      </c>
      <c r="F20" s="214"/>
      <c r="G20" s="214"/>
    </row>
    <row r="21" spans="1:7">
      <c r="A21" t="s">
        <v>145</v>
      </c>
      <c r="B21" s="151">
        <f>+FC!B16</f>
        <v>-24328.133333333331</v>
      </c>
      <c r="C21" s="214"/>
      <c r="D21" s="214"/>
      <c r="E21" s="214"/>
      <c r="F21" s="214"/>
      <c r="G21" s="214"/>
    </row>
    <row r="22" spans="1:7">
      <c r="A22" t="s">
        <v>256</v>
      </c>
      <c r="B22" s="151"/>
      <c r="G22" s="151">
        <f>(F24-F17)/0.2436</f>
        <v>286244.61594412825</v>
      </c>
    </row>
    <row r="23" spans="1:7">
      <c r="B23" s="151"/>
    </row>
    <row r="24" spans="1:7">
      <c r="A24" s="213" t="s">
        <v>266</v>
      </c>
      <c r="B24" s="228">
        <f>B19+B21</f>
        <v>-108097.13333333333</v>
      </c>
      <c r="C24" s="228">
        <f>C16+C17+C18+C20+C22</f>
        <v>71801.389166666675</v>
      </c>
      <c r="D24" s="228">
        <f>D16+D17+D18+D20+D22</f>
        <v>72870.901624166669</v>
      </c>
      <c r="E24" s="228">
        <f>E16+E17+E18+E20+E22</f>
        <v>72269.578122179213</v>
      </c>
      <c r="F24" s="228">
        <f>F16+F17+F18+F20+F22</f>
        <v>74805.188443989638</v>
      </c>
      <c r="G24" s="228">
        <f>G16+G17+G18+G20+G22</f>
        <v>362115.47565245233</v>
      </c>
    </row>
    <row r="25" spans="1:7">
      <c r="A25" s="213"/>
      <c r="B25" s="228"/>
      <c r="C25" s="213"/>
      <c r="D25" s="213"/>
      <c r="E25" s="213"/>
      <c r="F25" s="213"/>
      <c r="G25" s="213"/>
    </row>
    <row r="26" spans="1:7">
      <c r="A26" s="213" t="s">
        <v>217</v>
      </c>
      <c r="B26" s="228">
        <f>NPV(32.17%,C24:G24)+B24</f>
        <v>133537.25895581857</v>
      </c>
      <c r="C26" s="213"/>
      <c r="D26" s="213"/>
      <c r="E26" s="213"/>
      <c r="F26" s="213"/>
      <c r="G26" s="213"/>
    </row>
  </sheetData>
  <phoneticPr fontId="2" type="noConversion"/>
  <pageMargins left="0.75" right="0.75" top="1" bottom="1" header="0" footer="0"/>
  <headerFooter alignWithMargins="0"/>
  <ignoredErrors>
    <ignoredError sqref="C8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35" sqref="A35"/>
    </sheetView>
  </sheetViews>
  <sheetFormatPr baseColWidth="10" defaultRowHeight="12.75"/>
  <cols>
    <col min="1" max="1" width="24.140625" style="215" bestFit="1" customWidth="1"/>
    <col min="2" max="16384" width="11.42578125" style="215"/>
  </cols>
  <sheetData>
    <row r="1" spans="1:8">
      <c r="C1" s="283" t="s">
        <v>261</v>
      </c>
      <c r="D1" s="283"/>
      <c r="E1" s="283"/>
      <c r="F1" s="284" t="s">
        <v>262</v>
      </c>
      <c r="G1" s="284"/>
      <c r="H1" s="284"/>
    </row>
    <row r="2" spans="1:8">
      <c r="C2" s="245">
        <v>1</v>
      </c>
      <c r="D2" s="245">
        <v>2</v>
      </c>
      <c r="E2" s="245">
        <v>3</v>
      </c>
      <c r="F2" s="238">
        <v>1</v>
      </c>
      <c r="G2" s="238">
        <v>2</v>
      </c>
      <c r="H2" s="238">
        <v>3</v>
      </c>
    </row>
    <row r="3" spans="1:8">
      <c r="A3" s="239" t="s">
        <v>151</v>
      </c>
      <c r="B3" s="240" t="s">
        <v>262</v>
      </c>
      <c r="C3" s="48"/>
      <c r="D3" s="218"/>
      <c r="E3" s="218"/>
      <c r="F3" s="217">
        <f>+CPrest.Ser.!D2</f>
        <v>47470</v>
      </c>
      <c r="G3" s="217">
        <f t="shared" ref="G3:H5" si="0">+F3*1.027</f>
        <v>48751.689999999995</v>
      </c>
      <c r="H3" s="222">
        <f t="shared" si="0"/>
        <v>50067.985629999988</v>
      </c>
    </row>
    <row r="4" spans="1:8">
      <c r="A4" s="239" t="s">
        <v>153</v>
      </c>
      <c r="B4" s="240" t="s">
        <v>262</v>
      </c>
      <c r="C4" s="48"/>
      <c r="D4" s="219"/>
      <c r="E4" s="219"/>
      <c r="F4" s="93">
        <f>+CPrest.Ser.!D3</f>
        <v>21307</v>
      </c>
      <c r="G4" s="93">
        <f t="shared" si="0"/>
        <v>21882.288999999997</v>
      </c>
      <c r="H4" s="220">
        <f t="shared" si="0"/>
        <v>22473.110802999996</v>
      </c>
    </row>
    <row r="5" spans="1:8">
      <c r="A5" s="239" t="s">
        <v>155</v>
      </c>
      <c r="B5" s="240" t="s">
        <v>262</v>
      </c>
      <c r="C5" s="48"/>
      <c r="D5" s="219"/>
      <c r="E5" s="219"/>
      <c r="F5" s="93">
        <f>+CPrest.Ser.!D4</f>
        <v>1874.4</v>
      </c>
      <c r="G5" s="93">
        <f t="shared" si="0"/>
        <v>1925.0087999999998</v>
      </c>
      <c r="H5" s="220">
        <f t="shared" si="0"/>
        <v>1976.9840375999997</v>
      </c>
    </row>
    <row r="6" spans="1:8">
      <c r="A6" s="239" t="s">
        <v>257</v>
      </c>
      <c r="B6" s="240" t="s">
        <v>261</v>
      </c>
      <c r="C6" s="93">
        <f>-FC!C6</f>
        <v>5632.6666666666661</v>
      </c>
      <c r="D6" s="220">
        <f>-FC!D6</f>
        <v>5632.6666666666661</v>
      </c>
      <c r="E6" s="220">
        <f>-FC!E6</f>
        <v>5632.6666666666661</v>
      </c>
      <c r="F6" s="48"/>
      <c r="G6" s="48"/>
      <c r="H6" s="219"/>
    </row>
    <row r="7" spans="1:8">
      <c r="A7" s="239" t="s">
        <v>258</v>
      </c>
      <c r="B7" s="240" t="s">
        <v>261</v>
      </c>
      <c r="C7" s="93">
        <f>-FC!C7</f>
        <v>2112</v>
      </c>
      <c r="D7" s="220">
        <f>-FC!D7</f>
        <v>2112</v>
      </c>
      <c r="E7" s="220">
        <f>-FC!E7</f>
        <v>2112</v>
      </c>
      <c r="F7" s="48"/>
      <c r="G7" s="48"/>
      <c r="H7" s="219"/>
    </row>
    <row r="8" spans="1:8">
      <c r="A8" s="239" t="s">
        <v>259</v>
      </c>
      <c r="B8" s="240" t="s">
        <v>261</v>
      </c>
      <c r="C8" s="93">
        <f>-FC!C4</f>
        <v>65212.4</v>
      </c>
      <c r="D8" s="220">
        <f>-FC!D4</f>
        <v>65212.4</v>
      </c>
      <c r="E8" s="220">
        <f>-FC!E4</f>
        <v>65212.4</v>
      </c>
      <c r="F8" s="48"/>
      <c r="G8" s="48"/>
      <c r="H8" s="219"/>
    </row>
    <row r="9" spans="1:8">
      <c r="A9" s="239" t="s">
        <v>164</v>
      </c>
      <c r="B9" s="240" t="s">
        <v>261</v>
      </c>
      <c r="C9" s="216">
        <f>-FC!C5</f>
        <v>12000</v>
      </c>
      <c r="D9" s="221">
        <f>-FC!D5</f>
        <v>12000</v>
      </c>
      <c r="E9" s="221">
        <f>-FC!E5</f>
        <v>12000</v>
      </c>
      <c r="F9" s="195"/>
      <c r="G9" s="195"/>
      <c r="H9" s="223"/>
    </row>
    <row r="10" spans="1:8">
      <c r="A10" s="241" t="s">
        <v>166</v>
      </c>
      <c r="B10" s="242"/>
      <c r="C10" s="224">
        <f>SUM(C6:C9)</f>
        <v>84957.066666666666</v>
      </c>
      <c r="D10" s="225">
        <f>SUM(D6:D9)</f>
        <v>84957.066666666666</v>
      </c>
      <c r="E10" s="225">
        <f>SUM(E6:E9)</f>
        <v>84957.066666666666</v>
      </c>
      <c r="F10" s="224">
        <f>SUM(F3:F9)</f>
        <v>70651.399999999994</v>
      </c>
      <c r="G10" s="224">
        <f>SUM(G3:G9)</f>
        <v>72558.987799999988</v>
      </c>
      <c r="H10" s="226">
        <f>SUM(H3:H9)</f>
        <v>74518.080470599991</v>
      </c>
    </row>
    <row r="11" spans="1:8">
      <c r="A11" s="241" t="s">
        <v>260</v>
      </c>
      <c r="B11" s="242"/>
      <c r="C11" s="227">
        <f>+FC!C2</f>
        <v>256089.60000000001</v>
      </c>
      <c r="D11" s="225">
        <f>+FC!D2</f>
        <v>263004.01919999998</v>
      </c>
      <c r="E11" s="225">
        <f>+FC!E2</f>
        <v>270105.12771839992</v>
      </c>
      <c r="F11" s="48"/>
    </row>
    <row r="12" spans="1:8">
      <c r="A12" s="285" t="s">
        <v>263</v>
      </c>
      <c r="B12" s="286"/>
      <c r="C12" s="243">
        <f>+C10/(C11-F10)</f>
        <v>0.45814220946205614</v>
      </c>
      <c r="D12" s="243">
        <f>+D10/(D11-G10)</f>
        <v>0.44609757493871105</v>
      </c>
      <c r="E12" s="243">
        <f>+E10/(E11-H10)</f>
        <v>0.43436959585074114</v>
      </c>
    </row>
    <row r="13" spans="1:8">
      <c r="A13" s="285" t="s">
        <v>264</v>
      </c>
      <c r="B13" s="286"/>
      <c r="C13" s="244">
        <f>+Ingresos1!M2*PE!C12</f>
        <v>381.17431827243075</v>
      </c>
      <c r="D13" s="244">
        <f>+C13*1.014</f>
        <v>386.51075872824481</v>
      </c>
      <c r="E13" s="244">
        <f>+D13*1.014</f>
        <v>391.92190935044022</v>
      </c>
    </row>
  </sheetData>
  <mergeCells count="4">
    <mergeCell ref="C1:E1"/>
    <mergeCell ref="F1:H1"/>
    <mergeCell ref="A12:B12"/>
    <mergeCell ref="A13:B13"/>
  </mergeCells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sqref="A1:D19"/>
    </sheetView>
  </sheetViews>
  <sheetFormatPr baseColWidth="10" defaultColWidth="9.140625" defaultRowHeight="12.75"/>
  <cols>
    <col min="1" max="1" width="9.140625" customWidth="1"/>
    <col min="2" max="2" width="24.5703125" bestFit="1" customWidth="1"/>
    <col min="3" max="3" width="14.42578125" bestFit="1" customWidth="1"/>
    <col min="4" max="4" width="10.5703125" bestFit="1" customWidth="1"/>
  </cols>
  <sheetData>
    <row r="1" spans="1:4" ht="15" customHeight="1">
      <c r="A1" s="257" t="s">
        <v>18</v>
      </c>
      <c r="B1" s="259" t="s">
        <v>29</v>
      </c>
      <c r="C1" s="43" t="s">
        <v>30</v>
      </c>
      <c r="D1" s="44" t="s">
        <v>31</v>
      </c>
    </row>
    <row r="2" spans="1:4" ht="15" customHeight="1">
      <c r="A2" s="258"/>
      <c r="B2" s="260"/>
      <c r="C2" s="45" t="s">
        <v>32</v>
      </c>
      <c r="D2" s="46" t="s">
        <v>32</v>
      </c>
    </row>
    <row r="3" spans="1:4" ht="15" customHeight="1">
      <c r="A3" s="47">
        <v>3</v>
      </c>
      <c r="B3" s="48" t="s">
        <v>33</v>
      </c>
      <c r="C3" s="49">
        <f>450+70</f>
        <v>520</v>
      </c>
      <c r="D3" s="50">
        <f t="shared" ref="D3:D17" si="0">C3*A3</f>
        <v>1560</v>
      </c>
    </row>
    <row r="4" spans="1:4" ht="15" customHeight="1">
      <c r="A4" s="47">
        <v>4</v>
      </c>
      <c r="B4" s="48" t="s">
        <v>34</v>
      </c>
      <c r="C4" s="49">
        <v>45</v>
      </c>
      <c r="D4" s="50">
        <f t="shared" si="0"/>
        <v>180</v>
      </c>
    </row>
    <row r="5" spans="1:4" ht="15" customHeight="1">
      <c r="A5" s="47">
        <v>1</v>
      </c>
      <c r="B5" s="48" t="s">
        <v>35</v>
      </c>
      <c r="C5" s="49">
        <v>150</v>
      </c>
      <c r="D5" s="50">
        <f t="shared" si="0"/>
        <v>150</v>
      </c>
    </row>
    <row r="6" spans="1:4" ht="15" customHeight="1">
      <c r="A6" s="47">
        <v>1</v>
      </c>
      <c r="B6" s="48" t="s">
        <v>36</v>
      </c>
      <c r="C6" s="49">
        <v>50</v>
      </c>
      <c r="D6" s="50">
        <f t="shared" si="0"/>
        <v>50</v>
      </c>
    </row>
    <row r="7" spans="1:4" ht="15" customHeight="1">
      <c r="A7" s="47">
        <v>5</v>
      </c>
      <c r="B7" s="48" t="s">
        <v>37</v>
      </c>
      <c r="C7" s="49">
        <v>25</v>
      </c>
      <c r="D7" s="50">
        <f t="shared" si="0"/>
        <v>125</v>
      </c>
    </row>
    <row r="8" spans="1:4" ht="15" customHeight="1">
      <c r="A8" s="47">
        <v>2</v>
      </c>
      <c r="B8" s="48" t="s">
        <v>38</v>
      </c>
      <c r="C8" s="49">
        <v>205</v>
      </c>
      <c r="D8" s="50">
        <f t="shared" si="0"/>
        <v>410</v>
      </c>
    </row>
    <row r="9" spans="1:4" ht="15" customHeight="1">
      <c r="A9" s="47">
        <v>1</v>
      </c>
      <c r="B9" s="48" t="s">
        <v>39</v>
      </c>
      <c r="C9" s="49">
        <v>130</v>
      </c>
      <c r="D9" s="50">
        <f t="shared" si="0"/>
        <v>130</v>
      </c>
    </row>
    <row r="10" spans="1:4" ht="15" customHeight="1">
      <c r="A10" s="47">
        <v>2</v>
      </c>
      <c r="B10" s="48" t="s">
        <v>40</v>
      </c>
      <c r="C10" s="49">
        <v>60</v>
      </c>
      <c r="D10" s="50">
        <f t="shared" si="0"/>
        <v>120</v>
      </c>
    </row>
    <row r="11" spans="1:4" ht="15" customHeight="1">
      <c r="A11" s="47">
        <v>1</v>
      </c>
      <c r="B11" s="48" t="s">
        <v>41</v>
      </c>
      <c r="C11" s="49">
        <v>110</v>
      </c>
      <c r="D11" s="50">
        <f t="shared" si="0"/>
        <v>110</v>
      </c>
    </row>
    <row r="12" spans="1:4" ht="15" customHeight="1">
      <c r="A12" s="47">
        <v>1</v>
      </c>
      <c r="B12" s="48" t="s">
        <v>42</v>
      </c>
      <c r="C12" s="49">
        <v>120</v>
      </c>
      <c r="D12" s="50">
        <f t="shared" si="0"/>
        <v>120</v>
      </c>
    </row>
    <row r="13" spans="1:4" ht="15" customHeight="1">
      <c r="A13" s="47">
        <v>3</v>
      </c>
      <c r="B13" s="48" t="s">
        <v>43</v>
      </c>
      <c r="C13" s="49">
        <v>60</v>
      </c>
      <c r="D13" s="50">
        <f t="shared" si="0"/>
        <v>180</v>
      </c>
    </row>
    <row r="14" spans="1:4" ht="15" customHeight="1">
      <c r="A14" s="47">
        <v>4</v>
      </c>
      <c r="B14" s="48" t="s">
        <v>44</v>
      </c>
      <c r="C14" s="49">
        <v>15</v>
      </c>
      <c r="D14" s="50">
        <f t="shared" si="0"/>
        <v>60</v>
      </c>
    </row>
    <row r="15" spans="1:4" ht="15" customHeight="1">
      <c r="A15" s="47">
        <v>4</v>
      </c>
      <c r="B15" s="48" t="s">
        <v>45</v>
      </c>
      <c r="C15" s="49">
        <v>35</v>
      </c>
      <c r="D15" s="50">
        <f t="shared" si="0"/>
        <v>140</v>
      </c>
    </row>
    <row r="16" spans="1:4" ht="15" customHeight="1">
      <c r="A16" s="47">
        <v>4</v>
      </c>
      <c r="B16" s="48" t="s">
        <v>46</v>
      </c>
      <c r="C16" s="49">
        <v>60</v>
      </c>
      <c r="D16" s="50">
        <f t="shared" si="0"/>
        <v>240</v>
      </c>
    </row>
    <row r="17" spans="1:4" ht="15" customHeight="1">
      <c r="A17" s="47">
        <v>1</v>
      </c>
      <c r="B17" s="48" t="s">
        <v>47</v>
      </c>
      <c r="C17" s="49">
        <v>25</v>
      </c>
      <c r="D17" s="50">
        <f t="shared" si="0"/>
        <v>25</v>
      </c>
    </row>
    <row r="18" spans="1:4" ht="15" customHeight="1">
      <c r="A18" s="35"/>
      <c r="B18" s="48"/>
      <c r="C18" s="48"/>
      <c r="D18" s="51"/>
    </row>
    <row r="19" spans="1:4" ht="15" customHeight="1" thickBot="1">
      <c r="A19" s="40"/>
      <c r="B19" s="41"/>
      <c r="C19" s="42" t="s">
        <v>25</v>
      </c>
      <c r="D19" s="52">
        <f>SUM(D3:D18)</f>
        <v>3600</v>
      </c>
    </row>
  </sheetData>
  <mergeCells count="2">
    <mergeCell ref="A1:A2"/>
    <mergeCell ref="B1:B2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C184"/>
  <sheetViews>
    <sheetView topLeftCell="A154" workbookViewId="0">
      <selection activeCell="B167" sqref="B167"/>
    </sheetView>
  </sheetViews>
  <sheetFormatPr baseColWidth="10" defaultColWidth="9.140625" defaultRowHeight="12.75"/>
  <cols>
    <col min="1" max="1" width="31.5703125" bestFit="1" customWidth="1"/>
  </cols>
  <sheetData>
    <row r="2" spans="1:3">
      <c r="A2" t="s">
        <v>48</v>
      </c>
      <c r="B2" s="55">
        <f>0.35*303</f>
        <v>106.05</v>
      </c>
    </row>
    <row r="3" spans="1:3">
      <c r="A3" t="s">
        <v>49</v>
      </c>
      <c r="B3" s="55">
        <f>0.65*303</f>
        <v>196.95000000000002</v>
      </c>
    </row>
    <row r="15" spans="1:3">
      <c r="A15" t="s">
        <v>50</v>
      </c>
      <c r="B15" s="56">
        <v>0.16</v>
      </c>
      <c r="C15" s="55">
        <f>$B$2*B15</f>
        <v>16.968</v>
      </c>
    </row>
    <row r="16" spans="1:3">
      <c r="A16" t="s">
        <v>51</v>
      </c>
      <c r="B16" s="56">
        <v>0.09</v>
      </c>
      <c r="C16" s="55">
        <f t="shared" ref="C16:C26" si="0">$B$2*B16</f>
        <v>9.5444999999999993</v>
      </c>
    </row>
    <row r="17" spans="1:3">
      <c r="A17" t="s">
        <v>52</v>
      </c>
      <c r="B17" s="56">
        <v>0.11</v>
      </c>
      <c r="C17" s="55">
        <f t="shared" si="0"/>
        <v>11.6655</v>
      </c>
    </row>
    <row r="18" spans="1:3">
      <c r="A18" t="s">
        <v>53</v>
      </c>
      <c r="B18" s="56">
        <v>0.02</v>
      </c>
      <c r="C18" s="55">
        <f t="shared" si="0"/>
        <v>2.121</v>
      </c>
    </row>
    <row r="19" spans="1:3">
      <c r="A19" t="s">
        <v>59</v>
      </c>
      <c r="B19" s="56">
        <v>0.03</v>
      </c>
      <c r="C19" s="55">
        <f t="shared" si="0"/>
        <v>3.1814999999999998</v>
      </c>
    </row>
    <row r="20" spans="1:3">
      <c r="A20" t="s">
        <v>54</v>
      </c>
      <c r="B20" s="56">
        <v>0.01</v>
      </c>
      <c r="C20" s="55">
        <f t="shared" si="0"/>
        <v>1.0605</v>
      </c>
    </row>
    <row r="21" spans="1:3">
      <c r="A21" t="s">
        <v>55</v>
      </c>
      <c r="B21" s="56">
        <v>0.15</v>
      </c>
      <c r="C21" s="55">
        <f t="shared" si="0"/>
        <v>15.907499999999999</v>
      </c>
    </row>
    <row r="22" spans="1:3">
      <c r="A22" t="s">
        <v>56</v>
      </c>
      <c r="B22" s="56">
        <v>7.0000000000000007E-2</v>
      </c>
      <c r="C22" s="55">
        <f t="shared" si="0"/>
        <v>7.4235000000000007</v>
      </c>
    </row>
    <row r="23" spans="1:3">
      <c r="A23" t="s">
        <v>57</v>
      </c>
      <c r="B23" s="56">
        <v>0.09</v>
      </c>
      <c r="C23" s="55">
        <f t="shared" si="0"/>
        <v>9.5444999999999993</v>
      </c>
    </row>
    <row r="24" spans="1:3">
      <c r="A24" t="s">
        <v>58</v>
      </c>
      <c r="B24" s="56">
        <v>0.08</v>
      </c>
      <c r="C24" s="55">
        <f t="shared" si="0"/>
        <v>8.484</v>
      </c>
    </row>
    <row r="25" spans="1:3">
      <c r="A25" t="s">
        <v>60</v>
      </c>
      <c r="B25" s="56">
        <v>0.16</v>
      </c>
      <c r="C25" s="55">
        <f t="shared" si="0"/>
        <v>16.968</v>
      </c>
    </row>
    <row r="26" spans="1:3">
      <c r="A26" t="s">
        <v>61</v>
      </c>
      <c r="B26" s="56">
        <v>0.03</v>
      </c>
      <c r="C26" s="55">
        <f t="shared" si="0"/>
        <v>3.1814999999999998</v>
      </c>
    </row>
    <row r="34" spans="1:2">
      <c r="A34" t="s">
        <v>62</v>
      </c>
      <c r="B34" s="56">
        <v>0.04</v>
      </c>
    </row>
    <row r="35" spans="1:2">
      <c r="A35" t="s">
        <v>64</v>
      </c>
      <c r="B35" s="56">
        <v>0.08</v>
      </c>
    </row>
    <row r="36" spans="1:2">
      <c r="A36" t="s">
        <v>63</v>
      </c>
      <c r="B36" s="56">
        <v>0.14000000000000001</v>
      </c>
    </row>
    <row r="37" spans="1:2">
      <c r="A37" t="s">
        <v>65</v>
      </c>
      <c r="B37" s="56">
        <v>0.12</v>
      </c>
    </row>
    <row r="38" spans="1:2">
      <c r="A38" t="s">
        <v>66</v>
      </c>
      <c r="B38" s="56">
        <v>0.14000000000000001</v>
      </c>
    </row>
    <row r="39" spans="1:2">
      <c r="A39" t="s">
        <v>67</v>
      </c>
      <c r="B39" s="56">
        <v>0.09</v>
      </c>
    </row>
    <row r="40" spans="1:2">
      <c r="A40" t="s">
        <v>68</v>
      </c>
      <c r="B40" s="56">
        <v>0.06</v>
      </c>
    </row>
    <row r="41" spans="1:2">
      <c r="A41" t="s">
        <v>69</v>
      </c>
      <c r="B41" s="56">
        <v>0.12</v>
      </c>
    </row>
    <row r="42" spans="1:2">
      <c r="A42" t="s">
        <v>71</v>
      </c>
      <c r="B42" s="56">
        <v>0.16</v>
      </c>
    </row>
    <row r="43" spans="1:2">
      <c r="A43" t="s">
        <v>70</v>
      </c>
      <c r="B43" s="56">
        <v>0.05</v>
      </c>
    </row>
    <row r="50" spans="1:2">
      <c r="A50" t="s">
        <v>48</v>
      </c>
      <c r="B50" s="56">
        <v>0.91</v>
      </c>
    </row>
    <row r="51" spans="1:2">
      <c r="A51" t="s">
        <v>49</v>
      </c>
      <c r="B51" s="56">
        <v>0.09</v>
      </c>
    </row>
    <row r="63" spans="1:2">
      <c r="A63" t="s">
        <v>72</v>
      </c>
      <c r="B63" s="56">
        <v>7.0000000000000007E-2</v>
      </c>
    </row>
    <row r="64" spans="1:2">
      <c r="A64" t="s">
        <v>73</v>
      </c>
      <c r="B64" s="56">
        <v>0.35</v>
      </c>
    </row>
    <row r="65" spans="1:2">
      <c r="A65" t="s">
        <v>74</v>
      </c>
      <c r="B65" s="56">
        <v>0.03</v>
      </c>
    </row>
    <row r="66" spans="1:2">
      <c r="A66" t="s">
        <v>75</v>
      </c>
      <c r="B66" s="56">
        <v>0.03</v>
      </c>
    </row>
    <row r="67" spans="1:2">
      <c r="A67" t="s">
        <v>76</v>
      </c>
      <c r="B67" s="56">
        <v>0.11</v>
      </c>
    </row>
    <row r="68" spans="1:2">
      <c r="A68" t="s">
        <v>77</v>
      </c>
      <c r="B68" s="56">
        <v>0.15</v>
      </c>
    </row>
    <row r="69" spans="1:2">
      <c r="A69" t="s">
        <v>78</v>
      </c>
      <c r="B69" s="56">
        <v>0.02</v>
      </c>
    </row>
    <row r="70" spans="1:2">
      <c r="A70" t="s">
        <v>79</v>
      </c>
      <c r="B70" s="56">
        <v>0.03</v>
      </c>
    </row>
    <row r="71" spans="1:2">
      <c r="A71" t="s">
        <v>80</v>
      </c>
      <c r="B71" s="56">
        <v>0.18</v>
      </c>
    </row>
    <row r="72" spans="1:2">
      <c r="A72" t="s">
        <v>61</v>
      </c>
      <c r="B72" s="56">
        <v>0.03</v>
      </c>
    </row>
    <row r="80" spans="1:2">
      <c r="A80" t="s">
        <v>83</v>
      </c>
      <c r="B80" s="56">
        <v>0.27</v>
      </c>
    </row>
    <row r="81" spans="1:2">
      <c r="A81" t="s">
        <v>81</v>
      </c>
      <c r="B81" s="56">
        <v>0.12</v>
      </c>
    </row>
    <row r="82" spans="1:2">
      <c r="A82" t="s">
        <v>82</v>
      </c>
      <c r="B82" s="56">
        <v>0.11</v>
      </c>
    </row>
    <row r="83" spans="1:2">
      <c r="A83" t="s">
        <v>84</v>
      </c>
      <c r="B83" s="56">
        <v>0.05</v>
      </c>
    </row>
    <row r="84" spans="1:2">
      <c r="A84" t="s">
        <v>85</v>
      </c>
      <c r="B84" s="56">
        <v>0.02</v>
      </c>
    </row>
    <row r="85" spans="1:2">
      <c r="A85" t="s">
        <v>86</v>
      </c>
      <c r="B85" s="56">
        <v>0.17</v>
      </c>
    </row>
    <row r="86" spans="1:2">
      <c r="A86" t="s">
        <v>87</v>
      </c>
      <c r="B86" s="56">
        <v>0.08</v>
      </c>
    </row>
    <row r="87" spans="1:2">
      <c r="A87" t="s">
        <v>88</v>
      </c>
      <c r="B87" s="56">
        <v>0.15</v>
      </c>
    </row>
    <row r="88" spans="1:2">
      <c r="A88" t="s">
        <v>61</v>
      </c>
      <c r="B88" s="56">
        <v>0.03</v>
      </c>
    </row>
    <row r="94" spans="1:2">
      <c r="A94" t="s">
        <v>89</v>
      </c>
      <c r="B94" s="56">
        <v>0.41</v>
      </c>
    </row>
    <row r="95" spans="1:2">
      <c r="A95" t="s">
        <v>90</v>
      </c>
      <c r="B95" s="56">
        <v>0.2</v>
      </c>
    </row>
    <row r="96" spans="1:2">
      <c r="A96" t="s">
        <v>91</v>
      </c>
      <c r="B96" s="56">
        <v>0.17</v>
      </c>
    </row>
    <row r="97" spans="1:2">
      <c r="A97" t="s">
        <v>92</v>
      </c>
      <c r="B97" s="56">
        <v>0.18</v>
      </c>
    </row>
    <row r="98" spans="1:2">
      <c r="A98" t="s">
        <v>93</v>
      </c>
      <c r="B98" s="56">
        <v>0.04</v>
      </c>
    </row>
    <row r="109" spans="1:2">
      <c r="A109" t="s">
        <v>94</v>
      </c>
      <c r="B109" s="56">
        <v>0.35</v>
      </c>
    </row>
    <row r="110" spans="1:2">
      <c r="A110" t="s">
        <v>95</v>
      </c>
      <c r="B110" s="56">
        <v>0.2</v>
      </c>
    </row>
    <row r="111" spans="1:2">
      <c r="A111" t="s">
        <v>96</v>
      </c>
      <c r="B111" s="56">
        <v>0.3</v>
      </c>
    </row>
    <row r="112" spans="1:2">
      <c r="A112" t="s">
        <v>97</v>
      </c>
      <c r="B112" s="56">
        <v>0.15</v>
      </c>
    </row>
    <row r="121" spans="1:2">
      <c r="A121" t="s">
        <v>98</v>
      </c>
      <c r="B121" s="56">
        <v>0.28999999999999998</v>
      </c>
    </row>
    <row r="122" spans="1:2">
      <c r="A122" t="s">
        <v>99</v>
      </c>
      <c r="B122" s="56">
        <v>0.21</v>
      </c>
    </row>
    <row r="123" spans="1:2">
      <c r="A123" t="s">
        <v>100</v>
      </c>
      <c r="B123" s="56">
        <v>0.17</v>
      </c>
    </row>
    <row r="124" spans="1:2">
      <c r="A124" t="s">
        <v>101</v>
      </c>
      <c r="B124" s="56">
        <v>0.1</v>
      </c>
    </row>
    <row r="125" spans="1:2">
      <c r="A125" t="s">
        <v>102</v>
      </c>
      <c r="B125" s="56">
        <v>0.2</v>
      </c>
    </row>
    <row r="126" spans="1:2">
      <c r="A126" t="s">
        <v>70</v>
      </c>
      <c r="B126" s="56">
        <v>0.03</v>
      </c>
    </row>
    <row r="136" spans="1:2">
      <c r="A136" t="s">
        <v>103</v>
      </c>
      <c r="B136" s="56">
        <v>0.52</v>
      </c>
    </row>
    <row r="137" spans="1:2">
      <c r="A137" t="s">
        <v>104</v>
      </c>
      <c r="B137" s="56">
        <v>0.18</v>
      </c>
    </row>
    <row r="138" spans="1:2">
      <c r="A138" t="s">
        <v>105</v>
      </c>
      <c r="B138" s="56">
        <v>0.17</v>
      </c>
    </row>
    <row r="139" spans="1:2">
      <c r="A139" t="s">
        <v>106</v>
      </c>
      <c r="B139" s="56">
        <v>0.09</v>
      </c>
    </row>
    <row r="140" spans="1:2">
      <c r="A140" t="s">
        <v>107</v>
      </c>
      <c r="B140" s="56">
        <v>0.04</v>
      </c>
    </row>
    <row r="149" spans="1:2">
      <c r="A149" t="s">
        <v>108</v>
      </c>
      <c r="B149" s="56">
        <v>0.65</v>
      </c>
    </row>
    <row r="150" spans="1:2">
      <c r="A150" t="s">
        <v>109</v>
      </c>
      <c r="B150" s="56">
        <v>0.25</v>
      </c>
    </row>
    <row r="151" spans="1:2">
      <c r="A151" t="s">
        <v>110</v>
      </c>
      <c r="B151" s="56">
        <v>0.08</v>
      </c>
    </row>
    <row r="152" spans="1:2">
      <c r="A152" t="s">
        <v>111</v>
      </c>
      <c r="B152" s="56">
        <v>0.02</v>
      </c>
    </row>
    <row r="164" spans="1:2">
      <c r="A164" t="s">
        <v>112</v>
      </c>
      <c r="B164" s="56">
        <v>0.18</v>
      </c>
    </row>
    <row r="165" spans="1:2">
      <c r="A165" t="s">
        <v>113</v>
      </c>
      <c r="B165" s="56">
        <v>7.0000000000000007E-2</v>
      </c>
    </row>
    <row r="166" spans="1:2">
      <c r="A166" t="s">
        <v>114</v>
      </c>
      <c r="B166" s="56">
        <v>0.33</v>
      </c>
    </row>
    <row r="167" spans="1:2">
      <c r="A167" t="s">
        <v>115</v>
      </c>
      <c r="B167" s="56">
        <v>0.36</v>
      </c>
    </row>
    <row r="168" spans="1:2">
      <c r="A168" t="s">
        <v>61</v>
      </c>
      <c r="B168" s="56">
        <v>0.06</v>
      </c>
    </row>
    <row r="178" spans="1:2">
      <c r="A178" t="s">
        <v>116</v>
      </c>
      <c r="B178" s="56">
        <v>0.17</v>
      </c>
    </row>
    <row r="179" spans="1:2">
      <c r="A179" t="s">
        <v>117</v>
      </c>
      <c r="B179" s="56">
        <v>0.34</v>
      </c>
    </row>
    <row r="180" spans="1:2">
      <c r="A180" t="s">
        <v>118</v>
      </c>
      <c r="B180" s="56">
        <v>0.11</v>
      </c>
    </row>
    <row r="181" spans="1:2">
      <c r="A181" t="s">
        <v>119</v>
      </c>
      <c r="B181" s="56">
        <v>0.12</v>
      </c>
    </row>
    <row r="182" spans="1:2">
      <c r="A182" t="s">
        <v>120</v>
      </c>
      <c r="B182" s="56">
        <v>0.14000000000000001</v>
      </c>
    </row>
    <row r="183" spans="1:2">
      <c r="A183" t="s">
        <v>121</v>
      </c>
      <c r="B183" s="56">
        <v>0.09</v>
      </c>
    </row>
    <row r="184" spans="1:2">
      <c r="A184" t="s">
        <v>61</v>
      </c>
      <c r="B184" s="56">
        <v>0.03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29"/>
  <sheetViews>
    <sheetView workbookViewId="0">
      <selection activeCell="C5" sqref="C5"/>
    </sheetView>
  </sheetViews>
  <sheetFormatPr baseColWidth="10" defaultRowHeight="12.75"/>
  <sheetData>
    <row r="2" spans="2:6">
      <c r="B2" s="261" t="s">
        <v>122</v>
      </c>
      <c r="C2" s="62" t="s">
        <v>123</v>
      </c>
      <c r="D2" s="63" t="s">
        <v>125</v>
      </c>
    </row>
    <row r="3" spans="2:6">
      <c r="B3" s="262"/>
      <c r="C3" s="64" t="s">
        <v>124</v>
      </c>
      <c r="D3" s="65" t="s">
        <v>126</v>
      </c>
    </row>
    <row r="4" spans="2:6">
      <c r="B4" s="36">
        <v>1</v>
      </c>
      <c r="C4" s="36">
        <v>832</v>
      </c>
      <c r="D4" s="60">
        <v>1.0240000000000001E-2</v>
      </c>
    </row>
    <row r="5" spans="2:6">
      <c r="B5" s="36">
        <v>2</v>
      </c>
      <c r="C5" s="58">
        <f>C4*(1+$D$4)</f>
        <v>840.51967999999999</v>
      </c>
      <c r="D5" s="60">
        <f t="shared" ref="D5:D13" si="0">+D4</f>
        <v>1.0240000000000001E-2</v>
      </c>
    </row>
    <row r="6" spans="2:6">
      <c r="B6" s="36">
        <v>3</v>
      </c>
      <c r="C6" s="58">
        <f t="shared" ref="C6:C13" si="1">C5*(1+$D$4)</f>
        <v>849.12660152320007</v>
      </c>
      <c r="D6" s="60">
        <f t="shared" si="0"/>
        <v>1.0240000000000001E-2</v>
      </c>
    </row>
    <row r="7" spans="2:6">
      <c r="B7" s="36">
        <v>4</v>
      </c>
      <c r="C7" s="58">
        <f t="shared" si="1"/>
        <v>857.82165792279761</v>
      </c>
      <c r="D7" s="60">
        <f t="shared" si="0"/>
        <v>1.0240000000000001E-2</v>
      </c>
    </row>
    <row r="8" spans="2:6">
      <c r="B8" s="36">
        <v>5</v>
      </c>
      <c r="C8" s="58">
        <f t="shared" si="1"/>
        <v>866.60575169992705</v>
      </c>
      <c r="D8" s="60">
        <f t="shared" si="0"/>
        <v>1.0240000000000001E-2</v>
      </c>
    </row>
    <row r="9" spans="2:6">
      <c r="B9" s="36">
        <v>6</v>
      </c>
      <c r="C9" s="58">
        <f t="shared" si="1"/>
        <v>875.47979459733438</v>
      </c>
      <c r="D9" s="60">
        <f t="shared" si="0"/>
        <v>1.0240000000000001E-2</v>
      </c>
    </row>
    <row r="10" spans="2:6">
      <c r="B10" s="36">
        <v>7</v>
      </c>
      <c r="C10" s="58">
        <f t="shared" si="1"/>
        <v>884.44470769401107</v>
      </c>
      <c r="D10" s="60">
        <f t="shared" si="0"/>
        <v>1.0240000000000001E-2</v>
      </c>
    </row>
    <row r="11" spans="2:6">
      <c r="B11" s="36">
        <v>8</v>
      </c>
      <c r="C11" s="58">
        <f t="shared" si="1"/>
        <v>893.50142150079773</v>
      </c>
      <c r="D11" s="60">
        <f t="shared" si="0"/>
        <v>1.0240000000000001E-2</v>
      </c>
    </row>
    <row r="12" spans="2:6">
      <c r="B12" s="36">
        <v>9</v>
      </c>
      <c r="C12" s="58">
        <f t="shared" si="1"/>
        <v>902.6508760569659</v>
      </c>
      <c r="D12" s="60">
        <f t="shared" si="0"/>
        <v>1.0240000000000001E-2</v>
      </c>
    </row>
    <row r="13" spans="2:6">
      <c r="B13" s="57">
        <v>10</v>
      </c>
      <c r="C13" s="59">
        <f t="shared" si="1"/>
        <v>911.89402102778922</v>
      </c>
      <c r="D13" s="61">
        <f t="shared" si="0"/>
        <v>1.0240000000000001E-2</v>
      </c>
      <c r="F13" s="61">
        <v>1.4E-2</v>
      </c>
    </row>
    <row r="23" spans="4:8">
      <c r="G23">
        <f>1.4/100</f>
        <v>1.3999999999999999E-2</v>
      </c>
    </row>
    <row r="25" spans="4:8">
      <c r="H25">
        <f>+C4+G27</f>
        <v>843.64800000000002</v>
      </c>
    </row>
    <row r="27" spans="4:8">
      <c r="G27">
        <f>+C4*G23</f>
        <v>11.648</v>
      </c>
    </row>
    <row r="29" spans="4:8">
      <c r="D29">
        <f>832*D13</f>
        <v>8.519680000000001</v>
      </c>
      <c r="F29" s="141">
        <f>+C4*F13</f>
        <v>11.648</v>
      </c>
    </row>
  </sheetData>
  <mergeCells count="1">
    <mergeCell ref="B2:B3"/>
  </mergeCells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C16" sqref="C16"/>
    </sheetView>
  </sheetViews>
  <sheetFormatPr baseColWidth="10" defaultRowHeight="12.75"/>
  <cols>
    <col min="1" max="1" width="24.42578125" bestFit="1" customWidth="1"/>
    <col min="2" max="2" width="16.28515625" bestFit="1" customWidth="1"/>
  </cols>
  <sheetData>
    <row r="1" spans="1:2" ht="15" customHeight="1">
      <c r="A1" s="32" t="s">
        <v>29</v>
      </c>
      <c r="B1" s="34" t="s">
        <v>127</v>
      </c>
    </row>
    <row r="2" spans="1:2" ht="15" customHeight="1">
      <c r="A2" s="35" t="s">
        <v>128</v>
      </c>
      <c r="B2" s="66">
        <v>0</v>
      </c>
    </row>
    <row r="3" spans="1:2" ht="15" customHeight="1">
      <c r="A3" s="35" t="s">
        <v>129</v>
      </c>
      <c r="B3" s="66">
        <f>120*150</f>
        <v>18000</v>
      </c>
    </row>
    <row r="4" spans="1:2" ht="15" customHeight="1">
      <c r="A4" s="35" t="s">
        <v>130</v>
      </c>
      <c r="B4" s="66">
        <f>91*180</f>
        <v>16380</v>
      </c>
    </row>
    <row r="5" spans="1:2" ht="15" customHeight="1">
      <c r="A5" s="35"/>
      <c r="B5" s="66"/>
    </row>
    <row r="6" spans="1:2" ht="15" customHeight="1" thickBot="1">
      <c r="A6" s="67" t="s">
        <v>25</v>
      </c>
      <c r="B6" s="68">
        <f>SUM(B2:B5)</f>
        <v>34380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39" sqref="E39"/>
    </sheetView>
  </sheetViews>
  <sheetFormatPr baseColWidth="10" defaultColWidth="9.140625" defaultRowHeight="12"/>
  <cols>
    <col min="1" max="1" width="8.140625" style="154" bestFit="1" customWidth="1"/>
    <col min="2" max="2" width="31.7109375" style="154" bestFit="1" customWidth="1"/>
    <col min="3" max="3" width="12.85546875" style="154" bestFit="1" customWidth="1"/>
    <col min="4" max="4" width="9.5703125" style="154" bestFit="1" customWidth="1"/>
    <col min="5" max="5" width="14.42578125" style="154" bestFit="1" customWidth="1"/>
    <col min="6" max="16384" width="9.140625" style="154"/>
  </cols>
  <sheetData>
    <row r="1" spans="1:5" ht="15" customHeight="1">
      <c r="A1" s="263" t="s">
        <v>18</v>
      </c>
      <c r="B1" s="266" t="s">
        <v>131</v>
      </c>
      <c r="C1" s="152" t="s">
        <v>30</v>
      </c>
      <c r="D1" s="152" t="s">
        <v>132</v>
      </c>
      <c r="E1" s="153" t="s">
        <v>31</v>
      </c>
    </row>
    <row r="2" spans="1:5" ht="15" customHeight="1">
      <c r="A2" s="264"/>
      <c r="B2" s="267"/>
      <c r="C2" s="155" t="s">
        <v>32</v>
      </c>
      <c r="D2" s="155" t="s">
        <v>133</v>
      </c>
      <c r="E2" s="156" t="s">
        <v>134</v>
      </c>
    </row>
    <row r="3" spans="1:5" ht="15" customHeight="1">
      <c r="A3" s="265"/>
      <c r="B3" s="268"/>
      <c r="C3" s="157"/>
      <c r="D3" s="157" t="s">
        <v>32</v>
      </c>
      <c r="E3" s="158" t="s">
        <v>32</v>
      </c>
    </row>
    <row r="4" spans="1:5" ht="15" customHeight="1">
      <c r="A4" s="159">
        <v>10</v>
      </c>
      <c r="B4" s="160" t="s">
        <v>220</v>
      </c>
      <c r="C4" s="161">
        <v>140</v>
      </c>
      <c r="D4" s="161"/>
      <c r="E4" s="162">
        <f t="shared" ref="E4:E13" si="0">(C4*A4)+D4</f>
        <v>1400</v>
      </c>
    </row>
    <row r="5" spans="1:5" ht="15" customHeight="1">
      <c r="A5" s="159">
        <v>5</v>
      </c>
      <c r="B5" s="160" t="s">
        <v>221</v>
      </c>
      <c r="C5" s="161">
        <v>230</v>
      </c>
      <c r="D5" s="161"/>
      <c r="E5" s="162">
        <f t="shared" si="0"/>
        <v>1150</v>
      </c>
    </row>
    <row r="6" spans="1:5" ht="15" customHeight="1">
      <c r="A6" s="159">
        <v>25</v>
      </c>
      <c r="B6" s="163" t="s">
        <v>222</v>
      </c>
      <c r="C6" s="161">
        <v>25</v>
      </c>
      <c r="D6" s="161"/>
      <c r="E6" s="162">
        <f t="shared" si="0"/>
        <v>625</v>
      </c>
    </row>
    <row r="7" spans="1:5" ht="15" customHeight="1">
      <c r="A7" s="159">
        <v>15</v>
      </c>
      <c r="B7" s="163" t="s">
        <v>223</v>
      </c>
      <c r="C7" s="161">
        <v>1500</v>
      </c>
      <c r="D7" s="161">
        <f>0.05*C7</f>
        <v>75</v>
      </c>
      <c r="E7" s="162">
        <f t="shared" si="0"/>
        <v>22575</v>
      </c>
    </row>
    <row r="8" spans="1:5" ht="15" customHeight="1">
      <c r="A8" s="159">
        <v>2</v>
      </c>
      <c r="B8" s="160" t="s">
        <v>224</v>
      </c>
      <c r="C8" s="161">
        <v>800</v>
      </c>
      <c r="D8" s="161">
        <f>0.05*C8</f>
        <v>40</v>
      </c>
      <c r="E8" s="162">
        <f t="shared" si="0"/>
        <v>1640</v>
      </c>
    </row>
    <row r="9" spans="1:5" ht="15" customHeight="1">
      <c r="A9" s="159">
        <v>2</v>
      </c>
      <c r="B9" s="160" t="s">
        <v>225</v>
      </c>
      <c r="C9" s="161">
        <v>360</v>
      </c>
      <c r="D9" s="161"/>
      <c r="E9" s="162">
        <f t="shared" si="0"/>
        <v>720</v>
      </c>
    </row>
    <row r="10" spans="1:5" ht="15" customHeight="1">
      <c r="A10" s="159">
        <v>1</v>
      </c>
      <c r="B10" s="160" t="s">
        <v>226</v>
      </c>
      <c r="C10" s="161">
        <v>800</v>
      </c>
      <c r="D10" s="161"/>
      <c r="E10" s="162">
        <f t="shared" si="0"/>
        <v>800</v>
      </c>
    </row>
    <row r="11" spans="1:5" ht="15" customHeight="1">
      <c r="A11" s="159">
        <v>1</v>
      </c>
      <c r="B11" s="160" t="s">
        <v>227</v>
      </c>
      <c r="C11" s="161">
        <v>2000</v>
      </c>
      <c r="D11" s="161"/>
      <c r="E11" s="162">
        <f t="shared" si="0"/>
        <v>2000</v>
      </c>
    </row>
    <row r="12" spans="1:5" ht="15" customHeight="1">
      <c r="A12" s="159">
        <v>30</v>
      </c>
      <c r="B12" s="160" t="s">
        <v>135</v>
      </c>
      <c r="C12" s="161">
        <v>5</v>
      </c>
      <c r="D12" s="161"/>
      <c r="E12" s="162">
        <f t="shared" si="0"/>
        <v>150</v>
      </c>
    </row>
    <row r="13" spans="1:5" ht="15" customHeight="1">
      <c r="A13" s="159">
        <v>10</v>
      </c>
      <c r="B13" s="160" t="s">
        <v>228</v>
      </c>
      <c r="C13" s="161">
        <v>18</v>
      </c>
      <c r="D13" s="161"/>
      <c r="E13" s="162">
        <f t="shared" si="0"/>
        <v>180</v>
      </c>
    </row>
    <row r="14" spans="1:5" ht="15" customHeight="1">
      <c r="A14" s="164"/>
      <c r="B14" s="160"/>
      <c r="C14" s="160"/>
      <c r="D14" s="160"/>
      <c r="E14" s="165"/>
    </row>
    <row r="15" spans="1:5" ht="15" customHeight="1" thickBot="1">
      <c r="A15" s="166"/>
      <c r="B15" s="167"/>
      <c r="C15" s="168" t="s">
        <v>25</v>
      </c>
      <c r="D15" s="168"/>
      <c r="E15" s="169">
        <f>SUM(E4:E14)</f>
        <v>31240</v>
      </c>
    </row>
  </sheetData>
  <mergeCells count="2">
    <mergeCell ref="A1:A3"/>
    <mergeCell ref="B1:B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2" sqref="A32"/>
    </sheetView>
  </sheetViews>
  <sheetFormatPr baseColWidth="10" defaultColWidth="9.140625" defaultRowHeight="12.75"/>
  <cols>
    <col min="1" max="1" width="23.5703125" bestFit="1" customWidth="1"/>
    <col min="2" max="2" width="29.42578125" bestFit="1" customWidth="1"/>
    <col min="3" max="3" width="15.7109375" bestFit="1" customWidth="1"/>
  </cols>
  <sheetData>
    <row r="1" spans="1:3" ht="15" customHeight="1">
      <c r="A1" s="71" t="s">
        <v>29</v>
      </c>
      <c r="B1" s="72" t="s">
        <v>17</v>
      </c>
      <c r="C1" s="73" t="s">
        <v>136</v>
      </c>
    </row>
    <row r="2" spans="1:3" ht="15" customHeight="1">
      <c r="A2" s="35" t="s">
        <v>137</v>
      </c>
      <c r="B2" s="48" t="s">
        <v>138</v>
      </c>
      <c r="C2" s="50">
        <v>600</v>
      </c>
    </row>
    <row r="3" spans="1:3" ht="15" customHeight="1">
      <c r="A3" s="35" t="s">
        <v>139</v>
      </c>
      <c r="B3" s="48" t="s">
        <v>140</v>
      </c>
      <c r="C3" s="50">
        <v>5000</v>
      </c>
    </row>
    <row r="4" spans="1:3" ht="15" customHeight="1">
      <c r="A4" s="35" t="s">
        <v>141</v>
      </c>
      <c r="B4" s="48" t="s">
        <v>218</v>
      </c>
      <c r="C4" s="50">
        <f>120*4*2</f>
        <v>960</v>
      </c>
    </row>
    <row r="5" spans="1:3" ht="15" customHeight="1">
      <c r="A5" s="35" t="s">
        <v>254</v>
      </c>
      <c r="B5" s="48" t="s">
        <v>219</v>
      </c>
      <c r="C5" s="50">
        <f>2000*2</f>
        <v>4000</v>
      </c>
    </row>
    <row r="6" spans="1:3" ht="15" customHeight="1">
      <c r="A6" s="35"/>
      <c r="B6" s="48"/>
      <c r="C6" s="66"/>
    </row>
    <row r="7" spans="1:3" ht="15" customHeight="1" thickBot="1">
      <c r="A7" s="40"/>
      <c r="B7" s="74" t="s">
        <v>25</v>
      </c>
      <c r="C7" s="75">
        <f>SUM(C2:C6)</f>
        <v>10560</v>
      </c>
    </row>
  </sheetData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39" sqref="F39"/>
    </sheetView>
  </sheetViews>
  <sheetFormatPr baseColWidth="10" defaultRowHeight="12.75"/>
  <cols>
    <col min="1" max="1" width="23.85546875" bestFit="1" customWidth="1"/>
    <col min="2" max="2" width="16.28515625" bestFit="1" customWidth="1"/>
    <col min="5" max="5" width="30.28515625" bestFit="1" customWidth="1"/>
    <col min="6" max="6" width="14.7109375" bestFit="1" customWidth="1"/>
  </cols>
  <sheetData>
    <row r="1" spans="1:7" ht="15" customHeight="1">
      <c r="A1" s="32" t="s">
        <v>29</v>
      </c>
      <c r="B1" s="34" t="s">
        <v>127</v>
      </c>
      <c r="E1" s="32" t="s">
        <v>29</v>
      </c>
      <c r="F1" s="33" t="s">
        <v>142</v>
      </c>
      <c r="G1" s="34" t="s">
        <v>143</v>
      </c>
    </row>
    <row r="2" spans="1:7" ht="15" customHeight="1">
      <c r="A2" s="35" t="s">
        <v>230</v>
      </c>
      <c r="B2" s="66">
        <f>+Equipos!E15</f>
        <v>31240</v>
      </c>
      <c r="E2" s="35" t="s">
        <v>144</v>
      </c>
      <c r="F2" s="76">
        <f>+B9</f>
        <v>83769</v>
      </c>
      <c r="G2" s="77">
        <f>F2/$F$5</f>
        <v>0.77494191952053004</v>
      </c>
    </row>
    <row r="3" spans="1:7" ht="15" customHeight="1">
      <c r="A3" s="35" t="s">
        <v>229</v>
      </c>
      <c r="B3" s="66">
        <f>+Herramientas!D19</f>
        <v>3600</v>
      </c>
      <c r="E3" s="35" t="s">
        <v>145</v>
      </c>
      <c r="F3" s="76">
        <f>-'K de Trabajo'!E5</f>
        <v>24328.133333333331</v>
      </c>
      <c r="G3" s="77">
        <f>F3/$F$5</f>
        <v>0.22505808047946999</v>
      </c>
    </row>
    <row r="4" spans="1:7" ht="15" customHeight="1">
      <c r="A4" s="35" t="s">
        <v>175</v>
      </c>
      <c r="B4" s="66">
        <f>+'Obra civil'!B6</f>
        <v>34380</v>
      </c>
      <c r="E4" s="35"/>
      <c r="F4" s="48"/>
      <c r="G4" s="69"/>
    </row>
    <row r="5" spans="1:7" ht="15" customHeight="1" thickBot="1">
      <c r="A5" s="35" t="s">
        <v>146</v>
      </c>
      <c r="B5" s="66">
        <f>+'A diferido'!C7</f>
        <v>10560</v>
      </c>
      <c r="E5" s="67" t="s">
        <v>25</v>
      </c>
      <c r="F5" s="78">
        <f>SUM(F2:F4)</f>
        <v>108097.13333333333</v>
      </c>
      <c r="G5" s="79"/>
    </row>
    <row r="6" spans="1:7" ht="15" customHeight="1">
      <c r="A6" s="35" t="s">
        <v>147</v>
      </c>
      <c r="B6" s="66">
        <f>SUM(B2:B5)</f>
        <v>79780</v>
      </c>
    </row>
    <row r="7" spans="1:7" ht="15" customHeight="1">
      <c r="A7" s="35" t="s">
        <v>148</v>
      </c>
      <c r="B7" s="66">
        <f>0.05*B6</f>
        <v>3989</v>
      </c>
    </row>
    <row r="8" spans="1:7" ht="15" customHeight="1">
      <c r="A8" s="35"/>
      <c r="B8" s="66"/>
    </row>
    <row r="9" spans="1:7" ht="15" customHeight="1" thickBot="1">
      <c r="A9" s="67" t="s">
        <v>25</v>
      </c>
      <c r="B9" s="68">
        <f>B6+B7</f>
        <v>83769</v>
      </c>
    </row>
  </sheetData>
  <phoneticPr fontId="2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</vt:i4>
      </vt:variant>
    </vt:vector>
  </HeadingPairs>
  <TitlesOfParts>
    <vt:vector size="25" baseType="lpstr">
      <vt:lpstr>organigrama</vt:lpstr>
      <vt:lpstr>Hoja2</vt:lpstr>
      <vt:lpstr>Herramientas</vt:lpstr>
      <vt:lpstr>Encuestas</vt:lpstr>
      <vt:lpstr>Demanda</vt:lpstr>
      <vt:lpstr>Obra civil</vt:lpstr>
      <vt:lpstr>Equipos</vt:lpstr>
      <vt:lpstr>A diferido</vt:lpstr>
      <vt:lpstr>I Total</vt:lpstr>
      <vt:lpstr>Personal</vt:lpstr>
      <vt:lpstr>CPrest.Ser.</vt:lpstr>
      <vt:lpstr>K de Trabajo</vt:lpstr>
      <vt:lpstr>GAdmin</vt:lpstr>
      <vt:lpstr>Gvtas</vt:lpstr>
      <vt:lpstr>Costos mes</vt:lpstr>
      <vt:lpstr>Ingresos1</vt:lpstr>
      <vt:lpstr>Ytotales</vt:lpstr>
      <vt:lpstr>Dep y amort</vt:lpstr>
      <vt:lpstr>costo totales</vt:lpstr>
      <vt:lpstr>BGI</vt:lpstr>
      <vt:lpstr>EP&amp;G</vt:lpstr>
      <vt:lpstr>FC</vt:lpstr>
      <vt:lpstr>FC_CB</vt:lpstr>
      <vt:lpstr>PE</vt:lpstr>
      <vt:lpstr>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Juan F. del Pozo L.</cp:lastModifiedBy>
  <dcterms:created xsi:type="dcterms:W3CDTF">1996-11-27T10:00:04Z</dcterms:created>
  <dcterms:modified xsi:type="dcterms:W3CDTF">2009-09-29T16:48:04Z</dcterms:modified>
</cp:coreProperties>
</file>