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autoCompressPictures="0" defaultThemeVersion="124226"/>
  <bookViews>
    <workbookView xWindow="480" yWindow="60" windowWidth="19440" windowHeight="12240" activeTab="1"/>
  </bookViews>
  <sheets>
    <sheet name="Supuestos" sheetId="1" r:id="rId1"/>
    <sheet name="FdC Pro" sheetId="21" r:id="rId2"/>
    <sheet name="FdC Inv" sheetId="8" r:id="rId3"/>
    <sheet name="Ingresos" sheetId="2" r:id="rId4"/>
    <sheet name="E.Oper.1" sheetId="20" r:id="rId5"/>
    <sheet name="Costos y Gastos" sheetId="19" r:id="rId6"/>
    <sheet name="Prod." sheetId="10" r:id="rId7"/>
    <sheet name="Inv." sheetId="5" r:id="rId8"/>
    <sheet name="CdT" sheetId="7" r:id="rId9"/>
    <sheet name="S&amp;S" sheetId="12" r:id="rId10"/>
    <sheet name="Deprec." sheetId="4" r:id="rId11"/>
    <sheet name="Amort." sheetId="13" r:id="rId12"/>
    <sheet name="Demanda" sheetId="14" r:id="rId13"/>
  </sheets>
  <externalReferences>
    <externalReference r:id="rId14"/>
  </externalReferences>
  <definedNames>
    <definedName name="_xlnm.Print_Area" localSheetId="8">CdT!$A$1:$N$22</definedName>
    <definedName name="_xlnm.Print_Area" localSheetId="4">E.Oper.1!$A$1:$M$36</definedName>
    <definedName name="_xlnm.Print_Area" localSheetId="2">'FdC Inv'!$A$29:$M$52</definedName>
    <definedName name="_xlnm.Print_Area" localSheetId="1">'FdC Pro'!$A$1:$M$28</definedName>
    <definedName name="_xlnm.Print_Area" localSheetId="3">Ingresos!$A$1:$M$23</definedName>
    <definedName name="_xlnm.Print_Area" localSheetId="6">Prod.!$A$1:$N$35</definedName>
  </definedNames>
  <calcPr calcId="125725"/>
</workbook>
</file>

<file path=xl/calcChain.xml><?xml version="1.0" encoding="utf-8"?>
<calcChain xmlns="http://schemas.openxmlformats.org/spreadsheetml/2006/main">
  <c r="G48" i="8"/>
  <c r="F48" i="21"/>
  <c r="F22"/>
  <c r="E22"/>
  <c r="D22"/>
  <c r="F13"/>
  <c r="E13"/>
  <c r="D13"/>
  <c r="F21" i="8"/>
  <c r="E21"/>
  <c r="D21"/>
  <c r="F12"/>
  <c r="E12"/>
  <c r="D12"/>
  <c r="C36" i="21" l="1"/>
  <c r="C36" i="8"/>
  <c r="G43" i="1"/>
  <c r="D44" i="12"/>
  <c r="D43"/>
  <c r="D42"/>
  <c r="D41"/>
  <c r="E34"/>
  <c r="F34" s="1"/>
  <c r="E33"/>
  <c r="F33" s="1"/>
  <c r="E32"/>
  <c r="F32" s="1"/>
  <c r="I6" i="13"/>
  <c r="C10" i="19"/>
  <c r="D8" i="14"/>
  <c r="D6"/>
  <c r="B12" i="4"/>
  <c r="A6"/>
  <c r="A7"/>
  <c r="A8"/>
  <c r="A9"/>
  <c r="A10"/>
  <c r="A11"/>
  <c r="D31" i="20"/>
  <c r="E31" s="1"/>
  <c r="F31" s="1"/>
  <c r="G31" s="1"/>
  <c r="H31" s="1"/>
  <c r="I31" s="1"/>
  <c r="J31" s="1"/>
  <c r="K31" s="1"/>
  <c r="L31" s="1"/>
  <c r="M31" s="1"/>
  <c r="P31" s="1"/>
  <c r="D35"/>
  <c r="F16" i="19" s="1"/>
  <c r="D22" i="20"/>
  <c r="E22" s="1"/>
  <c r="F22" s="1"/>
  <c r="G22" s="1"/>
  <c r="H22" s="1"/>
  <c r="I22" s="1"/>
  <c r="J22" s="1"/>
  <c r="K22" s="1"/>
  <c r="L22" s="1"/>
  <c r="M22" s="1"/>
  <c r="P22" s="1"/>
  <c r="D9"/>
  <c r="E9" s="1"/>
  <c r="F9" s="1"/>
  <c r="G9" s="1"/>
  <c r="H9" s="1"/>
  <c r="I9" s="1"/>
  <c r="J9" s="1"/>
  <c r="K9" s="1"/>
  <c r="L9" s="1"/>
  <c r="M9" s="1"/>
  <c r="P9" s="1"/>
  <c r="D8"/>
  <c r="E8" s="1"/>
  <c r="F8" s="1"/>
  <c r="G8" s="1"/>
  <c r="H8" s="1"/>
  <c r="I8" s="1"/>
  <c r="J8" s="1"/>
  <c r="K8" s="1"/>
  <c r="L8" s="1"/>
  <c r="M8" s="1"/>
  <c r="P8" s="1"/>
  <c r="D13" i="8"/>
  <c r="D20" s="1"/>
  <c r="D14" i="21"/>
  <c r="D21" s="1"/>
  <c r="C17" i="5"/>
  <c r="C12"/>
  <c r="C18"/>
  <c r="D7" i="12"/>
  <c r="F7" s="1"/>
  <c r="F11"/>
  <c r="G11"/>
  <c r="H11" s="1"/>
  <c r="I11" s="1"/>
  <c r="J11" s="1"/>
  <c r="K11" s="1"/>
  <c r="F12"/>
  <c r="G12"/>
  <c r="H12" s="1"/>
  <c r="I12" s="1"/>
  <c r="J12" s="1"/>
  <c r="K12" s="1"/>
  <c r="D6"/>
  <c r="F6"/>
  <c r="G6" s="1"/>
  <c r="E14"/>
  <c r="F13"/>
  <c r="G13"/>
  <c r="H13" s="1"/>
  <c r="I13" s="1"/>
  <c r="J13" s="1"/>
  <c r="K13" s="1"/>
  <c r="A11"/>
  <c r="D19"/>
  <c r="E19" s="1"/>
  <c r="D21"/>
  <c r="E21" s="1"/>
  <c r="J1" i="1"/>
  <c r="J32"/>
  <c r="H34"/>
  <c r="H35" s="1"/>
  <c r="B19" i="10" s="1"/>
  <c r="C19" s="1"/>
  <c r="D19" s="1"/>
  <c r="B4" i="1"/>
  <c r="B5" s="1"/>
  <c r="B19" s="1"/>
  <c r="G5"/>
  <c r="G11" s="1"/>
  <c r="G12" s="1"/>
  <c r="A5" i="4"/>
  <c r="D30" i="1"/>
  <c r="D32"/>
  <c r="D33"/>
  <c r="D34"/>
  <c r="D35"/>
  <c r="D36"/>
  <c r="D13"/>
  <c r="B34" s="1"/>
  <c r="D14"/>
  <c r="C7" i="5" s="1"/>
  <c r="C17" i="1"/>
  <c r="D17" s="1"/>
  <c r="C16"/>
  <c r="D16" s="1"/>
  <c r="D11"/>
  <c r="C14" i="5" s="1"/>
  <c r="D9" i="1"/>
  <c r="C15" i="5" s="1"/>
  <c r="B31" i="1"/>
  <c r="C31" s="1"/>
  <c r="D15"/>
  <c r="G34"/>
  <c r="G35" s="1"/>
  <c r="G20"/>
  <c r="G21" s="1"/>
  <c r="D6" i="20" s="1"/>
  <c r="G3" i="1"/>
  <c r="F26" s="1"/>
  <c r="G26" s="1"/>
  <c r="G17"/>
  <c r="G18"/>
  <c r="D5" i="20" s="1"/>
  <c r="G14" i="1"/>
  <c r="G15"/>
  <c r="D15" i="20" s="1"/>
  <c r="G6" i="1"/>
  <c r="B36" l="1"/>
  <c r="C36" s="1"/>
  <c r="E36" s="1"/>
  <c r="E35" i="20"/>
  <c r="F35" s="1"/>
  <c r="G35" s="1"/>
  <c r="H35" s="1"/>
  <c r="I35" s="1"/>
  <c r="J35" s="1"/>
  <c r="K35" s="1"/>
  <c r="L35" s="1"/>
  <c r="M35" s="1"/>
  <c r="P35" s="1"/>
  <c r="E6"/>
  <c r="F6" s="1"/>
  <c r="G6" s="1"/>
  <c r="H6" s="1"/>
  <c r="I6" s="1"/>
  <c r="J6" s="1"/>
  <c r="K6" s="1"/>
  <c r="L6" s="1"/>
  <c r="M6" s="1"/>
  <c r="P6" s="1"/>
  <c r="C21" i="19"/>
  <c r="C24" i="5"/>
  <c r="H12"/>
  <c r="C15" i="2"/>
  <c r="E19" i="10"/>
  <c r="F10" i="19"/>
  <c r="D29" i="20"/>
  <c r="E29" s="1"/>
  <c r="F29" s="1"/>
  <c r="G29" s="1"/>
  <c r="H29" s="1"/>
  <c r="I29" s="1"/>
  <c r="J29" s="1"/>
  <c r="K29" s="1"/>
  <c r="L29" s="1"/>
  <c r="M29" s="1"/>
  <c r="P29" s="1"/>
  <c r="H6" i="12"/>
  <c r="F9" i="19"/>
  <c r="D28" i="20"/>
  <c r="E28" s="1"/>
  <c r="F28" s="1"/>
  <c r="G28" s="1"/>
  <c r="H28" s="1"/>
  <c r="I28" s="1"/>
  <c r="J28" s="1"/>
  <c r="K28" s="1"/>
  <c r="L28" s="1"/>
  <c r="M28" s="1"/>
  <c r="P28" s="1"/>
  <c r="C12" i="19"/>
  <c r="D24" i="20"/>
  <c r="E24" s="1"/>
  <c r="F24" s="1"/>
  <c r="G24" s="1"/>
  <c r="H24" s="1"/>
  <c r="I24" s="1"/>
  <c r="J24" s="1"/>
  <c r="K24" s="1"/>
  <c r="L24" s="1"/>
  <c r="M24" s="1"/>
  <c r="P24" s="1"/>
  <c r="G7" i="12"/>
  <c r="H7" s="1"/>
  <c r="I7" s="1"/>
  <c r="J7" s="1"/>
  <c r="K7" s="1"/>
  <c r="C20" i="19"/>
  <c r="E5" i="20"/>
  <c r="C34" i="1"/>
  <c r="E34" s="1"/>
  <c r="C9" i="5"/>
  <c r="C30" i="19"/>
  <c r="E15" i="20"/>
  <c r="F15" s="1"/>
  <c r="G15" s="1"/>
  <c r="H15" s="1"/>
  <c r="I15" s="1"/>
  <c r="J15" s="1"/>
  <c r="K15" s="1"/>
  <c r="L15" s="1"/>
  <c r="M15" s="1"/>
  <c r="P15" s="1"/>
  <c r="G4" i="1"/>
  <c r="E31"/>
  <c r="B35"/>
  <c r="L9" i="4" l="1"/>
  <c r="G9"/>
  <c r="K9"/>
  <c r="F9"/>
  <c r="J9"/>
  <c r="E9"/>
  <c r="I9"/>
  <c r="D9"/>
  <c r="H9"/>
  <c r="C9"/>
  <c r="F7" i="19"/>
  <c r="D26" i="20"/>
  <c r="E26" s="1"/>
  <c r="F26" s="1"/>
  <c r="G26" s="1"/>
  <c r="H26" s="1"/>
  <c r="I26" s="1"/>
  <c r="J26" s="1"/>
  <c r="K26" s="1"/>
  <c r="L26" s="1"/>
  <c r="M26" s="1"/>
  <c r="P26" s="1"/>
  <c r="G6" i="4"/>
  <c r="K6"/>
  <c r="F6"/>
  <c r="J6"/>
  <c r="L6"/>
  <c r="E6"/>
  <c r="I6"/>
  <c r="D6"/>
  <c r="H6"/>
  <c r="C6"/>
  <c r="N10" i="7"/>
  <c r="L10"/>
  <c r="J10"/>
  <c r="H10"/>
  <c r="F10"/>
  <c r="D10"/>
  <c r="D8" i="8"/>
  <c r="D10" s="1"/>
  <c r="M10" i="7"/>
  <c r="K10"/>
  <c r="I10"/>
  <c r="G10"/>
  <c r="E10"/>
  <c r="D9" i="21"/>
  <c r="D11" s="1"/>
  <c r="L11" i="4"/>
  <c r="K11"/>
  <c r="E11"/>
  <c r="J11"/>
  <c r="D11"/>
  <c r="I11"/>
  <c r="G11"/>
  <c r="C11"/>
  <c r="H11"/>
  <c r="F11"/>
  <c r="C35" i="1"/>
  <c r="E35" s="1"/>
  <c r="F5" i="20"/>
  <c r="F19" i="10"/>
  <c r="D15" i="2"/>
  <c r="I9" i="8"/>
  <c r="I10" i="21"/>
  <c r="I6" i="12"/>
  <c r="L10" i="4" l="1"/>
  <c r="E10"/>
  <c r="I10"/>
  <c r="D10"/>
  <c r="H10"/>
  <c r="C10"/>
  <c r="G10"/>
  <c r="K10"/>
  <c r="F10"/>
  <c r="J10"/>
  <c r="J6" i="12"/>
  <c r="E8" i="8"/>
  <c r="E10" s="1"/>
  <c r="E9" i="21"/>
  <c r="E11" s="1"/>
  <c r="E15" i="2"/>
  <c r="G19" i="10"/>
  <c r="G5" i="20"/>
  <c r="H5" l="1"/>
  <c r="F8" i="8"/>
  <c r="F10" s="1"/>
  <c r="F9" i="21"/>
  <c r="F11" s="1"/>
  <c r="H19" i="10"/>
  <c r="F15" i="2"/>
  <c r="K6" i="12"/>
  <c r="G8" i="8" l="1"/>
  <c r="G10" s="1"/>
  <c r="G9" i="21"/>
  <c r="G11" s="1"/>
  <c r="I5" i="20"/>
  <c r="F8" i="19"/>
  <c r="D27" i="20"/>
  <c r="E27" s="1"/>
  <c r="F27" s="1"/>
  <c r="G27" s="1"/>
  <c r="H27" s="1"/>
  <c r="I27" s="1"/>
  <c r="J27" s="1"/>
  <c r="K27" s="1"/>
  <c r="L27" s="1"/>
  <c r="M27" s="1"/>
  <c r="P27" s="1"/>
  <c r="G15" i="2"/>
  <c r="I19" i="10"/>
  <c r="H8" i="8" l="1"/>
  <c r="H10" s="1"/>
  <c r="H9" i="21"/>
  <c r="H11" s="1"/>
  <c r="J5" i="20"/>
  <c r="J19" i="10"/>
  <c r="H15" i="2"/>
  <c r="I8" i="8" l="1"/>
  <c r="I10" s="1"/>
  <c r="I9" i="21"/>
  <c r="I11" s="1"/>
  <c r="K5" i="20"/>
  <c r="I15" i="2"/>
  <c r="K19" i="10"/>
  <c r="L19" l="1"/>
  <c r="J15" i="2"/>
  <c r="L5" i="20"/>
  <c r="J8" i="8"/>
  <c r="J10" s="1"/>
  <c r="J9" i="21"/>
  <c r="J11" s="1"/>
  <c r="M5" i="20" l="1"/>
  <c r="K15" i="2"/>
  <c r="M19" i="10"/>
  <c r="K8" i="8"/>
  <c r="K10" s="1"/>
  <c r="K9" i="21"/>
  <c r="K11" s="1"/>
  <c r="L8" i="8" l="1"/>
  <c r="L10" s="1"/>
  <c r="L9" i="21"/>
  <c r="L11" s="1"/>
  <c r="P5" i="20"/>
  <c r="N19" i="10"/>
  <c r="L15" i="2"/>
  <c r="M8" i="8" l="1"/>
  <c r="M10" s="1"/>
  <c r="M9" i="21"/>
  <c r="M11" s="1"/>
  <c r="M15" i="2"/>
  <c r="O19" i="10"/>
  <c r="N8" i="8" l="1"/>
  <c r="N9" i="21"/>
  <c r="P19" i="10"/>
  <c r="N15" i="2"/>
  <c r="O15" l="1"/>
  <c r="C2" i="1"/>
  <c r="D20" i="20" l="1"/>
  <c r="E20" s="1"/>
  <c r="F20" s="1"/>
  <c r="G20" s="1"/>
  <c r="H20" s="1"/>
  <c r="I20" s="1"/>
  <c r="J20" s="1"/>
  <c r="K20" s="1"/>
  <c r="L20" s="1"/>
  <c r="M20" s="1"/>
  <c r="P20" s="1"/>
  <c r="A9" i="12"/>
  <c r="D9" s="1"/>
  <c r="F9" s="1"/>
  <c r="C7" i="1"/>
  <c r="D7" s="1"/>
  <c r="C6"/>
  <c r="D6" s="1"/>
  <c r="C5"/>
  <c r="C8"/>
  <c r="D8" s="1"/>
  <c r="C3"/>
  <c r="D3" s="1"/>
  <c r="C4"/>
  <c r="D4" s="1"/>
  <c r="C12"/>
  <c r="D2"/>
  <c r="G7"/>
  <c r="A8" i="12"/>
  <c r="H2" i="1"/>
  <c r="C10"/>
  <c r="D10" s="1"/>
  <c r="H3"/>
  <c r="H4"/>
  <c r="H7" l="1"/>
  <c r="G8"/>
  <c r="A10" i="12"/>
  <c r="D10" s="1"/>
  <c r="F10" s="1"/>
  <c r="H5" i="1"/>
  <c r="D12"/>
  <c r="H6"/>
  <c r="D19" i="20"/>
  <c r="E19" s="1"/>
  <c r="F19" s="1"/>
  <c r="G19" s="1"/>
  <c r="H19" s="1"/>
  <c r="I19" s="1"/>
  <c r="J19" s="1"/>
  <c r="K19" s="1"/>
  <c r="L19" s="1"/>
  <c r="M19" s="1"/>
  <c r="P19" s="1"/>
  <c r="C7" i="19"/>
  <c r="C13" s="1"/>
  <c r="C11" i="5"/>
  <c r="B32" i="1"/>
  <c r="A14" i="12"/>
  <c r="D33" i="20" s="1"/>
  <c r="D8" i="12"/>
  <c r="D5" i="1"/>
  <c r="B30" s="1"/>
  <c r="G9" i="12"/>
  <c r="H9" s="1"/>
  <c r="I9"/>
  <c r="J9" s="1"/>
  <c r="K9" s="1"/>
  <c r="C30" i="1" l="1"/>
  <c r="F14" i="19"/>
  <c r="F17" s="1"/>
  <c r="E33" i="20"/>
  <c r="F33" s="1"/>
  <c r="G33" s="1"/>
  <c r="H33" s="1"/>
  <c r="I33" s="1"/>
  <c r="J33" s="1"/>
  <c r="K33" s="1"/>
  <c r="L33" s="1"/>
  <c r="M33" s="1"/>
  <c r="P33" s="1"/>
  <c r="B33" i="1"/>
  <c r="C6" i="5"/>
  <c r="G10" i="12"/>
  <c r="H10" s="1"/>
  <c r="I10" s="1"/>
  <c r="J10" s="1"/>
  <c r="K10" s="1"/>
  <c r="D12" i="20"/>
  <c r="E12" s="1"/>
  <c r="F12" s="1"/>
  <c r="G12" s="1"/>
  <c r="H12" s="1"/>
  <c r="I12" s="1"/>
  <c r="J12" s="1"/>
  <c r="K12" s="1"/>
  <c r="L12" s="1"/>
  <c r="M12" s="1"/>
  <c r="P12" s="1"/>
  <c r="C27" i="19"/>
  <c r="F8" i="12"/>
  <c r="D14"/>
  <c r="C32" i="1"/>
  <c r="E32" s="1"/>
  <c r="G9"/>
  <c r="H9" s="1"/>
  <c r="D17" i="20" s="1"/>
  <c r="H8" i="1"/>
  <c r="C5" i="5"/>
  <c r="C19" l="1"/>
  <c r="C22" i="8" s="1"/>
  <c r="L7" i="4"/>
  <c r="F7"/>
  <c r="J7"/>
  <c r="E7"/>
  <c r="I7"/>
  <c r="D7"/>
  <c r="H7"/>
  <c r="C7"/>
  <c r="G7"/>
  <c r="K7"/>
  <c r="C28" i="19"/>
  <c r="D13" i="20"/>
  <c r="E13" s="1"/>
  <c r="F13" s="1"/>
  <c r="G13" s="1"/>
  <c r="H13" s="1"/>
  <c r="I13" s="1"/>
  <c r="J13" s="1"/>
  <c r="K13" s="1"/>
  <c r="L13" s="1"/>
  <c r="M13" s="1"/>
  <c r="P13" s="1"/>
  <c r="C32" i="19"/>
  <c r="E17" i="20"/>
  <c r="F17" s="1"/>
  <c r="G17" s="1"/>
  <c r="H17" s="1"/>
  <c r="I17" s="1"/>
  <c r="J17" s="1"/>
  <c r="K17" s="1"/>
  <c r="L17" s="1"/>
  <c r="M17" s="1"/>
  <c r="P17" s="1"/>
  <c r="G8" i="12"/>
  <c r="F14"/>
  <c r="C33" i="1"/>
  <c r="N9" i="8" s="1"/>
  <c r="N10" s="1"/>
  <c r="E30" i="1"/>
  <c r="C25" i="5" l="1"/>
  <c r="G5"/>
  <c r="E33" i="1"/>
  <c r="G8" i="4" s="1"/>
  <c r="C23" i="21"/>
  <c r="L5" i="4"/>
  <c r="J5"/>
  <c r="K5"/>
  <c r="F5"/>
  <c r="G5"/>
  <c r="C5"/>
  <c r="H5"/>
  <c r="D5"/>
  <c r="I5"/>
  <c r="E5"/>
  <c r="L8"/>
  <c r="D20" i="12"/>
  <c r="E20" s="1"/>
  <c r="D18"/>
  <c r="H8"/>
  <c r="G14"/>
  <c r="N10" i="21"/>
  <c r="N11" s="1"/>
  <c r="H8" i="4" l="1"/>
  <c r="J8"/>
  <c r="J12" s="1"/>
  <c r="I8"/>
  <c r="I12" s="1"/>
  <c r="K8"/>
  <c r="K12" s="1"/>
  <c r="C8"/>
  <c r="D8"/>
  <c r="E8"/>
  <c r="F8"/>
  <c r="E12"/>
  <c r="D12"/>
  <c r="C12"/>
  <c r="F12"/>
  <c r="H14" i="12"/>
  <c r="I8"/>
  <c r="E18"/>
  <c r="D22"/>
  <c r="E22" s="1"/>
  <c r="H12" i="4"/>
  <c r="G12"/>
  <c r="L12"/>
  <c r="N13" i="8" l="1"/>
  <c r="N14" i="21"/>
  <c r="I13" i="8"/>
  <c r="I20" s="1"/>
  <c r="I14" i="21"/>
  <c r="I21" s="1"/>
  <c r="K13" i="8"/>
  <c r="K20" s="1"/>
  <c r="K14" i="21"/>
  <c r="K21" s="1"/>
  <c r="J8" i="12"/>
  <c r="I14"/>
  <c r="L13" i="8"/>
  <c r="L20" s="1"/>
  <c r="L14" i="21"/>
  <c r="L21" s="1"/>
  <c r="E13" i="8"/>
  <c r="E20" s="1"/>
  <c r="E14" i="21"/>
  <c r="E21" s="1"/>
  <c r="G13" i="8"/>
  <c r="G20" s="1"/>
  <c r="G14" i="21"/>
  <c r="G21" s="1"/>
  <c r="M13" i="8"/>
  <c r="M20" s="1"/>
  <c r="M14" i="21"/>
  <c r="M21" s="1"/>
  <c r="J13" i="8"/>
  <c r="J20" s="1"/>
  <c r="J14" i="21"/>
  <c r="J21" s="1"/>
  <c r="H13" i="8"/>
  <c r="H20" s="1"/>
  <c r="H14" i="21"/>
  <c r="H21" s="1"/>
  <c r="F13" i="8"/>
  <c r="F20" s="1"/>
  <c r="F14" i="21"/>
  <c r="F21" s="1"/>
  <c r="K8" i="12" l="1"/>
  <c r="J14"/>
  <c r="C26" i="19" l="1"/>
  <c r="C33" s="1"/>
  <c r="D11" i="20"/>
  <c r="K14" i="12"/>
  <c r="K16" s="1"/>
  <c r="E11" i="20" l="1"/>
  <c r="D36"/>
  <c r="F11" l="1"/>
  <c r="E36"/>
  <c r="D11" i="7"/>
  <c r="D12" s="1"/>
  <c r="F11"/>
  <c r="F12" s="1"/>
  <c r="H11"/>
  <c r="H12" s="1"/>
  <c r="J11"/>
  <c r="J12" s="1"/>
  <c r="L11"/>
  <c r="L12" s="1"/>
  <c r="N11"/>
  <c r="N12" s="1"/>
  <c r="C11"/>
  <c r="C12" s="1"/>
  <c r="C13" s="1"/>
  <c r="E11"/>
  <c r="E12" s="1"/>
  <c r="G11"/>
  <c r="G12" s="1"/>
  <c r="I11"/>
  <c r="I12" s="1"/>
  <c r="K11"/>
  <c r="K12" s="1"/>
  <c r="M11"/>
  <c r="M12" s="1"/>
  <c r="D11" i="8"/>
  <c r="D12" i="21"/>
  <c r="D15" s="1"/>
  <c r="D16" s="1"/>
  <c r="D13" i="7" l="1"/>
  <c r="E13" s="1"/>
  <c r="F13" s="1"/>
  <c r="G13" s="1"/>
  <c r="H13" s="1"/>
  <c r="I13" s="1"/>
  <c r="J13" s="1"/>
  <c r="K13" s="1"/>
  <c r="L13" s="1"/>
  <c r="M13" s="1"/>
  <c r="N13" s="1"/>
  <c r="C24" i="21"/>
  <c r="C25" s="1"/>
  <c r="C43" s="1"/>
  <c r="G4" i="5"/>
  <c r="C23" i="8"/>
  <c r="G11" i="20"/>
  <c r="F36"/>
  <c r="D17" i="21"/>
  <c r="D18" s="1"/>
  <c r="E11" i="8"/>
  <c r="E12" i="21"/>
  <c r="E15" s="1"/>
  <c r="E16" s="1"/>
  <c r="C45" l="1"/>
  <c r="C44"/>
  <c r="G6" i="5"/>
  <c r="H14" s="1"/>
  <c r="D19" i="21"/>
  <c r="D20" s="1"/>
  <c r="D25" s="1"/>
  <c r="D43" s="1"/>
  <c r="D44" s="1"/>
  <c r="D45" s="1"/>
  <c r="F11" i="8"/>
  <c r="F12" i="21"/>
  <c r="F15" s="1"/>
  <c r="F16" s="1"/>
  <c r="E17"/>
  <c r="E18" s="1"/>
  <c r="H11" i="20"/>
  <c r="G36"/>
  <c r="H13" i="5" l="1"/>
  <c r="G12"/>
  <c r="G13" s="1"/>
  <c r="G11" i="8"/>
  <c r="G14" s="1"/>
  <c r="G12" i="21"/>
  <c r="G15" s="1"/>
  <c r="G16" s="1"/>
  <c r="E19"/>
  <c r="E20" s="1"/>
  <c r="E25" s="1"/>
  <c r="E43" s="1"/>
  <c r="E44" s="1"/>
  <c r="E45" s="1"/>
  <c r="I11" i="20"/>
  <c r="H36"/>
  <c r="F17" i="21"/>
  <c r="F18" s="1"/>
  <c r="I5" i="13" l="1"/>
  <c r="C24" i="8"/>
  <c r="C25" s="1"/>
  <c r="C43" s="1"/>
  <c r="G15"/>
  <c r="G5" i="13"/>
  <c r="I11"/>
  <c r="F19" i="21"/>
  <c r="F20" s="1"/>
  <c r="F25" s="1"/>
  <c r="F43" s="1"/>
  <c r="F44" s="1"/>
  <c r="F45" s="1"/>
  <c r="J11" i="20"/>
  <c r="I36"/>
  <c r="H11" i="8"/>
  <c r="H14" s="1"/>
  <c r="H12" i="21"/>
  <c r="H15" s="1"/>
  <c r="H16" s="1"/>
  <c r="G17"/>
  <c r="G18" s="1"/>
  <c r="C45" i="8" l="1"/>
  <c r="C44"/>
  <c r="G16"/>
  <c r="G17" s="1"/>
  <c r="G18" s="1"/>
  <c r="G19" s="1"/>
  <c r="H15"/>
  <c r="C6" i="13"/>
  <c r="D6"/>
  <c r="F6"/>
  <c r="F8"/>
  <c r="E14" i="8"/>
  <c r="F7" i="13"/>
  <c r="F14" i="8"/>
  <c r="D14"/>
  <c r="D15" s="1"/>
  <c r="D16" s="1"/>
  <c r="D17" s="1"/>
  <c r="G19" i="21"/>
  <c r="G20" s="1"/>
  <c r="G25" s="1"/>
  <c r="G43" s="1"/>
  <c r="G44" s="1"/>
  <c r="G45" s="1"/>
  <c r="H17"/>
  <c r="H18" s="1"/>
  <c r="K11" i="20"/>
  <c r="J36"/>
  <c r="I11" i="8"/>
  <c r="I14" s="1"/>
  <c r="I12" i="21"/>
  <c r="I15" s="1"/>
  <c r="I16" s="1"/>
  <c r="G25" i="8" l="1"/>
  <c r="G43" s="1"/>
  <c r="G44" s="1"/>
  <c r="E6" i="13"/>
  <c r="G6" s="1"/>
  <c r="D7" s="1"/>
  <c r="E7" s="1"/>
  <c r="G7" s="1"/>
  <c r="H16" i="8"/>
  <c r="H17" s="1"/>
  <c r="H18" s="1"/>
  <c r="H19" s="1"/>
  <c r="I15"/>
  <c r="F15"/>
  <c r="E15"/>
  <c r="H19" i="21"/>
  <c r="H20" s="1"/>
  <c r="H25" s="1"/>
  <c r="H43" s="1"/>
  <c r="H44" s="1"/>
  <c r="H45" s="1"/>
  <c r="J11" i="8"/>
  <c r="J14" s="1"/>
  <c r="J12" i="21"/>
  <c r="J15" s="1"/>
  <c r="J16" s="1"/>
  <c r="I17"/>
  <c r="I18" s="1"/>
  <c r="L11" i="20"/>
  <c r="K36"/>
  <c r="H25" i="8" l="1"/>
  <c r="H43" s="1"/>
  <c r="H44" s="1"/>
  <c r="E16"/>
  <c r="E17" s="1"/>
  <c r="E18" s="1"/>
  <c r="E19" s="1"/>
  <c r="I16"/>
  <c r="I17" s="1"/>
  <c r="I18" s="1"/>
  <c r="I19" s="1"/>
  <c r="D18"/>
  <c r="D19" s="1"/>
  <c r="F16"/>
  <c r="F17" s="1"/>
  <c r="F18" s="1"/>
  <c r="F19" s="1"/>
  <c r="J15"/>
  <c r="D8" i="13"/>
  <c r="E8" s="1"/>
  <c r="G8" s="1"/>
  <c r="I19" i="21"/>
  <c r="I20" s="1"/>
  <c r="I25" s="1"/>
  <c r="I43" s="1"/>
  <c r="I44" s="1"/>
  <c r="I45" s="1"/>
  <c r="K11" i="8"/>
  <c r="K14" s="1"/>
  <c r="K12" i="21"/>
  <c r="K15" s="1"/>
  <c r="K16" s="1"/>
  <c r="J17"/>
  <c r="J18" s="1"/>
  <c r="M11" i="20"/>
  <c r="L36"/>
  <c r="F25" i="8" l="1"/>
  <c r="F43" s="1"/>
  <c r="F44" s="1"/>
  <c r="I25"/>
  <c r="I43" s="1"/>
  <c r="I44" s="1"/>
  <c r="D25"/>
  <c r="D43" s="1"/>
  <c r="D44" s="1"/>
  <c r="D45" s="1"/>
  <c r="E25"/>
  <c r="E43" s="1"/>
  <c r="E44" s="1"/>
  <c r="J16"/>
  <c r="J17" s="1"/>
  <c r="J18" s="1"/>
  <c r="J19" s="1"/>
  <c r="K15"/>
  <c r="J19" i="21"/>
  <c r="J20" s="1"/>
  <c r="J25" s="1"/>
  <c r="J43" s="1"/>
  <c r="J44" s="1"/>
  <c r="J45" s="1"/>
  <c r="P11" i="20"/>
  <c r="P36" s="1"/>
  <c r="M36"/>
  <c r="L11" i="8"/>
  <c r="L14" s="1"/>
  <c r="L12" i="21"/>
  <c r="L15" s="1"/>
  <c r="L16" s="1"/>
  <c r="K17"/>
  <c r="K18" s="1"/>
  <c r="E45" i="8" l="1"/>
  <c r="J43"/>
  <c r="J44" s="1"/>
  <c r="J25"/>
  <c r="K16"/>
  <c r="K17" s="1"/>
  <c r="K18" s="1"/>
  <c r="K19" s="1"/>
  <c r="L15"/>
  <c r="M11"/>
  <c r="M14" s="1"/>
  <c r="M12" i="21"/>
  <c r="M15" s="1"/>
  <c r="M16" s="1"/>
  <c r="K19"/>
  <c r="K20" s="1"/>
  <c r="K25" s="1"/>
  <c r="K43" s="1"/>
  <c r="K44" s="1"/>
  <c r="K45" s="1"/>
  <c r="L17"/>
  <c r="L18" s="1"/>
  <c r="N11" i="8"/>
  <c r="N14" s="1"/>
  <c r="N12" i="21"/>
  <c r="N15" s="1"/>
  <c r="N16" s="1"/>
  <c r="F45" i="8" l="1"/>
  <c r="G45" s="1"/>
  <c r="H45" s="1"/>
  <c r="I45" s="1"/>
  <c r="J45" s="1"/>
  <c r="K25"/>
  <c r="K43" s="1"/>
  <c r="K44" s="1"/>
  <c r="K45" s="1"/>
  <c r="L16"/>
  <c r="L17" s="1"/>
  <c r="L18" s="1"/>
  <c r="L19" s="1"/>
  <c r="N15"/>
  <c r="M15"/>
  <c r="M17" i="21"/>
  <c r="M18" s="1"/>
  <c r="N17"/>
  <c r="N18" s="1"/>
  <c r="L19"/>
  <c r="L20" s="1"/>
  <c r="L25" s="1"/>
  <c r="L43" s="1"/>
  <c r="L44" s="1"/>
  <c r="L45" s="1"/>
  <c r="L25" i="8" l="1"/>
  <c r="L43" s="1"/>
  <c r="L44" s="1"/>
  <c r="L45" s="1"/>
  <c r="M16"/>
  <c r="M17" s="1"/>
  <c r="M18" s="1"/>
  <c r="M19" s="1"/>
  <c r="N16"/>
  <c r="N17" s="1"/>
  <c r="N18" s="1"/>
  <c r="N19" s="1"/>
  <c r="N25" s="1"/>
  <c r="N19" i="21"/>
  <c r="N20" s="1"/>
  <c r="N25" s="1"/>
  <c r="M19"/>
  <c r="M20" s="1"/>
  <c r="M25" s="1"/>
  <c r="M43" s="1"/>
  <c r="M44" s="1"/>
  <c r="M45" s="1"/>
  <c r="M25" i="8" l="1"/>
  <c r="M43" s="1"/>
  <c r="M44" s="1"/>
  <c r="M45" s="1"/>
  <c r="C27" i="21"/>
  <c r="C28"/>
  <c r="C27" i="8"/>
  <c r="C28" l="1"/>
</calcChain>
</file>

<file path=xl/sharedStrings.xml><?xml version="1.0" encoding="utf-8"?>
<sst xmlns="http://schemas.openxmlformats.org/spreadsheetml/2006/main" count="424" uniqueCount="295">
  <si>
    <t xml:space="preserve">Detalle </t>
  </si>
  <si>
    <t>Costos Fijos</t>
  </si>
  <si>
    <t xml:space="preserve">TOTAL </t>
  </si>
  <si>
    <t>Mantenimiento de Vehículo</t>
  </si>
  <si>
    <t>Mantenimiento de Maquinaria</t>
  </si>
  <si>
    <t>Mano de Obra Directa</t>
  </si>
  <si>
    <t>Costo de Acopio</t>
  </si>
  <si>
    <t>Costo de Distribución</t>
  </si>
  <si>
    <t>Mano de Obra Indirecta</t>
  </si>
  <si>
    <t>Chofer</t>
  </si>
  <si>
    <t>Extrusor</t>
  </si>
  <si>
    <t>Ayud. Extrusor</t>
  </si>
  <si>
    <t>Materia Prima</t>
  </si>
  <si>
    <t>Costo Kg. Recolectado</t>
  </si>
  <si>
    <t>Materiales Indirectos</t>
  </si>
  <si>
    <t>Sueldos Administrativos</t>
  </si>
  <si>
    <t>Luz, agua, teléfono, Internet</t>
  </si>
  <si>
    <t>Suministros</t>
  </si>
  <si>
    <t>Equipo de Seguridad Industrial</t>
  </si>
  <si>
    <t>Mantenimiento de Web-Site</t>
  </si>
  <si>
    <t>Publicidad</t>
  </si>
  <si>
    <t>Costos Variables</t>
    <phoneticPr fontId="19" type="noConversion"/>
  </si>
  <si>
    <t>Servicios Basicos</t>
    <phoneticPr fontId="19" type="noConversion"/>
  </si>
  <si>
    <t>Costo. Mant. Extrusora</t>
    <phoneticPr fontId="19" type="noConversion"/>
  </si>
  <si>
    <t>Costo Distribucion Combustible</t>
    <phoneticPr fontId="19" type="noConversion"/>
  </si>
  <si>
    <t>Costo Distribucion Peaje</t>
    <phoneticPr fontId="19" type="noConversion"/>
  </si>
  <si>
    <t>Porcentaje Costo Mant.</t>
    <phoneticPr fontId="19" type="noConversion"/>
  </si>
  <si>
    <t>Tabla de Datos</t>
    <phoneticPr fontId="19" type="noConversion"/>
  </si>
  <si>
    <t>Bono de Tesoro 30 años</t>
    <phoneticPr fontId="19" type="noConversion"/>
  </si>
  <si>
    <t>Tasa de Mercado S&amp;P 500</t>
    <phoneticPr fontId="19" type="noConversion"/>
  </si>
  <si>
    <t xml:space="preserve">Beta de Competencia </t>
    <phoneticPr fontId="19" type="noConversion"/>
  </si>
  <si>
    <t>Riesgo Pais Ecuador</t>
    <phoneticPr fontId="19" type="noConversion"/>
  </si>
  <si>
    <t>CAPM</t>
    <phoneticPr fontId="19" type="noConversion"/>
  </si>
  <si>
    <t>Saldo Final</t>
  </si>
  <si>
    <t>Valor de desecho Galpon ano 10</t>
  </si>
  <si>
    <t>Porcentaje de Aceptacion</t>
  </si>
  <si>
    <t>Poblacion Objetivo</t>
  </si>
  <si>
    <t>Empresas Exportadoras de Banano</t>
  </si>
  <si>
    <t>Crosstab de Aceptacion</t>
  </si>
  <si>
    <t>Porcentaje de Penetracion</t>
  </si>
  <si>
    <t>Demanda Probable</t>
  </si>
  <si>
    <t>Estimacion de la demanda</t>
  </si>
  <si>
    <t>Demanda</t>
  </si>
  <si>
    <t>Porcentaje de Frecuencia</t>
  </si>
  <si>
    <t>Frecuencia Mensual</t>
  </si>
  <si>
    <t>Ingreso Mensual</t>
  </si>
  <si>
    <t>Ingreso Annual</t>
  </si>
  <si>
    <t>Incremento de Exportaciones</t>
  </si>
  <si>
    <t>Precio Esperado</t>
  </si>
  <si>
    <t>1.67%</t>
  </si>
  <si>
    <t>Produccion</t>
  </si>
  <si>
    <t>Total Egresos</t>
  </si>
  <si>
    <t>Gerente de Acopio y Ventas</t>
  </si>
  <si>
    <t>Crecimiento de la demanda</t>
  </si>
  <si>
    <t>Gerente Administrativo</t>
  </si>
  <si>
    <t>Gerente Financiero</t>
  </si>
  <si>
    <t>Total Anual</t>
  </si>
  <si>
    <t>Capacidad Aglomeradora (kg/hr)</t>
  </si>
  <si>
    <t>Costo Kg Acopiado</t>
  </si>
  <si>
    <t>Costo Mant. Website Annual</t>
  </si>
  <si>
    <t>Costo Mant. Aglomeradora Annual</t>
  </si>
  <si>
    <t>Costo Mant. Camion Annual</t>
  </si>
  <si>
    <t>Costo Annual Equipo Industrial/persona</t>
  </si>
  <si>
    <t>Supervisor de Planta</t>
  </si>
  <si>
    <t>Inversión en Capital de Trabajo</t>
  </si>
  <si>
    <t>Detalle</t>
  </si>
  <si>
    <t>Galpón</t>
  </si>
  <si>
    <t>Constitución de la Compañía</t>
  </si>
  <si>
    <t>Camión</t>
  </si>
  <si>
    <t>Instalación Eléctrica</t>
  </si>
  <si>
    <t>Garantía por consumo</t>
  </si>
  <si>
    <t>Total = Inversión - Capital Propio</t>
  </si>
  <si>
    <t>Máquinas</t>
  </si>
  <si>
    <t>Extrusora</t>
  </si>
  <si>
    <t>Infraestructura</t>
  </si>
  <si>
    <t>Vehículo</t>
  </si>
  <si>
    <t>Costo Total ($)</t>
  </si>
  <si>
    <t>Terreno</t>
  </si>
  <si>
    <t>Inversión Fija</t>
  </si>
  <si>
    <t>INVERSIÓN INICIAL TOTAL</t>
  </si>
  <si>
    <t>Costo ($)</t>
  </si>
  <si>
    <t xml:space="preserve">Inversión Inicial </t>
  </si>
  <si>
    <t>Capital Propio</t>
  </si>
  <si>
    <t>%</t>
  </si>
  <si>
    <t>Valor ($)</t>
  </si>
  <si>
    <t>Préstamo Bancario</t>
  </si>
  <si>
    <t>Financiamiento de la Inversión Total</t>
  </si>
  <si>
    <t>Amortización de la Deuda</t>
  </si>
  <si>
    <t>Período</t>
  </si>
  <si>
    <t>Interés</t>
  </si>
  <si>
    <t>Amortización</t>
  </si>
  <si>
    <t>Cantidad de introduccion al mercado</t>
  </si>
  <si>
    <t>Producción</t>
  </si>
  <si>
    <t>Precio por Unidad ($)</t>
  </si>
  <si>
    <t>Ingresos por Ventas ($)</t>
  </si>
  <si>
    <t>Producción de Perfiles (Unidades)</t>
  </si>
  <si>
    <t>Unidades de Perfiles</t>
  </si>
  <si>
    <t>Ingresos por Ventas</t>
  </si>
  <si>
    <t>Gastos Administrativos</t>
  </si>
  <si>
    <t>Servicios Básicos</t>
  </si>
  <si>
    <t>Costo Anual ($)</t>
  </si>
  <si>
    <t>Total Ingresos</t>
    <phoneticPr fontId="0" type="noConversion"/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</si>
  <si>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</si>
  <si>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</si>
  <si>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</si>
  <si>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</si>
  <si>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</si>
  <si>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</si>
  <si>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</si>
  <si>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</si>
  <si>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</si>
  <si>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</si>
  <si>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</si>
  <si>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</si>
  <si>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Electricidad</t>
  </si>
  <si>
    <t>Capacidad de Produccion(Kg/mes)</t>
  </si>
  <si>
    <t>Capacidad de Produccion(Kg/ano)</t>
  </si>
  <si>
    <t>Total</t>
    <phoneticPr fontId="0" type="noConversion"/>
  </si>
  <si>
    <t>Vacaciones</t>
    <phoneticPr fontId="0" type="noConversion"/>
  </si>
  <si>
    <t>Fondos de Reserva</t>
    <phoneticPr fontId="0" type="noConversion"/>
  </si>
  <si>
    <t>Decimo Cuarto</t>
    <phoneticPr fontId="0" type="noConversion"/>
  </si>
  <si>
    <t>Decimo Tercero</t>
    <phoneticPr fontId="0" type="noConversion"/>
  </si>
  <si>
    <t>Mensual</t>
    <phoneticPr fontId="0" type="noConversion"/>
  </si>
  <si>
    <t>Bonificaciones</t>
    <phoneticPr fontId="0" type="noConversion"/>
  </si>
  <si>
    <t>xxxxxxxxx</t>
    <phoneticPr fontId="0" type="noConversion"/>
  </si>
  <si>
    <t>Chofer</t>
    <phoneticPr fontId="0" type="noConversion"/>
  </si>
  <si>
    <t>xxxxxxxxx</t>
    <phoneticPr fontId="0" type="noConversion"/>
  </si>
  <si>
    <t>Aglomerador</t>
  </si>
  <si>
    <t>Ayud. Extrusor</t>
    <phoneticPr fontId="0" type="noConversion"/>
  </si>
  <si>
    <t>Extrusor</t>
    <phoneticPr fontId="0" type="noConversion"/>
  </si>
  <si>
    <t>Valor a Recibir</t>
    <phoneticPr fontId="0" type="noConversion"/>
  </si>
  <si>
    <t>Valor a Recibir</t>
    <phoneticPr fontId="0" type="noConversion"/>
  </si>
  <si>
    <t>Anual</t>
    <phoneticPr fontId="0" type="noConversion"/>
  </si>
  <si>
    <t>Quincenal</t>
    <phoneticPr fontId="0" type="noConversion"/>
  </si>
  <si>
    <t>Total Egresos</t>
    <phoneticPr fontId="0" type="noConversion"/>
  </si>
  <si>
    <t>IESS</t>
    <phoneticPr fontId="0" type="noConversion"/>
  </si>
  <si>
    <t>Sueldo Basico</t>
    <phoneticPr fontId="0" type="noConversion"/>
  </si>
  <si>
    <t>Sueldo</t>
    <phoneticPr fontId="0" type="noConversion"/>
  </si>
  <si>
    <t>Cargo</t>
    <phoneticPr fontId="0" type="noConversion"/>
  </si>
  <si>
    <t>Nombre</t>
    <phoneticPr fontId="0" type="noConversion"/>
  </si>
  <si>
    <t>Rol de Pagos</t>
    <phoneticPr fontId="0" type="noConversion"/>
  </si>
  <si>
    <t>Produccion Anual Aglomerado</t>
  </si>
  <si>
    <t>Anual</t>
  </si>
  <si>
    <t>Combustible</t>
  </si>
  <si>
    <t>Peaje</t>
  </si>
  <si>
    <t>Sueldo Extrusor</t>
  </si>
  <si>
    <t>Sueldo Ayudante Extrusion</t>
  </si>
  <si>
    <t>Sueldo Aglomerador</t>
  </si>
  <si>
    <t>Aglomeradora</t>
  </si>
  <si>
    <t>Transformador</t>
  </si>
  <si>
    <t>Capital Propio</t>
    <phoneticPr fontId="4" type="noConversion"/>
  </si>
  <si>
    <t>TOTAL</t>
  </si>
  <si>
    <t>Activo</t>
  </si>
  <si>
    <t>Maquinaria</t>
  </si>
  <si>
    <t>Seguro Transporte Maquinaria</t>
  </si>
  <si>
    <t>Valor de Desecho</t>
  </si>
  <si>
    <t>Construccion Galpon</t>
  </si>
  <si>
    <t>Instalacion Electrica</t>
  </si>
  <si>
    <t>Camion</t>
  </si>
  <si>
    <t>Edificio</t>
  </si>
  <si>
    <t>Dep. Maquinarias;;Equipos y Inst. Elect.</t>
  </si>
  <si>
    <t>Vehiculo</t>
  </si>
  <si>
    <t>Depreciacion</t>
  </si>
  <si>
    <t>SALDO</t>
  </si>
  <si>
    <t>Ingresos Operacionales</t>
  </si>
  <si>
    <t>Egresos Operacionales</t>
  </si>
  <si>
    <t>SALDO Acumulado</t>
  </si>
  <si>
    <t>Saldo Inicial</t>
  </si>
  <si>
    <t>Pago</t>
  </si>
  <si>
    <t>#</t>
  </si>
  <si>
    <t>Capacidad Maquina (kg/hr)</t>
    <phoneticPr fontId="0" type="noConversion"/>
  </si>
  <si>
    <t>TMAR</t>
    <phoneticPr fontId="0" type="noConversion"/>
  </si>
  <si>
    <t>Polietileno Soplado (Kg) ($)</t>
  </si>
  <si>
    <t>Impuestos</t>
    <phoneticPr fontId="0" type="noConversion"/>
  </si>
  <si>
    <t>Fodinfa</t>
    <phoneticPr fontId="0" type="noConversion"/>
  </si>
  <si>
    <t>% de P.Soplado Mezcla</t>
    <phoneticPr fontId="0" type="noConversion"/>
  </si>
  <si>
    <t>Participacion Trabajadores</t>
    <phoneticPr fontId="0" type="noConversion"/>
  </si>
  <si>
    <t>IVA</t>
    <phoneticPr fontId="0" type="noConversion"/>
  </si>
  <si>
    <t>Costo Electricidad KW/Hr</t>
    <phoneticPr fontId="0" type="noConversion"/>
  </si>
  <si>
    <t>Bodegaje</t>
    <phoneticPr fontId="0" type="noConversion"/>
  </si>
  <si>
    <t>Consumo KW Diario</t>
    <phoneticPr fontId="0" type="noConversion"/>
  </si>
  <si>
    <t>Gastos de Desaduanizacion</t>
  </si>
  <si>
    <t>Consumo KW Mensual</t>
    <phoneticPr fontId="0" type="noConversion"/>
  </si>
  <si>
    <t>Consumo Camion (Km/gal)</t>
    <phoneticPr fontId="0" type="noConversion"/>
  </si>
  <si>
    <t>Transporte</t>
    <phoneticPr fontId="0" type="noConversion"/>
  </si>
  <si>
    <t>Consumo KW Anual</t>
    <phoneticPr fontId="0" type="noConversion"/>
  </si>
  <si>
    <t>Precio Gal. Diesel  ($)</t>
    <phoneticPr fontId="0" type="noConversion"/>
  </si>
  <si>
    <t>Construccion Galpon</t>
    <phoneticPr fontId="0" type="noConversion"/>
  </si>
  <si>
    <t>Costo Mantenimiento Mensual</t>
    <phoneticPr fontId="0" type="noConversion"/>
  </si>
  <si>
    <t># de Viajes al mes</t>
    <phoneticPr fontId="0" type="noConversion"/>
  </si>
  <si>
    <t>Instalacion Electrica</t>
    <phoneticPr fontId="0" type="noConversion"/>
  </si>
  <si>
    <t>Meses al año</t>
    <phoneticPr fontId="0" type="noConversion"/>
  </si>
  <si>
    <t># de Viajes al ano</t>
    <phoneticPr fontId="0" type="noConversion"/>
  </si>
  <si>
    <t>Terreno 4000m2</t>
    <phoneticPr fontId="0" type="noConversion"/>
  </si>
  <si>
    <t>Horas al dia</t>
    <phoneticPr fontId="0" type="noConversion"/>
  </si>
  <si>
    <t>Capacidad de Carga/ Viaje (Kg)</t>
    <phoneticPr fontId="0" type="noConversion"/>
  </si>
  <si>
    <t>Aglomerador</t>
    <phoneticPr fontId="0" type="noConversion"/>
  </si>
  <si>
    <t>Dias al mes</t>
    <phoneticPr fontId="0" type="noConversion"/>
  </si>
  <si>
    <t>Kg recolectados al mes</t>
    <phoneticPr fontId="0" type="noConversion"/>
  </si>
  <si>
    <t>Transformador 13500-440</t>
  </si>
  <si>
    <t>Quincenas al ano</t>
    <phoneticPr fontId="0" type="noConversion"/>
  </si>
  <si>
    <t>Kg recolectados al ano</t>
    <phoneticPr fontId="0" type="noConversion"/>
  </si>
  <si>
    <t>Compresor</t>
  </si>
  <si>
    <t>Km recorridos camion prom por dia</t>
    <phoneticPr fontId="0" type="noConversion"/>
  </si>
  <si>
    <t>Camion</t>
    <phoneticPr fontId="0" type="noConversion"/>
  </si>
  <si>
    <t>Valor de Salvamento</t>
    <phoneticPr fontId="0" type="noConversion"/>
  </si>
  <si>
    <t>Km recorridos camion prom por mes</t>
    <phoneticPr fontId="0" type="noConversion"/>
  </si>
  <si>
    <t>Construccion Furgon Camion</t>
    <phoneticPr fontId="0" type="noConversion"/>
  </si>
  <si>
    <t>Km recorridos camion prom por ano</t>
    <phoneticPr fontId="0" type="noConversion"/>
  </si>
  <si>
    <t>Tramites Matriculacion</t>
    <phoneticPr fontId="0" type="noConversion"/>
  </si>
  <si>
    <t>Costo Promedio Peaje por Dia</t>
    <phoneticPr fontId="0" type="noConversion"/>
  </si>
  <si>
    <t>Honorarios Instalador Maquina</t>
    <phoneticPr fontId="0" type="noConversion"/>
  </si>
  <si>
    <t>Costo Promedio Peaje por Mes</t>
    <phoneticPr fontId="0" type="noConversion"/>
  </si>
  <si>
    <t>Constitucion Compania</t>
    <phoneticPr fontId="0" type="noConversion"/>
  </si>
  <si>
    <t>Produccion Mensual Aglomerado</t>
  </si>
  <si>
    <t>Costo Promedio Peaje por Ano</t>
    <phoneticPr fontId="0" type="noConversion"/>
  </si>
  <si>
    <t>Capital Propio</t>
    <phoneticPr fontId="0" type="noConversion"/>
  </si>
  <si>
    <t>Aumento del Cons Vehiculo Annual</t>
    <phoneticPr fontId="0" type="noConversion"/>
  </si>
  <si>
    <t>Precio Aglomerado</t>
  </si>
  <si>
    <t>Anticipo Instalacion Electrica</t>
  </si>
  <si>
    <t>IESS</t>
    <phoneticPr fontId="0" type="noConversion"/>
  </si>
  <si>
    <t>Web-Site</t>
  </si>
  <si>
    <t>Sueldo Basico ($)</t>
    <phoneticPr fontId="0" type="noConversion"/>
  </si>
  <si>
    <t>Tamano</t>
  </si>
  <si>
    <t>Precio</t>
  </si>
  <si>
    <t># Esq. al mes</t>
  </si>
  <si>
    <t># Esq. al ano</t>
  </si>
  <si>
    <t>Tasa Interes Banco</t>
    <phoneticPr fontId="0" type="noConversion"/>
  </si>
  <si>
    <t>Peso/Esquinero (Kg) (2,20)</t>
  </si>
  <si>
    <t>Total</t>
  </si>
  <si>
    <t>Garantia por consumo electrico</t>
  </si>
  <si>
    <t>Costo Camion Fundas diario</t>
  </si>
  <si>
    <t>KW Extrusora</t>
  </si>
  <si>
    <t>KW Aglomeradora</t>
  </si>
  <si>
    <t>Ayudante de Extrusor</t>
  </si>
  <si>
    <t>N°</t>
  </si>
  <si>
    <t>Cargo</t>
  </si>
  <si>
    <t>Sueldo Mensual Unitario ($)</t>
  </si>
  <si>
    <t>Sueldo Mensual Total ($)</t>
  </si>
  <si>
    <t>Sueldo Anual ($)</t>
  </si>
  <si>
    <t>Valor de Compra</t>
  </si>
  <si>
    <t>Depreciación Anual</t>
  </si>
  <si>
    <t>Vida Útil</t>
  </si>
  <si>
    <t>Ingresos</t>
  </si>
  <si>
    <t>Ingresos No Operacionales</t>
  </si>
  <si>
    <t>Total Ingresos</t>
  </si>
  <si>
    <t>Egresos No Operacionales</t>
  </si>
  <si>
    <t>Utilidad Bruta</t>
  </si>
  <si>
    <t>Utilidad antes de Impuestos</t>
  </si>
  <si>
    <t>Utilidad Neta</t>
  </si>
  <si>
    <t>Capital de Trabajo</t>
  </si>
  <si>
    <t>Total Saldo Flujo de Caja</t>
  </si>
  <si>
    <t>VAN</t>
  </si>
  <si>
    <t>TIR</t>
  </si>
  <si>
    <t>Año 0</t>
  </si>
  <si>
    <t>Año 1</t>
  </si>
  <si>
    <t>Año 2</t>
  </si>
  <si>
    <t>Año 3</t>
  </si>
  <si>
    <t>Año 4</t>
  </si>
  <si>
    <t>Año 5</t>
  </si>
  <si>
    <t>Año 6</t>
  </si>
  <si>
    <t>Año 7</t>
  </si>
  <si>
    <t>Año 8</t>
  </si>
  <si>
    <t>Año 9</t>
  </si>
  <si>
    <t>Año 10</t>
  </si>
  <si>
    <t>Año 11</t>
  </si>
  <si>
    <t>Depreciación</t>
  </si>
  <si>
    <t>Flujo de Caja del Proyecto</t>
  </si>
  <si>
    <t>25% Impuesto a la Renta</t>
  </si>
  <si>
    <t>15% Participación de Trabajadores</t>
  </si>
  <si>
    <t>Inversión</t>
  </si>
  <si>
    <t>Préstamo</t>
  </si>
  <si>
    <t>Flujo de Caja del Inversionista</t>
  </si>
  <si>
    <t>COSTOS VARIABLES</t>
  </si>
  <si>
    <t>COSTOS FIJOS</t>
  </si>
  <si>
    <t>GASTOS ADMINISTRATIVOS</t>
  </si>
  <si>
    <t>Total Egresos Operacionales</t>
  </si>
  <si>
    <t>Gerente de Adquisiciones y Ventas</t>
  </si>
  <si>
    <t>Tasa de Descuento</t>
  </si>
  <si>
    <t>Flujo de Caja</t>
  </si>
  <si>
    <t>Flujo de Caja Descontado</t>
  </si>
  <si>
    <t>Flujo de Caja Descontado Acumulado</t>
  </si>
  <si>
    <t>Período de Recuperación Descontado</t>
  </si>
  <si>
    <t>ANEXO 6</t>
  </si>
  <si>
    <t>ANEXO 7</t>
  </si>
  <si>
    <t>ANEXO 8</t>
  </si>
  <si>
    <t>ANEXO 9</t>
  </si>
  <si>
    <t>ANEXO 10</t>
  </si>
  <si>
    <t>ANEXO 11</t>
  </si>
  <si>
    <t>ANEXO 12</t>
  </si>
  <si>
    <t>ANEXO 13</t>
  </si>
  <si>
    <t>PAYBACK</t>
  </si>
  <si>
    <t>AÑOS</t>
  </si>
  <si>
    <t>EGRESOS OPERACIONALES</t>
  </si>
  <si>
    <t>DETALLE</t>
  </si>
</sst>
</file>

<file path=xl/styles.xml><?xml version="1.0" encoding="utf-8"?>
<styleSheet xmlns="http://schemas.openxmlformats.org/spreadsheetml/2006/main">
  <numFmts count="7">
    <numFmt numFmtId="44" formatCode="_(&quot;$&quot;\ * #,##0.00_);_(&quot;$&quot;\ * \(#,##0.00\);_(&quot;$&quot;\ * &quot;-&quot;??_);_(@_)"/>
    <numFmt numFmtId="164" formatCode="0.000"/>
    <numFmt numFmtId="165" formatCode="_-[$$-409]* #,##0.00_ ;_-[$$-409]* \-#,##0.00\ ;_-[$$-409]* &quot;-&quot;??_ ;_-@_ "/>
    <numFmt numFmtId="166" formatCode="[$$-300A]\ #,##0.00"/>
    <numFmt numFmtId="167" formatCode="_-[$$-300A]\ * #,##0.00_ ;_-[$$-300A]\ * \-#,##0.00\ ;_-[$$-300A]\ * &quot;-&quot;??_ ;_-@_ "/>
    <numFmt numFmtId="168" formatCode="0.0"/>
    <numFmt numFmtId="169" formatCode="_([$$-409]* #,##0.00_);_([$$-409]* \(#,##0.00\);_([$$-409]* &quot;-&quot;??_);_(@_)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indexed="8"/>
      <name val="Helvetica Neue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indexed="8"/>
      <name val="Cambria"/>
      <family val="1"/>
      <scheme val="major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8"/>
      <name val="Verdana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8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0E07D"/>
        <bgColor indexed="64"/>
      </patternFill>
    </fill>
    <fill>
      <patternFill patternType="solid">
        <fgColor rgb="FFAFF2AC"/>
        <bgColor indexed="64"/>
      </patternFill>
    </fill>
    <fill>
      <patternFill patternType="solid">
        <fgColor theme="0" tint="-0.14999847407452621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0">
    <xf numFmtId="0" fontId="0" fillId="0" borderId="0" xfId="0"/>
    <xf numFmtId="0" fontId="0" fillId="0" borderId="0" xfId="0" applyAlignment="1">
      <alignment horizontal="center"/>
    </xf>
    <xf numFmtId="9" fontId="0" fillId="0" borderId="0" xfId="0" applyNumberFormat="1"/>
    <xf numFmtId="10" fontId="0" fillId="0" borderId="0" xfId="0" applyNumberFormat="1"/>
    <xf numFmtId="2" fontId="0" fillId="0" borderId="0" xfId="0" applyNumberFormat="1"/>
    <xf numFmtId="164" fontId="0" fillId="0" borderId="0" xfId="0" applyNumberFormat="1"/>
    <xf numFmtId="165" fontId="0" fillId="0" borderId="0" xfId="0" applyNumberFormat="1"/>
    <xf numFmtId="166" fontId="0" fillId="0" borderId="0" xfId="1" applyNumberFormat="1" applyFont="1"/>
    <xf numFmtId="166" fontId="0" fillId="0" borderId="0" xfId="0" applyNumberFormat="1"/>
    <xf numFmtId="0" fontId="0" fillId="0" borderId="0" xfId="0" applyNumberFormat="1"/>
    <xf numFmtId="167" fontId="0" fillId="0" borderId="0" xfId="0" applyNumberFormat="1"/>
    <xf numFmtId="0" fontId="2" fillId="0" borderId="0" xfId="0" applyFont="1"/>
    <xf numFmtId="0" fontId="2" fillId="0" borderId="0" xfId="0" applyFont="1" applyFill="1" applyBorder="1" applyAlignment="1">
      <alignment horizontal="left" indent="1"/>
    </xf>
    <xf numFmtId="0" fontId="2" fillId="0" borderId="0" xfId="0" applyNumberFormat="1" applyFont="1"/>
    <xf numFmtId="0" fontId="2" fillId="0" borderId="0" xfId="0" applyFont="1" applyBorder="1" applyAlignment="1">
      <alignment horizontal="left" indent="1"/>
    </xf>
    <xf numFmtId="2" fontId="2" fillId="0" borderId="0" xfId="0" applyNumberFormat="1" applyFont="1" applyFill="1" applyBorder="1" applyAlignment="1">
      <alignment horizontal="left" indent="1"/>
    </xf>
    <xf numFmtId="2" fontId="2" fillId="0" borderId="0" xfId="0" applyNumberFormat="1" applyFont="1" applyBorder="1"/>
    <xf numFmtId="2" fontId="3" fillId="0" borderId="0" xfId="0" applyNumberFormat="1" applyFont="1"/>
    <xf numFmtId="2" fontId="3" fillId="0" borderId="0" xfId="0" applyNumberFormat="1" applyFont="1" applyAlignment="1"/>
    <xf numFmtId="2" fontId="3" fillId="0" borderId="11" xfId="0" applyNumberFormat="1" applyFont="1" applyBorder="1"/>
    <xf numFmtId="2" fontId="3" fillId="0" borderId="19" xfId="0" applyNumberFormat="1" applyFont="1" applyBorder="1"/>
    <xf numFmtId="2" fontId="3" fillId="0" borderId="10" xfId="0" applyNumberFormat="1" applyFont="1" applyBorder="1"/>
    <xf numFmtId="2" fontId="3" fillId="0" borderId="0" xfId="0" applyNumberFormat="1" applyFont="1" applyFill="1" applyBorder="1" applyAlignment="1" applyProtection="1">
      <alignment horizontal="right" vertical="top" wrapText="1"/>
    </xf>
    <xf numFmtId="2" fontId="3" fillId="0" borderId="12" xfId="0" applyNumberFormat="1" applyFont="1" applyFill="1" applyBorder="1" applyAlignment="1">
      <alignment horizontal="right" vertical="top"/>
    </xf>
    <xf numFmtId="2" fontId="3" fillId="0" borderId="11" xfId="0" applyNumberFormat="1" applyFont="1" applyBorder="1" applyAlignment="1"/>
    <xf numFmtId="2" fontId="3" fillId="0" borderId="11" xfId="0" applyNumberFormat="1" applyFont="1" applyBorder="1" applyAlignment="1">
      <alignment wrapText="1"/>
    </xf>
    <xf numFmtId="2" fontId="3" fillId="0" borderId="0" xfId="0" applyNumberFormat="1" applyFont="1" applyFill="1" applyBorder="1" applyAlignment="1">
      <alignment horizontal="right" vertical="top" wrapText="1"/>
    </xf>
    <xf numFmtId="2" fontId="3" fillId="0" borderId="9" xfId="0" applyNumberFormat="1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Border="1"/>
    <xf numFmtId="0" fontId="0" fillId="0" borderId="0" xfId="0" applyAlignment="1"/>
    <xf numFmtId="0" fontId="0" fillId="0" borderId="0" xfId="0" applyBorder="1" applyAlignment="1"/>
    <xf numFmtId="2" fontId="3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/>
    </xf>
    <xf numFmtId="0" fontId="0" fillId="0" borderId="11" xfId="0" applyBorder="1"/>
    <xf numFmtId="0" fontId="0" fillId="0" borderId="10" xfId="0" applyBorder="1"/>
    <xf numFmtId="0" fontId="0" fillId="0" borderId="16" xfId="0" applyBorder="1"/>
    <xf numFmtId="0" fontId="0" fillId="0" borderId="7" xfId="0" applyBorder="1"/>
    <xf numFmtId="0" fontId="0" fillId="0" borderId="8" xfId="0" applyBorder="1"/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11" xfId="0" applyFont="1" applyBorder="1"/>
    <xf numFmtId="9" fontId="0" fillId="0" borderId="11" xfId="0" applyNumberFormat="1" applyBorder="1"/>
    <xf numFmtId="9" fontId="6" fillId="0" borderId="8" xfId="2" applyFont="1" applyBorder="1"/>
    <xf numFmtId="0" fontId="5" fillId="0" borderId="4" xfId="0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9" fontId="0" fillId="0" borderId="28" xfId="0" applyNumberFormat="1" applyBorder="1"/>
    <xf numFmtId="0" fontId="6" fillId="0" borderId="29" xfId="0" applyFont="1" applyBorder="1"/>
    <xf numFmtId="0" fontId="0" fillId="0" borderId="29" xfId="0" applyNumberFormat="1" applyBorder="1"/>
    <xf numFmtId="167" fontId="0" fillId="0" borderId="29" xfId="0" applyNumberFormat="1" applyBorder="1"/>
    <xf numFmtId="0" fontId="0" fillId="0" borderId="30" xfId="0" applyBorder="1" applyAlignment="1">
      <alignment horizontal="right"/>
    </xf>
    <xf numFmtId="0" fontId="0" fillId="0" borderId="24" xfId="0" applyBorder="1"/>
    <xf numFmtId="167" fontId="0" fillId="0" borderId="24" xfId="0" applyNumberFormat="1" applyBorder="1"/>
    <xf numFmtId="0" fontId="0" fillId="0" borderId="25" xfId="0" applyBorder="1"/>
    <xf numFmtId="0" fontId="0" fillId="0" borderId="26" xfId="0" applyBorder="1"/>
    <xf numFmtId="2" fontId="3" fillId="0" borderId="8" xfId="0" applyNumberFormat="1" applyFont="1" applyBorder="1" applyAlignment="1">
      <alignment horizontal="left" vertical="center"/>
    </xf>
    <xf numFmtId="2" fontId="3" fillId="0" borderId="8" xfId="0" applyNumberFormat="1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0" borderId="0" xfId="0" applyAlignment="1">
      <alignment wrapText="1"/>
    </xf>
    <xf numFmtId="0" fontId="5" fillId="0" borderId="33" xfId="0" applyFont="1" applyBorder="1" applyAlignment="1">
      <alignment horizontal="center" vertical="center" wrapText="1"/>
    </xf>
    <xf numFmtId="2" fontId="0" fillId="0" borderId="24" xfId="0" applyNumberFormat="1" applyBorder="1" applyAlignment="1">
      <alignment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2" borderId="33" xfId="0" applyFill="1" applyBorder="1"/>
    <xf numFmtId="0" fontId="0" fillId="3" borderId="21" xfId="0" applyFill="1" applyBorder="1"/>
    <xf numFmtId="2" fontId="0" fillId="2" borderId="24" xfId="0" applyNumberFormat="1" applyFill="1" applyBorder="1"/>
    <xf numFmtId="2" fontId="0" fillId="3" borderId="25" xfId="0" applyNumberFormat="1" applyFill="1" applyBorder="1"/>
    <xf numFmtId="0" fontId="10" fillId="0" borderId="36" xfId="0" applyFont="1" applyBorder="1"/>
    <xf numFmtId="0" fontId="10" fillId="0" borderId="33" xfId="0" applyFont="1" applyBorder="1"/>
    <xf numFmtId="0" fontId="12" fillId="0" borderId="20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3" fillId="0" borderId="36" xfId="0" applyFont="1" applyBorder="1"/>
    <xf numFmtId="2" fontId="13" fillId="0" borderId="41" xfId="0" applyNumberFormat="1" applyFont="1" applyBorder="1"/>
    <xf numFmtId="0" fontId="13" fillId="0" borderId="33" xfId="0" applyFont="1" applyBorder="1"/>
    <xf numFmtId="2" fontId="13" fillId="0" borderId="24" xfId="0" applyNumberFormat="1" applyFont="1" applyBorder="1"/>
    <xf numFmtId="0" fontId="13" fillId="0" borderId="39" xfId="0" applyFont="1" applyBorder="1"/>
    <xf numFmtId="2" fontId="13" fillId="0" borderId="25" xfId="0" applyNumberFormat="1" applyFont="1" applyBorder="1"/>
    <xf numFmtId="0" fontId="13" fillId="0" borderId="40" xfId="0" applyFont="1" applyBorder="1"/>
    <xf numFmtId="2" fontId="13" fillId="0" borderId="20" xfId="0" applyNumberFormat="1" applyFont="1" applyBorder="1"/>
    <xf numFmtId="0" fontId="13" fillId="0" borderId="21" xfId="0" applyFont="1" applyBorder="1"/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0" fillId="0" borderId="7" xfId="0" applyFont="1" applyBorder="1"/>
    <xf numFmtId="2" fontId="10" fillId="0" borderId="9" xfId="0" applyNumberFormat="1" applyFont="1" applyBorder="1"/>
    <xf numFmtId="0" fontId="11" fillId="0" borderId="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0" fontId="10" fillId="0" borderId="26" xfId="2" applyNumberFormat="1" applyFont="1" applyBorder="1" applyAlignment="1">
      <alignment horizontal="right"/>
    </xf>
    <xf numFmtId="2" fontId="10" fillId="0" borderId="38" xfId="0" applyNumberFormat="1" applyFont="1" applyBorder="1"/>
    <xf numFmtId="0" fontId="10" fillId="0" borderId="0" xfId="0" applyFont="1" applyAlignment="1"/>
    <xf numFmtId="2" fontId="10" fillId="0" borderId="26" xfId="0" applyNumberFormat="1" applyFont="1" applyBorder="1" applyAlignment="1"/>
    <xf numFmtId="9" fontId="10" fillId="0" borderId="24" xfId="0" applyNumberFormat="1" applyFont="1" applyBorder="1" applyAlignment="1"/>
    <xf numFmtId="0" fontId="10" fillId="0" borderId="24" xfId="0" applyFont="1" applyBorder="1" applyAlignment="1"/>
    <xf numFmtId="167" fontId="10" fillId="0" borderId="25" xfId="0" applyNumberFormat="1" applyFont="1" applyBorder="1" applyAlignment="1"/>
    <xf numFmtId="0" fontId="10" fillId="0" borderId="36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0" fillId="0" borderId="37" xfId="0" applyFont="1" applyBorder="1" applyAlignment="1">
      <alignment horizontal="right"/>
    </xf>
    <xf numFmtId="165" fontId="10" fillId="0" borderId="32" xfId="0" applyNumberFormat="1" applyFont="1" applyBorder="1" applyAlignment="1">
      <alignment horizontal="right"/>
    </xf>
    <xf numFmtId="165" fontId="10" fillId="0" borderId="34" xfId="0" applyNumberFormat="1" applyFont="1" applyBorder="1" applyAlignment="1">
      <alignment horizontal="right"/>
    </xf>
    <xf numFmtId="167" fontId="10" fillId="0" borderId="32" xfId="0" applyNumberFormat="1" applyFont="1" applyBorder="1" applyAlignment="1">
      <alignment horizontal="right"/>
    </xf>
    <xf numFmtId="167" fontId="10" fillId="0" borderId="34" xfId="0" applyNumberFormat="1" applyFont="1" applyBorder="1" applyAlignment="1">
      <alignment horizontal="right"/>
    </xf>
    <xf numFmtId="0" fontId="10" fillId="0" borderId="26" xfId="0" applyFont="1" applyBorder="1" applyAlignment="1">
      <alignment horizontal="right"/>
    </xf>
    <xf numFmtId="165" fontId="10" fillId="0" borderId="24" xfId="0" applyNumberFormat="1" applyFont="1" applyBorder="1" applyAlignment="1">
      <alignment horizontal="right"/>
    </xf>
    <xf numFmtId="0" fontId="10" fillId="0" borderId="24" xfId="0" applyFont="1" applyBorder="1" applyAlignment="1">
      <alignment horizontal="right"/>
    </xf>
    <xf numFmtId="0" fontId="10" fillId="0" borderId="25" xfId="0" applyFont="1" applyBorder="1" applyAlignment="1">
      <alignment horizontal="right"/>
    </xf>
    <xf numFmtId="167" fontId="10" fillId="0" borderId="24" xfId="0" applyNumberFormat="1" applyFont="1" applyBorder="1" applyAlignment="1">
      <alignment horizontal="right"/>
    </xf>
    <xf numFmtId="167" fontId="10" fillId="0" borderId="25" xfId="0" applyNumberFormat="1" applyFont="1" applyBorder="1" applyAlignment="1">
      <alignment horizontal="right"/>
    </xf>
    <xf numFmtId="165" fontId="10" fillId="0" borderId="26" xfId="0" applyNumberFormat="1" applyFont="1" applyFill="1" applyBorder="1" applyAlignment="1">
      <alignment horizontal="right"/>
    </xf>
    <xf numFmtId="165" fontId="10" fillId="0" borderId="25" xfId="0" applyNumberFormat="1" applyFont="1" applyBorder="1" applyAlignment="1">
      <alignment horizontal="right"/>
    </xf>
    <xf numFmtId="0" fontId="12" fillId="5" borderId="1" xfId="0" applyFont="1" applyFill="1" applyBorder="1"/>
    <xf numFmtId="2" fontId="12" fillId="5" borderId="20" xfId="0" applyNumberFormat="1" applyFont="1" applyFill="1" applyBorder="1"/>
    <xf numFmtId="168" fontId="0" fillId="0" borderId="24" xfId="0" applyNumberFormat="1" applyBorder="1"/>
    <xf numFmtId="2" fontId="15" fillId="0" borderId="0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 applyAlignment="1">
      <alignment horizontal="left" vertical="center"/>
    </xf>
    <xf numFmtId="0" fontId="14" fillId="0" borderId="0" xfId="0" applyFont="1"/>
    <xf numFmtId="0" fontId="9" fillId="0" borderId="0" xfId="0" applyFont="1" applyAlignment="1">
      <alignment wrapText="1"/>
    </xf>
    <xf numFmtId="0" fontId="0" fillId="0" borderId="0" xfId="0" applyFont="1" applyBorder="1" applyAlignment="1">
      <alignment wrapText="1"/>
    </xf>
    <xf numFmtId="2" fontId="0" fillId="0" borderId="0" xfId="0" applyNumberFormat="1" applyFont="1" applyBorder="1"/>
    <xf numFmtId="0" fontId="0" fillId="0" borderId="0" xfId="0" applyBorder="1"/>
    <xf numFmtId="0" fontId="16" fillId="0" borderId="4" xfId="0" applyNumberFormat="1" applyFont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6" xfId="0" applyNumberFormat="1" applyFont="1" applyFill="1" applyBorder="1" applyAlignment="1">
      <alignment horizontal="center" vertical="center"/>
    </xf>
    <xf numFmtId="0" fontId="15" fillId="0" borderId="0" xfId="0" applyFont="1" applyBorder="1" applyAlignment="1"/>
    <xf numFmtId="0" fontId="15" fillId="0" borderId="0" xfId="0" applyNumberFormat="1" applyFont="1" applyFill="1" applyBorder="1"/>
    <xf numFmtId="0" fontId="10" fillId="0" borderId="0" xfId="0" applyFont="1"/>
    <xf numFmtId="0" fontId="5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2" fontId="0" fillId="0" borderId="46" xfId="0" applyNumberFormat="1" applyBorder="1" applyAlignment="1">
      <alignment vertical="center"/>
    </xf>
    <xf numFmtId="2" fontId="0" fillId="0" borderId="33" xfId="0" applyNumberFormat="1" applyBorder="1" applyAlignment="1">
      <alignment vertical="center"/>
    </xf>
    <xf numFmtId="2" fontId="0" fillId="0" borderId="47" xfId="0" applyNumberFormat="1" applyBorder="1" applyAlignment="1">
      <alignment vertical="center"/>
    </xf>
    <xf numFmtId="2" fontId="0" fillId="0" borderId="41" xfId="0" applyNumberFormat="1" applyBorder="1" applyAlignment="1">
      <alignment vertical="center"/>
    </xf>
    <xf numFmtId="2" fontId="3" fillId="0" borderId="0" xfId="0" applyNumberFormat="1" applyFont="1" applyFill="1" applyBorder="1"/>
    <xf numFmtId="2" fontId="10" fillId="0" borderId="24" xfId="0" applyNumberFormat="1" applyFont="1" applyBorder="1"/>
    <xf numFmtId="2" fontId="10" fillId="0" borderId="25" xfId="0" applyNumberFormat="1" applyFont="1" applyBorder="1"/>
    <xf numFmtId="0" fontId="11" fillId="5" borderId="21" xfId="0" applyFont="1" applyFill="1" applyBorder="1"/>
    <xf numFmtId="2" fontId="10" fillId="0" borderId="41" xfId="0" applyNumberFormat="1" applyFont="1" applyBorder="1"/>
    <xf numFmtId="0" fontId="10" fillId="0" borderId="39" xfId="0" applyFont="1" applyBorder="1"/>
    <xf numFmtId="0" fontId="11" fillId="0" borderId="0" xfId="0" applyFont="1" applyFill="1" applyBorder="1"/>
    <xf numFmtId="2" fontId="0" fillId="0" borderId="0" xfId="0" applyNumberFormat="1" applyFill="1" applyBorder="1"/>
    <xf numFmtId="0" fontId="10" fillId="0" borderId="40" xfId="0" applyFont="1" applyBorder="1"/>
    <xf numFmtId="0" fontId="11" fillId="0" borderId="42" xfId="0" applyFont="1" applyBorder="1" applyAlignment="1">
      <alignment horizontal="center"/>
    </xf>
    <xf numFmtId="0" fontId="11" fillId="0" borderId="45" xfId="0" applyFont="1" applyBorder="1" applyAlignment="1">
      <alignment horizontal="center"/>
    </xf>
    <xf numFmtId="2" fontId="10" fillId="5" borderId="25" xfId="0" applyNumberFormat="1" applyFont="1" applyFill="1" applyBorder="1"/>
    <xf numFmtId="0" fontId="11" fillId="5" borderId="1" xfId="0" applyFont="1" applyFill="1" applyBorder="1"/>
    <xf numFmtId="2" fontId="10" fillId="0" borderId="20" xfId="0" applyNumberFormat="1" applyFont="1" applyBorder="1"/>
    <xf numFmtId="2" fontId="10" fillId="0" borderId="45" xfId="0" applyNumberFormat="1" applyFont="1" applyBorder="1"/>
    <xf numFmtId="2" fontId="10" fillId="5" borderId="20" xfId="0" applyNumberFormat="1" applyFont="1" applyFill="1" applyBorder="1"/>
    <xf numFmtId="2" fontId="18" fillId="0" borderId="36" xfId="0" applyNumberFormat="1" applyFont="1" applyBorder="1"/>
    <xf numFmtId="2" fontId="18" fillId="0" borderId="33" xfId="0" applyNumberFormat="1" applyFont="1" applyBorder="1"/>
    <xf numFmtId="2" fontId="18" fillId="0" borderId="39" xfId="0" applyNumberFormat="1" applyFont="1" applyBorder="1"/>
    <xf numFmtId="0" fontId="5" fillId="0" borderId="0" xfId="0" applyFont="1" applyBorder="1"/>
    <xf numFmtId="2" fontId="3" fillId="0" borderId="0" xfId="0" applyNumberFormat="1" applyFont="1" applyBorder="1" applyAlignment="1">
      <alignment horizontal="left" vertical="center"/>
    </xf>
    <xf numFmtId="2" fontId="3" fillId="0" borderId="0" xfId="0" applyNumberFormat="1" applyFont="1" applyBorder="1" applyAlignment="1">
      <alignment vertical="center"/>
    </xf>
    <xf numFmtId="2" fontId="3" fillId="0" borderId="0" xfId="0" applyNumberFormat="1" applyFont="1" applyBorder="1" applyAlignment="1"/>
    <xf numFmtId="0" fontId="0" fillId="0" borderId="12" xfId="0" applyBorder="1"/>
    <xf numFmtId="2" fontId="0" fillId="0" borderId="11" xfId="0" applyNumberFormat="1" applyBorder="1"/>
    <xf numFmtId="2" fontId="0" fillId="0" borderId="19" xfId="0" applyNumberFormat="1" applyBorder="1"/>
    <xf numFmtId="10" fontId="0" fillId="0" borderId="12" xfId="0" applyNumberFormat="1" applyBorder="1"/>
    <xf numFmtId="10" fontId="0" fillId="0" borderId="23" xfId="0" applyNumberFormat="1" applyBorder="1"/>
    <xf numFmtId="10" fontId="0" fillId="0" borderId="9" xfId="0" applyNumberFormat="1" applyBorder="1"/>
    <xf numFmtId="2" fontId="3" fillId="0" borderId="19" xfId="0" applyNumberFormat="1" applyFont="1" applyBorder="1" applyAlignment="1">
      <alignment horizontal="right"/>
    </xf>
    <xf numFmtId="2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18" fillId="0" borderId="20" xfId="0" applyNumberFormat="1" applyFont="1" applyBorder="1" applyAlignment="1">
      <alignment horizontal="center" vertical="center" wrapText="1"/>
    </xf>
    <xf numFmtId="2" fontId="18" fillId="0" borderId="2" xfId="0" applyNumberFormat="1" applyFont="1" applyBorder="1" applyAlignment="1">
      <alignment horizontal="center" vertical="center" wrapText="1"/>
    </xf>
    <xf numFmtId="0" fontId="18" fillId="0" borderId="26" xfId="0" applyNumberFormat="1" applyFont="1" applyBorder="1" applyAlignment="1">
      <alignment horizontal="center" vertical="center"/>
    </xf>
    <xf numFmtId="2" fontId="18" fillId="0" borderId="37" xfId="0" applyNumberFormat="1" applyFont="1" applyBorder="1"/>
    <xf numFmtId="2" fontId="18" fillId="0" borderId="26" xfId="0" applyNumberFormat="1" applyFont="1" applyBorder="1"/>
    <xf numFmtId="0" fontId="18" fillId="0" borderId="24" xfId="0" applyNumberFormat="1" applyFont="1" applyBorder="1" applyAlignment="1">
      <alignment horizontal="center" vertical="center"/>
    </xf>
    <xf numFmtId="2" fontId="18" fillId="0" borderId="32" xfId="0" applyNumberFormat="1" applyFont="1" applyBorder="1"/>
    <xf numFmtId="2" fontId="18" fillId="0" borderId="24" xfId="0" applyNumberFormat="1" applyFont="1" applyBorder="1"/>
    <xf numFmtId="0" fontId="18" fillId="0" borderId="25" xfId="0" applyNumberFormat="1" applyFont="1" applyBorder="1" applyAlignment="1">
      <alignment horizontal="center" vertical="center"/>
    </xf>
    <xf numFmtId="2" fontId="18" fillId="0" borderId="34" xfId="0" applyNumberFormat="1" applyFont="1" applyBorder="1"/>
    <xf numFmtId="2" fontId="18" fillId="0" borderId="25" xfId="0" applyNumberFormat="1" applyFont="1" applyBorder="1"/>
    <xf numFmtId="2" fontId="14" fillId="0" borderId="0" xfId="0" applyNumberFormat="1" applyFont="1" applyBorder="1" applyAlignment="1">
      <alignment vertical="center"/>
    </xf>
    <xf numFmtId="2" fontId="18" fillId="0" borderId="0" xfId="0" applyNumberFormat="1" applyFont="1"/>
    <xf numFmtId="2" fontId="18" fillId="0" borderId="1" xfId="0" applyNumberFormat="1" applyFont="1" applyBorder="1" applyAlignment="1">
      <alignment horizontal="center" vertical="center" wrapText="1"/>
    </xf>
    <xf numFmtId="0" fontId="18" fillId="0" borderId="36" xfId="0" applyNumberFormat="1" applyFont="1" applyBorder="1" applyAlignment="1">
      <alignment horizontal="center" vertical="center"/>
    </xf>
    <xf numFmtId="0" fontId="18" fillId="0" borderId="33" xfId="0" applyNumberFormat="1" applyFont="1" applyBorder="1" applyAlignment="1">
      <alignment horizontal="center" vertical="center"/>
    </xf>
    <xf numFmtId="0" fontId="18" fillId="0" borderId="21" xfId="0" applyNumberFormat="1" applyFont="1" applyBorder="1" applyAlignment="1">
      <alignment horizontal="center" vertical="center"/>
    </xf>
    <xf numFmtId="0" fontId="10" fillId="0" borderId="26" xfId="0" applyFont="1" applyBorder="1"/>
    <xf numFmtId="0" fontId="10" fillId="0" borderId="24" xfId="0" applyFont="1" applyBorder="1"/>
    <xf numFmtId="0" fontId="10" fillId="0" borderId="25" xfId="0" applyFont="1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ill="1"/>
    <xf numFmtId="0" fontId="0" fillId="0" borderId="0" xfId="0" applyNumberFormat="1" applyFill="1" applyBorder="1"/>
    <xf numFmtId="2" fontId="0" fillId="0" borderId="8" xfId="0" applyNumberFormat="1" applyBorder="1"/>
    <xf numFmtId="2" fontId="0" fillId="0" borderId="28" xfId="0" applyNumberFormat="1" applyBorder="1"/>
    <xf numFmtId="2" fontId="0" fillId="0" borderId="29" xfId="0" applyNumberFormat="1" applyBorder="1"/>
    <xf numFmtId="2" fontId="0" fillId="0" borderId="30" xfId="0" applyNumberFormat="1" applyBorder="1"/>
    <xf numFmtId="0" fontId="0" fillId="0" borderId="8" xfId="0" applyNumberFormat="1" applyBorder="1"/>
    <xf numFmtId="0" fontId="0" fillId="0" borderId="11" xfId="0" applyNumberFormat="1" applyBorder="1"/>
    <xf numFmtId="0" fontId="0" fillId="0" borderId="19" xfId="0" applyNumberFormat="1" applyBorder="1"/>
    <xf numFmtId="0" fontId="8" fillId="0" borderId="0" xfId="0" applyFont="1"/>
    <xf numFmtId="0" fontId="0" fillId="0" borderId="0" xfId="0" applyFont="1"/>
    <xf numFmtId="0" fontId="5" fillId="0" borderId="0" xfId="0" applyFont="1"/>
    <xf numFmtId="2" fontId="0" fillId="0" borderId="0" xfId="0" applyNumberFormat="1" applyFont="1"/>
    <xf numFmtId="0" fontId="8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5" fillId="0" borderId="2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0" fillId="0" borderId="0" xfId="0" applyFont="1" applyAlignment="1">
      <alignment wrapText="1"/>
    </xf>
    <xf numFmtId="0" fontId="0" fillId="0" borderId="0" xfId="0" applyFont="1" applyBorder="1"/>
    <xf numFmtId="2" fontId="0" fillId="0" borderId="24" xfId="0" applyNumberFormat="1" applyFont="1" applyBorder="1" applyAlignment="1">
      <alignment horizontal="right"/>
    </xf>
    <xf numFmtId="2" fontId="0" fillId="0" borderId="37" xfId="0" applyNumberFormat="1" applyFont="1" applyBorder="1" applyAlignment="1">
      <alignment horizontal="right" vertical="center"/>
    </xf>
    <xf numFmtId="2" fontId="0" fillId="0" borderId="26" xfId="0" applyNumberFormat="1" applyFont="1" applyBorder="1" applyAlignment="1">
      <alignment horizontal="right" vertical="center"/>
    </xf>
    <xf numFmtId="2" fontId="0" fillId="0" borderId="0" xfId="0" applyNumberFormat="1" applyFont="1" applyBorder="1" applyAlignment="1">
      <alignment horizontal="right" vertical="center"/>
    </xf>
    <xf numFmtId="2" fontId="0" fillId="0" borderId="32" xfId="0" applyNumberFormat="1" applyFont="1" applyBorder="1" applyAlignment="1">
      <alignment horizontal="right" vertical="center"/>
    </xf>
    <xf numFmtId="2" fontId="0" fillId="0" borderId="24" xfId="0" applyNumberFormat="1" applyFont="1" applyBorder="1" applyAlignment="1">
      <alignment horizontal="right" vertical="center"/>
    </xf>
    <xf numFmtId="0" fontId="0" fillId="0" borderId="26" xfId="0" applyFont="1" applyBorder="1" applyAlignment="1">
      <alignment horizontal="right"/>
    </xf>
    <xf numFmtId="0" fontId="0" fillId="0" borderId="24" xfId="0" applyFont="1" applyBorder="1" applyAlignment="1">
      <alignment horizontal="right"/>
    </xf>
    <xf numFmtId="0" fontId="5" fillId="8" borderId="33" xfId="0" applyFont="1" applyFill="1" applyBorder="1" applyAlignment="1">
      <alignment horizontal="left" vertical="center" wrapText="1"/>
    </xf>
    <xf numFmtId="0" fontId="0" fillId="8" borderId="24" xfId="0" applyFont="1" applyFill="1" applyBorder="1" applyAlignment="1">
      <alignment horizontal="right"/>
    </xf>
    <xf numFmtId="2" fontId="0" fillId="8" borderId="32" xfId="0" applyNumberFormat="1" applyFont="1" applyFill="1" applyBorder="1" applyAlignment="1">
      <alignment horizontal="right" vertical="center"/>
    </xf>
    <xf numFmtId="2" fontId="0" fillId="8" borderId="24" xfId="0" applyNumberFormat="1" applyFont="1" applyFill="1" applyBorder="1" applyAlignment="1">
      <alignment horizontal="right" vertical="center"/>
    </xf>
    <xf numFmtId="0" fontId="5" fillId="0" borderId="39" xfId="0" applyFont="1" applyBorder="1" applyAlignment="1">
      <alignment horizontal="left" vertical="center" wrapText="1"/>
    </xf>
    <xf numFmtId="2" fontId="0" fillId="0" borderId="52" xfId="0" applyNumberFormat="1" applyFont="1" applyBorder="1" applyAlignment="1">
      <alignment horizontal="right"/>
    </xf>
    <xf numFmtId="2" fontId="0" fillId="0" borderId="53" xfId="0" applyNumberFormat="1" applyFont="1" applyBorder="1" applyAlignment="1">
      <alignment horizontal="right" vertical="center"/>
    </xf>
    <xf numFmtId="2" fontId="0" fillId="0" borderId="52" xfId="0" applyNumberFormat="1" applyFont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 wrapText="1"/>
    </xf>
    <xf numFmtId="2" fontId="0" fillId="8" borderId="20" xfId="0" applyNumberFormat="1" applyFont="1" applyFill="1" applyBorder="1" applyAlignment="1">
      <alignment horizontal="right"/>
    </xf>
    <xf numFmtId="2" fontId="0" fillId="8" borderId="2" xfId="0" applyNumberFormat="1" applyFont="1" applyFill="1" applyBorder="1" applyAlignment="1">
      <alignment horizontal="right" vertical="center"/>
    </xf>
    <xf numFmtId="2" fontId="0" fillId="8" borderId="20" xfId="0" applyNumberFormat="1" applyFont="1" applyFill="1" applyBorder="1" applyAlignment="1">
      <alignment horizontal="right" vertical="center"/>
    </xf>
    <xf numFmtId="0" fontId="8" fillId="0" borderId="0" xfId="0" applyFont="1" applyAlignment="1"/>
    <xf numFmtId="0" fontId="0" fillId="0" borderId="0" xfId="0" applyFont="1" applyAlignment="1"/>
    <xf numFmtId="0" fontId="5" fillId="0" borderId="0" xfId="0" applyFont="1" applyAlignment="1"/>
    <xf numFmtId="0" fontId="5" fillId="0" borderId="17" xfId="0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0" fontId="5" fillId="0" borderId="44" xfId="0" applyNumberFormat="1" applyFont="1" applyBorder="1" applyAlignment="1">
      <alignment horizontal="center"/>
    </xf>
    <xf numFmtId="0" fontId="5" fillId="0" borderId="51" xfId="0" applyNumberFormat="1" applyFont="1" applyBorder="1" applyAlignment="1">
      <alignment horizontal="center"/>
    </xf>
    <xf numFmtId="0" fontId="0" fillId="0" borderId="37" xfId="0" applyFont="1" applyBorder="1" applyAlignment="1">
      <alignment horizontal="right" vertical="center"/>
    </xf>
    <xf numFmtId="2" fontId="0" fillId="0" borderId="38" xfId="0" applyNumberFormat="1" applyFont="1" applyBorder="1" applyAlignment="1">
      <alignment horizontal="right" vertical="center"/>
    </xf>
    <xf numFmtId="2" fontId="0" fillId="0" borderId="0" xfId="0" applyNumberFormat="1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0" fillId="0" borderId="32" xfId="0" applyFont="1" applyBorder="1" applyAlignment="1">
      <alignment horizontal="right" vertical="center"/>
    </xf>
    <xf numFmtId="2" fontId="0" fillId="0" borderId="35" xfId="0" applyNumberFormat="1" applyFont="1" applyBorder="1" applyAlignment="1">
      <alignment horizontal="right" vertical="center"/>
    </xf>
    <xf numFmtId="0" fontId="5" fillId="0" borderId="0" xfId="0" applyNumberFormat="1" applyFont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 wrapText="1"/>
    </xf>
    <xf numFmtId="0" fontId="9" fillId="0" borderId="0" xfId="0" applyFont="1" applyAlignment="1"/>
    <xf numFmtId="0" fontId="5" fillId="11" borderId="24" xfId="0" applyFont="1" applyFill="1" applyBorder="1" applyAlignment="1">
      <alignment horizontal="left" vertical="center"/>
    </xf>
    <xf numFmtId="0" fontId="0" fillId="11" borderId="32" xfId="0" applyFont="1" applyFill="1" applyBorder="1" applyAlignment="1">
      <alignment horizontal="right" vertical="center"/>
    </xf>
    <xf numFmtId="2" fontId="0" fillId="11" borderId="24" xfId="0" applyNumberFormat="1" applyFont="1" applyFill="1" applyBorder="1" applyAlignment="1">
      <alignment horizontal="right" vertical="center"/>
    </xf>
    <xf numFmtId="2" fontId="0" fillId="11" borderId="32" xfId="0" applyNumberFormat="1" applyFont="1" applyFill="1" applyBorder="1" applyAlignment="1">
      <alignment horizontal="right" vertical="center"/>
    </xf>
    <xf numFmtId="2" fontId="0" fillId="11" borderId="35" xfId="0" applyNumberFormat="1" applyFont="1" applyFill="1" applyBorder="1" applyAlignment="1">
      <alignment horizontal="right" vertical="center"/>
    </xf>
    <xf numFmtId="0" fontId="5" fillId="11" borderId="20" xfId="0" applyFont="1" applyFill="1" applyBorder="1" applyAlignment="1">
      <alignment horizontal="left" vertical="center"/>
    </xf>
    <xf numFmtId="2" fontId="0" fillId="11" borderId="2" xfId="0" applyNumberFormat="1" applyFont="1" applyFill="1" applyBorder="1" applyAlignment="1">
      <alignment horizontal="right" vertical="center"/>
    </xf>
    <xf numFmtId="2" fontId="0" fillId="11" borderId="20" xfId="0" applyNumberFormat="1" applyFont="1" applyFill="1" applyBorder="1" applyAlignment="1">
      <alignment horizontal="right" vertical="center"/>
    </xf>
    <xf numFmtId="2" fontId="0" fillId="11" borderId="3" xfId="0" applyNumberFormat="1" applyFont="1" applyFill="1" applyBorder="1" applyAlignment="1">
      <alignment horizontal="right" vertical="center"/>
    </xf>
    <xf numFmtId="0" fontId="5" fillId="0" borderId="33" xfId="0" applyFont="1" applyBorder="1" applyAlignment="1">
      <alignment horizontal="left" vertical="center"/>
    </xf>
    <xf numFmtId="0" fontId="0" fillId="0" borderId="0" xfId="0" applyFill="1" applyBorder="1" applyAlignment="1">
      <alignment wrapText="1"/>
    </xf>
    <xf numFmtId="0" fontId="0" fillId="0" borderId="0" xfId="0" applyFont="1" applyBorder="1" applyAlignment="1">
      <alignment horizontal="left"/>
    </xf>
    <xf numFmtId="0" fontId="5" fillId="0" borderId="39" xfId="0" applyFont="1" applyBorder="1" applyAlignment="1">
      <alignment horizontal="center" vertical="center" wrapText="1"/>
    </xf>
    <xf numFmtId="2" fontId="0" fillId="0" borderId="39" xfId="0" applyNumberFormat="1" applyBorder="1" applyAlignment="1">
      <alignment vertical="center"/>
    </xf>
    <xf numFmtId="2" fontId="0" fillId="0" borderId="52" xfId="0" applyNumberFormat="1" applyBorder="1" applyAlignment="1">
      <alignment vertical="center"/>
    </xf>
    <xf numFmtId="2" fontId="0" fillId="0" borderId="53" xfId="0" applyNumberFormat="1" applyBorder="1" applyAlignment="1">
      <alignment vertical="center"/>
    </xf>
    <xf numFmtId="0" fontId="5" fillId="6" borderId="1" xfId="0" applyFont="1" applyFill="1" applyBorder="1" applyAlignment="1">
      <alignment horizontal="center" vertical="center" wrapText="1"/>
    </xf>
    <xf numFmtId="2" fontId="5" fillId="7" borderId="1" xfId="0" applyNumberFormat="1" applyFont="1" applyFill="1" applyBorder="1" applyAlignment="1">
      <alignment vertical="center"/>
    </xf>
    <xf numFmtId="2" fontId="0" fillId="6" borderId="20" xfId="0" applyNumberFormat="1" applyFill="1" applyBorder="1" applyAlignment="1">
      <alignment vertical="center"/>
    </xf>
    <xf numFmtId="2" fontId="0" fillId="6" borderId="2" xfId="0" applyNumberFormat="1" applyFill="1" applyBorder="1" applyAlignment="1">
      <alignment vertical="center"/>
    </xf>
    <xf numFmtId="0" fontId="0" fillId="0" borderId="0" xfId="0" applyFill="1" applyBorder="1"/>
    <xf numFmtId="0" fontId="10" fillId="0" borderId="54" xfId="0" applyFont="1" applyBorder="1"/>
    <xf numFmtId="2" fontId="10" fillId="0" borderId="49" xfId="0" applyNumberFormat="1" applyFont="1" applyBorder="1"/>
    <xf numFmtId="0" fontId="11" fillId="5" borderId="4" xfId="0" applyFont="1" applyFill="1" applyBorder="1"/>
    <xf numFmtId="2" fontId="10" fillId="5" borderId="6" xfId="0" applyNumberFormat="1" applyFont="1" applyFill="1" applyBorder="1"/>
    <xf numFmtId="10" fontId="10" fillId="0" borderId="52" xfId="2" applyNumberFormat="1" applyFont="1" applyBorder="1" applyAlignment="1">
      <alignment horizontal="right"/>
    </xf>
    <xf numFmtId="2" fontId="10" fillId="0" borderId="56" xfId="0" applyNumberFormat="1" applyFont="1" applyBorder="1"/>
    <xf numFmtId="0" fontId="11" fillId="0" borderId="1" xfId="0" applyFont="1" applyFill="1" applyBorder="1"/>
    <xf numFmtId="10" fontId="10" fillId="0" borderId="20" xfId="2" applyNumberFormat="1" applyFont="1" applyFill="1" applyBorder="1" applyAlignment="1">
      <alignment horizontal="right"/>
    </xf>
    <xf numFmtId="2" fontId="10" fillId="0" borderId="3" xfId="0" applyNumberFormat="1" applyFont="1" applyFill="1" applyBorder="1"/>
    <xf numFmtId="0" fontId="10" fillId="0" borderId="0" xfId="0" applyFont="1" applyAlignment="1">
      <alignment wrapText="1"/>
    </xf>
    <xf numFmtId="0" fontId="0" fillId="0" borderId="11" xfId="0" applyFont="1" applyBorder="1" applyAlignment="1">
      <alignment horizontal="right" vertical="center"/>
    </xf>
    <xf numFmtId="0" fontId="0" fillId="0" borderId="12" xfId="0" applyFont="1" applyBorder="1" applyAlignment="1">
      <alignment horizontal="right" vertical="center"/>
    </xf>
    <xf numFmtId="2" fontId="0" fillId="0" borderId="19" xfId="0" applyNumberFormat="1" applyFont="1" applyBorder="1" applyAlignment="1">
      <alignment horizontal="right" vertical="center"/>
    </xf>
    <xf numFmtId="2" fontId="0" fillId="0" borderId="23" xfId="0" applyNumberFormat="1" applyFont="1" applyBorder="1" applyAlignment="1">
      <alignment horizontal="right" vertical="center"/>
    </xf>
    <xf numFmtId="2" fontId="0" fillId="0" borderId="57" xfId="0" applyNumberFormat="1" applyFont="1" applyBorder="1" applyAlignment="1">
      <alignment horizontal="right" vertical="center"/>
    </xf>
    <xf numFmtId="2" fontId="0" fillId="0" borderId="22" xfId="0" applyNumberFormat="1" applyFont="1" applyBorder="1" applyAlignment="1">
      <alignment horizontal="right" vertical="center"/>
    </xf>
    <xf numFmtId="0" fontId="5" fillId="0" borderId="41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2" fontId="0" fillId="0" borderId="0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9" fontId="0" fillId="0" borderId="0" xfId="0" applyNumberFormat="1" applyFont="1" applyAlignment="1">
      <alignment horizontal="left"/>
    </xf>
    <xf numFmtId="0" fontId="0" fillId="0" borderId="0" xfId="0" applyFont="1" applyBorder="1" applyAlignment="1">
      <alignment horizontal="right" vertical="center" wrapText="1"/>
    </xf>
    <xf numFmtId="0" fontId="21" fillId="0" borderId="4" xfId="0" applyNumberFormat="1" applyFont="1" applyBorder="1" applyAlignment="1">
      <alignment horizontal="center" vertical="center"/>
    </xf>
    <xf numFmtId="0" fontId="21" fillId="0" borderId="5" xfId="0" applyNumberFormat="1" applyFont="1" applyFill="1" applyBorder="1" applyAlignment="1">
      <alignment horizontal="center" vertical="center"/>
    </xf>
    <xf numFmtId="0" fontId="21" fillId="0" borderId="5" xfId="0" applyNumberFormat="1" applyFont="1" applyBorder="1" applyAlignment="1">
      <alignment horizontal="center" vertical="center"/>
    </xf>
    <xf numFmtId="0" fontId="21" fillId="0" borderId="6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vertical="center"/>
    </xf>
    <xf numFmtId="2" fontId="22" fillId="0" borderId="7" xfId="0" applyNumberFormat="1" applyFont="1" applyBorder="1" applyAlignment="1">
      <alignment horizontal="right" vertical="center"/>
    </xf>
    <xf numFmtId="2" fontId="22" fillId="0" borderId="8" xfId="0" applyNumberFormat="1" applyFont="1" applyFill="1" applyBorder="1" applyAlignment="1">
      <alignment horizontal="right" vertical="center"/>
    </xf>
    <xf numFmtId="2" fontId="22" fillId="0" borderId="8" xfId="0" applyNumberFormat="1" applyFont="1" applyBorder="1" applyAlignment="1">
      <alignment horizontal="right" vertical="center"/>
    </xf>
    <xf numFmtId="2" fontId="22" fillId="0" borderId="9" xfId="0" applyNumberFormat="1" applyFont="1" applyFill="1" applyBorder="1" applyAlignment="1">
      <alignment horizontal="right" vertical="center"/>
    </xf>
    <xf numFmtId="2" fontId="22" fillId="0" borderId="10" xfId="0" applyNumberFormat="1" applyFont="1" applyBorder="1" applyAlignment="1">
      <alignment horizontal="right" vertical="center"/>
    </xf>
    <xf numFmtId="2" fontId="22" fillId="0" borderId="11" xfId="0" applyNumberFormat="1" applyFont="1" applyBorder="1" applyAlignment="1">
      <alignment horizontal="right" vertical="center"/>
    </xf>
    <xf numFmtId="2" fontId="22" fillId="0" borderId="12" xfId="0" applyNumberFormat="1" applyFont="1" applyBorder="1" applyAlignment="1">
      <alignment horizontal="right" vertical="center"/>
    </xf>
    <xf numFmtId="2" fontId="0" fillId="5" borderId="16" xfId="0" applyNumberFormat="1" applyFont="1" applyFill="1" applyBorder="1" applyAlignment="1">
      <alignment horizontal="right" vertical="center"/>
    </xf>
    <xf numFmtId="2" fontId="0" fillId="5" borderId="19" xfId="0" applyNumberFormat="1" applyFont="1" applyFill="1" applyBorder="1" applyAlignment="1">
      <alignment horizontal="right" vertical="center"/>
    </xf>
    <xf numFmtId="2" fontId="0" fillId="5" borderId="23" xfId="0" applyNumberFormat="1" applyFont="1" applyFill="1" applyBorder="1" applyAlignment="1">
      <alignment horizontal="right" vertical="center"/>
    </xf>
    <xf numFmtId="2" fontId="0" fillId="0" borderId="0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 wrapText="1"/>
    </xf>
    <xf numFmtId="0" fontId="5" fillId="5" borderId="25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2" fontId="15" fillId="0" borderId="4" xfId="0" applyNumberFormat="1" applyFont="1" applyBorder="1" applyAlignment="1">
      <alignment horizontal="right" vertical="center"/>
    </xf>
    <xf numFmtId="2" fontId="15" fillId="0" borderId="5" xfId="0" applyNumberFormat="1" applyFont="1" applyBorder="1" applyAlignment="1">
      <alignment horizontal="right" vertical="center"/>
    </xf>
    <xf numFmtId="2" fontId="15" fillId="0" borderId="6" xfId="0" applyNumberFormat="1" applyFont="1" applyBorder="1" applyAlignment="1">
      <alignment horizontal="right" vertical="center"/>
    </xf>
    <xf numFmtId="2" fontId="24" fillId="0" borderId="19" xfId="0" applyNumberFormat="1" applyFont="1" applyFill="1" applyBorder="1" applyAlignment="1">
      <alignment horizontal="right" vertical="center"/>
    </xf>
    <xf numFmtId="0" fontId="24" fillId="0" borderId="11" xfId="0" applyFont="1" applyBorder="1" applyAlignment="1">
      <alignment horizontal="right" vertical="center"/>
    </xf>
    <xf numFmtId="0" fontId="0" fillId="0" borderId="0" xfId="0"/>
    <xf numFmtId="2" fontId="24" fillId="10" borderId="19" xfId="0" applyNumberFormat="1" applyFont="1" applyFill="1" applyBorder="1" applyAlignment="1">
      <alignment horizontal="right" vertical="center"/>
    </xf>
    <xf numFmtId="2" fontId="5" fillId="0" borderId="2" xfId="0" applyNumberFormat="1" applyFont="1" applyBorder="1" applyAlignment="1"/>
    <xf numFmtId="0" fontId="5" fillId="0" borderId="3" xfId="0" applyFont="1" applyBorder="1" applyAlignment="1"/>
    <xf numFmtId="0" fontId="5" fillId="0" borderId="20" xfId="0" applyFont="1" applyBorder="1" applyAlignment="1">
      <alignment horizontal="center"/>
    </xf>
    <xf numFmtId="2" fontId="24" fillId="0" borderId="10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2" fontId="24" fillId="0" borderId="16" xfId="0" applyNumberFormat="1" applyFont="1" applyFill="1" applyBorder="1" applyAlignment="1">
      <alignment horizontal="right" vertical="center"/>
    </xf>
    <xf numFmtId="2" fontId="24" fillId="0" borderId="23" xfId="0" applyNumberFormat="1" applyFont="1" applyFill="1" applyBorder="1" applyAlignment="1">
      <alignment horizontal="right" vertical="center"/>
    </xf>
    <xf numFmtId="2" fontId="0" fillId="0" borderId="19" xfId="0" applyNumberFormat="1" applyFont="1" applyFill="1" applyBorder="1" applyAlignment="1">
      <alignment horizontal="right" vertical="center"/>
    </xf>
    <xf numFmtId="2" fontId="0" fillId="10" borderId="19" xfId="0" applyNumberFormat="1" applyFont="1" applyFill="1" applyBorder="1" applyAlignment="1">
      <alignment horizontal="right" vertical="center"/>
    </xf>
    <xf numFmtId="2" fontId="5" fillId="0" borderId="2" xfId="0" applyNumberFormat="1" applyFont="1" applyBorder="1" applyAlignment="1">
      <alignment horizontal="right" vertical="center"/>
    </xf>
    <xf numFmtId="2" fontId="5" fillId="0" borderId="20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49" fontId="27" fillId="0" borderId="0" xfId="0" applyNumberFormat="1" applyFont="1" applyFill="1" applyBorder="1" applyAlignment="1">
      <alignment horizontal="right" indent="1"/>
    </xf>
    <xf numFmtId="9" fontId="5" fillId="0" borderId="44" xfId="0" applyNumberFormat="1" applyFont="1" applyBorder="1"/>
    <xf numFmtId="167" fontId="5" fillId="0" borderId="3" xfId="0" applyNumberFormat="1" applyFont="1" applyBorder="1"/>
    <xf numFmtId="0" fontId="28" fillId="0" borderId="0" xfId="0" applyFont="1"/>
    <xf numFmtId="0" fontId="20" fillId="0" borderId="0" xfId="0" applyFont="1" applyAlignment="1">
      <alignment horizontal="center" wrapText="1"/>
    </xf>
    <xf numFmtId="0" fontId="5" fillId="0" borderId="51" xfId="0" applyFont="1" applyBorder="1" applyAlignment="1">
      <alignment horizontal="center" wrapText="1"/>
    </xf>
    <xf numFmtId="0" fontId="5" fillId="0" borderId="13" xfId="0" applyFont="1" applyBorder="1" applyAlignment="1">
      <alignment horizontal="center"/>
    </xf>
    <xf numFmtId="9" fontId="5" fillId="0" borderId="51" xfId="0" applyNumberFormat="1" applyFont="1" applyBorder="1"/>
    <xf numFmtId="0" fontId="5" fillId="0" borderId="1" xfId="0" applyFont="1" applyBorder="1" applyAlignment="1">
      <alignment horizontal="center"/>
    </xf>
    <xf numFmtId="167" fontId="5" fillId="0" borderId="20" xfId="0" applyNumberFormat="1" applyFont="1" applyBorder="1"/>
    <xf numFmtId="0" fontId="5" fillId="0" borderId="20" xfId="0" applyFont="1" applyBorder="1" applyAlignment="1">
      <alignment horizontal="center" wrapText="1"/>
    </xf>
    <xf numFmtId="0" fontId="29" fillId="0" borderId="22" xfId="0" applyFont="1" applyBorder="1" applyAlignment="1">
      <alignment horizontal="center" vertical="center" wrapText="1" shrinkToFit="1"/>
    </xf>
    <xf numFmtId="0" fontId="29" fillId="0" borderId="19" xfId="0" applyFont="1" applyBorder="1" applyAlignment="1">
      <alignment horizontal="center" vertical="center" wrapText="1" shrinkToFit="1"/>
    </xf>
    <xf numFmtId="0" fontId="29" fillId="0" borderId="23" xfId="0" applyFont="1" applyBorder="1" applyAlignment="1">
      <alignment horizontal="center" vertical="center" wrapText="1" shrinkToFi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24" fillId="0" borderId="10" xfId="0" applyFont="1" applyBorder="1" applyAlignment="1">
      <alignment horizontal="left" vertical="center" wrapText="1" shrinkToFit="1"/>
    </xf>
    <xf numFmtId="2" fontId="24" fillId="0" borderId="11" xfId="0" applyNumberFormat="1" applyFont="1" applyBorder="1" applyAlignment="1">
      <alignment vertical="center" wrapText="1" shrinkToFit="1"/>
    </xf>
    <xf numFmtId="2" fontId="24" fillId="0" borderId="12" xfId="0" applyNumberFormat="1" applyFont="1" applyBorder="1" applyAlignment="1">
      <alignment vertical="center" wrapText="1" shrinkToFit="1"/>
    </xf>
    <xf numFmtId="2" fontId="30" fillId="0" borderId="10" xfId="0" applyNumberFormat="1" applyFont="1" applyBorder="1" applyAlignment="1">
      <alignment horizontal="left" vertical="center" wrapText="1" shrinkToFit="1"/>
    </xf>
    <xf numFmtId="0" fontId="24" fillId="0" borderId="54" xfId="0" applyFont="1" applyBorder="1" applyAlignment="1">
      <alignment horizontal="left" vertical="center" wrapText="1" shrinkToFit="1"/>
    </xf>
    <xf numFmtId="2" fontId="24" fillId="0" borderId="55" xfId="0" applyNumberFormat="1" applyFont="1" applyBorder="1" applyAlignment="1">
      <alignment vertical="center" wrapText="1" shrinkToFit="1"/>
    </xf>
    <xf numFmtId="2" fontId="24" fillId="0" borderId="49" xfId="0" applyNumberFormat="1" applyFont="1" applyBorder="1" applyAlignment="1">
      <alignment vertical="center" wrapText="1" shrinkToFit="1"/>
    </xf>
    <xf numFmtId="2" fontId="24" fillId="12" borderId="60" xfId="0" applyNumberFormat="1" applyFont="1" applyFill="1" applyBorder="1" applyAlignment="1">
      <alignment vertical="center" wrapText="1" shrinkToFit="1"/>
    </xf>
    <xf numFmtId="2" fontId="24" fillId="12" borderId="5" xfId="0" applyNumberFormat="1" applyFont="1" applyFill="1" applyBorder="1" applyAlignment="1">
      <alignment vertical="center" wrapText="1" shrinkToFit="1"/>
    </xf>
    <xf numFmtId="2" fontId="24" fillId="12" borderId="6" xfId="0" applyNumberFormat="1" applyFont="1" applyFill="1" applyBorder="1" applyAlignment="1">
      <alignment vertical="center" wrapText="1" shrinkToFit="1"/>
    </xf>
    <xf numFmtId="0" fontId="24" fillId="0" borderId="16" xfId="0" applyFont="1" applyBorder="1" applyAlignment="1">
      <alignment horizontal="left" vertical="center" wrapText="1" shrinkToFit="1"/>
    </xf>
    <xf numFmtId="2" fontId="24" fillId="0" borderId="19" xfId="0" applyNumberFormat="1" applyFont="1" applyBorder="1" applyAlignment="1">
      <alignment vertical="center" wrapText="1" shrinkToFit="1"/>
    </xf>
    <xf numFmtId="2" fontId="24" fillId="0" borderId="23" xfId="0" applyNumberFormat="1" applyFont="1" applyBorder="1" applyAlignment="1">
      <alignment vertical="center" wrapText="1" shrinkToFit="1"/>
    </xf>
    <xf numFmtId="0" fontId="5" fillId="0" borderId="2" xfId="0" applyFont="1" applyBorder="1" applyAlignment="1">
      <alignment horizontal="center" vertical="center"/>
    </xf>
    <xf numFmtId="0" fontId="20" fillId="0" borderId="17" xfId="0" applyFont="1" applyBorder="1" applyAlignment="1"/>
    <xf numFmtId="49" fontId="28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167" fontId="10" fillId="0" borderId="0" xfId="0" applyNumberFormat="1" applyFont="1" applyBorder="1" applyAlignment="1">
      <alignment horizontal="right"/>
    </xf>
    <xf numFmtId="0" fontId="10" fillId="0" borderId="52" xfId="0" applyFont="1" applyBorder="1" applyAlignment="1"/>
    <xf numFmtId="0" fontId="20" fillId="0" borderId="0" xfId="0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2" fontId="0" fillId="0" borderId="61" xfId="0" applyNumberFormat="1" applyFont="1" applyFill="1" applyBorder="1" applyAlignment="1">
      <alignment horizontal="right" vertical="center"/>
    </xf>
    <xf numFmtId="2" fontId="0" fillId="0" borderId="8" xfId="0" applyNumberFormat="1" applyFont="1" applyFill="1" applyBorder="1" applyAlignment="1">
      <alignment horizontal="right" vertical="center"/>
    </xf>
    <xf numFmtId="2" fontId="0" fillId="0" borderId="9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2" fontId="24" fillId="0" borderId="7" xfId="0" applyNumberFormat="1" applyFont="1" applyFill="1" applyBorder="1" applyAlignment="1">
      <alignment horizontal="right" vertical="center"/>
    </xf>
    <xf numFmtId="2" fontId="24" fillId="0" borderId="61" xfId="0" applyNumberFormat="1" applyFont="1" applyFill="1" applyBorder="1" applyAlignment="1">
      <alignment horizontal="right" vertical="center"/>
    </xf>
    <xf numFmtId="2" fontId="24" fillId="0" borderId="38" xfId="0" applyNumberFormat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44" fontId="0" fillId="0" borderId="0" xfId="0" applyNumberFormat="1" applyFill="1" applyBorder="1" applyAlignment="1"/>
    <xf numFmtId="169" fontId="0" fillId="0" borderId="0" xfId="0" applyNumberFormat="1" applyFill="1" applyBorder="1" applyAlignment="1"/>
    <xf numFmtId="2" fontId="5" fillId="0" borderId="3" xfId="0" applyNumberFormat="1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4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20" fillId="10" borderId="42" xfId="0" applyFont="1" applyFill="1" applyBorder="1" applyAlignment="1">
      <alignment horizontal="center" vertical="center"/>
    </xf>
    <xf numFmtId="0" fontId="0" fillId="0" borderId="31" xfId="0" applyBorder="1"/>
    <xf numFmtId="0" fontId="0" fillId="0" borderId="43" xfId="0" applyBorder="1"/>
    <xf numFmtId="0" fontId="0" fillId="0" borderId="13" xfId="0" applyBorder="1"/>
    <xf numFmtId="0" fontId="0" fillId="0" borderId="17" xfId="0" applyBorder="1"/>
    <xf numFmtId="0" fontId="0" fillId="0" borderId="44" xfId="0" applyBorder="1"/>
    <xf numFmtId="0" fontId="20" fillId="6" borderId="42" xfId="0" applyFont="1" applyFill="1" applyBorder="1" applyAlignment="1">
      <alignment horizontal="center" vertical="center"/>
    </xf>
    <xf numFmtId="0" fontId="20" fillId="6" borderId="31" xfId="0" applyFont="1" applyFill="1" applyBorder="1" applyAlignment="1">
      <alignment horizontal="center" vertical="center"/>
    </xf>
    <xf numFmtId="0" fontId="20" fillId="6" borderId="43" xfId="0" applyFont="1" applyFill="1" applyBorder="1" applyAlignment="1">
      <alignment horizontal="center" vertical="center"/>
    </xf>
    <xf numFmtId="0" fontId="20" fillId="6" borderId="40" xfId="0" applyFont="1" applyFill="1" applyBorder="1" applyAlignment="1">
      <alignment horizontal="center" vertical="center"/>
    </xf>
    <xf numFmtId="0" fontId="20" fillId="6" borderId="0" xfId="0" applyFont="1" applyFill="1" applyBorder="1" applyAlignment="1">
      <alignment horizontal="center" vertical="center"/>
    </xf>
    <xf numFmtId="0" fontId="20" fillId="6" borderId="4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0" fillId="3" borderId="42" xfId="0" applyFont="1" applyFill="1" applyBorder="1" applyAlignment="1">
      <alignment horizontal="center" vertical="center" wrapText="1"/>
    </xf>
    <xf numFmtId="0" fontId="20" fillId="3" borderId="31" xfId="0" applyFont="1" applyFill="1" applyBorder="1" applyAlignment="1">
      <alignment horizontal="center" vertical="center" wrapText="1"/>
    </xf>
    <xf numFmtId="0" fontId="20" fillId="3" borderId="43" xfId="0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vertical="center" wrapText="1"/>
    </xf>
    <xf numFmtId="0" fontId="20" fillId="3" borderId="17" xfId="0" applyFont="1" applyFill="1" applyBorder="1" applyAlignment="1">
      <alignment horizontal="center" vertical="center" wrapText="1"/>
    </xf>
    <xf numFmtId="0" fontId="20" fillId="3" borderId="44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17" xfId="0" applyFont="1" applyBorder="1" applyAlignment="1">
      <alignment horizontal="center"/>
    </xf>
    <xf numFmtId="0" fontId="29" fillId="0" borderId="42" xfId="0" applyFont="1" applyBorder="1" applyAlignment="1">
      <alignment horizontal="center" vertical="center" textRotation="90" wrapText="1" shrinkToFit="1"/>
    </xf>
    <xf numFmtId="0" fontId="29" fillId="0" borderId="40" xfId="0" applyFont="1" applyBorder="1" applyAlignment="1">
      <alignment horizontal="center" vertical="center" textRotation="90" wrapText="1" shrinkToFit="1"/>
    </xf>
    <xf numFmtId="0" fontId="29" fillId="0" borderId="13" xfId="0" applyFont="1" applyBorder="1" applyAlignment="1">
      <alignment horizontal="center" vertical="center" textRotation="90" wrapText="1" shrinkToFit="1"/>
    </xf>
    <xf numFmtId="0" fontId="29" fillId="0" borderId="45" xfId="0" applyFont="1" applyBorder="1" applyAlignment="1">
      <alignment horizontal="center" vertical="center" textRotation="90" shrinkToFit="1"/>
    </xf>
    <xf numFmtId="0" fontId="29" fillId="0" borderId="59" xfId="0" applyFont="1" applyBorder="1" applyAlignment="1">
      <alignment horizontal="center" vertical="center" textRotation="90" shrinkToFit="1"/>
    </xf>
    <xf numFmtId="0" fontId="29" fillId="0" borderId="51" xfId="0" applyFont="1" applyBorder="1" applyAlignment="1">
      <alignment horizontal="center" vertical="center" textRotation="90" shrinkToFit="1"/>
    </xf>
    <xf numFmtId="0" fontId="31" fillId="12" borderId="1" xfId="0" applyFont="1" applyFill="1" applyBorder="1" applyAlignment="1">
      <alignment horizontal="center" vertical="center" wrapText="1" shrinkToFit="1"/>
    </xf>
    <xf numFmtId="0" fontId="31" fillId="12" borderId="3" xfId="0" applyFont="1" applyFill="1" applyBorder="1" applyAlignment="1">
      <alignment horizontal="center" vertical="center" wrapText="1" shrinkToFit="1"/>
    </xf>
    <xf numFmtId="0" fontId="32" fillId="9" borderId="1" xfId="0" applyFont="1" applyFill="1" applyBorder="1" applyAlignment="1">
      <alignment horizontal="center" vertical="center" wrapText="1" shrinkToFit="1"/>
    </xf>
    <xf numFmtId="0" fontId="32" fillId="9" borderId="2" xfId="0" applyFont="1" applyFill="1" applyBorder="1" applyAlignment="1">
      <alignment horizontal="center" vertical="center" wrapText="1" shrinkToFit="1"/>
    </xf>
    <xf numFmtId="0" fontId="32" fillId="9" borderId="3" xfId="0" applyFont="1" applyFill="1" applyBorder="1" applyAlignment="1">
      <alignment horizontal="center" vertical="center" wrapText="1" shrinkToFit="1"/>
    </xf>
    <xf numFmtId="0" fontId="29" fillId="0" borderId="1" xfId="0" applyFont="1" applyFill="1" applyBorder="1" applyAlignment="1">
      <alignment horizontal="center" vertical="center" wrapText="1" shrinkToFit="1"/>
    </xf>
    <xf numFmtId="0" fontId="29" fillId="0" borderId="3" xfId="0" applyFont="1" applyFill="1" applyBorder="1" applyAlignment="1">
      <alignment horizontal="center" vertical="center" wrapText="1" shrinkToFit="1"/>
    </xf>
    <xf numFmtId="0" fontId="29" fillId="0" borderId="33" xfId="0" applyFont="1" applyBorder="1" applyAlignment="1">
      <alignment horizontal="left" vertical="center" wrapText="1" shrinkToFit="1"/>
    </xf>
    <xf numFmtId="0" fontId="29" fillId="0" borderId="32" xfId="0" applyFont="1" applyBorder="1" applyAlignment="1">
      <alignment horizontal="left" vertical="center" wrapText="1" shrinkToFit="1"/>
    </xf>
    <xf numFmtId="0" fontId="29" fillId="0" borderId="35" xfId="0" applyFont="1" applyBorder="1" applyAlignment="1">
      <alignment horizontal="left" vertical="center" wrapText="1" shrinkToFit="1"/>
    </xf>
    <xf numFmtId="0" fontId="29" fillId="0" borderId="33" xfId="0" applyFont="1" applyFill="1" applyBorder="1" applyAlignment="1">
      <alignment horizontal="left" vertical="center" wrapText="1" shrinkToFit="1"/>
    </xf>
    <xf numFmtId="0" fontId="29" fillId="0" borderId="32" xfId="0" applyFont="1" applyFill="1" applyBorder="1" applyAlignment="1">
      <alignment horizontal="left" vertical="center" wrapText="1" shrinkToFit="1"/>
    </xf>
    <xf numFmtId="0" fontId="29" fillId="0" borderId="35" xfId="0" applyFont="1" applyFill="1" applyBorder="1" applyAlignment="1">
      <alignment horizontal="left" vertical="center" wrapText="1" shrinkToFit="1"/>
    </xf>
    <xf numFmtId="0" fontId="29" fillId="0" borderId="46" xfId="0" applyFont="1" applyBorder="1" applyAlignment="1">
      <alignment horizontal="left" vertical="center" wrapText="1" shrinkToFit="1"/>
    </xf>
    <xf numFmtId="0" fontId="29" fillId="0" borderId="47" xfId="0" applyFont="1" applyBorder="1" applyAlignment="1">
      <alignment horizontal="left" vertical="center" wrapText="1" shrinkToFit="1"/>
    </xf>
    <xf numFmtId="0" fontId="29" fillId="0" borderId="58" xfId="0" applyFont="1" applyBorder="1" applyAlignment="1">
      <alignment horizontal="left" vertical="center" wrapText="1" shrinkToFit="1"/>
    </xf>
    <xf numFmtId="0" fontId="11" fillId="0" borderId="4" xfId="0" applyFont="1" applyBorder="1" applyAlignment="1">
      <alignment horizontal="left"/>
    </xf>
    <xf numFmtId="0" fontId="11" fillId="0" borderId="50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48" xfId="0" applyFont="1" applyBorder="1" applyAlignment="1">
      <alignment horizontal="left"/>
    </xf>
    <xf numFmtId="0" fontId="11" fillId="0" borderId="14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/>
    </xf>
    <xf numFmtId="0" fontId="11" fillId="0" borderId="49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left"/>
    </xf>
    <xf numFmtId="0" fontId="11" fillId="0" borderId="50" xfId="0" applyFont="1" applyFill="1" applyBorder="1" applyAlignment="1">
      <alignment horizontal="left"/>
    </xf>
    <xf numFmtId="0" fontId="11" fillId="0" borderId="4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11" fillId="0" borderId="40" xfId="0" applyFont="1" applyFill="1" applyBorder="1" applyAlignment="1">
      <alignment horizontal="center" vertical="center"/>
    </xf>
    <xf numFmtId="0" fontId="11" fillId="0" borderId="4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23" fillId="5" borderId="42" xfId="0" applyFont="1" applyFill="1" applyBorder="1" applyAlignment="1">
      <alignment horizontal="center" vertical="center"/>
    </xf>
    <xf numFmtId="0" fontId="23" fillId="5" borderId="31" xfId="0" applyFont="1" applyFill="1" applyBorder="1" applyAlignment="1">
      <alignment horizontal="center" vertical="center"/>
    </xf>
    <xf numFmtId="0" fontId="23" fillId="5" borderId="43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/>
    </xf>
    <xf numFmtId="0" fontId="23" fillId="5" borderId="4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0" fontId="20" fillId="5" borderId="3" xfId="0" applyFont="1" applyFill="1" applyBorder="1" applyAlignment="1">
      <alignment horizontal="center" vertical="center"/>
    </xf>
    <xf numFmtId="0" fontId="20" fillId="6" borderId="1" xfId="0" applyFont="1" applyFill="1" applyBorder="1" applyAlignment="1">
      <alignment horizontal="center"/>
    </xf>
    <xf numFmtId="0" fontId="20" fillId="6" borderId="2" xfId="0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0" fontId="12" fillId="0" borderId="3" xfId="0" applyFont="1" applyFill="1" applyBorder="1" applyAlignment="1">
      <alignment horizontal="left"/>
    </xf>
    <xf numFmtId="0" fontId="12" fillId="0" borderId="1" xfId="0" applyFont="1" applyBorder="1" applyAlignment="1"/>
    <xf numFmtId="0" fontId="12" fillId="0" borderId="3" xfId="0" applyFont="1" applyBorder="1" applyAlignment="1"/>
    <xf numFmtId="0" fontId="12" fillId="0" borderId="1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5" fillId="5" borderId="42" xfId="0" applyFont="1" applyFill="1" applyBorder="1" applyAlignment="1">
      <alignment horizontal="center" vertical="center"/>
    </xf>
    <xf numFmtId="0" fontId="26" fillId="5" borderId="43" xfId="0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21" xfId="0" applyNumberFormat="1" applyFont="1" applyBorder="1" applyAlignment="1">
      <alignment horizontal="center"/>
    </xf>
    <xf numFmtId="2" fontId="3" fillId="0" borderId="22" xfId="0" applyNumberFormat="1" applyFont="1" applyBorder="1" applyAlignment="1">
      <alignment horizontal="center"/>
    </xf>
    <xf numFmtId="2" fontId="23" fillId="0" borderId="42" xfId="0" applyNumberFormat="1" applyFont="1" applyBorder="1" applyAlignment="1">
      <alignment horizontal="center" vertical="center"/>
    </xf>
    <xf numFmtId="2" fontId="23" fillId="0" borderId="31" xfId="0" applyNumberFormat="1" applyFont="1" applyBorder="1" applyAlignment="1">
      <alignment horizontal="center" vertical="center"/>
    </xf>
    <xf numFmtId="2" fontId="23" fillId="0" borderId="43" xfId="0" applyNumberFormat="1" applyFont="1" applyBorder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2" fontId="23" fillId="0" borderId="17" xfId="0" applyNumberFormat="1" applyFont="1" applyBorder="1" applyAlignment="1">
      <alignment horizontal="center" vertical="center"/>
    </xf>
    <xf numFmtId="2" fontId="23" fillId="0" borderId="44" xfId="0" applyNumberFormat="1" applyFont="1" applyBorder="1" applyAlignment="1">
      <alignment horizontal="center" vertical="center"/>
    </xf>
    <xf numFmtId="2" fontId="23" fillId="0" borderId="40" xfId="0" applyNumberFormat="1" applyFont="1" applyBorder="1" applyAlignment="1">
      <alignment horizontal="center" vertical="center"/>
    </xf>
    <xf numFmtId="2" fontId="23" fillId="0" borderId="0" xfId="0" applyNumberFormat="1" applyFont="1" applyBorder="1" applyAlignment="1">
      <alignment horizontal="center" vertical="center"/>
    </xf>
    <xf numFmtId="2" fontId="23" fillId="0" borderId="48" xfId="0" applyNumberFormat="1" applyFont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0" fillId="4" borderId="3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10" fillId="0" borderId="0" xfId="0" applyFont="1" applyBorder="1"/>
    <xf numFmtId="2" fontId="10" fillId="0" borderId="37" xfId="0" applyNumberFormat="1" applyFont="1" applyBorder="1"/>
    <xf numFmtId="0" fontId="10" fillId="0" borderId="46" xfId="0" applyFont="1" applyBorder="1"/>
    <xf numFmtId="2" fontId="10" fillId="0" borderId="32" xfId="0" applyNumberFormat="1" applyFont="1" applyBorder="1"/>
    <xf numFmtId="2" fontId="10" fillId="0" borderId="34" xfId="0" applyNumberFormat="1" applyFont="1" applyBorder="1"/>
    <xf numFmtId="0" fontId="10" fillId="0" borderId="21" xfId="0" applyFont="1" applyBorder="1"/>
    <xf numFmtId="2" fontId="10" fillId="0" borderId="26" xfId="0" applyNumberFormat="1" applyFont="1" applyBorder="1"/>
    <xf numFmtId="0" fontId="33" fillId="0" borderId="20" xfId="0" applyNumberFormat="1" applyFont="1" applyBorder="1"/>
    <xf numFmtId="0" fontId="33" fillId="0" borderId="2" xfId="0" applyNumberFormat="1" applyFont="1" applyFill="1" applyBorder="1"/>
    <xf numFmtId="0" fontId="33" fillId="0" borderId="20" xfId="0" applyNumberFormat="1" applyFont="1" applyFill="1" applyBorder="1"/>
    <xf numFmtId="0" fontId="33" fillId="0" borderId="2" xfId="0" applyNumberFormat="1" applyFont="1" applyBorder="1"/>
  </cellXfs>
  <cellStyles count="3">
    <cellStyle name="Moneda" xfId="1" builtinId="4"/>
    <cellStyle name="Normal" xfId="0" builtinId="0"/>
    <cellStyle name="Porcentual" xfId="2" builtinId="5"/>
  </cellStyles>
  <dxfs count="0"/>
  <tableStyles count="0" defaultTableStyle="TableStyleMedium9" defaultPivotStyle="PivotStyleLight16"/>
  <colors>
    <mruColors>
      <color rgb="FF40E07D"/>
      <color rgb="FFAFF2AC"/>
      <color rgb="FFFFFF66"/>
      <color rgb="FF99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QP/Desktop/Proyectos/Flujo%20de%20Caja%20Recicl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puestos"/>
      <sheetName val="FdC Anual"/>
      <sheetName val="FdC Mens"/>
      <sheetName val="I.Oper"/>
      <sheetName val="E.Oper"/>
      <sheetName val="Produccion"/>
      <sheetName val="CdT"/>
      <sheetName val="Inv"/>
      <sheetName val="Amort."/>
    </sheetNames>
    <sheetDataSet>
      <sheetData sheetId="0">
        <row r="10">
          <cell r="F10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J55"/>
  <sheetViews>
    <sheetView zoomScale="110" zoomScaleNormal="110" zoomScalePageLayoutView="110" workbookViewId="0">
      <selection activeCell="F22" sqref="F22"/>
    </sheetView>
  </sheetViews>
  <sheetFormatPr baseColWidth="10" defaultRowHeight="15"/>
  <cols>
    <col min="1" max="1" width="22.28515625" customWidth="1"/>
    <col min="2" max="2" width="13.28515625" bestFit="1" customWidth="1"/>
    <col min="3" max="3" width="12" bestFit="1" customWidth="1"/>
    <col min="4" max="4" width="12.28515625" bestFit="1" customWidth="1"/>
    <col min="5" max="5" width="12.140625" bestFit="1" customWidth="1"/>
    <col min="6" max="6" width="33.140625" bestFit="1" customWidth="1"/>
    <col min="7" max="7" width="13.42578125" bestFit="1" customWidth="1"/>
    <col min="8" max="8" width="13" bestFit="1" customWidth="1"/>
    <col min="9" max="9" width="31.85546875" bestFit="1" customWidth="1"/>
    <col min="10" max="10" width="9" bestFit="1" customWidth="1"/>
    <col min="12" max="12" width="9.85546875" bestFit="1" customWidth="1"/>
  </cols>
  <sheetData>
    <row r="1" spans="1:10">
      <c r="C1" s="1" t="s">
        <v>169</v>
      </c>
      <c r="D1" t="s">
        <v>229</v>
      </c>
      <c r="H1" t="s">
        <v>229</v>
      </c>
      <c r="I1" t="s">
        <v>171</v>
      </c>
      <c r="J1" s="2">
        <f>G43</f>
        <v>0.18003</v>
      </c>
    </row>
    <row r="2" spans="1:10">
      <c r="A2" t="s">
        <v>153</v>
      </c>
      <c r="B2">
        <v>52300</v>
      </c>
      <c r="C2" s="1">
        <f>ROUNDUP(AVERAGE(Prod.!B19:P19)/G4,0)</f>
        <v>3</v>
      </c>
      <c r="D2">
        <f>B2*C2</f>
        <v>156900</v>
      </c>
      <c r="F2" t="s">
        <v>170</v>
      </c>
      <c r="G2">
        <v>58</v>
      </c>
      <c r="H2">
        <f>G2*$C$2</f>
        <v>174</v>
      </c>
      <c r="I2" t="s">
        <v>173</v>
      </c>
      <c r="J2" s="2">
        <v>0.25</v>
      </c>
    </row>
    <row r="3" spans="1:10">
      <c r="A3" t="s">
        <v>154</v>
      </c>
      <c r="B3">
        <v>363.5</v>
      </c>
      <c r="C3" s="1">
        <f>$C$2</f>
        <v>3</v>
      </c>
      <c r="D3">
        <f>B3*C3</f>
        <v>1090.5</v>
      </c>
      <c r="F3" t="s">
        <v>115</v>
      </c>
      <c r="G3">
        <f>G2*J9*J10</f>
        <v>33408</v>
      </c>
      <c r="H3">
        <f>G3*$C$2</f>
        <v>100224</v>
      </c>
      <c r="I3" t="s">
        <v>176</v>
      </c>
      <c r="J3" s="2">
        <v>0.15</v>
      </c>
    </row>
    <row r="4" spans="1:10">
      <c r="A4" t="s">
        <v>174</v>
      </c>
      <c r="B4">
        <f>(B2+B3)*J5</f>
        <v>263.3175</v>
      </c>
      <c r="C4" s="1">
        <f t="shared" ref="C4:C10" si="0">$C$2</f>
        <v>3</v>
      </c>
      <c r="D4">
        <f>B4*C4</f>
        <v>789.95249999999999</v>
      </c>
      <c r="F4" t="s">
        <v>116</v>
      </c>
      <c r="G4">
        <f>G3*J8</f>
        <v>400896</v>
      </c>
      <c r="H4">
        <f>G4*C2</f>
        <v>1202688</v>
      </c>
      <c r="I4" t="s">
        <v>177</v>
      </c>
      <c r="J4" s="2">
        <v>0.12</v>
      </c>
    </row>
    <row r="5" spans="1:10">
      <c r="A5" t="s">
        <v>177</v>
      </c>
      <c r="B5">
        <f>(B2+B3+B4)*J4</f>
        <v>6351.2180999999991</v>
      </c>
      <c r="C5" s="1">
        <f t="shared" si="0"/>
        <v>3</v>
      </c>
      <c r="D5">
        <f>(SUM(D2:D4))*(J4)</f>
        <v>19053.654300000002</v>
      </c>
      <c r="F5" t="s">
        <v>214</v>
      </c>
      <c r="G5">
        <f>J31*J9*J10</f>
        <v>39744</v>
      </c>
      <c r="H5">
        <f>G5*$C$12</f>
        <v>119232</v>
      </c>
      <c r="I5" t="s">
        <v>174</v>
      </c>
      <c r="J5" s="3">
        <v>5.0000000000000001E-3</v>
      </c>
    </row>
    <row r="6" spans="1:10">
      <c r="A6" t="s">
        <v>179</v>
      </c>
      <c r="B6">
        <v>700</v>
      </c>
      <c r="C6" s="1">
        <f t="shared" si="0"/>
        <v>3</v>
      </c>
      <c r="D6">
        <f>B6*C6</f>
        <v>2100</v>
      </c>
      <c r="F6" t="s">
        <v>141</v>
      </c>
      <c r="G6">
        <f>G5*J8</f>
        <v>476928</v>
      </c>
      <c r="H6">
        <f>G6*C12</f>
        <v>1430784</v>
      </c>
      <c r="I6" t="s">
        <v>183</v>
      </c>
      <c r="J6" s="4">
        <v>12</v>
      </c>
    </row>
    <row r="7" spans="1:10">
      <c r="A7" t="s">
        <v>181</v>
      </c>
      <c r="B7">
        <v>700</v>
      </c>
      <c r="C7" s="1">
        <f t="shared" si="0"/>
        <v>3</v>
      </c>
      <c r="D7">
        <f t="shared" ref="D7:D8" si="1">B7*C7</f>
        <v>2100</v>
      </c>
      <c r="F7" t="s">
        <v>180</v>
      </c>
      <c r="G7">
        <f>((J22*$C$2)+(J23*C12))*J9</f>
        <v>5989.5936000000002</v>
      </c>
      <c r="H7" s="10">
        <f>G7*$J$24</f>
        <v>500.82585845759996</v>
      </c>
      <c r="I7" t="s">
        <v>186</v>
      </c>
      <c r="J7" s="5">
        <v>1.0369999999999999</v>
      </c>
    </row>
    <row r="8" spans="1:10">
      <c r="A8" t="s">
        <v>184</v>
      </c>
      <c r="B8">
        <v>700</v>
      </c>
      <c r="C8" s="1">
        <f t="shared" si="0"/>
        <v>3</v>
      </c>
      <c r="D8">
        <f t="shared" si="1"/>
        <v>2100</v>
      </c>
      <c r="F8" t="s">
        <v>182</v>
      </c>
      <c r="G8">
        <f>G7*J10</f>
        <v>143750.2464</v>
      </c>
      <c r="H8" s="10">
        <f>G8*$J$24</f>
        <v>12019.8206029824</v>
      </c>
      <c r="I8" t="s">
        <v>191</v>
      </c>
      <c r="J8">
        <v>12</v>
      </c>
    </row>
    <row r="9" spans="1:10">
      <c r="A9" t="s">
        <v>187</v>
      </c>
      <c r="B9">
        <v>23758.83</v>
      </c>
      <c r="C9" s="1">
        <v>2</v>
      </c>
      <c r="D9">
        <f>B9*C9</f>
        <v>47517.66</v>
      </c>
      <c r="F9" t="s">
        <v>185</v>
      </c>
      <c r="G9">
        <f>G8*J8</f>
        <v>1725002.9568</v>
      </c>
      <c r="H9" s="10">
        <f>G9*$J$24</f>
        <v>144237.84723578879</v>
      </c>
      <c r="I9" t="s">
        <v>194</v>
      </c>
      <c r="J9">
        <v>24</v>
      </c>
    </row>
    <row r="10" spans="1:10">
      <c r="A10" t="s">
        <v>190</v>
      </c>
      <c r="B10">
        <v>21608.76</v>
      </c>
      <c r="C10" s="1">
        <f t="shared" si="0"/>
        <v>3</v>
      </c>
      <c r="D10">
        <f t="shared" ref="D10:D11" si="2">B10*C10</f>
        <v>64826.28</v>
      </c>
      <c r="F10" t="s">
        <v>188</v>
      </c>
      <c r="G10">
        <v>2000</v>
      </c>
      <c r="I10" t="s">
        <v>197</v>
      </c>
      <c r="J10">
        <v>24</v>
      </c>
    </row>
    <row r="11" spans="1:10">
      <c r="A11" t="s">
        <v>193</v>
      </c>
      <c r="B11">
        <v>5000</v>
      </c>
      <c r="C11" s="1">
        <v>1</v>
      </c>
      <c r="D11">
        <f t="shared" si="2"/>
        <v>5000</v>
      </c>
      <c r="F11" t="s">
        <v>189</v>
      </c>
      <c r="G11">
        <f>ROUNDUP(G5/G13,0)</f>
        <v>13</v>
      </c>
      <c r="I11" t="s">
        <v>200</v>
      </c>
      <c r="J11">
        <v>24</v>
      </c>
    </row>
    <row r="12" spans="1:10">
      <c r="A12" t="s">
        <v>196</v>
      </c>
      <c r="B12">
        <v>20637.59</v>
      </c>
      <c r="C12" s="37">
        <f>C2</f>
        <v>3</v>
      </c>
      <c r="D12">
        <f>B12*C12</f>
        <v>61912.770000000004</v>
      </c>
      <c r="F12" t="s">
        <v>192</v>
      </c>
      <c r="G12">
        <f>G11*J8</f>
        <v>156</v>
      </c>
      <c r="I12" t="s">
        <v>205</v>
      </c>
      <c r="J12" s="2">
        <v>0.2</v>
      </c>
    </row>
    <row r="13" spans="1:10">
      <c r="A13" t="s">
        <v>199</v>
      </c>
      <c r="B13">
        <v>0</v>
      </c>
      <c r="C13" s="1">
        <v>1</v>
      </c>
      <c r="D13">
        <f t="shared" ref="D13:D14" si="3">B13*C13</f>
        <v>0</v>
      </c>
      <c r="F13" t="s">
        <v>195</v>
      </c>
      <c r="G13">
        <v>3270</v>
      </c>
      <c r="I13" t="s">
        <v>211</v>
      </c>
      <c r="J13">
        <v>2000</v>
      </c>
    </row>
    <row r="14" spans="1:10">
      <c r="A14" t="s">
        <v>202</v>
      </c>
      <c r="B14">
        <v>3584</v>
      </c>
      <c r="C14" s="1">
        <v>1</v>
      </c>
      <c r="D14">
        <f t="shared" si="3"/>
        <v>3584</v>
      </c>
      <c r="F14" t="s">
        <v>198</v>
      </c>
      <c r="G14">
        <f>G13*J10</f>
        <v>78480</v>
      </c>
      <c r="I14" t="s">
        <v>230</v>
      </c>
      <c r="J14">
        <v>1383.23</v>
      </c>
    </row>
    <row r="15" spans="1:10">
      <c r="A15" t="s">
        <v>204</v>
      </c>
      <c r="B15">
        <v>59980</v>
      </c>
      <c r="C15" s="1">
        <v>1</v>
      </c>
      <c r="D15">
        <f>B15*C15</f>
        <v>59980</v>
      </c>
      <c r="F15" t="s">
        <v>201</v>
      </c>
      <c r="G15">
        <f>G14*J8</f>
        <v>941760</v>
      </c>
      <c r="I15" t="s">
        <v>219</v>
      </c>
      <c r="J15">
        <v>8000</v>
      </c>
    </row>
    <row r="16" spans="1:10">
      <c r="A16" t="s">
        <v>207</v>
      </c>
      <c r="B16">
        <v>8500</v>
      </c>
      <c r="C16" s="1">
        <f>C15</f>
        <v>1</v>
      </c>
      <c r="D16">
        <f t="shared" ref="D16:D17" si="4">B16*C16</f>
        <v>8500</v>
      </c>
      <c r="F16" t="s">
        <v>203</v>
      </c>
      <c r="G16">
        <v>130.80000000000001</v>
      </c>
      <c r="I16" t="s">
        <v>172</v>
      </c>
      <c r="J16">
        <v>0.45</v>
      </c>
    </row>
    <row r="17" spans="1:10">
      <c r="A17" t="s">
        <v>209</v>
      </c>
      <c r="B17">
        <v>3000</v>
      </c>
      <c r="C17" s="1">
        <f>C15</f>
        <v>1</v>
      </c>
      <c r="D17">
        <f t="shared" si="4"/>
        <v>3000</v>
      </c>
      <c r="F17" t="s">
        <v>206</v>
      </c>
      <c r="G17">
        <f>G16*J10</f>
        <v>3139.2000000000003</v>
      </c>
      <c r="I17" t="s">
        <v>175</v>
      </c>
      <c r="J17" s="2">
        <v>0.1</v>
      </c>
    </row>
    <row r="18" spans="1:10">
      <c r="A18" t="s">
        <v>213</v>
      </c>
      <c r="B18">
        <v>2000</v>
      </c>
      <c r="F18" t="s">
        <v>208</v>
      </c>
      <c r="G18">
        <f>G17*J8</f>
        <v>37670.400000000001</v>
      </c>
      <c r="I18" t="s">
        <v>217</v>
      </c>
      <c r="J18" s="2">
        <v>0.02</v>
      </c>
    </row>
    <row r="19" spans="1:10">
      <c r="A19" t="s">
        <v>216</v>
      </c>
      <c r="B19" s="6">
        <f>SUM(B2:B8)+B9+J15+B11+J14+B14</f>
        <v>103104.09559999999</v>
      </c>
      <c r="F19" t="s">
        <v>210</v>
      </c>
      <c r="G19">
        <v>6</v>
      </c>
      <c r="I19" t="s">
        <v>220</v>
      </c>
      <c r="J19" s="3">
        <v>9.35E-2</v>
      </c>
    </row>
    <row r="20" spans="1:10">
      <c r="A20" t="s">
        <v>218</v>
      </c>
      <c r="B20" s="6">
        <v>0.4</v>
      </c>
      <c r="F20" t="s">
        <v>212</v>
      </c>
      <c r="G20">
        <f>G19*J10</f>
        <v>144</v>
      </c>
      <c r="I20" t="s">
        <v>222</v>
      </c>
      <c r="J20" s="4">
        <v>218</v>
      </c>
    </row>
    <row r="21" spans="1:10">
      <c r="A21" t="s">
        <v>221</v>
      </c>
      <c r="B21" s="6">
        <v>700</v>
      </c>
      <c r="F21" t="s">
        <v>215</v>
      </c>
      <c r="G21">
        <f>G20*J8</f>
        <v>1728</v>
      </c>
      <c r="I21" t="s">
        <v>227</v>
      </c>
      <c r="J21" s="2">
        <v>0.15</v>
      </c>
    </row>
    <row r="22" spans="1:10">
      <c r="A22" t="s">
        <v>160</v>
      </c>
      <c r="B22">
        <v>10</v>
      </c>
      <c r="F22" t="s">
        <v>231</v>
      </c>
      <c r="G22">
        <v>100</v>
      </c>
      <c r="I22" t="s">
        <v>232</v>
      </c>
      <c r="J22" s="9">
        <v>40.351799999999997</v>
      </c>
    </row>
    <row r="23" spans="1:10">
      <c r="A23" t="s">
        <v>159</v>
      </c>
      <c r="B23">
        <v>20</v>
      </c>
      <c r="F23" t="s">
        <v>161</v>
      </c>
      <c r="G23" s="9">
        <v>5</v>
      </c>
      <c r="I23" t="s">
        <v>233</v>
      </c>
      <c r="J23">
        <v>42.837000000000003</v>
      </c>
    </row>
    <row r="24" spans="1:10">
      <c r="I24" t="s">
        <v>178</v>
      </c>
      <c r="J24">
        <v>8.3615999999999996E-2</v>
      </c>
    </row>
    <row r="25" spans="1:10">
      <c r="C25" t="s">
        <v>223</v>
      </c>
      <c r="D25" t="s">
        <v>224</v>
      </c>
      <c r="F25" t="s">
        <v>225</v>
      </c>
      <c r="G25" t="s">
        <v>226</v>
      </c>
      <c r="I25" t="s">
        <v>145</v>
      </c>
      <c r="J25">
        <v>400</v>
      </c>
    </row>
    <row r="26" spans="1:10">
      <c r="A26" t="s">
        <v>228</v>
      </c>
      <c r="B26">
        <v>0.73</v>
      </c>
      <c r="C26">
        <v>2.2000000000000002</v>
      </c>
      <c r="D26" s="7">
        <v>0.5</v>
      </c>
      <c r="E26" s="7"/>
      <c r="F26">
        <f>G3/B26</f>
        <v>45764.383561643837</v>
      </c>
      <c r="G26">
        <f>F26*J8</f>
        <v>549172.60273972608</v>
      </c>
      <c r="I26" t="s">
        <v>146</v>
      </c>
      <c r="J26">
        <v>350</v>
      </c>
    </row>
    <row r="27" spans="1:10">
      <c r="D27" s="7"/>
      <c r="E27" s="7"/>
    </row>
    <row r="28" spans="1:10" ht="15.75" thickBot="1">
      <c r="D28" s="8"/>
      <c r="E28" s="8"/>
      <c r="I28" t="s">
        <v>147</v>
      </c>
      <c r="J28">
        <v>350</v>
      </c>
    </row>
    <row r="29" spans="1:10" ht="30.75" thickBot="1">
      <c r="A29" s="43" t="s">
        <v>152</v>
      </c>
      <c r="B29" s="44" t="s">
        <v>240</v>
      </c>
      <c r="C29" s="44" t="s">
        <v>155</v>
      </c>
      <c r="D29" s="44" t="s">
        <v>242</v>
      </c>
      <c r="E29" s="45" t="s">
        <v>241</v>
      </c>
      <c r="F29" s="49" t="s">
        <v>42</v>
      </c>
      <c r="G29" s="51">
        <v>5</v>
      </c>
      <c r="H29" s="50" t="s">
        <v>50</v>
      </c>
      <c r="I29" t="s">
        <v>34</v>
      </c>
      <c r="J29" s="2">
        <v>0.5</v>
      </c>
    </row>
    <row r="30" spans="1:10">
      <c r="A30" s="41" t="s">
        <v>73</v>
      </c>
      <c r="B30" s="200">
        <f>SUM(Supuestos!D2:D8)</f>
        <v>184134.10680000001</v>
      </c>
      <c r="C30" s="200">
        <f>B30*Supuestos!$J$12</f>
        <v>36826.821360000002</v>
      </c>
      <c r="D30" s="204">
        <f>Supuestos!B22</f>
        <v>10</v>
      </c>
      <c r="E30" s="201">
        <f t="shared" ref="E30:E36" si="5">(B30-C30)/D30</f>
        <v>14730.728544000001</v>
      </c>
      <c r="F30" s="41" t="s">
        <v>43</v>
      </c>
      <c r="G30" s="52">
        <v>0.87</v>
      </c>
      <c r="H30" s="60"/>
      <c r="I30" t="s">
        <v>53</v>
      </c>
      <c r="J30" s="2">
        <v>0.02</v>
      </c>
    </row>
    <row r="31" spans="1:10">
      <c r="A31" s="39" t="s">
        <v>156</v>
      </c>
      <c r="B31" s="167">
        <f>Supuestos!D9</f>
        <v>47517.66</v>
      </c>
      <c r="C31" s="167">
        <f>B31*J29</f>
        <v>23758.83</v>
      </c>
      <c r="D31" s="205">
        <v>20</v>
      </c>
      <c r="E31" s="202">
        <f t="shared" si="5"/>
        <v>1187.9415000000001</v>
      </c>
      <c r="F31" s="39" t="s">
        <v>91</v>
      </c>
      <c r="G31" s="53">
        <v>97806</v>
      </c>
      <c r="H31" s="57"/>
      <c r="I31" t="s">
        <v>57</v>
      </c>
      <c r="J31">
        <v>69</v>
      </c>
    </row>
    <row r="32" spans="1:10">
      <c r="A32" s="39" t="s">
        <v>157</v>
      </c>
      <c r="B32" s="167">
        <f>Supuestos!D10</f>
        <v>64826.28</v>
      </c>
      <c r="C32" s="167">
        <f>B32*Supuestos!$J$12</f>
        <v>12965.256000000001</v>
      </c>
      <c r="D32" s="205">
        <f>Supuestos!$B$22</f>
        <v>10</v>
      </c>
      <c r="E32" s="202">
        <f t="shared" si="5"/>
        <v>5186.1023999999998</v>
      </c>
      <c r="F32" s="39" t="s">
        <v>44</v>
      </c>
      <c r="G32" s="54">
        <v>1</v>
      </c>
      <c r="H32" s="57"/>
      <c r="I32" t="s">
        <v>60</v>
      </c>
      <c r="J32">
        <f>B12*J41</f>
        <v>2063.759</v>
      </c>
    </row>
    <row r="33" spans="1:10">
      <c r="A33" s="39" t="s">
        <v>148</v>
      </c>
      <c r="B33" s="167">
        <f>Supuestos!D12</f>
        <v>61912.770000000004</v>
      </c>
      <c r="C33" s="167">
        <f>B33*Supuestos!$J$12</f>
        <v>12382.554000000002</v>
      </c>
      <c r="D33" s="205">
        <f>Supuestos!$B$22</f>
        <v>10</v>
      </c>
      <c r="E33" s="202">
        <f t="shared" si="5"/>
        <v>4953.0216</v>
      </c>
      <c r="F33" s="39" t="s">
        <v>224</v>
      </c>
      <c r="G33" s="55">
        <v>0.5</v>
      </c>
      <c r="H33" s="58"/>
      <c r="I33" t="s">
        <v>61</v>
      </c>
      <c r="J33">
        <v>4800</v>
      </c>
    </row>
    <row r="34" spans="1:10">
      <c r="A34" s="39" t="s">
        <v>149</v>
      </c>
      <c r="B34" s="167">
        <f>Supuestos!D13</f>
        <v>0</v>
      </c>
      <c r="C34" s="167">
        <f>B34*Supuestos!$J$12</f>
        <v>0</v>
      </c>
      <c r="D34" s="205">
        <f>Supuestos!$B$22</f>
        <v>10</v>
      </c>
      <c r="E34" s="202">
        <f t="shared" si="5"/>
        <v>0</v>
      </c>
      <c r="F34" s="39" t="s">
        <v>45</v>
      </c>
      <c r="G34" s="55">
        <f>$G$32*$G$31*$G$33</f>
        <v>48903</v>
      </c>
      <c r="H34" s="120">
        <f>ROUNDUP(G31*G32*G30,0)</f>
        <v>85092</v>
      </c>
      <c r="I34" t="s">
        <v>58</v>
      </c>
      <c r="J34">
        <v>0.09</v>
      </c>
    </row>
    <row r="35" spans="1:10">
      <c r="A35" s="39" t="s">
        <v>202</v>
      </c>
      <c r="B35" s="167">
        <f>Supuestos!D14</f>
        <v>3584</v>
      </c>
      <c r="C35" s="167">
        <f>B35*Supuestos!$J$12</f>
        <v>716.80000000000007</v>
      </c>
      <c r="D35" s="205">
        <f>Supuestos!$B$22</f>
        <v>10</v>
      </c>
      <c r="E35" s="202">
        <f t="shared" si="5"/>
        <v>286.71999999999997</v>
      </c>
      <c r="F35" s="39" t="s">
        <v>46</v>
      </c>
      <c r="G35" s="55">
        <f>G34*J8</f>
        <v>586836</v>
      </c>
      <c r="H35" s="57">
        <f>H34*J8</f>
        <v>1021104</v>
      </c>
      <c r="I35" t="s">
        <v>59</v>
      </c>
      <c r="J35">
        <v>250</v>
      </c>
    </row>
    <row r="36" spans="1:10" ht="15.75" thickBot="1">
      <c r="A36" s="40" t="s">
        <v>158</v>
      </c>
      <c r="B36" s="168">
        <f>SUM(Supuestos!D15:D17)</f>
        <v>71480</v>
      </c>
      <c r="C36" s="168">
        <f>B36*Supuestos!$J$12</f>
        <v>14296</v>
      </c>
      <c r="D36" s="206">
        <f>Supuestos!G23</f>
        <v>5</v>
      </c>
      <c r="E36" s="203">
        <f t="shared" si="5"/>
        <v>11436.8</v>
      </c>
      <c r="F36" s="40" t="s">
        <v>47</v>
      </c>
      <c r="G36" s="56" t="s">
        <v>49</v>
      </c>
      <c r="H36" s="59"/>
      <c r="I36" t="s">
        <v>62</v>
      </c>
      <c r="J36">
        <v>200</v>
      </c>
    </row>
    <row r="37" spans="1:10" ht="15.75" thickBot="1">
      <c r="I37" t="s">
        <v>22</v>
      </c>
      <c r="J37">
        <v>300</v>
      </c>
    </row>
    <row r="38" spans="1:10" ht="15.75" thickBot="1">
      <c r="F38" s="399" t="s">
        <v>27</v>
      </c>
      <c r="G38" s="400"/>
      <c r="I38" t="s">
        <v>23</v>
      </c>
      <c r="J38">
        <v>2400</v>
      </c>
    </row>
    <row r="39" spans="1:10">
      <c r="F39" s="41" t="s">
        <v>28</v>
      </c>
      <c r="G39" s="171">
        <v>4.3799999999999999E-2</v>
      </c>
      <c r="I39" t="s">
        <v>24</v>
      </c>
      <c r="J39">
        <v>304.06</v>
      </c>
    </row>
    <row r="40" spans="1:10">
      <c r="F40" s="39" t="s">
        <v>29</v>
      </c>
      <c r="G40" s="169">
        <v>0.1</v>
      </c>
      <c r="I40" t="s">
        <v>25</v>
      </c>
      <c r="J40">
        <v>225</v>
      </c>
    </row>
    <row r="41" spans="1:10">
      <c r="F41" s="39" t="s">
        <v>30</v>
      </c>
      <c r="G41" s="166">
        <v>1.1499999999999999</v>
      </c>
      <c r="I41" t="s">
        <v>26</v>
      </c>
      <c r="J41" s="2">
        <v>0.1</v>
      </c>
    </row>
    <row r="42" spans="1:10">
      <c r="F42" s="39" t="s">
        <v>31</v>
      </c>
      <c r="G42" s="169">
        <v>7.1599999999999997E-2</v>
      </c>
    </row>
    <row r="43" spans="1:10" ht="15.75" thickBot="1">
      <c r="F43" s="40" t="s">
        <v>32</v>
      </c>
      <c r="G43" s="170">
        <f>G39+G41*(G40-G39)+G42</f>
        <v>0.18003</v>
      </c>
    </row>
    <row r="46" spans="1:10">
      <c r="A46" s="280"/>
      <c r="B46" s="280"/>
      <c r="C46" s="280"/>
      <c r="D46" s="198"/>
      <c r="E46" s="198"/>
      <c r="F46" s="198"/>
    </row>
    <row r="47" spans="1:10" s="65" customFormat="1" ht="55.5" customHeight="1">
      <c r="A47" s="270"/>
      <c r="B47" s="270"/>
      <c r="C47" s="270"/>
      <c r="D47" s="270"/>
      <c r="E47" s="270"/>
      <c r="F47" s="270"/>
    </row>
    <row r="48" spans="1:10">
      <c r="A48" s="280"/>
      <c r="B48" s="150"/>
      <c r="C48" s="150"/>
      <c r="D48" s="199"/>
      <c r="E48" s="150"/>
      <c r="F48" s="150"/>
    </row>
    <row r="49" spans="1:6">
      <c r="A49" s="280"/>
      <c r="B49" s="150"/>
      <c r="C49" s="150"/>
      <c r="D49" s="199"/>
      <c r="E49" s="150"/>
      <c r="F49" s="150"/>
    </row>
    <row r="50" spans="1:6">
      <c r="A50" s="280"/>
      <c r="B50" s="150"/>
      <c r="C50" s="150"/>
      <c r="D50" s="199"/>
      <c r="E50" s="150"/>
      <c r="F50" s="150"/>
    </row>
    <row r="51" spans="1:6">
      <c r="A51" s="280"/>
      <c r="B51" s="150"/>
      <c r="C51" s="150"/>
      <c r="D51" s="199"/>
      <c r="E51" s="150"/>
      <c r="F51" s="150"/>
    </row>
    <row r="52" spans="1:6">
      <c r="A52" s="280"/>
      <c r="B52" s="150"/>
      <c r="C52" s="150"/>
      <c r="D52" s="199"/>
      <c r="E52" s="150"/>
      <c r="F52" s="150"/>
    </row>
    <row r="53" spans="1:6">
      <c r="A53" s="280"/>
      <c r="B53" s="150"/>
      <c r="C53" s="150"/>
      <c r="D53" s="199"/>
      <c r="E53" s="150"/>
      <c r="F53" s="150"/>
    </row>
    <row r="54" spans="1:6">
      <c r="A54" s="280"/>
      <c r="B54" s="280"/>
      <c r="C54" s="280"/>
      <c r="D54" s="198"/>
      <c r="E54" s="198"/>
      <c r="F54" s="198"/>
    </row>
    <row r="55" spans="1:6">
      <c r="A55" s="128"/>
      <c r="B55" s="128"/>
      <c r="C55" s="128"/>
    </row>
  </sheetData>
  <mergeCells count="1">
    <mergeCell ref="F38:G38"/>
  </mergeCells>
  <phoneticPr fontId="19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AF45"/>
  <sheetViews>
    <sheetView workbookViewId="0">
      <selection activeCell="B38" activeCellId="1" sqref="B29:F30 B38:E39"/>
    </sheetView>
  </sheetViews>
  <sheetFormatPr baseColWidth="10" defaultColWidth="10.85546875" defaultRowHeight="15"/>
  <cols>
    <col min="1" max="1" width="10.7109375" style="17" customWidth="1"/>
    <col min="2" max="2" width="6.7109375" style="17" customWidth="1"/>
    <col min="3" max="3" width="23.5703125" style="17" customWidth="1"/>
    <col min="4" max="4" width="17.140625" style="17" customWidth="1"/>
    <col min="5" max="5" width="16.85546875" style="17" customWidth="1"/>
    <col min="6" max="7" width="15.140625" style="17" bestFit="1" customWidth="1"/>
    <col min="8" max="8" width="14.7109375" style="17" bestFit="1" customWidth="1"/>
    <col min="9" max="11" width="15.42578125" style="17" bestFit="1" customWidth="1"/>
    <col min="12" max="12" width="16.140625" style="17" bestFit="1" customWidth="1"/>
    <col min="13" max="32" width="3.85546875" style="17" customWidth="1"/>
    <col min="33" max="16384" width="10.85546875" style="17"/>
  </cols>
  <sheetData>
    <row r="1" spans="1:32"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</row>
    <row r="2" spans="1:32" ht="15.75" thickBot="1"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pans="1:32" ht="16.5" customHeight="1" thickBot="1">
      <c r="B3" s="490" t="s">
        <v>140</v>
      </c>
      <c r="C3" s="491"/>
      <c r="D3" s="491"/>
      <c r="E3" s="491"/>
      <c r="F3" s="491"/>
      <c r="G3" s="491"/>
      <c r="H3" s="491"/>
      <c r="I3" s="491"/>
      <c r="J3" s="491"/>
      <c r="K3" s="492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32">
      <c r="A4" s="35" t="s">
        <v>169</v>
      </c>
      <c r="B4" s="30" t="s">
        <v>139</v>
      </c>
      <c r="C4" s="28" t="s">
        <v>138</v>
      </c>
      <c r="D4" s="28" t="s">
        <v>137</v>
      </c>
      <c r="E4" s="29" t="s">
        <v>136</v>
      </c>
      <c r="F4" s="28" t="s">
        <v>101</v>
      </c>
      <c r="G4" s="28" t="s">
        <v>135</v>
      </c>
      <c r="H4" s="28" t="s">
        <v>134</v>
      </c>
      <c r="I4" s="28" t="s">
        <v>133</v>
      </c>
      <c r="J4" s="28" t="s">
        <v>122</v>
      </c>
      <c r="K4" s="27" t="s">
        <v>132</v>
      </c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32">
      <c r="A5" s="35"/>
      <c r="B5" s="30"/>
      <c r="C5" s="28"/>
      <c r="D5" s="28"/>
      <c r="E5" s="29"/>
      <c r="F5" s="28"/>
      <c r="G5" s="28"/>
      <c r="H5" s="28"/>
      <c r="I5" s="19" t="s">
        <v>131</v>
      </c>
      <c r="J5" s="19" t="s">
        <v>131</v>
      </c>
      <c r="K5" s="23" t="s">
        <v>130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32">
      <c r="A6" s="36">
        <v>1</v>
      </c>
      <c r="B6" s="21" t="s">
        <v>126</v>
      </c>
      <c r="C6" s="61" t="s">
        <v>55</v>
      </c>
      <c r="D6" s="63">
        <f>700*A6</f>
        <v>700</v>
      </c>
      <c r="E6" s="62">
        <v>218</v>
      </c>
      <c r="F6" s="63">
        <f>D6</f>
        <v>700</v>
      </c>
      <c r="G6" s="64">
        <f>F6*Supuestos!$J$19</f>
        <v>65.45</v>
      </c>
      <c r="H6" s="64">
        <f>G6</f>
        <v>65.45</v>
      </c>
      <c r="I6" s="19">
        <f>(F6-H6)/2</f>
        <v>317.27499999999998</v>
      </c>
      <c r="J6" s="19">
        <f>I6*2</f>
        <v>634.54999999999995</v>
      </c>
      <c r="K6" s="23">
        <f>J6*Supuestos!$J$8</f>
        <v>7614.5999999999995</v>
      </c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</row>
    <row r="7" spans="1:32">
      <c r="A7" s="36">
        <v>1</v>
      </c>
      <c r="B7" s="21" t="s">
        <v>126</v>
      </c>
      <c r="C7" s="24" t="s">
        <v>54</v>
      </c>
      <c r="D7" s="24">
        <f>800*A7</f>
        <v>800</v>
      </c>
      <c r="E7" s="25">
        <v>218</v>
      </c>
      <c r="F7" s="63">
        <f t="shared" ref="F7:F13" si="0">D7</f>
        <v>800</v>
      </c>
      <c r="G7" s="64">
        <f>F7*Supuestos!$J$19</f>
        <v>74.8</v>
      </c>
      <c r="H7" s="64">
        <f t="shared" ref="H7:H13" si="1">G7</f>
        <v>74.8</v>
      </c>
      <c r="I7" s="19">
        <f t="shared" ref="I7:I13" si="2">(F7-H7)/2</f>
        <v>362.6</v>
      </c>
      <c r="J7" s="19">
        <f t="shared" ref="J7:J13" si="3">I7*2</f>
        <v>725.2</v>
      </c>
      <c r="K7" s="23">
        <f>J7*Supuestos!$J$8</f>
        <v>8702.4000000000015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</row>
    <row r="8" spans="1:32">
      <c r="A8" s="36">
        <f>Supuestos!C2</f>
        <v>3</v>
      </c>
      <c r="B8" s="21" t="s">
        <v>126</v>
      </c>
      <c r="C8" s="19" t="s">
        <v>129</v>
      </c>
      <c r="D8" s="19">
        <f>A8*Supuestos!J25</f>
        <v>1200</v>
      </c>
      <c r="E8" s="19">
        <v>218</v>
      </c>
      <c r="F8" s="63">
        <f t="shared" si="0"/>
        <v>1200</v>
      </c>
      <c r="G8" s="64">
        <f>F8*Supuestos!$J$19</f>
        <v>112.2</v>
      </c>
      <c r="H8" s="64">
        <f t="shared" si="1"/>
        <v>112.2</v>
      </c>
      <c r="I8" s="19">
        <f t="shared" si="2"/>
        <v>543.9</v>
      </c>
      <c r="J8" s="19">
        <f t="shared" si="3"/>
        <v>1087.8</v>
      </c>
      <c r="K8" s="23">
        <f>J8*Supuestos!$J$8</f>
        <v>13053.599999999999</v>
      </c>
    </row>
    <row r="9" spans="1:32">
      <c r="A9" s="36">
        <f>Supuestos!C2</f>
        <v>3</v>
      </c>
      <c r="B9" s="21" t="s">
        <v>126</v>
      </c>
      <c r="C9" s="19" t="s">
        <v>128</v>
      </c>
      <c r="D9" s="19">
        <f>A9*Supuestos!J26</f>
        <v>1050</v>
      </c>
      <c r="E9" s="19">
        <v>218</v>
      </c>
      <c r="F9" s="63">
        <f t="shared" si="0"/>
        <v>1050</v>
      </c>
      <c r="G9" s="64">
        <f>F9*Supuestos!$J$19</f>
        <v>98.174999999999997</v>
      </c>
      <c r="H9" s="64">
        <f t="shared" si="1"/>
        <v>98.174999999999997</v>
      </c>
      <c r="I9" s="19">
        <f t="shared" si="2"/>
        <v>475.91250000000002</v>
      </c>
      <c r="J9" s="19">
        <f t="shared" si="3"/>
        <v>951.82500000000005</v>
      </c>
      <c r="K9" s="23">
        <f>J9*Supuestos!$J$8</f>
        <v>11421.900000000001</v>
      </c>
    </row>
    <row r="10" spans="1:32">
      <c r="A10" s="36">
        <f>Supuestos!C12*3</f>
        <v>9</v>
      </c>
      <c r="B10" s="21" t="s">
        <v>126</v>
      </c>
      <c r="C10" s="19" t="s">
        <v>127</v>
      </c>
      <c r="D10" s="19">
        <f>A10*Supuestos!J28</f>
        <v>3150</v>
      </c>
      <c r="E10" s="19">
        <v>218</v>
      </c>
      <c r="F10" s="63">
        <f t="shared" si="0"/>
        <v>3150</v>
      </c>
      <c r="G10" s="64">
        <f>F10*Supuestos!$J$19</f>
        <v>294.52499999999998</v>
      </c>
      <c r="H10" s="64">
        <f t="shared" si="1"/>
        <v>294.52499999999998</v>
      </c>
      <c r="I10" s="19">
        <f t="shared" si="2"/>
        <v>1427.7375</v>
      </c>
      <c r="J10" s="19">
        <f t="shared" si="3"/>
        <v>2855.4749999999999</v>
      </c>
      <c r="K10" s="23">
        <f>J10*Supuestos!$J$8</f>
        <v>34265.699999999997</v>
      </c>
    </row>
    <row r="11" spans="1:32">
      <c r="A11" s="36">
        <f>Supuestos!C15</f>
        <v>1</v>
      </c>
      <c r="B11" s="21" t="s">
        <v>126</v>
      </c>
      <c r="C11" s="19" t="s">
        <v>125</v>
      </c>
      <c r="D11" s="19">
        <v>400</v>
      </c>
      <c r="E11" s="19">
        <v>218</v>
      </c>
      <c r="F11" s="63">
        <f t="shared" si="0"/>
        <v>400</v>
      </c>
      <c r="G11" s="64">
        <f>F11*Supuestos!$J$19</f>
        <v>37.4</v>
      </c>
      <c r="H11" s="64">
        <f t="shared" si="1"/>
        <v>37.4</v>
      </c>
      <c r="I11" s="19">
        <f t="shared" si="2"/>
        <v>181.3</v>
      </c>
      <c r="J11" s="19">
        <f t="shared" si="3"/>
        <v>362.6</v>
      </c>
      <c r="K11" s="23">
        <f>J11*Supuestos!$J$8</f>
        <v>4351.2000000000007</v>
      </c>
    </row>
    <row r="12" spans="1:32">
      <c r="A12" s="36">
        <v>1</v>
      </c>
      <c r="B12" s="21" t="s">
        <v>126</v>
      </c>
      <c r="C12" s="19" t="s">
        <v>52</v>
      </c>
      <c r="D12" s="19">
        <v>700</v>
      </c>
      <c r="E12" s="19">
        <v>218</v>
      </c>
      <c r="F12" s="63">
        <f t="shared" si="0"/>
        <v>700</v>
      </c>
      <c r="G12" s="64">
        <f>F12*Supuestos!$J$19</f>
        <v>65.45</v>
      </c>
      <c r="H12" s="64">
        <f t="shared" si="1"/>
        <v>65.45</v>
      </c>
      <c r="I12" s="19">
        <f t="shared" si="2"/>
        <v>317.27499999999998</v>
      </c>
      <c r="J12" s="19">
        <f t="shared" si="3"/>
        <v>634.54999999999995</v>
      </c>
      <c r="K12" s="23">
        <f>J12*Supuestos!$J$8</f>
        <v>7614.5999999999995</v>
      </c>
    </row>
    <row r="13" spans="1:32">
      <c r="A13" s="36">
        <v>1</v>
      </c>
      <c r="B13" s="21" t="s">
        <v>124</v>
      </c>
      <c r="C13" s="19" t="s">
        <v>63</v>
      </c>
      <c r="D13" s="19">
        <v>700</v>
      </c>
      <c r="E13" s="19">
        <v>218</v>
      </c>
      <c r="F13" s="63">
        <f t="shared" si="0"/>
        <v>700</v>
      </c>
      <c r="G13" s="64">
        <f>F13*Supuestos!$J$19</f>
        <v>65.45</v>
      </c>
      <c r="H13" s="64">
        <f t="shared" si="1"/>
        <v>65.45</v>
      </c>
      <c r="I13" s="19">
        <f t="shared" si="2"/>
        <v>317.27499999999998</v>
      </c>
      <c r="J13" s="19">
        <f t="shared" si="3"/>
        <v>634.54999999999995</v>
      </c>
      <c r="K13" s="23">
        <f>J13*Supuestos!$J$8</f>
        <v>7614.5999999999995</v>
      </c>
    </row>
    <row r="14" spans="1:32" ht="16.350000000000001" customHeight="1" thickBot="1">
      <c r="A14" s="35">
        <f>SUM(A6:A13)</f>
        <v>20</v>
      </c>
      <c r="B14" s="494" t="s">
        <v>151</v>
      </c>
      <c r="C14" s="495"/>
      <c r="D14" s="20">
        <f>SUM(D6:D13)</f>
        <v>8700</v>
      </c>
      <c r="E14" s="20">
        <f t="shared" ref="E14:K14" si="4">SUM(E6:E13)</f>
        <v>1744</v>
      </c>
      <c r="F14" s="20">
        <f t="shared" si="4"/>
        <v>8700</v>
      </c>
      <c r="G14" s="172">
        <f t="shared" si="4"/>
        <v>813.45</v>
      </c>
      <c r="H14" s="20">
        <f t="shared" si="4"/>
        <v>813.45</v>
      </c>
      <c r="I14" s="20">
        <f t="shared" si="4"/>
        <v>3943.2750000000005</v>
      </c>
      <c r="J14" s="20">
        <f t="shared" si="4"/>
        <v>7886.5500000000011</v>
      </c>
      <c r="K14" s="20">
        <f t="shared" si="4"/>
        <v>94638.6</v>
      </c>
    </row>
    <row r="16" spans="1:32">
      <c r="C16" s="493" t="s">
        <v>123</v>
      </c>
      <c r="D16" s="493"/>
      <c r="E16" s="493"/>
      <c r="F16" s="493"/>
      <c r="J16" s="17" t="s">
        <v>56</v>
      </c>
      <c r="K16" s="17">
        <f>K14+E22</f>
        <v>114654.6</v>
      </c>
    </row>
    <row r="17" spans="2:12">
      <c r="D17" s="17" t="s">
        <v>122</v>
      </c>
      <c r="E17" s="17" t="s">
        <v>142</v>
      </c>
    </row>
    <row r="18" spans="2:12">
      <c r="C18" s="17" t="s">
        <v>121</v>
      </c>
      <c r="D18" s="17">
        <f>F14/Supuestos!J8</f>
        <v>725</v>
      </c>
      <c r="E18" s="17">
        <f>D18*[1]Supuestos!$F$10</f>
        <v>8700</v>
      </c>
      <c r="F18" s="18"/>
    </row>
    <row r="19" spans="2:12">
      <c r="C19" s="17" t="s">
        <v>120</v>
      </c>
      <c r="D19" s="17">
        <f>E14/Supuestos!J8</f>
        <v>145.33333333333334</v>
      </c>
      <c r="E19" s="17">
        <f>D19*[1]Supuestos!$F$10</f>
        <v>1744</v>
      </c>
      <c r="F19" s="18"/>
    </row>
    <row r="20" spans="2:12">
      <c r="C20" s="17" t="s">
        <v>119</v>
      </c>
      <c r="D20" s="17">
        <f>F14/Supuestos!J8</f>
        <v>725</v>
      </c>
      <c r="E20" s="17">
        <f>D20*[1]Supuestos!$F$10</f>
        <v>8700</v>
      </c>
      <c r="F20" s="18"/>
    </row>
    <row r="21" spans="2:12">
      <c r="C21" s="17" t="s">
        <v>118</v>
      </c>
      <c r="D21" s="17">
        <f>E14/Supuestos!J11</f>
        <v>72.666666666666671</v>
      </c>
      <c r="E21" s="17">
        <f>D21*[1]Supuestos!$F$10</f>
        <v>872</v>
      </c>
      <c r="F21" s="18"/>
    </row>
    <row r="22" spans="2:12">
      <c r="C22" s="17" t="s">
        <v>117</v>
      </c>
      <c r="D22" s="17">
        <f>SUM(D18:D21)</f>
        <v>1668.0000000000002</v>
      </c>
      <c r="E22" s="17">
        <f>D22*[1]Supuestos!$F$10</f>
        <v>20016.000000000004</v>
      </c>
    </row>
    <row r="28" spans="2:12" ht="15.75" thickBot="1"/>
    <row r="29" spans="2:12">
      <c r="B29" s="496" t="s">
        <v>5</v>
      </c>
      <c r="C29" s="497"/>
      <c r="D29" s="497"/>
      <c r="E29" s="497"/>
      <c r="F29" s="498"/>
    </row>
    <row r="30" spans="2:12" ht="15.75" thickBot="1">
      <c r="B30" s="499"/>
      <c r="C30" s="500"/>
      <c r="D30" s="500"/>
      <c r="E30" s="500"/>
      <c r="F30" s="501"/>
    </row>
    <row r="31" spans="2:12" s="175" customFormat="1" ht="46.5" customHeight="1" thickBot="1">
      <c r="B31" s="176" t="s">
        <v>235</v>
      </c>
      <c r="C31" s="177" t="s">
        <v>236</v>
      </c>
      <c r="D31" s="176" t="s">
        <v>237</v>
      </c>
      <c r="E31" s="177" t="s">
        <v>238</v>
      </c>
      <c r="F31" s="176" t="s">
        <v>239</v>
      </c>
      <c r="G31" s="174"/>
      <c r="I31" s="174"/>
      <c r="J31" s="174"/>
      <c r="L31" s="173"/>
    </row>
    <row r="32" spans="2:12" ht="15.75">
      <c r="B32" s="178">
        <v>3</v>
      </c>
      <c r="C32" s="179" t="s">
        <v>10</v>
      </c>
      <c r="D32" s="180">
        <v>362.6</v>
      </c>
      <c r="E32" s="179">
        <f>D32*3</f>
        <v>1087.8000000000002</v>
      </c>
      <c r="F32" s="180">
        <f>E32*12</f>
        <v>13053.600000000002</v>
      </c>
      <c r="G32" s="32"/>
      <c r="L32" s="32"/>
    </row>
    <row r="33" spans="2:12" ht="15.75">
      <c r="B33" s="181">
        <v>3</v>
      </c>
      <c r="C33" s="182" t="s">
        <v>234</v>
      </c>
      <c r="D33" s="183">
        <v>317.27499999999998</v>
      </c>
      <c r="E33" s="182">
        <f>D33*3</f>
        <v>951.82499999999993</v>
      </c>
      <c r="F33" s="183">
        <f>E33*12</f>
        <v>11421.9</v>
      </c>
      <c r="G33" s="32"/>
      <c r="L33" s="32"/>
    </row>
    <row r="34" spans="2:12" ht="16.5" thickBot="1">
      <c r="B34" s="184">
        <v>9</v>
      </c>
      <c r="C34" s="185" t="s">
        <v>127</v>
      </c>
      <c r="D34" s="186">
        <v>317.27499999999998</v>
      </c>
      <c r="E34" s="185">
        <f>D34*9</f>
        <v>2855.4749999999999</v>
      </c>
      <c r="F34" s="186">
        <f>E34*12</f>
        <v>34265.699999999997</v>
      </c>
      <c r="G34" s="32"/>
      <c r="L34" s="32"/>
    </row>
    <row r="37" spans="2:12" ht="15.75" thickBot="1"/>
    <row r="38" spans="2:12" ht="15" customHeight="1">
      <c r="B38" s="496" t="s">
        <v>15</v>
      </c>
      <c r="C38" s="497"/>
      <c r="D38" s="497"/>
      <c r="E38" s="498"/>
      <c r="F38" s="187"/>
    </row>
    <row r="39" spans="2:12" ht="15.75" customHeight="1" thickBot="1">
      <c r="B39" s="502"/>
      <c r="C39" s="503"/>
      <c r="D39" s="503"/>
      <c r="E39" s="504"/>
      <c r="F39" s="187"/>
    </row>
    <row r="40" spans="2:12" ht="32.25" thickBot="1">
      <c r="B40" s="189" t="s">
        <v>235</v>
      </c>
      <c r="C40" s="176" t="s">
        <v>236</v>
      </c>
      <c r="D40" s="177" t="s">
        <v>237</v>
      </c>
      <c r="E40" s="176" t="s">
        <v>239</v>
      </c>
      <c r="F40" s="188"/>
    </row>
    <row r="41" spans="2:12" ht="15.75">
      <c r="B41" s="190">
        <v>1</v>
      </c>
      <c r="C41" s="193" t="s">
        <v>54</v>
      </c>
      <c r="D41" s="179">
        <f>E41/12</f>
        <v>725.20000000000016</v>
      </c>
      <c r="E41" s="180">
        <v>8702.4000000000015</v>
      </c>
      <c r="F41" s="188"/>
    </row>
    <row r="42" spans="2:12" ht="15.75">
      <c r="B42" s="191">
        <v>1</v>
      </c>
      <c r="C42" s="194" t="s">
        <v>55</v>
      </c>
      <c r="D42" s="182">
        <f>E42/12</f>
        <v>634.54999999999995</v>
      </c>
      <c r="E42" s="183">
        <v>7614.5999999999995</v>
      </c>
      <c r="F42" s="188"/>
    </row>
    <row r="43" spans="2:12" ht="15.75">
      <c r="B43" s="191">
        <v>1</v>
      </c>
      <c r="C43" s="194" t="s">
        <v>277</v>
      </c>
      <c r="D43" s="182">
        <f>E43/12</f>
        <v>634.54999999999995</v>
      </c>
      <c r="E43" s="183">
        <v>7614.5999999999995</v>
      </c>
      <c r="F43" s="188"/>
    </row>
    <row r="44" spans="2:12" ht="16.5" thickBot="1">
      <c r="B44" s="192">
        <v>1</v>
      </c>
      <c r="C44" s="195" t="s">
        <v>63</v>
      </c>
      <c r="D44" s="185">
        <f>E44/12</f>
        <v>634.54999999999995</v>
      </c>
      <c r="E44" s="186">
        <v>7614.5999999999995</v>
      </c>
      <c r="F44" s="188"/>
    </row>
    <row r="45" spans="2:12" ht="15.75">
      <c r="B45" s="188"/>
      <c r="C45" s="188"/>
      <c r="D45" s="188"/>
      <c r="E45" s="188"/>
      <c r="F45" s="188"/>
    </row>
  </sheetData>
  <mergeCells count="5">
    <mergeCell ref="B3:K3"/>
    <mergeCell ref="C16:F16"/>
    <mergeCell ref="B14:C14"/>
    <mergeCell ref="B29:F30"/>
    <mergeCell ref="B38:E39"/>
  </mergeCells>
  <phoneticPr fontId="19" type="noConversion"/>
  <pageMargins left="0.75" right="0.75" top="1" bottom="1" header="0.5" footer="0.5"/>
  <pageSetup paperSize="9" orientation="portrait" horizontalDpi="300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3:L12"/>
  <sheetViews>
    <sheetView zoomScalePageLayoutView="90" workbookViewId="0">
      <selection activeCell="P10" sqref="P10"/>
    </sheetView>
  </sheetViews>
  <sheetFormatPr baseColWidth="10" defaultRowHeight="15"/>
  <cols>
    <col min="1" max="1" width="19.7109375" bestFit="1" customWidth="1"/>
    <col min="2" max="2" width="5.42578125" bestFit="1" customWidth="1"/>
    <col min="3" max="12" width="9.42578125" bestFit="1" customWidth="1"/>
  </cols>
  <sheetData>
    <row r="3" spans="1:12" ht="15.75" thickBot="1"/>
    <row r="4" spans="1:12" ht="16.5" thickBot="1">
      <c r="A4" s="509"/>
      <c r="B4" s="516">
        <v>2010</v>
      </c>
      <c r="C4" s="517">
        <v>2011</v>
      </c>
      <c r="D4" s="518">
        <v>2012</v>
      </c>
      <c r="E4" s="517">
        <v>2013</v>
      </c>
      <c r="F4" s="518">
        <v>2014</v>
      </c>
      <c r="G4" s="517">
        <v>2015</v>
      </c>
      <c r="H4" s="516">
        <v>2016</v>
      </c>
      <c r="I4" s="519">
        <v>2017</v>
      </c>
      <c r="J4" s="518">
        <v>2018</v>
      </c>
      <c r="K4" s="517">
        <v>2019</v>
      </c>
      <c r="L4" s="518">
        <v>2020</v>
      </c>
    </row>
    <row r="5" spans="1:12" ht="15.75">
      <c r="A5" s="511" t="str">
        <f>Supuestos!A30</f>
        <v>Extrusora</v>
      </c>
      <c r="B5" s="193">
        <v>0</v>
      </c>
      <c r="C5" s="510">
        <f>Supuestos!$E$30</f>
        <v>14730.728544000001</v>
      </c>
      <c r="D5" s="515">
        <f>Supuestos!$E$30</f>
        <v>14730.728544000001</v>
      </c>
      <c r="E5" s="510">
        <f>Supuestos!$E$30</f>
        <v>14730.728544000001</v>
      </c>
      <c r="F5" s="515">
        <f>Supuestos!$E$30</f>
        <v>14730.728544000001</v>
      </c>
      <c r="G5" s="510">
        <f>Supuestos!$E$30</f>
        <v>14730.728544000001</v>
      </c>
      <c r="H5" s="515">
        <f>Supuestos!$E$30</f>
        <v>14730.728544000001</v>
      </c>
      <c r="I5" s="510">
        <f>Supuestos!$E$30</f>
        <v>14730.728544000001</v>
      </c>
      <c r="J5" s="515">
        <f>Supuestos!$E$30</f>
        <v>14730.728544000001</v>
      </c>
      <c r="K5" s="510">
        <f>Supuestos!$E$30</f>
        <v>14730.728544000001</v>
      </c>
      <c r="L5" s="515">
        <f>Supuestos!$E$30</f>
        <v>14730.728544000001</v>
      </c>
    </row>
    <row r="6" spans="1:12" ht="15.75">
      <c r="A6" s="75" t="str">
        <f>Supuestos!A31</f>
        <v>Construccion Galpon</v>
      </c>
      <c r="B6" s="194">
        <v>0</v>
      </c>
      <c r="C6" s="512">
        <f>Supuestos!$E$31</f>
        <v>1187.9415000000001</v>
      </c>
      <c r="D6" s="144">
        <f>Supuestos!$E$31</f>
        <v>1187.9415000000001</v>
      </c>
      <c r="E6" s="512">
        <f>Supuestos!$E$31</f>
        <v>1187.9415000000001</v>
      </c>
      <c r="F6" s="144">
        <f>Supuestos!$E$31</f>
        <v>1187.9415000000001</v>
      </c>
      <c r="G6" s="512">
        <f>Supuestos!$E$31</f>
        <v>1187.9415000000001</v>
      </c>
      <c r="H6" s="144">
        <f>Supuestos!$E$31</f>
        <v>1187.9415000000001</v>
      </c>
      <c r="I6" s="512">
        <f>Supuestos!$E$31</f>
        <v>1187.9415000000001</v>
      </c>
      <c r="J6" s="144">
        <f>Supuestos!$E$31</f>
        <v>1187.9415000000001</v>
      </c>
      <c r="K6" s="512">
        <f>Supuestos!$E$31</f>
        <v>1187.9415000000001</v>
      </c>
      <c r="L6" s="144">
        <f>Supuestos!$E$31</f>
        <v>1187.9415000000001</v>
      </c>
    </row>
    <row r="7" spans="1:12" ht="15.75">
      <c r="A7" s="75" t="str">
        <f>Supuestos!A32</f>
        <v>Instalacion Electrica</v>
      </c>
      <c r="B7" s="194">
        <v>0</v>
      </c>
      <c r="C7" s="512">
        <f>Supuestos!$E$32</f>
        <v>5186.1023999999998</v>
      </c>
      <c r="D7" s="144">
        <f>Supuestos!$E$32</f>
        <v>5186.1023999999998</v>
      </c>
      <c r="E7" s="512">
        <f>Supuestos!$E$32</f>
        <v>5186.1023999999998</v>
      </c>
      <c r="F7" s="144">
        <f>Supuestos!$E$32</f>
        <v>5186.1023999999998</v>
      </c>
      <c r="G7" s="512">
        <f>Supuestos!$E$32</f>
        <v>5186.1023999999998</v>
      </c>
      <c r="H7" s="144">
        <f>Supuestos!$E$32</f>
        <v>5186.1023999999998</v>
      </c>
      <c r="I7" s="512">
        <f>Supuestos!$E$32</f>
        <v>5186.1023999999998</v>
      </c>
      <c r="J7" s="144">
        <f>Supuestos!$E$32</f>
        <v>5186.1023999999998</v>
      </c>
      <c r="K7" s="512">
        <f>Supuestos!$E$32</f>
        <v>5186.1023999999998</v>
      </c>
      <c r="L7" s="144">
        <f>Supuestos!$E$32</f>
        <v>5186.1023999999998</v>
      </c>
    </row>
    <row r="8" spans="1:12" ht="15.75">
      <c r="A8" s="75" t="str">
        <f>Supuestos!A33</f>
        <v>Aglomeradora</v>
      </c>
      <c r="B8" s="194">
        <v>0</v>
      </c>
      <c r="C8" s="512">
        <f>Supuestos!$E$33</f>
        <v>4953.0216</v>
      </c>
      <c r="D8" s="144">
        <f>Supuestos!$E$33</f>
        <v>4953.0216</v>
      </c>
      <c r="E8" s="512">
        <f>Supuestos!$E$33</f>
        <v>4953.0216</v>
      </c>
      <c r="F8" s="144">
        <f>Supuestos!$E$33</f>
        <v>4953.0216</v>
      </c>
      <c r="G8" s="512">
        <f>Supuestos!$E$33</f>
        <v>4953.0216</v>
      </c>
      <c r="H8" s="144">
        <f>Supuestos!$E$33</f>
        <v>4953.0216</v>
      </c>
      <c r="I8" s="512">
        <f>Supuestos!$E$33</f>
        <v>4953.0216</v>
      </c>
      <c r="J8" s="144">
        <f>Supuestos!$E$33</f>
        <v>4953.0216</v>
      </c>
      <c r="K8" s="512">
        <f>Supuestos!$E$33</f>
        <v>4953.0216</v>
      </c>
      <c r="L8" s="144">
        <f>Supuestos!$E$33</f>
        <v>4953.0216</v>
      </c>
    </row>
    <row r="9" spans="1:12" ht="15.75">
      <c r="A9" s="75" t="str">
        <f>Supuestos!A34</f>
        <v>Transformador</v>
      </c>
      <c r="B9" s="194">
        <v>0</v>
      </c>
      <c r="C9" s="512">
        <f>Supuestos!$E$34</f>
        <v>0</v>
      </c>
      <c r="D9" s="144">
        <f>Supuestos!$E$34</f>
        <v>0</v>
      </c>
      <c r="E9" s="512">
        <f>Supuestos!$E$34</f>
        <v>0</v>
      </c>
      <c r="F9" s="144">
        <f>Supuestos!$E$34</f>
        <v>0</v>
      </c>
      <c r="G9" s="512">
        <f>Supuestos!$E$34</f>
        <v>0</v>
      </c>
      <c r="H9" s="144">
        <f>Supuestos!$E$34</f>
        <v>0</v>
      </c>
      <c r="I9" s="512">
        <f>Supuestos!$E$34</f>
        <v>0</v>
      </c>
      <c r="J9" s="144">
        <f>Supuestos!$E$34</f>
        <v>0</v>
      </c>
      <c r="K9" s="512">
        <f>Supuestos!$E$34</f>
        <v>0</v>
      </c>
      <c r="L9" s="144">
        <f>Supuestos!$E$34</f>
        <v>0</v>
      </c>
    </row>
    <row r="10" spans="1:12" ht="15.75">
      <c r="A10" s="75" t="str">
        <f>Supuestos!A35</f>
        <v>Compresor</v>
      </c>
      <c r="B10" s="194">
        <v>0</v>
      </c>
      <c r="C10" s="512">
        <f>Supuestos!$E$35</f>
        <v>286.71999999999997</v>
      </c>
      <c r="D10" s="144">
        <f>Supuestos!$E$35</f>
        <v>286.71999999999997</v>
      </c>
      <c r="E10" s="512">
        <f>Supuestos!$E$35</f>
        <v>286.71999999999997</v>
      </c>
      <c r="F10" s="144">
        <f>Supuestos!$E$35</f>
        <v>286.71999999999997</v>
      </c>
      <c r="G10" s="512">
        <f>Supuestos!$E$35</f>
        <v>286.71999999999997</v>
      </c>
      <c r="H10" s="144">
        <f>Supuestos!$E$35</f>
        <v>286.71999999999997</v>
      </c>
      <c r="I10" s="512">
        <f>Supuestos!$E$35</f>
        <v>286.71999999999997</v>
      </c>
      <c r="J10" s="144">
        <f>Supuestos!$E$35</f>
        <v>286.71999999999997</v>
      </c>
      <c r="K10" s="512">
        <f>Supuestos!$E$35</f>
        <v>286.71999999999997</v>
      </c>
      <c r="L10" s="144">
        <f>Supuestos!$E$35</f>
        <v>286.71999999999997</v>
      </c>
    </row>
    <row r="11" spans="1:12" ht="15.75">
      <c r="A11" s="75" t="str">
        <f>Supuestos!A36</f>
        <v>Camion</v>
      </c>
      <c r="B11" s="194">
        <v>0</v>
      </c>
      <c r="C11" s="512">
        <f>Supuestos!$E$36</f>
        <v>11436.8</v>
      </c>
      <c r="D11" s="144">
        <f>Supuestos!$E$36</f>
        <v>11436.8</v>
      </c>
      <c r="E11" s="512">
        <f>Supuestos!$E$36</f>
        <v>11436.8</v>
      </c>
      <c r="F11" s="144">
        <f>Supuestos!$E$36</f>
        <v>11436.8</v>
      </c>
      <c r="G11" s="512">
        <f>Supuestos!$E$36+Supuestos!C36</f>
        <v>25732.799999999999</v>
      </c>
      <c r="H11" s="144">
        <f>Supuestos!$E$36</f>
        <v>11436.8</v>
      </c>
      <c r="I11" s="512">
        <f>Supuestos!$E$36</f>
        <v>11436.8</v>
      </c>
      <c r="J11" s="144">
        <f>Supuestos!$E$36</f>
        <v>11436.8</v>
      </c>
      <c r="K11" s="512">
        <f>Supuestos!$E$36</f>
        <v>11436.8</v>
      </c>
      <c r="L11" s="144">
        <f>Supuestos!$E$36</f>
        <v>11436.8</v>
      </c>
    </row>
    <row r="12" spans="1:12" ht="16.5" thickBot="1">
      <c r="A12" s="514" t="s">
        <v>151</v>
      </c>
      <c r="B12" s="195">
        <f>SUM(B5:B11)</f>
        <v>0</v>
      </c>
      <c r="C12" s="513">
        <f t="shared" ref="C12:L12" si="0">SUM(C5:C11)</f>
        <v>37781.314043999999</v>
      </c>
      <c r="D12" s="145">
        <f t="shared" si="0"/>
        <v>37781.314043999999</v>
      </c>
      <c r="E12" s="513">
        <f t="shared" si="0"/>
        <v>37781.314043999999</v>
      </c>
      <c r="F12" s="145">
        <f t="shared" si="0"/>
        <v>37781.314043999999</v>
      </c>
      <c r="G12" s="513">
        <f t="shared" si="0"/>
        <v>52077.314043999999</v>
      </c>
      <c r="H12" s="145">
        <f t="shared" si="0"/>
        <v>37781.314043999999</v>
      </c>
      <c r="I12" s="513">
        <f t="shared" si="0"/>
        <v>37781.314043999999</v>
      </c>
      <c r="J12" s="145">
        <f t="shared" si="0"/>
        <v>37781.314043999999</v>
      </c>
      <c r="K12" s="513">
        <f t="shared" si="0"/>
        <v>37781.314043999999</v>
      </c>
      <c r="L12" s="145">
        <f t="shared" si="0"/>
        <v>37781.314043999999</v>
      </c>
    </row>
  </sheetData>
  <phoneticPr fontId="19" type="noConversion"/>
  <pageMargins left="0.7" right="0.7" top="0.75" bottom="0.75" header="0.3" footer="0.3"/>
  <pageSetup paperSize="9" orientation="landscape" horizontalDpi="300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2:I19"/>
  <sheetViews>
    <sheetView zoomScale="120" zoomScaleNormal="120" zoomScalePageLayoutView="120" workbookViewId="0">
      <selection activeCell="E18" sqref="E18"/>
    </sheetView>
  </sheetViews>
  <sheetFormatPr baseColWidth="10" defaultColWidth="10.85546875" defaultRowHeight="15"/>
  <cols>
    <col min="1" max="1" width="10.85546875" style="33"/>
    <col min="2" max="2" width="8.7109375" style="33" bestFit="1" customWidth="1"/>
    <col min="3" max="3" width="14.85546875" style="33" bestFit="1" customWidth="1"/>
    <col min="4" max="4" width="13.7109375" style="33" bestFit="1" customWidth="1"/>
    <col min="5" max="6" width="15.42578125" style="33" bestFit="1" customWidth="1"/>
    <col min="7" max="7" width="14.85546875" style="33" bestFit="1" customWidth="1"/>
    <col min="8" max="8" width="3.42578125" style="33" bestFit="1" customWidth="1"/>
    <col min="9" max="9" width="15.42578125" style="33" bestFit="1" customWidth="1"/>
    <col min="10" max="20" width="3.42578125" style="33" bestFit="1" customWidth="1"/>
    <col min="21" max="21" width="11.42578125" style="33" bestFit="1" customWidth="1"/>
    <col min="22" max="32" width="3.42578125" style="33" bestFit="1" customWidth="1"/>
    <col min="33" max="33" width="11.42578125" style="33" bestFit="1" customWidth="1"/>
    <col min="34" max="44" width="3.42578125" style="33" bestFit="1" customWidth="1"/>
    <col min="45" max="45" width="11.42578125" style="33" bestFit="1" customWidth="1"/>
    <col min="46" max="56" width="3.42578125" style="33" bestFit="1" customWidth="1"/>
    <col min="57" max="57" width="11.42578125" style="33" bestFit="1" customWidth="1"/>
    <col min="58" max="68" width="3.42578125" style="33" bestFit="1" customWidth="1"/>
    <col min="69" max="69" width="11.42578125" style="33" bestFit="1" customWidth="1"/>
    <col min="70" max="80" width="3.42578125" style="33" bestFit="1" customWidth="1"/>
    <col min="81" max="81" width="11.42578125" style="33" bestFit="1" customWidth="1"/>
    <col min="82" max="92" width="3.42578125" style="33" bestFit="1" customWidth="1"/>
    <col min="93" max="93" width="11.42578125" style="33" bestFit="1" customWidth="1"/>
    <col min="94" max="96" width="3.42578125" style="33" bestFit="1" customWidth="1"/>
    <col min="97" max="101" width="4.42578125" style="33" bestFit="1" customWidth="1"/>
    <col min="102" max="102" width="11.42578125" style="33" bestFit="1" customWidth="1"/>
    <col min="103" max="16384" width="10.85546875" style="33"/>
  </cols>
  <sheetData>
    <row r="2" spans="1:9" ht="15.75" thickBot="1"/>
    <row r="3" spans="1:9" ht="24.75" customHeight="1" thickBot="1">
      <c r="A3" s="34"/>
      <c r="B3" s="505" t="s">
        <v>87</v>
      </c>
      <c r="C3" s="506"/>
      <c r="D3" s="506"/>
      <c r="E3" s="506"/>
      <c r="F3" s="506"/>
      <c r="G3" s="507"/>
      <c r="H3" s="96"/>
      <c r="I3" s="96"/>
    </row>
    <row r="4" spans="1:9" ht="16.5" thickBot="1">
      <c r="B4" s="91" t="s">
        <v>88</v>
      </c>
      <c r="C4" s="92" t="s">
        <v>167</v>
      </c>
      <c r="D4" s="104" t="s">
        <v>89</v>
      </c>
      <c r="E4" s="92" t="s">
        <v>90</v>
      </c>
      <c r="F4" s="104" t="s">
        <v>168</v>
      </c>
      <c r="G4" s="92" t="s">
        <v>33</v>
      </c>
      <c r="H4" s="96"/>
      <c r="I4" s="92" t="s">
        <v>142</v>
      </c>
    </row>
    <row r="5" spans="1:9" ht="15.75">
      <c r="B5" s="101">
        <v>0</v>
      </c>
      <c r="C5" s="110"/>
      <c r="D5" s="105"/>
      <c r="E5" s="110"/>
      <c r="F5" s="105"/>
      <c r="G5" s="116">
        <f>-I5</f>
        <v>-369032.99</v>
      </c>
      <c r="H5" s="96"/>
      <c r="I5" s="97">
        <f>Inv.!H13</f>
        <v>369032.99</v>
      </c>
    </row>
    <row r="6" spans="1:9" ht="15.75">
      <c r="B6" s="102">
        <v>1</v>
      </c>
      <c r="C6" s="111">
        <f>G5</f>
        <v>-369032.99</v>
      </c>
      <c r="D6" s="106">
        <f>G5*$I$6</f>
        <v>-55354.948499999999</v>
      </c>
      <c r="E6" s="114">
        <f>F6-D6</f>
        <v>-106272.9992800577</v>
      </c>
      <c r="F6" s="108">
        <f>$I$11</f>
        <v>-161627.9477800577</v>
      </c>
      <c r="G6" s="111">
        <f>G5-E6</f>
        <v>-262759.99071994226</v>
      </c>
      <c r="H6" s="96"/>
      <c r="I6" s="98">
        <f>Supuestos!J21</f>
        <v>0.15</v>
      </c>
    </row>
    <row r="7" spans="1:9" ht="15.75">
      <c r="B7" s="102">
        <v>2</v>
      </c>
      <c r="C7" s="112"/>
      <c r="D7" s="106">
        <f>G6*$I$6</f>
        <v>-39413.998607991336</v>
      </c>
      <c r="E7" s="114">
        <f t="shared" ref="E7:E8" si="0">F7-D7</f>
        <v>-122213.94917206636</v>
      </c>
      <c r="F7" s="108">
        <f>$I$11</f>
        <v>-161627.9477800577</v>
      </c>
      <c r="G7" s="111">
        <f t="shared" ref="G7:G8" si="1">G6-E7</f>
        <v>-140546.04154787591</v>
      </c>
      <c r="H7" s="96"/>
      <c r="I7" s="99"/>
    </row>
    <row r="8" spans="1:9" ht="16.5" thickBot="1">
      <c r="B8" s="103">
        <v>3</v>
      </c>
      <c r="C8" s="113"/>
      <c r="D8" s="107">
        <f>G7*$I$6</f>
        <v>-21081.906232181387</v>
      </c>
      <c r="E8" s="115">
        <f t="shared" si="0"/>
        <v>-140546.04154787632</v>
      </c>
      <c r="F8" s="109">
        <f>$I$11</f>
        <v>-161627.9477800577</v>
      </c>
      <c r="G8" s="117">
        <f t="shared" si="1"/>
        <v>4.0745362639427185E-10</v>
      </c>
      <c r="H8" s="96"/>
      <c r="I8" s="99">
        <v>3</v>
      </c>
    </row>
    <row r="9" spans="1:9" ht="15.75">
      <c r="B9" s="377"/>
      <c r="C9" s="378"/>
      <c r="D9" s="379"/>
      <c r="E9" s="380"/>
      <c r="F9" s="380"/>
      <c r="G9" s="379"/>
      <c r="H9" s="96"/>
      <c r="I9" s="381"/>
    </row>
    <row r="10" spans="1:9" ht="15.75">
      <c r="B10" s="382"/>
      <c r="C10" s="382"/>
      <c r="D10" s="382"/>
      <c r="E10" s="382"/>
      <c r="F10" s="382"/>
      <c r="G10" s="379"/>
      <c r="H10" s="96"/>
      <c r="I10" s="381"/>
    </row>
    <row r="11" spans="1:9" ht="29.25" customHeight="1" thickBot="1">
      <c r="B11" s="508"/>
      <c r="C11" s="508"/>
      <c r="D11" s="508"/>
      <c r="E11" s="508"/>
      <c r="F11" s="508"/>
      <c r="G11" s="96"/>
      <c r="H11" s="96"/>
      <c r="I11" s="100">
        <f>PMT(I6,I8,I5)</f>
        <v>-161627.9477800577</v>
      </c>
    </row>
    <row r="12" spans="1:9" ht="15.75">
      <c r="B12" s="393"/>
      <c r="C12" s="393"/>
      <c r="D12" s="393"/>
      <c r="E12" s="393"/>
      <c r="F12" s="393"/>
      <c r="G12" s="96"/>
      <c r="H12" s="96"/>
      <c r="I12" s="96"/>
    </row>
    <row r="13" spans="1:9">
      <c r="B13" s="394"/>
      <c r="C13" s="395"/>
      <c r="D13" s="395"/>
      <c r="E13" s="395"/>
      <c r="F13" s="396"/>
    </row>
    <row r="14" spans="1:9">
      <c r="B14" s="394"/>
      <c r="C14" s="397"/>
      <c r="D14" s="397"/>
      <c r="E14" s="397"/>
      <c r="F14" s="396"/>
    </row>
    <row r="15" spans="1:9">
      <c r="B15" s="394"/>
      <c r="C15" s="397"/>
      <c r="D15" s="397"/>
      <c r="E15" s="396"/>
      <c r="F15" s="396"/>
    </row>
    <row r="16" spans="1:9">
      <c r="B16" s="394"/>
      <c r="C16" s="397"/>
      <c r="D16" s="397"/>
      <c r="E16" s="396"/>
      <c r="F16" s="396"/>
    </row>
    <row r="17" spans="2:6">
      <c r="B17" s="395"/>
      <c r="C17" s="395"/>
      <c r="D17" s="395"/>
      <c r="E17" s="395"/>
      <c r="F17" s="395"/>
    </row>
    <row r="18" spans="2:6">
      <c r="B18" s="395"/>
      <c r="C18" s="395"/>
      <c r="D18" s="395"/>
      <c r="E18" s="395"/>
      <c r="F18" s="395"/>
    </row>
    <row r="19" spans="2:6">
      <c r="B19" s="395"/>
      <c r="C19" s="395"/>
      <c r="D19" s="395"/>
      <c r="E19" s="395"/>
      <c r="F19" s="395"/>
    </row>
  </sheetData>
  <mergeCells count="2">
    <mergeCell ref="B3:G3"/>
    <mergeCell ref="B11:F11"/>
  </mergeCells>
  <phoneticPr fontId="19" type="noConversion"/>
  <pageMargins left="0.7" right="0.7" top="0.75" bottom="0.75" header="0.3" footer="0.3"/>
  <pageSetup paperSize="119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C1:H8"/>
  <sheetViews>
    <sheetView workbookViewId="0">
      <selection activeCell="C3" sqref="C3"/>
    </sheetView>
  </sheetViews>
  <sheetFormatPr baseColWidth="10" defaultRowHeight="15"/>
  <cols>
    <col min="2" max="2" width="10.7109375" customWidth="1"/>
    <col min="3" max="3" width="29.42578125" bestFit="1" customWidth="1"/>
    <col min="4" max="4" width="7" bestFit="1" customWidth="1"/>
    <col min="5" max="5" width="3" bestFit="1" customWidth="1"/>
    <col min="7" max="7" width="14.140625" bestFit="1" customWidth="1"/>
  </cols>
  <sheetData>
    <row r="1" spans="3:8" ht="15.75" thickBot="1"/>
    <row r="2" spans="3:8" ht="15.75" thickBot="1">
      <c r="C2" s="487" t="s">
        <v>41</v>
      </c>
      <c r="D2" s="488"/>
      <c r="E2" s="489"/>
    </row>
    <row r="3" spans="3:8">
      <c r="C3" s="42" t="s">
        <v>35</v>
      </c>
      <c r="D3" s="48">
        <v>0.70399999999999996</v>
      </c>
      <c r="E3" s="42"/>
      <c r="G3" t="s">
        <v>48</v>
      </c>
      <c r="H3">
        <v>0.5</v>
      </c>
    </row>
    <row r="4" spans="3:8">
      <c r="C4" s="38" t="s">
        <v>36</v>
      </c>
      <c r="D4" s="46">
        <v>132</v>
      </c>
      <c r="E4" s="38"/>
    </row>
    <row r="5" spans="3:8">
      <c r="C5" s="38" t="s">
        <v>37</v>
      </c>
      <c r="D5" s="38">
        <v>326020</v>
      </c>
      <c r="E5" s="38">
        <v>27</v>
      </c>
    </row>
    <row r="6" spans="3:8">
      <c r="C6" s="38" t="s">
        <v>38</v>
      </c>
      <c r="D6" s="47">
        <f>D3</f>
        <v>0.70399999999999996</v>
      </c>
      <c r="E6" s="38"/>
    </row>
    <row r="7" spans="3:8">
      <c r="C7" s="38" t="s">
        <v>39</v>
      </c>
      <c r="D7" s="47">
        <v>0.3</v>
      </c>
      <c r="E7" s="38"/>
    </row>
    <row r="8" spans="3:8">
      <c r="C8" s="38" t="s">
        <v>40</v>
      </c>
      <c r="D8" s="38">
        <f>ROUNDUP(D5*D7,0)</f>
        <v>97806</v>
      </c>
      <c r="E8" s="38"/>
    </row>
  </sheetData>
  <mergeCells count="1">
    <mergeCell ref="C2:E2"/>
  </mergeCells>
  <phoneticPr fontId="19" type="noConversion"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B1:P52"/>
  <sheetViews>
    <sheetView tabSelected="1" workbookViewId="0">
      <selection activeCell="B1" sqref="B1:M2"/>
    </sheetView>
  </sheetViews>
  <sheetFormatPr baseColWidth="10" defaultRowHeight="12.75"/>
  <cols>
    <col min="1" max="1" width="4.5703125" style="207" customWidth="1"/>
    <col min="2" max="2" width="24.140625" style="242" customWidth="1"/>
    <col min="3" max="3" width="12.7109375" style="207" bestFit="1" customWidth="1"/>
    <col min="4" max="4" width="10.28515625" style="207" bestFit="1" customWidth="1"/>
    <col min="5" max="5" width="9.5703125" style="207" bestFit="1" customWidth="1"/>
    <col min="6" max="6" width="9.7109375" style="207" customWidth="1"/>
    <col min="7" max="10" width="9.5703125" style="207" bestFit="1" customWidth="1"/>
    <col min="11" max="11" width="9.7109375" style="207" customWidth="1"/>
    <col min="12" max="14" width="9.5703125" style="207" bestFit="1" customWidth="1"/>
    <col min="15" max="16384" width="11.42578125" style="207"/>
  </cols>
  <sheetData>
    <row r="1" spans="2:15" ht="15.75" customHeight="1">
      <c r="B1" s="415" t="s">
        <v>287</v>
      </c>
      <c r="C1" s="415"/>
      <c r="D1" s="415"/>
      <c r="E1" s="415"/>
      <c r="F1" s="415"/>
      <c r="G1" s="415"/>
      <c r="H1" s="415"/>
      <c r="I1" s="415"/>
      <c r="J1" s="415"/>
      <c r="K1" s="415"/>
      <c r="L1" s="415"/>
      <c r="M1" s="415"/>
    </row>
    <row r="2" spans="2:15" ht="14.25" customHeight="1">
      <c r="B2" s="415"/>
      <c r="C2" s="415"/>
      <c r="D2" s="415"/>
      <c r="E2" s="415"/>
      <c r="F2" s="415"/>
      <c r="G2" s="415"/>
      <c r="H2" s="415"/>
      <c r="I2" s="415"/>
      <c r="J2" s="415"/>
      <c r="K2" s="415"/>
      <c r="L2" s="415"/>
      <c r="M2" s="415"/>
    </row>
    <row r="3" spans="2:15" ht="14.25">
      <c r="B3" s="259"/>
    </row>
    <row r="4" spans="2:15" ht="13.5" thickBot="1"/>
    <row r="5" spans="2:15" ht="15" customHeight="1">
      <c r="B5" s="403" t="s">
        <v>267</v>
      </c>
      <c r="C5" s="404"/>
      <c r="D5" s="404"/>
      <c r="E5" s="404"/>
      <c r="F5" s="404"/>
      <c r="G5" s="404"/>
      <c r="H5" s="404"/>
      <c r="I5" s="404"/>
      <c r="J5" s="404"/>
      <c r="K5" s="404"/>
      <c r="L5" s="404"/>
      <c r="M5" s="405"/>
    </row>
    <row r="6" spans="2:15" ht="15.75" customHeight="1" thickBot="1">
      <c r="B6" s="406"/>
      <c r="C6" s="407"/>
      <c r="D6" s="407"/>
      <c r="E6" s="407"/>
      <c r="F6" s="407"/>
      <c r="G6" s="407"/>
      <c r="H6" s="407"/>
      <c r="I6" s="407"/>
      <c r="J6" s="407"/>
      <c r="K6" s="407"/>
      <c r="L6" s="407"/>
      <c r="M6" s="408"/>
    </row>
    <row r="7" spans="2:15" ht="15.75" thickBot="1">
      <c r="B7" s="401" t="s">
        <v>65</v>
      </c>
      <c r="C7" s="196" t="s">
        <v>254</v>
      </c>
      <c r="D7" s="213" t="s">
        <v>255</v>
      </c>
      <c r="E7" s="196" t="s">
        <v>256</v>
      </c>
      <c r="F7" s="213" t="s">
        <v>257</v>
      </c>
      <c r="G7" s="196" t="s">
        <v>258</v>
      </c>
      <c r="H7" s="213" t="s">
        <v>259</v>
      </c>
      <c r="I7" s="196" t="s">
        <v>260</v>
      </c>
      <c r="J7" s="213" t="s">
        <v>261</v>
      </c>
      <c r="K7" s="196" t="s">
        <v>262</v>
      </c>
      <c r="L7" s="213" t="s">
        <v>263</v>
      </c>
      <c r="M7" s="197" t="s">
        <v>264</v>
      </c>
      <c r="N7" s="208"/>
      <c r="O7" s="208"/>
    </row>
    <row r="8" spans="2:15" ht="15.75" thickBot="1">
      <c r="B8" s="402"/>
      <c r="C8" s="245">
        <v>0</v>
      </c>
      <c r="D8" s="248">
        <v>2010</v>
      </c>
      <c r="E8" s="246">
        <v>2011</v>
      </c>
      <c r="F8" s="248">
        <v>2012</v>
      </c>
      <c r="G8" s="246">
        <v>2013</v>
      </c>
      <c r="H8" s="248">
        <v>2014</v>
      </c>
      <c r="I8" s="246">
        <v>2015</v>
      </c>
      <c r="J8" s="248">
        <v>2016</v>
      </c>
      <c r="K8" s="246">
        <v>2017</v>
      </c>
      <c r="L8" s="248">
        <v>2018</v>
      </c>
      <c r="M8" s="247">
        <v>2019</v>
      </c>
      <c r="N8" s="255">
        <v>2020</v>
      </c>
      <c r="O8" s="208"/>
    </row>
    <row r="9" spans="2:15" ht="15">
      <c r="B9" s="256" t="s">
        <v>243</v>
      </c>
      <c r="C9" s="249"/>
      <c r="D9" s="224">
        <f>Ingresos!C15</f>
        <v>486913.44240000006</v>
      </c>
      <c r="E9" s="223">
        <f>Ingresos!D15</f>
        <v>541801.86681600008</v>
      </c>
      <c r="F9" s="224">
        <f>Ingresos!E15</f>
        <v>552637.90415232012</v>
      </c>
      <c r="G9" s="223">
        <f>Ingresos!F15</f>
        <v>563690.66223536653</v>
      </c>
      <c r="H9" s="224">
        <f>Ingresos!G15</f>
        <v>574964.47548007383</v>
      </c>
      <c r="I9" s="223">
        <f>Ingresos!H15</f>
        <v>586463.76498967537</v>
      </c>
      <c r="J9" s="224">
        <f>Ingresos!I15</f>
        <v>598193.04028946895</v>
      </c>
      <c r="K9" s="223">
        <f>Ingresos!J15</f>
        <v>610156.9010952583</v>
      </c>
      <c r="L9" s="224">
        <f>Ingresos!K15</f>
        <v>622360.03911716351</v>
      </c>
      <c r="M9" s="250">
        <f>Ingresos!L15</f>
        <v>634807.23989950679</v>
      </c>
      <c r="N9" s="251">
        <f>Ingresos!M15</f>
        <v>647503.38469749689</v>
      </c>
      <c r="O9" s="252"/>
    </row>
    <row r="10" spans="2:15" ht="15">
      <c r="B10" s="257" t="s">
        <v>244</v>
      </c>
      <c r="C10" s="253"/>
      <c r="D10" s="227"/>
      <c r="E10" s="226"/>
      <c r="F10" s="227"/>
      <c r="G10" s="226"/>
      <c r="H10" s="227"/>
      <c r="I10" s="226">
        <f>Supuestos!C36</f>
        <v>14296</v>
      </c>
      <c r="J10" s="227"/>
      <c r="K10" s="226"/>
      <c r="L10" s="227"/>
      <c r="M10" s="254"/>
      <c r="N10" s="251">
        <f>SUM(Supuestos!C30:C36)</f>
        <v>100946.26136000002</v>
      </c>
      <c r="O10" s="252"/>
    </row>
    <row r="11" spans="2:15" ht="15">
      <c r="B11" s="260" t="s">
        <v>245</v>
      </c>
      <c r="C11" s="261"/>
      <c r="D11" s="262">
        <f>SUM(D9:D10)</f>
        <v>486913.44240000006</v>
      </c>
      <c r="E11" s="263">
        <f t="shared" ref="E11:N11" si="0">SUM(E9:E10)</f>
        <v>541801.86681600008</v>
      </c>
      <c r="F11" s="262">
        <f t="shared" si="0"/>
        <v>552637.90415232012</v>
      </c>
      <c r="G11" s="263">
        <f t="shared" si="0"/>
        <v>563690.66223536653</v>
      </c>
      <c r="H11" s="262">
        <f t="shared" si="0"/>
        <v>574964.47548007383</v>
      </c>
      <c r="I11" s="263">
        <f t="shared" si="0"/>
        <v>600759.76498967537</v>
      </c>
      <c r="J11" s="262">
        <f t="shared" si="0"/>
        <v>598193.04028946895</v>
      </c>
      <c r="K11" s="263">
        <f t="shared" si="0"/>
        <v>610156.9010952583</v>
      </c>
      <c r="L11" s="262">
        <f t="shared" si="0"/>
        <v>622360.03911716351</v>
      </c>
      <c r="M11" s="264">
        <f t="shared" si="0"/>
        <v>634807.23989950679</v>
      </c>
      <c r="N11" s="251">
        <f t="shared" si="0"/>
        <v>748449.6460574969</v>
      </c>
      <c r="O11" s="252"/>
    </row>
    <row r="12" spans="2:15" ht="15">
      <c r="B12" s="257" t="s">
        <v>165</v>
      </c>
      <c r="C12" s="253"/>
      <c r="D12" s="227">
        <f>E.Oper.1!D36</f>
        <v>355188.53463578876</v>
      </c>
      <c r="E12" s="226">
        <f>E.Oper.1!E36</f>
        <v>361053.53178850451</v>
      </c>
      <c r="F12" s="227">
        <f>E.Oper.1!F36</f>
        <v>367035.82888427464</v>
      </c>
      <c r="G12" s="226">
        <f>E.Oper.1!G36</f>
        <v>373137.77192196011</v>
      </c>
      <c r="H12" s="227">
        <f>E.Oper.1!H36</f>
        <v>379361.75382039929</v>
      </c>
      <c r="I12" s="226">
        <f>E.Oper.1!I36</f>
        <v>385710.21535680728</v>
      </c>
      <c r="J12" s="227">
        <f>E.Oper.1!J36</f>
        <v>392185.64612394344</v>
      </c>
      <c r="K12" s="226">
        <f>E.Oper.1!K36</f>
        <v>398790.58550642227</v>
      </c>
      <c r="L12" s="227">
        <f>E.Oper.1!L36</f>
        <v>405527.62367655075</v>
      </c>
      <c r="M12" s="254">
        <f>E.Oper.1!M36</f>
        <v>412399.40261008177</v>
      </c>
      <c r="N12" s="251">
        <f>E.Oper.1!P36</f>
        <v>419408.61712228338</v>
      </c>
      <c r="O12" s="252"/>
    </row>
    <row r="13" spans="2:15" ht="15">
      <c r="B13" s="257" t="s">
        <v>246</v>
      </c>
      <c r="C13" s="253"/>
      <c r="D13" s="227">
        <f>-Amort.!E6</f>
        <v>106272.9992800577</v>
      </c>
      <c r="E13" s="226">
        <f>-Amort.!E7</f>
        <v>122213.94917206636</v>
      </c>
      <c r="F13" s="227">
        <f>-Amort.!E8</f>
        <v>140546.04154787632</v>
      </c>
      <c r="G13" s="226"/>
      <c r="H13" s="227"/>
      <c r="I13" s="226"/>
      <c r="J13" s="227"/>
      <c r="K13" s="226"/>
      <c r="L13" s="227"/>
      <c r="M13" s="254"/>
      <c r="N13" s="251"/>
      <c r="O13" s="252"/>
    </row>
    <row r="14" spans="2:15" ht="15">
      <c r="B14" s="257" t="s">
        <v>162</v>
      </c>
      <c r="C14" s="253"/>
      <c r="D14" s="227">
        <f>Deprec.!B12</f>
        <v>0</v>
      </c>
      <c r="E14" s="226">
        <f>Deprec.!C12</f>
        <v>37781.314043999999</v>
      </c>
      <c r="F14" s="227">
        <f>Deprec.!D12</f>
        <v>37781.314043999999</v>
      </c>
      <c r="G14" s="226">
        <f>Deprec.!E12</f>
        <v>37781.314043999999</v>
      </c>
      <c r="H14" s="227">
        <f>Deprec.!F12</f>
        <v>37781.314043999999</v>
      </c>
      <c r="I14" s="226">
        <f>Deprec.!G12</f>
        <v>52077.314043999999</v>
      </c>
      <c r="J14" s="227">
        <f>Deprec.!H12</f>
        <v>37781.314043999999</v>
      </c>
      <c r="K14" s="226">
        <f>Deprec.!I12</f>
        <v>37781.314043999999</v>
      </c>
      <c r="L14" s="227">
        <f>Deprec.!J12</f>
        <v>37781.314043999999</v>
      </c>
      <c r="M14" s="254">
        <f>Deprec.!K12</f>
        <v>37781.314043999999</v>
      </c>
      <c r="N14" s="251">
        <f>Deprec.!L12</f>
        <v>37781.314043999999</v>
      </c>
      <c r="O14" s="252"/>
    </row>
    <row r="15" spans="2:15" ht="15">
      <c r="B15" s="260" t="s">
        <v>51</v>
      </c>
      <c r="C15" s="261"/>
      <c r="D15" s="262">
        <f>SUM(D12:D14)</f>
        <v>461461.53391584649</v>
      </c>
      <c r="E15" s="263">
        <f t="shared" ref="E15:N15" si="1">SUM(E12:E14)</f>
        <v>521048.79500457086</v>
      </c>
      <c r="F15" s="262">
        <f t="shared" si="1"/>
        <v>545363.1844761509</v>
      </c>
      <c r="G15" s="263">
        <f t="shared" si="1"/>
        <v>410919.08596596011</v>
      </c>
      <c r="H15" s="262">
        <f t="shared" si="1"/>
        <v>417143.06786439929</v>
      </c>
      <c r="I15" s="263">
        <f t="shared" si="1"/>
        <v>437787.52940080728</v>
      </c>
      <c r="J15" s="262">
        <f t="shared" si="1"/>
        <v>429966.96016794344</v>
      </c>
      <c r="K15" s="263">
        <f t="shared" si="1"/>
        <v>436571.89955042227</v>
      </c>
      <c r="L15" s="262">
        <f t="shared" si="1"/>
        <v>443308.93772055075</v>
      </c>
      <c r="M15" s="264">
        <f t="shared" si="1"/>
        <v>450180.71665408177</v>
      </c>
      <c r="N15" s="251">
        <f t="shared" si="1"/>
        <v>457189.93116628338</v>
      </c>
      <c r="O15" s="252"/>
    </row>
    <row r="16" spans="2:15" ht="15">
      <c r="B16" s="257" t="s">
        <v>247</v>
      </c>
      <c r="C16" s="253"/>
      <c r="D16" s="227">
        <f>D11-D15</f>
        <v>25451.908484153566</v>
      </c>
      <c r="E16" s="226">
        <f t="shared" ref="E16:N16" si="2">E11-E15</f>
        <v>20753.071811429225</v>
      </c>
      <c r="F16" s="227">
        <f t="shared" si="2"/>
        <v>7274.7196761692176</v>
      </c>
      <c r="G16" s="226">
        <f t="shared" si="2"/>
        <v>152771.57626940642</v>
      </c>
      <c r="H16" s="227">
        <f t="shared" si="2"/>
        <v>157821.40761567454</v>
      </c>
      <c r="I16" s="226">
        <f t="shared" si="2"/>
        <v>162972.23558886809</v>
      </c>
      <c r="J16" s="227">
        <f t="shared" si="2"/>
        <v>168226.08012152551</v>
      </c>
      <c r="K16" s="226">
        <f t="shared" si="2"/>
        <v>173585.00154483604</v>
      </c>
      <c r="L16" s="227">
        <f t="shared" si="2"/>
        <v>179051.10139661276</v>
      </c>
      <c r="M16" s="254">
        <f t="shared" si="2"/>
        <v>184626.52324542502</v>
      </c>
      <c r="N16" s="251">
        <f t="shared" si="2"/>
        <v>291259.71489121352</v>
      </c>
      <c r="O16" s="252"/>
    </row>
    <row r="17" spans="2:15" ht="30">
      <c r="B17" s="258" t="s">
        <v>269</v>
      </c>
      <c r="C17" s="253"/>
      <c r="D17" s="227">
        <f>D16*Supuestos!$J$3</f>
        <v>3817.7862726230346</v>
      </c>
      <c r="E17" s="226">
        <f>E16*Supuestos!$J$3</f>
        <v>3112.9607717143836</v>
      </c>
      <c r="F17" s="227">
        <f>F16*Supuestos!$J$3</f>
        <v>1091.2079514253826</v>
      </c>
      <c r="G17" s="226">
        <f>G16*Supuestos!$J$3</f>
        <v>22915.736440410961</v>
      </c>
      <c r="H17" s="227">
        <f>H16*Supuestos!$J$3</f>
        <v>23673.211142351181</v>
      </c>
      <c r="I17" s="226">
        <f>I16*Supuestos!$J$3</f>
        <v>24445.835338330213</v>
      </c>
      <c r="J17" s="227">
        <f>J16*Supuestos!$J$3</f>
        <v>25233.912018228824</v>
      </c>
      <c r="K17" s="226">
        <f>K16*Supuestos!$J$3</f>
        <v>26037.750231725404</v>
      </c>
      <c r="L17" s="227">
        <f>L16*Supuestos!$J$3</f>
        <v>26857.665209491915</v>
      </c>
      <c r="M17" s="254">
        <f>M16*Supuestos!$J$3</f>
        <v>27693.978486813754</v>
      </c>
      <c r="N17" s="251">
        <f>N16*Supuestos!$J$3</f>
        <v>43688.957233682027</v>
      </c>
      <c r="O17" s="252"/>
    </row>
    <row r="18" spans="2:15" ht="15">
      <c r="B18" s="257" t="s">
        <v>248</v>
      </c>
      <c r="C18" s="253"/>
      <c r="D18" s="227">
        <f>D16-D17</f>
        <v>21634.122211530532</v>
      </c>
      <c r="E18" s="226">
        <f t="shared" ref="E18:N18" si="3">E16-E17</f>
        <v>17640.11103971484</v>
      </c>
      <c r="F18" s="227">
        <f t="shared" si="3"/>
        <v>6183.5117247438347</v>
      </c>
      <c r="G18" s="226">
        <f t="shared" si="3"/>
        <v>129855.83982899546</v>
      </c>
      <c r="H18" s="227">
        <f t="shared" si="3"/>
        <v>134148.19647332336</v>
      </c>
      <c r="I18" s="226">
        <f t="shared" si="3"/>
        <v>138526.40025053787</v>
      </c>
      <c r="J18" s="227">
        <f t="shared" si="3"/>
        <v>142992.16810329669</v>
      </c>
      <c r="K18" s="226">
        <f t="shared" si="3"/>
        <v>147547.25131311064</v>
      </c>
      <c r="L18" s="227">
        <f t="shared" si="3"/>
        <v>152193.43618712085</v>
      </c>
      <c r="M18" s="254">
        <f t="shared" si="3"/>
        <v>156932.54475861127</v>
      </c>
      <c r="N18" s="251">
        <f t="shared" si="3"/>
        <v>247570.75765753147</v>
      </c>
      <c r="O18" s="252"/>
    </row>
    <row r="19" spans="2:15" ht="15">
      <c r="B19" s="257" t="s">
        <v>268</v>
      </c>
      <c r="C19" s="253"/>
      <c r="D19" s="227">
        <f>D18*Supuestos!$J$2</f>
        <v>5408.5305528826329</v>
      </c>
      <c r="E19" s="226">
        <f>E18*Supuestos!$J$2</f>
        <v>4410.0277599287101</v>
      </c>
      <c r="F19" s="227">
        <f>F18*Supuestos!$J$2</f>
        <v>1545.8779311859587</v>
      </c>
      <c r="G19" s="226">
        <f>G18*Supuestos!$J$2</f>
        <v>32463.959957248866</v>
      </c>
      <c r="H19" s="227">
        <f>H18*Supuestos!$J$2</f>
        <v>33537.04911833084</v>
      </c>
      <c r="I19" s="226">
        <f>I18*Supuestos!$J$2</f>
        <v>34631.600062634468</v>
      </c>
      <c r="J19" s="227">
        <f>J18*Supuestos!$J$2</f>
        <v>35748.042025824172</v>
      </c>
      <c r="K19" s="226">
        <f>K18*Supuestos!$J$2</f>
        <v>36886.81282827766</v>
      </c>
      <c r="L19" s="227">
        <f>L18*Supuestos!$J$2</f>
        <v>38048.359046780213</v>
      </c>
      <c r="M19" s="254">
        <f>M18*Supuestos!$J$2</f>
        <v>39233.136189652818</v>
      </c>
      <c r="N19" s="251">
        <f>N18*Supuestos!$J$2</f>
        <v>61892.689414382869</v>
      </c>
      <c r="O19" s="252"/>
    </row>
    <row r="20" spans="2:15" ht="15">
      <c r="B20" s="257" t="s">
        <v>249</v>
      </c>
      <c r="C20" s="253"/>
      <c r="D20" s="227">
        <f>D18-D19</f>
        <v>16225.5916586479</v>
      </c>
      <c r="E20" s="226">
        <f t="shared" ref="E20:N20" si="4">E18-E19</f>
        <v>13230.083279786129</v>
      </c>
      <c r="F20" s="227">
        <f t="shared" si="4"/>
        <v>4637.6337935578758</v>
      </c>
      <c r="G20" s="226">
        <f t="shared" si="4"/>
        <v>97391.879871746598</v>
      </c>
      <c r="H20" s="227">
        <f t="shared" si="4"/>
        <v>100611.14735499251</v>
      </c>
      <c r="I20" s="226">
        <f t="shared" si="4"/>
        <v>103894.8001879034</v>
      </c>
      <c r="J20" s="227">
        <f t="shared" si="4"/>
        <v>107244.12607747252</v>
      </c>
      <c r="K20" s="226">
        <f t="shared" si="4"/>
        <v>110660.43848483298</v>
      </c>
      <c r="L20" s="227">
        <f t="shared" si="4"/>
        <v>114145.07714034064</v>
      </c>
      <c r="M20" s="254">
        <f t="shared" si="4"/>
        <v>117699.40856895846</v>
      </c>
      <c r="N20" s="251">
        <f t="shared" si="4"/>
        <v>185678.06824314862</v>
      </c>
      <c r="O20" s="252"/>
    </row>
    <row r="21" spans="2:15" ht="15">
      <c r="B21" s="257" t="s">
        <v>266</v>
      </c>
      <c r="C21" s="253"/>
      <c r="D21" s="227">
        <f>D14</f>
        <v>0</v>
      </c>
      <c r="E21" s="227">
        <f t="shared" ref="E21:M21" si="5">E14</f>
        <v>37781.314043999999</v>
      </c>
      <c r="F21" s="227">
        <f t="shared" si="5"/>
        <v>37781.314043999999</v>
      </c>
      <c r="G21" s="227">
        <f t="shared" si="5"/>
        <v>37781.314043999999</v>
      </c>
      <c r="H21" s="227">
        <f t="shared" si="5"/>
        <v>37781.314043999999</v>
      </c>
      <c r="I21" s="227">
        <f t="shared" si="5"/>
        <v>52077.314043999999</v>
      </c>
      <c r="J21" s="227">
        <f t="shared" si="5"/>
        <v>37781.314043999999</v>
      </c>
      <c r="K21" s="227">
        <f t="shared" si="5"/>
        <v>37781.314043999999</v>
      </c>
      <c r="L21" s="227">
        <f t="shared" si="5"/>
        <v>37781.314043999999</v>
      </c>
      <c r="M21" s="227">
        <f t="shared" si="5"/>
        <v>37781.314043999999</v>
      </c>
      <c r="N21" s="251"/>
      <c r="O21" s="252"/>
    </row>
    <row r="22" spans="2:15" ht="15">
      <c r="B22" s="257" t="s">
        <v>87</v>
      </c>
      <c r="C22" s="253"/>
      <c r="D22" s="227">
        <f>-Amort.!E6</f>
        <v>106272.9992800577</v>
      </c>
      <c r="E22" s="226">
        <f>-Amort.!E7</f>
        <v>122213.94917206636</v>
      </c>
      <c r="F22" s="227">
        <f>-Amort.!E8</f>
        <v>140546.04154787632</v>
      </c>
      <c r="G22" s="226"/>
      <c r="H22" s="227"/>
      <c r="I22" s="226"/>
      <c r="J22" s="227"/>
      <c r="K22" s="226"/>
      <c r="L22" s="227"/>
      <c r="M22" s="254"/>
      <c r="N22" s="251"/>
      <c r="O22" s="252"/>
    </row>
    <row r="23" spans="2:15" ht="15">
      <c r="B23" s="257" t="s">
        <v>270</v>
      </c>
      <c r="C23" s="226">
        <f>-Inv.!C19</f>
        <v>-442538.04680000001</v>
      </c>
      <c r="D23" s="227"/>
      <c r="E23" s="226"/>
      <c r="F23" s="227"/>
      <c r="G23" s="226"/>
      <c r="H23" s="227"/>
      <c r="I23" s="226"/>
      <c r="J23" s="227"/>
      <c r="K23" s="226"/>
      <c r="L23" s="227"/>
      <c r="M23" s="254"/>
      <c r="N23" s="251"/>
      <c r="O23" s="252"/>
    </row>
    <row r="24" spans="2:15" ht="15.75" thickBot="1">
      <c r="B24" s="257" t="s">
        <v>250</v>
      </c>
      <c r="C24" s="226">
        <f>CdT!C13</f>
        <v>-29599.044552982396</v>
      </c>
      <c r="D24" s="227"/>
      <c r="E24" s="226"/>
      <c r="F24" s="227"/>
      <c r="G24" s="226"/>
      <c r="H24" s="227"/>
      <c r="I24" s="226"/>
      <c r="J24" s="227"/>
      <c r="K24" s="226"/>
      <c r="L24" s="227"/>
      <c r="M24" s="254"/>
      <c r="N24" s="251"/>
      <c r="O24" s="252"/>
    </row>
    <row r="25" spans="2:15" ht="15.75" thickBot="1">
      <c r="B25" s="265" t="s">
        <v>251</v>
      </c>
      <c r="C25" s="266">
        <f>SUM(C23:C24)</f>
        <v>-472137.09135298239</v>
      </c>
      <c r="D25" s="267">
        <f>SUM(D20:D24)</f>
        <v>122498.5909387056</v>
      </c>
      <c r="E25" s="266">
        <f t="shared" ref="E25:N25" si="6">SUM(E20:E24)</f>
        <v>173225.34649585249</v>
      </c>
      <c r="F25" s="267">
        <f t="shared" si="6"/>
        <v>182964.98938543419</v>
      </c>
      <c r="G25" s="266">
        <f t="shared" si="6"/>
        <v>135173.19391574658</v>
      </c>
      <c r="H25" s="267">
        <f t="shared" si="6"/>
        <v>138392.46139899251</v>
      </c>
      <c r="I25" s="266">
        <f t="shared" si="6"/>
        <v>155972.1142319034</v>
      </c>
      <c r="J25" s="267">
        <f t="shared" si="6"/>
        <v>145025.44012147252</v>
      </c>
      <c r="K25" s="266">
        <f t="shared" si="6"/>
        <v>148441.75252883299</v>
      </c>
      <c r="L25" s="267">
        <f t="shared" si="6"/>
        <v>151926.39118434064</v>
      </c>
      <c r="M25" s="268">
        <f t="shared" si="6"/>
        <v>155480.72261295846</v>
      </c>
      <c r="N25" s="251">
        <f t="shared" si="6"/>
        <v>185678.06824314862</v>
      </c>
      <c r="O25" s="252"/>
    </row>
    <row r="26" spans="2:15" ht="15.75" thickBot="1">
      <c r="B26" s="244"/>
      <c r="C26" s="208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08"/>
    </row>
    <row r="27" spans="2:15" ht="15.75" thickBot="1">
      <c r="B27" s="352" t="s">
        <v>252</v>
      </c>
      <c r="C27" s="353">
        <f>NPV(Supuestos!J1,'FdC Pro'!C25:N25)</f>
        <v>198633.33624715923</v>
      </c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2:15" ht="16.5" thickBot="1">
      <c r="B28" s="350" t="s">
        <v>253</v>
      </c>
      <c r="C28" s="351">
        <f>IRR(C25:N25)</f>
        <v>0.30151029160460946</v>
      </c>
      <c r="D28" s="208"/>
      <c r="E28" s="208"/>
      <c r="F28" s="208"/>
      <c r="G28" s="208"/>
      <c r="H28" s="208"/>
      <c r="I28" s="208"/>
      <c r="J28" s="208"/>
      <c r="K28" s="208"/>
      <c r="L28" s="208"/>
      <c r="M28" s="347">
        <v>126</v>
      </c>
      <c r="N28" s="208"/>
      <c r="O28" s="208"/>
    </row>
    <row r="29" spans="2:15" ht="15">
      <c r="B29" s="243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</row>
    <row r="30" spans="2:15" ht="15">
      <c r="B30" s="243"/>
      <c r="C30" s="208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</row>
    <row r="31" spans="2:15" ht="15">
      <c r="B31" s="243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</row>
    <row r="32" spans="2:15" ht="15.75" customHeight="1">
      <c r="B32" s="416" t="s">
        <v>289</v>
      </c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416"/>
    </row>
    <row r="33" spans="2:16"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</row>
    <row r="34" spans="2:16" ht="15">
      <c r="B34" s="243"/>
      <c r="C34" s="208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</row>
    <row r="35" spans="2:16" ht="15">
      <c r="B35" s="243"/>
      <c r="C35" s="208"/>
      <c r="D35" s="208"/>
      <c r="E35" s="208"/>
      <c r="F35" s="208"/>
      <c r="G35" s="208"/>
      <c r="H35" s="208"/>
      <c r="I35" s="208"/>
      <c r="J35" s="208"/>
      <c r="K35" s="208"/>
      <c r="L35" s="208"/>
      <c r="M35" s="208"/>
      <c r="N35" s="208"/>
      <c r="O35" s="208"/>
      <c r="P35" s="208"/>
    </row>
    <row r="36" spans="2:16" ht="15">
      <c r="B36" s="302" t="s">
        <v>278</v>
      </c>
      <c r="C36" s="303">
        <f>Supuestos!J1</f>
        <v>0.18003</v>
      </c>
      <c r="D36" s="208"/>
      <c r="E36" s="208"/>
      <c r="F36" s="208"/>
      <c r="G36" s="208"/>
      <c r="H36" s="208"/>
      <c r="I36" s="208"/>
      <c r="J36" s="208"/>
      <c r="K36" s="208"/>
      <c r="L36" s="208"/>
      <c r="M36" s="208"/>
      <c r="N36" s="208"/>
      <c r="O36" s="208"/>
      <c r="P36" s="208"/>
    </row>
    <row r="37" spans="2:16" ht="15">
      <c r="B37" s="243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</row>
    <row r="38" spans="2:16" ht="15">
      <c r="B38" s="243"/>
      <c r="C38" s="208"/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208"/>
      <c r="O38" s="208"/>
      <c r="P38" s="208"/>
    </row>
    <row r="39" spans="2:16" ht="15.75" thickBot="1">
      <c r="B39" s="243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8"/>
      <c r="P39" s="208"/>
    </row>
    <row r="40" spans="2:16" ht="15">
      <c r="B40" s="220"/>
      <c r="C40" s="409" t="s">
        <v>282</v>
      </c>
      <c r="D40" s="410"/>
      <c r="E40" s="410"/>
      <c r="F40" s="410"/>
      <c r="G40" s="410"/>
      <c r="H40" s="410"/>
      <c r="I40" s="410"/>
      <c r="J40" s="410"/>
      <c r="K40" s="410"/>
      <c r="L40" s="410"/>
      <c r="M40" s="411"/>
      <c r="N40" s="208"/>
      <c r="O40" s="208"/>
      <c r="P40" s="208"/>
    </row>
    <row r="41" spans="2:16" ht="15.75" thickBot="1">
      <c r="B41" s="220"/>
      <c r="C41" s="412"/>
      <c r="D41" s="413"/>
      <c r="E41" s="413"/>
      <c r="F41" s="413"/>
      <c r="G41" s="413"/>
      <c r="H41" s="413"/>
      <c r="I41" s="413"/>
      <c r="J41" s="413"/>
      <c r="K41" s="413"/>
      <c r="L41" s="413"/>
      <c r="M41" s="414"/>
      <c r="N41" s="208"/>
      <c r="O41" s="208"/>
      <c r="P41" s="208"/>
    </row>
    <row r="42" spans="2:16" ht="15.75" thickBot="1">
      <c r="B42" s="220"/>
      <c r="C42" s="387">
        <v>0</v>
      </c>
      <c r="D42" s="388">
        <v>1</v>
      </c>
      <c r="E42" s="388">
        <v>2</v>
      </c>
      <c r="F42" s="388">
        <v>3</v>
      </c>
      <c r="G42" s="388">
        <v>4</v>
      </c>
      <c r="H42" s="388">
        <v>5</v>
      </c>
      <c r="I42" s="388">
        <v>6</v>
      </c>
      <c r="J42" s="388">
        <v>7</v>
      </c>
      <c r="K42" s="388">
        <v>8</v>
      </c>
      <c r="L42" s="388">
        <v>9</v>
      </c>
      <c r="M42" s="389">
        <v>10</v>
      </c>
      <c r="N42" s="208"/>
      <c r="O42" s="208"/>
      <c r="P42" s="208"/>
    </row>
    <row r="43" spans="2:16" ht="30" customHeight="1">
      <c r="B43" s="297" t="s">
        <v>279</v>
      </c>
      <c r="C43" s="390">
        <f>C25</f>
        <v>-472137.09135298239</v>
      </c>
      <c r="D43" s="391">
        <f t="shared" ref="D43:M43" si="7">D25</f>
        <v>122498.5909387056</v>
      </c>
      <c r="E43" s="391">
        <f t="shared" si="7"/>
        <v>173225.34649585249</v>
      </c>
      <c r="F43" s="391">
        <f t="shared" si="7"/>
        <v>182964.98938543419</v>
      </c>
      <c r="G43" s="391">
        <f t="shared" si="7"/>
        <v>135173.19391574658</v>
      </c>
      <c r="H43" s="391">
        <f t="shared" si="7"/>
        <v>138392.46139899251</v>
      </c>
      <c r="I43" s="391">
        <f t="shared" si="7"/>
        <v>155972.1142319034</v>
      </c>
      <c r="J43" s="391">
        <f t="shared" si="7"/>
        <v>145025.44012147252</v>
      </c>
      <c r="K43" s="391">
        <f t="shared" si="7"/>
        <v>148441.75252883299</v>
      </c>
      <c r="L43" s="391">
        <f t="shared" si="7"/>
        <v>151926.39118434064</v>
      </c>
      <c r="M43" s="392">
        <f t="shared" si="7"/>
        <v>155480.72261295846</v>
      </c>
      <c r="N43" s="208"/>
      <c r="O43" s="208"/>
      <c r="P43" s="208"/>
    </row>
    <row r="44" spans="2:16" ht="30" customHeight="1">
      <c r="B44" s="258" t="s">
        <v>280</v>
      </c>
      <c r="C44" s="335">
        <f>C43</f>
        <v>-472137.09135298239</v>
      </c>
      <c r="D44" s="329">
        <f>D43/(1+$C$36)^1</f>
        <v>103809.72597197157</v>
      </c>
      <c r="E44" s="329">
        <f t="shared" ref="E44:M44" si="8">E43/(1+$C$36)^1</f>
        <v>146797.40896066412</v>
      </c>
      <c r="F44" s="329">
        <f t="shared" si="8"/>
        <v>155051.13377239072</v>
      </c>
      <c r="G44" s="329">
        <f t="shared" si="8"/>
        <v>114550.64186143284</v>
      </c>
      <c r="H44" s="329">
        <f t="shared" si="8"/>
        <v>117278.76528477456</v>
      </c>
      <c r="I44" s="329">
        <f t="shared" si="8"/>
        <v>132176.39740676375</v>
      </c>
      <c r="J44" s="329">
        <f t="shared" si="8"/>
        <v>122899.79078622792</v>
      </c>
      <c r="K44" s="329">
        <f t="shared" si="8"/>
        <v>125794.89718806556</v>
      </c>
      <c r="L44" s="329">
        <f t="shared" si="8"/>
        <v>128747.90571793992</v>
      </c>
      <c r="M44" s="336">
        <f t="shared" si="8"/>
        <v>131759.97441841179</v>
      </c>
      <c r="N44" s="208"/>
      <c r="O44" s="208"/>
      <c r="P44" s="208"/>
    </row>
    <row r="45" spans="2:16" ht="30.75" thickBot="1">
      <c r="B45" s="298" t="s">
        <v>281</v>
      </c>
      <c r="C45" s="337">
        <f>C43</f>
        <v>-472137.09135298239</v>
      </c>
      <c r="D45" s="328">
        <f>C45+D44</f>
        <v>-368327.36538101081</v>
      </c>
      <c r="E45" s="328">
        <f t="shared" ref="E45:M45" si="9">D45+E44</f>
        <v>-221529.95642034669</v>
      </c>
      <c r="F45" s="331">
        <f t="shared" si="9"/>
        <v>-66478.822647955967</v>
      </c>
      <c r="G45" s="331">
        <f t="shared" si="9"/>
        <v>48071.819213476876</v>
      </c>
      <c r="H45" s="328">
        <f t="shared" si="9"/>
        <v>165350.58449825144</v>
      </c>
      <c r="I45" s="328">
        <f t="shared" si="9"/>
        <v>297526.98190501519</v>
      </c>
      <c r="J45" s="328">
        <f t="shared" si="9"/>
        <v>420426.7726912431</v>
      </c>
      <c r="K45" s="328">
        <f t="shared" si="9"/>
        <v>546221.66987930867</v>
      </c>
      <c r="L45" s="328">
        <f t="shared" si="9"/>
        <v>674969.57559724862</v>
      </c>
      <c r="M45" s="338">
        <f t="shared" si="9"/>
        <v>806729.55001566047</v>
      </c>
      <c r="N45" s="208"/>
      <c r="O45" s="208"/>
      <c r="P45" s="208"/>
    </row>
    <row r="46" spans="2:16" ht="15">
      <c r="B46" s="243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/>
      <c r="P46" s="208"/>
    </row>
    <row r="47" spans="2:16" ht="15.75" thickBot="1">
      <c r="B47" s="243"/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</row>
    <row r="48" spans="2:16" ht="15.75" thickBot="1">
      <c r="E48" s="334" t="s">
        <v>291</v>
      </c>
      <c r="F48" s="332">
        <f>4+(G45/-F45)</f>
        <v>4.7231147799961066</v>
      </c>
      <c r="G48" s="333" t="s">
        <v>292</v>
      </c>
    </row>
    <row r="52" spans="13:13" ht="15">
      <c r="M52" s="347">
        <v>128</v>
      </c>
    </row>
  </sheetData>
  <mergeCells count="5">
    <mergeCell ref="B7:B8"/>
    <mergeCell ref="B5:M6"/>
    <mergeCell ref="C40:M41"/>
    <mergeCell ref="B1:M2"/>
    <mergeCell ref="B32:M33"/>
  </mergeCells>
  <phoneticPr fontId="19" type="noConversion"/>
  <pageMargins left="0.23622047244094491" right="0.23622047244094491" top="1.5748031496062993" bottom="0.74803149606299213" header="0.31496062992125984" footer="0.31496062992125984"/>
  <pageSetup paperSize="9" orientation="landscape" horizontalDpi="300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B1:N54"/>
  <sheetViews>
    <sheetView topLeftCell="A28" workbookViewId="0">
      <selection activeCell="A29" sqref="A29:M52"/>
    </sheetView>
  </sheetViews>
  <sheetFormatPr baseColWidth="10" defaultRowHeight="12.75"/>
  <cols>
    <col min="1" max="1" width="3.140625" style="207" customWidth="1"/>
    <col min="2" max="2" width="26.140625" style="211" customWidth="1"/>
    <col min="3" max="3" width="12.7109375" style="207" bestFit="1" customWidth="1"/>
    <col min="4" max="6" width="10.28515625" style="207" bestFit="1" customWidth="1"/>
    <col min="7" max="12" width="9.42578125" style="207" bestFit="1" customWidth="1"/>
    <col min="13" max="13" width="9.42578125" style="207" customWidth="1"/>
    <col min="14" max="14" width="9.42578125" style="207" bestFit="1" customWidth="1"/>
    <col min="15" max="16384" width="11.42578125" style="207"/>
  </cols>
  <sheetData>
    <row r="1" spans="2:14" ht="15.75" customHeight="1">
      <c r="B1" s="416" t="s">
        <v>288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</row>
    <row r="2" spans="2:14"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</row>
    <row r="3" spans="2:14" ht="13.5" thickBot="1"/>
    <row r="4" spans="2:14" ht="15" customHeight="1">
      <c r="B4" s="419" t="s">
        <v>272</v>
      </c>
      <c r="C4" s="420"/>
      <c r="D4" s="420"/>
      <c r="E4" s="420"/>
      <c r="F4" s="420"/>
      <c r="G4" s="420"/>
      <c r="H4" s="420"/>
      <c r="I4" s="420"/>
      <c r="J4" s="420"/>
      <c r="K4" s="420"/>
      <c r="L4" s="420"/>
      <c r="M4" s="421"/>
    </row>
    <row r="5" spans="2:14" ht="16.5" customHeight="1" thickBot="1">
      <c r="B5" s="422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4"/>
    </row>
    <row r="6" spans="2:14" s="212" customFormat="1" ht="15.75" thickBot="1">
      <c r="B6" s="417" t="s">
        <v>65</v>
      </c>
      <c r="C6" s="213" t="s">
        <v>254</v>
      </c>
      <c r="D6" s="374" t="s">
        <v>255</v>
      </c>
      <c r="E6" s="213" t="s">
        <v>256</v>
      </c>
      <c r="F6" s="374" t="s">
        <v>257</v>
      </c>
      <c r="G6" s="213" t="s">
        <v>258</v>
      </c>
      <c r="H6" s="374" t="s">
        <v>259</v>
      </c>
      <c r="I6" s="213" t="s">
        <v>260</v>
      </c>
      <c r="J6" s="374" t="s">
        <v>261</v>
      </c>
      <c r="K6" s="213" t="s">
        <v>262</v>
      </c>
      <c r="L6" s="374" t="s">
        <v>263</v>
      </c>
      <c r="M6" s="213" t="s">
        <v>264</v>
      </c>
      <c r="N6" s="214" t="s">
        <v>265</v>
      </c>
    </row>
    <row r="7" spans="2:14" s="212" customFormat="1" ht="15.75" customHeight="1" thickBot="1">
      <c r="B7" s="418"/>
      <c r="C7" s="213">
        <v>0</v>
      </c>
      <c r="D7" s="215">
        <v>2010</v>
      </c>
      <c r="E7" s="216">
        <v>2011</v>
      </c>
      <c r="F7" s="215">
        <v>2012</v>
      </c>
      <c r="G7" s="216">
        <v>2013</v>
      </c>
      <c r="H7" s="215">
        <v>2014</v>
      </c>
      <c r="I7" s="216">
        <v>2015</v>
      </c>
      <c r="J7" s="215">
        <v>2016</v>
      </c>
      <c r="K7" s="216">
        <v>2017</v>
      </c>
      <c r="L7" s="215">
        <v>2018</v>
      </c>
      <c r="M7" s="216">
        <v>2019</v>
      </c>
      <c r="N7" s="217">
        <v>2020</v>
      </c>
    </row>
    <row r="8" spans="2:14" ht="15">
      <c r="B8" s="218" t="s">
        <v>243</v>
      </c>
      <c r="C8" s="228"/>
      <c r="D8" s="223">
        <f>Ingresos!C15</f>
        <v>486913.44240000006</v>
      </c>
      <c r="E8" s="224">
        <f>Ingresos!D15</f>
        <v>541801.86681600008</v>
      </c>
      <c r="F8" s="223">
        <f>Ingresos!E15</f>
        <v>552637.90415232012</v>
      </c>
      <c r="G8" s="224">
        <f>Ingresos!F15</f>
        <v>563690.66223536653</v>
      </c>
      <c r="H8" s="223">
        <f>Ingresos!G15</f>
        <v>574964.47548007383</v>
      </c>
      <c r="I8" s="224">
        <f>Ingresos!H15</f>
        <v>586463.76498967537</v>
      </c>
      <c r="J8" s="223">
        <f>Ingresos!I15</f>
        <v>598193.04028946895</v>
      </c>
      <c r="K8" s="224">
        <f>Ingresos!J15</f>
        <v>610156.9010952583</v>
      </c>
      <c r="L8" s="223">
        <f>Ingresos!K15</f>
        <v>622360.03911716351</v>
      </c>
      <c r="M8" s="224">
        <f>Ingresos!L15</f>
        <v>634807.23989950679</v>
      </c>
      <c r="N8" s="225">
        <f>Ingresos!M15</f>
        <v>647503.38469749689</v>
      </c>
    </row>
    <row r="9" spans="2:14" ht="15" customHeight="1">
      <c r="B9" s="219" t="s">
        <v>244</v>
      </c>
      <c r="C9" s="229"/>
      <c r="D9" s="226"/>
      <c r="E9" s="227"/>
      <c r="F9" s="226"/>
      <c r="G9" s="227"/>
      <c r="H9" s="226"/>
      <c r="I9" s="227">
        <f>Supuestos!C36</f>
        <v>14296</v>
      </c>
      <c r="J9" s="226"/>
      <c r="K9" s="227"/>
      <c r="L9" s="226"/>
      <c r="M9" s="227"/>
      <c r="N9" s="225">
        <f>SUM(Supuestos!C30:C36)</f>
        <v>100946.26136000002</v>
      </c>
    </row>
    <row r="10" spans="2:14" ht="15">
      <c r="B10" s="230" t="s">
        <v>245</v>
      </c>
      <c r="C10" s="231"/>
      <c r="D10" s="232">
        <f>SUM(D8:D9)</f>
        <v>486913.44240000006</v>
      </c>
      <c r="E10" s="233">
        <f t="shared" ref="E10:N10" si="0">SUM(E8:E9)</f>
        <v>541801.86681600008</v>
      </c>
      <c r="F10" s="232">
        <f t="shared" si="0"/>
        <v>552637.90415232012</v>
      </c>
      <c r="G10" s="233">
        <f t="shared" si="0"/>
        <v>563690.66223536653</v>
      </c>
      <c r="H10" s="232">
        <f t="shared" si="0"/>
        <v>574964.47548007383</v>
      </c>
      <c r="I10" s="233">
        <f t="shared" si="0"/>
        <v>600759.76498967537</v>
      </c>
      <c r="J10" s="232">
        <f t="shared" si="0"/>
        <v>598193.04028946895</v>
      </c>
      <c r="K10" s="233">
        <f t="shared" si="0"/>
        <v>610156.9010952583</v>
      </c>
      <c r="L10" s="232">
        <f t="shared" si="0"/>
        <v>622360.03911716351</v>
      </c>
      <c r="M10" s="233">
        <f t="shared" si="0"/>
        <v>634807.23989950679</v>
      </c>
      <c r="N10" s="225">
        <f t="shared" si="0"/>
        <v>748449.6460574969</v>
      </c>
    </row>
    <row r="11" spans="2:14" ht="15">
      <c r="B11" s="219" t="s">
        <v>165</v>
      </c>
      <c r="C11" s="229"/>
      <c r="D11" s="226">
        <f>E.Oper.1!D36</f>
        <v>355188.53463578876</v>
      </c>
      <c r="E11" s="227">
        <f>E.Oper.1!E36</f>
        <v>361053.53178850451</v>
      </c>
      <c r="F11" s="226">
        <f>E.Oper.1!F36</f>
        <v>367035.82888427464</v>
      </c>
      <c r="G11" s="227">
        <f>E.Oper.1!G36</f>
        <v>373137.77192196011</v>
      </c>
      <c r="H11" s="226">
        <f>E.Oper.1!H36</f>
        <v>379361.75382039929</v>
      </c>
      <c r="I11" s="227">
        <f>E.Oper.1!I36</f>
        <v>385710.21535680728</v>
      </c>
      <c r="J11" s="226">
        <f>E.Oper.1!J36</f>
        <v>392185.64612394344</v>
      </c>
      <c r="K11" s="227">
        <f>E.Oper.1!K36</f>
        <v>398790.58550642227</v>
      </c>
      <c r="L11" s="226">
        <f>E.Oper.1!L36</f>
        <v>405527.62367655075</v>
      </c>
      <c r="M11" s="227">
        <f>E.Oper.1!M36</f>
        <v>412399.40261008177</v>
      </c>
      <c r="N11" s="225">
        <f>E.Oper.1!P36</f>
        <v>419408.61712228338</v>
      </c>
    </row>
    <row r="12" spans="2:14" ht="15">
      <c r="B12" s="219" t="s">
        <v>246</v>
      </c>
      <c r="C12" s="229"/>
      <c r="D12" s="226">
        <f>-(Amort.!D6)</f>
        <v>55354.948499999999</v>
      </c>
      <c r="E12" s="227">
        <f>-Amort.!D7</f>
        <v>39413.998607991336</v>
      </c>
      <c r="F12" s="226">
        <f>-Amort.!D8</f>
        <v>21081.906232181387</v>
      </c>
      <c r="G12" s="227"/>
      <c r="H12" s="226"/>
      <c r="I12" s="227"/>
      <c r="J12" s="226"/>
      <c r="K12" s="227"/>
      <c r="L12" s="226"/>
      <c r="M12" s="227"/>
      <c r="N12" s="225"/>
    </row>
    <row r="13" spans="2:14" ht="15">
      <c r="B13" s="219" t="s">
        <v>266</v>
      </c>
      <c r="C13" s="229"/>
      <c r="D13" s="226">
        <f>Deprec.!B12</f>
        <v>0</v>
      </c>
      <c r="E13" s="227">
        <f>Deprec.!C12</f>
        <v>37781.314043999999</v>
      </c>
      <c r="F13" s="226">
        <f>Deprec.!D12</f>
        <v>37781.314043999999</v>
      </c>
      <c r="G13" s="227">
        <f>Deprec.!E12</f>
        <v>37781.314043999999</v>
      </c>
      <c r="H13" s="226">
        <f>Deprec.!F12</f>
        <v>37781.314043999999</v>
      </c>
      <c r="I13" s="227">
        <f>Deprec.!G12</f>
        <v>52077.314043999999</v>
      </c>
      <c r="J13" s="226">
        <f>Deprec.!H12</f>
        <v>37781.314043999999</v>
      </c>
      <c r="K13" s="227">
        <f>Deprec.!I12</f>
        <v>37781.314043999999</v>
      </c>
      <c r="L13" s="226">
        <f>Deprec.!J12</f>
        <v>37781.314043999999</v>
      </c>
      <c r="M13" s="227">
        <f>Deprec.!K12</f>
        <v>37781.314043999999</v>
      </c>
      <c r="N13" s="225">
        <f>Deprec.!L12</f>
        <v>37781.314043999999</v>
      </c>
    </row>
    <row r="14" spans="2:14" ht="15">
      <c r="B14" s="230" t="s">
        <v>51</v>
      </c>
      <c r="C14" s="231"/>
      <c r="D14" s="232">
        <f t="shared" ref="D14:N14" si="1">SUM(D11:D13)</f>
        <v>410543.48313578876</v>
      </c>
      <c r="E14" s="233">
        <f t="shared" si="1"/>
        <v>438248.84444049583</v>
      </c>
      <c r="F14" s="232">
        <f t="shared" si="1"/>
        <v>425899.04916045605</v>
      </c>
      <c r="G14" s="233">
        <f t="shared" si="1"/>
        <v>410919.08596596011</v>
      </c>
      <c r="H14" s="232">
        <f t="shared" si="1"/>
        <v>417143.06786439929</v>
      </c>
      <c r="I14" s="233">
        <f t="shared" si="1"/>
        <v>437787.52940080728</v>
      </c>
      <c r="J14" s="232">
        <f t="shared" si="1"/>
        <v>429966.96016794344</v>
      </c>
      <c r="K14" s="233">
        <f t="shared" si="1"/>
        <v>436571.89955042227</v>
      </c>
      <c r="L14" s="232">
        <f t="shared" si="1"/>
        <v>443308.93772055075</v>
      </c>
      <c r="M14" s="233">
        <f t="shared" si="1"/>
        <v>450180.71665408177</v>
      </c>
      <c r="N14" s="225">
        <f t="shared" si="1"/>
        <v>457189.93116628338</v>
      </c>
    </row>
    <row r="15" spans="2:14" ht="15">
      <c r="B15" s="219" t="s">
        <v>247</v>
      </c>
      <c r="C15" s="229"/>
      <c r="D15" s="226">
        <f t="shared" ref="D15:N15" si="2">D10-D14</f>
        <v>76369.959264211298</v>
      </c>
      <c r="E15" s="227">
        <f t="shared" si="2"/>
        <v>103553.02237550425</v>
      </c>
      <c r="F15" s="226">
        <f t="shared" si="2"/>
        <v>126738.85499186406</v>
      </c>
      <c r="G15" s="227">
        <f t="shared" si="2"/>
        <v>152771.57626940642</v>
      </c>
      <c r="H15" s="226">
        <f t="shared" si="2"/>
        <v>157821.40761567454</v>
      </c>
      <c r="I15" s="227">
        <f t="shared" si="2"/>
        <v>162972.23558886809</v>
      </c>
      <c r="J15" s="226">
        <f t="shared" si="2"/>
        <v>168226.08012152551</v>
      </c>
      <c r="K15" s="227">
        <f t="shared" si="2"/>
        <v>173585.00154483604</v>
      </c>
      <c r="L15" s="226">
        <f t="shared" si="2"/>
        <v>179051.10139661276</v>
      </c>
      <c r="M15" s="227">
        <f t="shared" si="2"/>
        <v>184626.52324542502</v>
      </c>
      <c r="N15" s="225">
        <f t="shared" si="2"/>
        <v>291259.71489121352</v>
      </c>
    </row>
    <row r="16" spans="2:14" ht="30">
      <c r="B16" s="219" t="s">
        <v>269</v>
      </c>
      <c r="C16" s="229"/>
      <c r="D16" s="226">
        <f>D15*Supuestos!$J$3</f>
        <v>11455.493889631694</v>
      </c>
      <c r="E16" s="227">
        <f>E15*Supuestos!$J$3</f>
        <v>15532.953356325637</v>
      </c>
      <c r="F16" s="226">
        <f>F15*Supuestos!$J$3</f>
        <v>19010.82824877961</v>
      </c>
      <c r="G16" s="227">
        <f>G15*Supuestos!$J$3</f>
        <v>22915.736440410961</v>
      </c>
      <c r="H16" s="226">
        <f>H15*Supuestos!$J$3</f>
        <v>23673.211142351181</v>
      </c>
      <c r="I16" s="227">
        <f>I15*Supuestos!$J$3</f>
        <v>24445.835338330213</v>
      </c>
      <c r="J16" s="226">
        <f>J15*Supuestos!$J$3</f>
        <v>25233.912018228824</v>
      </c>
      <c r="K16" s="227">
        <f>K15*Supuestos!$J$3</f>
        <v>26037.750231725404</v>
      </c>
      <c r="L16" s="226">
        <f>L15*Supuestos!$J$3</f>
        <v>26857.665209491915</v>
      </c>
      <c r="M16" s="227">
        <f>M15*Supuestos!$J$3</f>
        <v>27693.978486813754</v>
      </c>
      <c r="N16" s="225">
        <f>N15*Supuestos!$J$3</f>
        <v>43688.957233682027</v>
      </c>
    </row>
    <row r="17" spans="2:14" ht="15">
      <c r="B17" s="269" t="s">
        <v>248</v>
      </c>
      <c r="C17" s="229"/>
      <c r="D17" s="226">
        <f t="shared" ref="D17:N17" si="3">D15-D16</f>
        <v>64914.465374579602</v>
      </c>
      <c r="E17" s="227">
        <f t="shared" si="3"/>
        <v>88020.069019178613</v>
      </c>
      <c r="F17" s="226">
        <f t="shared" si="3"/>
        <v>107728.02674308445</v>
      </c>
      <c r="G17" s="227">
        <f t="shared" si="3"/>
        <v>129855.83982899546</v>
      </c>
      <c r="H17" s="226">
        <f t="shared" si="3"/>
        <v>134148.19647332336</v>
      </c>
      <c r="I17" s="227">
        <f t="shared" si="3"/>
        <v>138526.40025053787</v>
      </c>
      <c r="J17" s="226">
        <f t="shared" si="3"/>
        <v>142992.16810329669</v>
      </c>
      <c r="K17" s="227">
        <f t="shared" si="3"/>
        <v>147547.25131311064</v>
      </c>
      <c r="L17" s="226">
        <f t="shared" si="3"/>
        <v>152193.43618712085</v>
      </c>
      <c r="M17" s="227">
        <f t="shared" si="3"/>
        <v>156932.54475861127</v>
      </c>
      <c r="N17" s="225">
        <f t="shared" si="3"/>
        <v>247570.75765753147</v>
      </c>
    </row>
    <row r="18" spans="2:14" ht="15">
      <c r="B18" s="219" t="s">
        <v>268</v>
      </c>
      <c r="C18" s="229"/>
      <c r="D18" s="226">
        <f>D17*Supuestos!$J$2</f>
        <v>16228.616343644901</v>
      </c>
      <c r="E18" s="227">
        <f>E17*Supuestos!$J$2</f>
        <v>22005.017254794653</v>
      </c>
      <c r="F18" s="226">
        <f>F17*Supuestos!$J$2</f>
        <v>26932.006685771114</v>
      </c>
      <c r="G18" s="227">
        <f>G17*Supuestos!$J$2</f>
        <v>32463.959957248866</v>
      </c>
      <c r="H18" s="226">
        <f>H17*Supuestos!$J$2</f>
        <v>33537.04911833084</v>
      </c>
      <c r="I18" s="227">
        <f>I17*Supuestos!$J$2</f>
        <v>34631.600062634468</v>
      </c>
      <c r="J18" s="226">
        <f>J17*Supuestos!$J$2</f>
        <v>35748.042025824172</v>
      </c>
      <c r="K18" s="227">
        <f>K17*Supuestos!$J$2</f>
        <v>36886.81282827766</v>
      </c>
      <c r="L18" s="226">
        <f>L17*Supuestos!$J$2</f>
        <v>38048.359046780213</v>
      </c>
      <c r="M18" s="227">
        <f>M17*Supuestos!$J$2</f>
        <v>39233.136189652818</v>
      </c>
      <c r="N18" s="225">
        <f>N17*Supuestos!$J$2</f>
        <v>61892.689414382869</v>
      </c>
    </row>
    <row r="19" spans="2:14" ht="15">
      <c r="B19" s="219" t="s">
        <v>249</v>
      </c>
      <c r="C19" s="229"/>
      <c r="D19" s="226">
        <f>D17-D18</f>
        <v>48685.849030934703</v>
      </c>
      <c r="E19" s="227">
        <f t="shared" ref="E19:N19" si="4">E17-E18</f>
        <v>66015.051764383956</v>
      </c>
      <c r="F19" s="226">
        <f t="shared" si="4"/>
        <v>80796.020057313348</v>
      </c>
      <c r="G19" s="227">
        <f t="shared" si="4"/>
        <v>97391.879871746598</v>
      </c>
      <c r="H19" s="226">
        <f t="shared" si="4"/>
        <v>100611.14735499251</v>
      </c>
      <c r="I19" s="227">
        <f t="shared" si="4"/>
        <v>103894.8001879034</v>
      </c>
      <c r="J19" s="226">
        <f t="shared" si="4"/>
        <v>107244.12607747252</v>
      </c>
      <c r="K19" s="227">
        <f t="shared" si="4"/>
        <v>110660.43848483298</v>
      </c>
      <c r="L19" s="226">
        <f t="shared" si="4"/>
        <v>114145.07714034064</v>
      </c>
      <c r="M19" s="227">
        <f t="shared" si="4"/>
        <v>117699.40856895846</v>
      </c>
      <c r="N19" s="225">
        <f t="shared" si="4"/>
        <v>185678.06824314862</v>
      </c>
    </row>
    <row r="20" spans="2:14" ht="15">
      <c r="B20" s="219" t="s">
        <v>266</v>
      </c>
      <c r="C20" s="229"/>
      <c r="D20" s="226">
        <f>D13</f>
        <v>0</v>
      </c>
      <c r="E20" s="227">
        <f>E13</f>
        <v>37781.314043999999</v>
      </c>
      <c r="F20" s="227">
        <f t="shared" ref="F20:M20" si="5">F13</f>
        <v>37781.314043999999</v>
      </c>
      <c r="G20" s="227">
        <f t="shared" si="5"/>
        <v>37781.314043999999</v>
      </c>
      <c r="H20" s="227">
        <f t="shared" si="5"/>
        <v>37781.314043999999</v>
      </c>
      <c r="I20" s="227">
        <f t="shared" si="5"/>
        <v>52077.314043999999</v>
      </c>
      <c r="J20" s="227">
        <f t="shared" si="5"/>
        <v>37781.314043999999</v>
      </c>
      <c r="K20" s="227">
        <f t="shared" si="5"/>
        <v>37781.314043999999</v>
      </c>
      <c r="L20" s="227">
        <f t="shared" si="5"/>
        <v>37781.314043999999</v>
      </c>
      <c r="M20" s="227">
        <f t="shared" si="5"/>
        <v>37781.314043999999</v>
      </c>
      <c r="N20" s="225"/>
    </row>
    <row r="21" spans="2:14" ht="15">
      <c r="B21" s="219" t="s">
        <v>87</v>
      </c>
      <c r="C21" s="229"/>
      <c r="D21" s="226">
        <f>Amort.!E6</f>
        <v>-106272.9992800577</v>
      </c>
      <c r="E21" s="227">
        <f>Amort.!E7</f>
        <v>-122213.94917206636</v>
      </c>
      <c r="F21" s="226">
        <f>Amort.!E8</f>
        <v>-140546.04154787632</v>
      </c>
      <c r="G21" s="227"/>
      <c r="H21" s="226"/>
      <c r="I21" s="227"/>
      <c r="J21" s="226"/>
      <c r="K21" s="227"/>
      <c r="L21" s="226"/>
      <c r="M21" s="227"/>
      <c r="N21" s="225"/>
    </row>
    <row r="22" spans="2:14" ht="15">
      <c r="B22" s="219" t="s">
        <v>270</v>
      </c>
      <c r="C22" s="222">
        <f>-Inv.!C19</f>
        <v>-442538.04680000001</v>
      </c>
      <c r="D22" s="226"/>
      <c r="E22" s="227"/>
      <c r="F22" s="226"/>
      <c r="G22" s="227"/>
      <c r="H22" s="226"/>
      <c r="I22" s="227"/>
      <c r="J22" s="226"/>
      <c r="K22" s="227"/>
      <c r="L22" s="226"/>
      <c r="M22" s="227"/>
      <c r="N22" s="225"/>
    </row>
    <row r="23" spans="2:14" ht="15">
      <c r="B23" s="219" t="s">
        <v>250</v>
      </c>
      <c r="C23" s="222">
        <f>CdT!C13</f>
        <v>-29599.044552982396</v>
      </c>
      <c r="D23" s="226"/>
      <c r="E23" s="227"/>
      <c r="F23" s="226"/>
      <c r="G23" s="227"/>
      <c r="H23" s="226"/>
      <c r="I23" s="227"/>
      <c r="J23" s="226"/>
      <c r="K23" s="227"/>
      <c r="L23" s="226"/>
      <c r="M23" s="227"/>
      <c r="N23" s="225"/>
    </row>
    <row r="24" spans="2:14" ht="15.75" thickBot="1">
      <c r="B24" s="234" t="s">
        <v>271</v>
      </c>
      <c r="C24" s="235">
        <f>Inv.!H13</f>
        <v>369032.99</v>
      </c>
      <c r="D24" s="236"/>
      <c r="E24" s="237"/>
      <c r="F24" s="236"/>
      <c r="G24" s="237"/>
      <c r="H24" s="236"/>
      <c r="I24" s="237"/>
      <c r="J24" s="236"/>
      <c r="K24" s="237"/>
      <c r="L24" s="236"/>
      <c r="M24" s="237"/>
      <c r="N24" s="225"/>
    </row>
    <row r="25" spans="2:14" ht="15" customHeight="1" thickBot="1">
      <c r="B25" s="238" t="s">
        <v>251</v>
      </c>
      <c r="C25" s="239">
        <f>SUM(C22:C24)</f>
        <v>-103104.1013529824</v>
      </c>
      <c r="D25" s="241">
        <f>SUM(D19:D24)</f>
        <v>-57587.150249122999</v>
      </c>
      <c r="E25" s="240">
        <f t="shared" ref="E25:M25" si="6">SUM(E19:E24)</f>
        <v>-18417.58336368241</v>
      </c>
      <c r="F25" s="241">
        <f t="shared" si="6"/>
        <v>-21968.70744656297</v>
      </c>
      <c r="G25" s="240">
        <f t="shared" si="6"/>
        <v>135173.19391574658</v>
      </c>
      <c r="H25" s="241">
        <f t="shared" si="6"/>
        <v>138392.46139899251</v>
      </c>
      <c r="I25" s="240">
        <f t="shared" si="6"/>
        <v>155972.1142319034</v>
      </c>
      <c r="J25" s="241">
        <f t="shared" si="6"/>
        <v>145025.44012147252</v>
      </c>
      <c r="K25" s="240">
        <f t="shared" si="6"/>
        <v>148441.75252883299</v>
      </c>
      <c r="L25" s="241">
        <f t="shared" si="6"/>
        <v>151926.39118434064</v>
      </c>
      <c r="M25" s="383">
        <f t="shared" si="6"/>
        <v>155480.72261295846</v>
      </c>
      <c r="N25" s="225">
        <f t="shared" ref="N25" si="7">SUM(N19:N23)</f>
        <v>185678.06824314862</v>
      </c>
    </row>
    <row r="26" spans="2:14" ht="15.75" thickBot="1">
      <c r="B26" s="220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21"/>
    </row>
    <row r="27" spans="2:14" ht="15.75" thickBot="1">
      <c r="B27" s="354" t="s">
        <v>252</v>
      </c>
      <c r="C27" s="346">
        <f>NPV(Supuestos!J1,'FdC Inv'!C25:N25)</f>
        <v>159714.32813799716</v>
      </c>
      <c r="D27" s="209"/>
      <c r="E27" s="208"/>
      <c r="F27" s="208"/>
      <c r="G27" s="208"/>
      <c r="H27" s="208"/>
      <c r="I27" s="208"/>
      <c r="J27" s="208"/>
      <c r="K27" s="208"/>
      <c r="L27" s="208"/>
      <c r="M27" s="208"/>
      <c r="N27" s="221"/>
    </row>
    <row r="28" spans="2:14" ht="16.5" thickBot="1">
      <c r="B28" s="349" t="s">
        <v>253</v>
      </c>
      <c r="C28" s="345">
        <f>IRR(C25:N25)</f>
        <v>0.33287032777463971</v>
      </c>
      <c r="D28" s="209"/>
      <c r="E28" s="208"/>
      <c r="F28" s="208"/>
      <c r="G28" s="208"/>
      <c r="H28" s="208"/>
      <c r="I28" s="208"/>
      <c r="J28" s="208"/>
      <c r="K28" s="208"/>
      <c r="L28" s="208"/>
      <c r="M28" s="347">
        <v>127</v>
      </c>
      <c r="N28" s="208"/>
    </row>
    <row r="29" spans="2:14" ht="15">
      <c r="B29" s="220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</row>
    <row r="32" spans="2:14" ht="15.75" customHeight="1">
      <c r="B32" s="416" t="s">
        <v>290</v>
      </c>
      <c r="C32" s="416"/>
      <c r="D32" s="416"/>
      <c r="E32" s="416"/>
      <c r="F32" s="416"/>
      <c r="G32" s="416"/>
      <c r="H32" s="416"/>
      <c r="I32" s="416"/>
      <c r="J32" s="416"/>
      <c r="K32" s="416"/>
      <c r="L32" s="416"/>
      <c r="M32" s="416"/>
    </row>
    <row r="33" spans="2:14">
      <c r="B33" s="416"/>
      <c r="C33" s="416"/>
      <c r="D33" s="416"/>
      <c r="E33" s="416"/>
      <c r="F33" s="416"/>
      <c r="G33" s="416"/>
      <c r="H33" s="416"/>
      <c r="I33" s="416"/>
      <c r="J33" s="416"/>
      <c r="K33" s="416"/>
      <c r="L33" s="416"/>
      <c r="M33" s="416"/>
    </row>
    <row r="36" spans="2:14" ht="15">
      <c r="B36" s="302" t="s">
        <v>278</v>
      </c>
      <c r="C36" s="303">
        <f>Supuestos!J1</f>
        <v>0.18003</v>
      </c>
      <c r="D36" s="208"/>
      <c r="E36" s="208"/>
      <c r="F36" s="208"/>
      <c r="G36" s="208"/>
      <c r="H36" s="208"/>
      <c r="I36" s="208"/>
      <c r="J36" s="208"/>
      <c r="K36" s="208"/>
      <c r="L36" s="208"/>
      <c r="M36" s="208"/>
    </row>
    <row r="37" spans="2:14" ht="15.75">
      <c r="B37" s="220"/>
      <c r="C37" s="208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135"/>
    </row>
    <row r="38" spans="2:14" ht="15.75">
      <c r="D38" s="208"/>
      <c r="E38" s="208"/>
      <c r="F38" s="208"/>
      <c r="G38" s="208"/>
      <c r="H38" s="208"/>
      <c r="I38" s="208"/>
      <c r="J38" s="208"/>
      <c r="K38" s="208"/>
      <c r="L38" s="208"/>
      <c r="M38" s="208"/>
      <c r="N38" s="135"/>
    </row>
    <row r="39" spans="2:14" ht="16.5" thickBot="1">
      <c r="B39" s="220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135"/>
    </row>
    <row r="40" spans="2:14" ht="15.75">
      <c r="B40" s="220"/>
      <c r="C40" s="409" t="s">
        <v>282</v>
      </c>
      <c r="D40" s="410"/>
      <c r="E40" s="410"/>
      <c r="F40" s="410"/>
      <c r="G40" s="410"/>
      <c r="H40" s="410"/>
      <c r="I40" s="410"/>
      <c r="J40" s="410"/>
      <c r="K40" s="410"/>
      <c r="L40" s="410"/>
      <c r="M40" s="411"/>
      <c r="N40" s="135"/>
    </row>
    <row r="41" spans="2:14" ht="16.5" thickBot="1">
      <c r="B41" s="220"/>
      <c r="C41" s="412"/>
      <c r="D41" s="413"/>
      <c r="E41" s="413"/>
      <c r="F41" s="413"/>
      <c r="G41" s="413"/>
      <c r="H41" s="413"/>
      <c r="I41" s="413"/>
      <c r="J41" s="413"/>
      <c r="K41" s="413"/>
      <c r="L41" s="413"/>
      <c r="M41" s="414"/>
      <c r="N41" s="135"/>
    </row>
    <row r="42" spans="2:14" ht="16.5" thickBot="1">
      <c r="B42" s="220"/>
      <c r="C42" s="387">
        <v>0</v>
      </c>
      <c r="D42" s="388">
        <v>1</v>
      </c>
      <c r="E42" s="388">
        <v>2</v>
      </c>
      <c r="F42" s="388">
        <v>3</v>
      </c>
      <c r="G42" s="388">
        <v>4</v>
      </c>
      <c r="H42" s="388">
        <v>5</v>
      </c>
      <c r="I42" s="388">
        <v>6</v>
      </c>
      <c r="J42" s="388">
        <v>7</v>
      </c>
      <c r="K42" s="388">
        <v>8</v>
      </c>
      <c r="L42" s="388">
        <v>9</v>
      </c>
      <c r="M42" s="389">
        <v>10</v>
      </c>
      <c r="N42" s="135"/>
    </row>
    <row r="43" spans="2:14" ht="30" customHeight="1">
      <c r="B43" s="297" t="s">
        <v>279</v>
      </c>
      <c r="C43" s="384">
        <f>+C25</f>
        <v>-103104.1013529824</v>
      </c>
      <c r="D43" s="385">
        <f t="shared" ref="D43:M43" si="8">+D25</f>
        <v>-57587.150249122999</v>
      </c>
      <c r="E43" s="385">
        <f t="shared" si="8"/>
        <v>-18417.58336368241</v>
      </c>
      <c r="F43" s="385">
        <f t="shared" si="8"/>
        <v>-21968.70744656297</v>
      </c>
      <c r="G43" s="385">
        <f t="shared" si="8"/>
        <v>135173.19391574658</v>
      </c>
      <c r="H43" s="385">
        <f t="shared" si="8"/>
        <v>138392.46139899251</v>
      </c>
      <c r="I43" s="385">
        <f t="shared" si="8"/>
        <v>155972.1142319034</v>
      </c>
      <c r="J43" s="385">
        <f t="shared" si="8"/>
        <v>145025.44012147252</v>
      </c>
      <c r="K43" s="385">
        <f t="shared" si="8"/>
        <v>148441.75252883299</v>
      </c>
      <c r="L43" s="385">
        <f t="shared" si="8"/>
        <v>151926.39118434064</v>
      </c>
      <c r="M43" s="386">
        <f t="shared" si="8"/>
        <v>155480.72261295846</v>
      </c>
      <c r="N43" s="135"/>
    </row>
    <row r="44" spans="2:14" ht="30" customHeight="1">
      <c r="B44" s="258" t="s">
        <v>280</v>
      </c>
      <c r="C44" s="295">
        <f>C43</f>
        <v>-103104.1013529824</v>
      </c>
      <c r="D44" s="291">
        <f t="shared" ref="D44:M44" si="9">D43/(1+$C$36)^1</f>
        <v>-48801.428988350301</v>
      </c>
      <c r="E44" s="291">
        <f t="shared" si="9"/>
        <v>-15607.724688086244</v>
      </c>
      <c r="F44" s="291">
        <f t="shared" si="9"/>
        <v>-18617.075368052483</v>
      </c>
      <c r="G44" s="291">
        <f t="shared" si="9"/>
        <v>114550.64186143284</v>
      </c>
      <c r="H44" s="291">
        <f t="shared" si="9"/>
        <v>117278.76528477456</v>
      </c>
      <c r="I44" s="291">
        <f t="shared" si="9"/>
        <v>132176.39740676375</v>
      </c>
      <c r="J44" s="291">
        <f t="shared" si="9"/>
        <v>122899.79078622792</v>
      </c>
      <c r="K44" s="291">
        <f t="shared" si="9"/>
        <v>125794.89718806556</v>
      </c>
      <c r="L44" s="291">
        <f t="shared" si="9"/>
        <v>128747.90571793992</v>
      </c>
      <c r="M44" s="292">
        <f t="shared" si="9"/>
        <v>131759.97441841179</v>
      </c>
      <c r="N44" s="135"/>
    </row>
    <row r="45" spans="2:14" ht="30.75" thickBot="1">
      <c r="B45" s="298" t="s">
        <v>281</v>
      </c>
      <c r="C45" s="296">
        <f>C43</f>
        <v>-103104.1013529824</v>
      </c>
      <c r="D45" s="339">
        <f>C45+D44</f>
        <v>-151905.53034133269</v>
      </c>
      <c r="E45" s="339">
        <f t="shared" ref="E45:M45" si="10">D45+E44</f>
        <v>-167513.25502941894</v>
      </c>
      <c r="F45" s="339">
        <f t="shared" si="10"/>
        <v>-186130.33039747144</v>
      </c>
      <c r="G45" s="340">
        <f t="shared" si="10"/>
        <v>-71579.688536038593</v>
      </c>
      <c r="H45" s="340">
        <f t="shared" si="10"/>
        <v>45699.07674873597</v>
      </c>
      <c r="I45" s="293">
        <f t="shared" si="10"/>
        <v>177875.47415549972</v>
      </c>
      <c r="J45" s="293">
        <f t="shared" si="10"/>
        <v>300775.26494172763</v>
      </c>
      <c r="K45" s="293">
        <f t="shared" si="10"/>
        <v>426570.1621297932</v>
      </c>
      <c r="L45" s="293">
        <f t="shared" si="10"/>
        <v>555318.06784773315</v>
      </c>
      <c r="M45" s="294">
        <f t="shared" si="10"/>
        <v>687078.04226614488</v>
      </c>
      <c r="N45" s="135"/>
    </row>
    <row r="46" spans="2:14" ht="15.75">
      <c r="B46" s="299"/>
      <c r="C46" s="225"/>
      <c r="D46" s="300"/>
      <c r="E46" s="225"/>
      <c r="F46" s="225"/>
      <c r="G46" s="225"/>
      <c r="H46" s="225"/>
      <c r="I46" s="225"/>
      <c r="J46" s="225"/>
      <c r="K46" s="225"/>
      <c r="L46" s="225"/>
      <c r="M46" s="225"/>
      <c r="N46" s="135"/>
    </row>
    <row r="47" spans="2:14" ht="16.5" thickBot="1">
      <c r="B47" s="299"/>
      <c r="C47" s="225"/>
      <c r="D47" s="300"/>
      <c r="E47" s="225"/>
      <c r="F47" s="225"/>
      <c r="G47" s="225"/>
      <c r="H47" s="225"/>
      <c r="I47" s="225"/>
      <c r="J47" s="225"/>
      <c r="K47" s="225"/>
      <c r="L47" s="225"/>
      <c r="M47" s="225"/>
      <c r="N47" s="135"/>
    </row>
    <row r="48" spans="2:14" ht="16.5" thickBot="1">
      <c r="B48" s="299"/>
      <c r="F48" s="342" t="s">
        <v>291</v>
      </c>
      <c r="G48" s="341">
        <f>5+(H45/-G45)</f>
        <v>5.6384363732698786</v>
      </c>
      <c r="H48" s="398" t="s">
        <v>292</v>
      </c>
      <c r="I48" s="225"/>
      <c r="J48" s="225"/>
      <c r="K48" s="225"/>
      <c r="L48" s="225"/>
      <c r="N48" s="135"/>
    </row>
    <row r="49" spans="2:14" ht="15.75">
      <c r="B49" s="220"/>
      <c r="C49" s="301"/>
      <c r="D49" s="302"/>
      <c r="E49" s="209"/>
      <c r="F49" s="208"/>
      <c r="G49" s="208"/>
      <c r="H49" s="208"/>
      <c r="I49" s="208"/>
      <c r="J49" s="208"/>
      <c r="K49" s="208"/>
      <c r="L49" s="208"/>
      <c r="M49" s="208"/>
      <c r="N49" s="135"/>
    </row>
    <row r="50" spans="2:14" ht="15.75">
      <c r="B50" s="220"/>
      <c r="C50" s="208"/>
      <c r="D50" s="208"/>
      <c r="E50" s="208"/>
      <c r="F50" s="208"/>
      <c r="G50" s="208"/>
      <c r="H50" s="208"/>
      <c r="I50" s="208"/>
      <c r="J50" s="208"/>
      <c r="K50" s="208"/>
      <c r="L50" s="208"/>
      <c r="M50" s="208"/>
      <c r="N50" s="135"/>
    </row>
    <row r="51" spans="2:14" ht="15.75">
      <c r="B51" s="220"/>
      <c r="C51" s="208"/>
      <c r="D51" s="208"/>
      <c r="E51" s="208"/>
      <c r="F51" s="208"/>
      <c r="G51" s="208"/>
      <c r="H51" s="208"/>
      <c r="I51" s="208"/>
      <c r="J51" s="208"/>
      <c r="K51" s="208"/>
      <c r="L51" s="208"/>
      <c r="N51" s="135"/>
    </row>
    <row r="52" spans="2:14" ht="15.75">
      <c r="B52" s="220"/>
      <c r="C52" s="208"/>
      <c r="D52" s="208"/>
      <c r="E52" s="208"/>
      <c r="F52" s="208"/>
      <c r="G52" s="208"/>
      <c r="H52" s="208"/>
      <c r="I52" s="208"/>
      <c r="J52" s="208"/>
      <c r="K52" s="208"/>
      <c r="L52" s="208"/>
      <c r="M52" s="376">
        <v>129</v>
      </c>
      <c r="N52" s="135"/>
    </row>
    <row r="53" spans="2:14" ht="15.75">
      <c r="B53" s="220"/>
      <c r="C53" s="208"/>
      <c r="D53" s="208"/>
      <c r="E53" s="208"/>
      <c r="F53" s="208"/>
      <c r="G53" s="208"/>
      <c r="H53" s="208"/>
      <c r="I53" s="208"/>
      <c r="J53" s="208"/>
      <c r="K53" s="208"/>
      <c r="L53" s="208"/>
      <c r="M53" s="208"/>
      <c r="N53" s="135"/>
    </row>
    <row r="54" spans="2:14" ht="15.75">
      <c r="B54" s="290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</sheetData>
  <mergeCells count="5">
    <mergeCell ref="B6:B7"/>
    <mergeCell ref="B4:M5"/>
    <mergeCell ref="C40:M41"/>
    <mergeCell ref="B1:M2"/>
    <mergeCell ref="B32:M33"/>
  </mergeCells>
  <phoneticPr fontId="19" type="noConversion"/>
  <pageMargins left="0.23622047244094488" right="0.23622047244094488" top="1.5748031496062993" bottom="0.74803149606299213" header="0.31496062992125984" footer="0.31496062992125984"/>
  <pageSetup paperSize="9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O20"/>
  <sheetViews>
    <sheetView zoomScalePageLayoutView="120" workbookViewId="0">
      <selection activeCell="M20" sqref="M20"/>
    </sheetView>
  </sheetViews>
  <sheetFormatPr baseColWidth="10" defaultRowHeight="15"/>
  <cols>
    <col min="1" max="1" width="4.140625" style="330" customWidth="1"/>
    <col min="2" max="2" width="17.5703125" style="65" customWidth="1"/>
    <col min="3" max="13" width="10.5703125" bestFit="1" customWidth="1"/>
    <col min="14" max="15" width="9.42578125" bestFit="1" customWidth="1"/>
  </cols>
  <sheetData>
    <row r="1" spans="2:15" s="330" customFormat="1">
      <c r="B1" s="65"/>
    </row>
    <row r="2" spans="2:15" s="330" customFormat="1">
      <c r="B2" s="65"/>
    </row>
    <row r="4" spans="2:15">
      <c r="B4" s="416" t="s">
        <v>285</v>
      </c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</row>
    <row r="5" spans="2:15">
      <c r="B5" s="416"/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</row>
    <row r="6" spans="2:15">
      <c r="B6" s="125"/>
    </row>
    <row r="7" spans="2:15">
      <c r="B7" s="125"/>
    </row>
    <row r="9" spans="2:15">
      <c r="B9" s="425" t="s">
        <v>97</v>
      </c>
      <c r="C9" s="425"/>
      <c r="D9" s="425"/>
      <c r="E9" s="425"/>
      <c r="F9" s="425"/>
      <c r="G9" s="425"/>
      <c r="H9" s="425"/>
      <c r="I9" s="425"/>
      <c r="J9" s="425"/>
      <c r="K9" s="425"/>
      <c r="L9" s="425"/>
      <c r="M9" s="425"/>
    </row>
    <row r="10" spans="2:15">
      <c r="B10" s="425"/>
      <c r="C10" s="425"/>
      <c r="D10" s="425"/>
      <c r="E10" s="425"/>
      <c r="F10" s="425"/>
      <c r="G10" s="425"/>
      <c r="H10" s="425"/>
      <c r="I10" s="425"/>
      <c r="J10" s="425"/>
      <c r="K10" s="425"/>
      <c r="L10" s="425"/>
      <c r="M10" s="425"/>
    </row>
    <row r="11" spans="2:15" ht="15.75" thickBot="1">
      <c r="B11" s="220"/>
      <c r="C11" s="208"/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</row>
    <row r="12" spans="2:15" ht="23.25" customHeight="1" thickBot="1">
      <c r="B12" s="304"/>
      <c r="C12" s="305">
        <v>2010</v>
      </c>
      <c r="D12" s="306">
        <v>2011</v>
      </c>
      <c r="E12" s="306">
        <v>2012</v>
      </c>
      <c r="F12" s="306">
        <v>2013</v>
      </c>
      <c r="G12" s="306">
        <v>2014</v>
      </c>
      <c r="H12" s="306">
        <v>2015</v>
      </c>
      <c r="I12" s="307">
        <v>2016</v>
      </c>
      <c r="J12" s="307">
        <v>2017</v>
      </c>
      <c r="K12" s="306">
        <v>2018</v>
      </c>
      <c r="L12" s="306">
        <v>2019</v>
      </c>
      <c r="M12" s="308">
        <v>2020</v>
      </c>
      <c r="N12" s="309"/>
      <c r="O12" s="309"/>
    </row>
    <row r="13" spans="2:15" ht="45">
      <c r="B13" s="323" t="s">
        <v>95</v>
      </c>
      <c r="C13" s="310">
        <v>1062356.6016000002</v>
      </c>
      <c r="D13" s="311">
        <v>1083603.7336320002</v>
      </c>
      <c r="E13" s="311">
        <v>1105275.8083046402</v>
      </c>
      <c r="F13" s="311">
        <v>1127381.3244707331</v>
      </c>
      <c r="G13" s="311">
        <v>1149928.9509601477</v>
      </c>
      <c r="H13" s="311">
        <v>1172927.5299793507</v>
      </c>
      <c r="I13" s="312">
        <v>1196386.0805789379</v>
      </c>
      <c r="J13" s="312">
        <v>1220313.8021905166</v>
      </c>
      <c r="K13" s="311">
        <v>1244720.078234327</v>
      </c>
      <c r="L13" s="311">
        <v>1269614.4797990136</v>
      </c>
      <c r="M13" s="313">
        <v>1295006.7693949938</v>
      </c>
      <c r="N13" s="309"/>
      <c r="O13" s="309"/>
    </row>
    <row r="14" spans="2:15" ht="39" customHeight="1">
      <c r="B14" s="321" t="s">
        <v>93</v>
      </c>
      <c r="C14" s="314">
        <v>0.5</v>
      </c>
      <c r="D14" s="315">
        <v>0.5</v>
      </c>
      <c r="E14" s="315">
        <v>0.5</v>
      </c>
      <c r="F14" s="315">
        <v>0.5</v>
      </c>
      <c r="G14" s="315">
        <v>0.5</v>
      </c>
      <c r="H14" s="315">
        <v>0.5</v>
      </c>
      <c r="I14" s="315">
        <v>0.5</v>
      </c>
      <c r="J14" s="315">
        <v>0.5</v>
      </c>
      <c r="K14" s="315">
        <v>0.5</v>
      </c>
      <c r="L14" s="315">
        <v>0.5</v>
      </c>
      <c r="M14" s="316">
        <v>0.5</v>
      </c>
      <c r="N14" s="309"/>
      <c r="O14" s="309"/>
    </row>
    <row r="15" spans="2:15" ht="39" customHeight="1" thickBot="1">
      <c r="B15" s="322" t="s">
        <v>94</v>
      </c>
      <c r="C15" s="317">
        <f>(Prod.!D19*Supuestos!D26)-(Prod.!D19*Supuestos!D26/Supuestos!J8)</f>
        <v>486913.44240000006</v>
      </c>
      <c r="D15" s="318">
        <f>Prod.!E19*Supuestos!$D$26</f>
        <v>541801.86681600008</v>
      </c>
      <c r="E15" s="318">
        <f>Prod.!F19*Supuestos!$D$26</f>
        <v>552637.90415232012</v>
      </c>
      <c r="F15" s="318">
        <f>Prod.!G19*Supuestos!$D$26</f>
        <v>563690.66223536653</v>
      </c>
      <c r="G15" s="318">
        <f>Prod.!H19*Supuestos!$D$26</f>
        <v>574964.47548007383</v>
      </c>
      <c r="H15" s="318">
        <f>Prod.!I19*Supuestos!$D$26</f>
        <v>586463.76498967537</v>
      </c>
      <c r="I15" s="318">
        <f>Prod.!J19*Supuestos!$D$26</f>
        <v>598193.04028946895</v>
      </c>
      <c r="J15" s="318">
        <f>Prod.!K19*Supuestos!$D$26</f>
        <v>610156.9010952583</v>
      </c>
      <c r="K15" s="318">
        <f>Prod.!L19*Supuestos!$D$26</f>
        <v>622360.03911716351</v>
      </c>
      <c r="L15" s="318">
        <f>Prod.!M19*Supuestos!$D$26</f>
        <v>634807.23989950679</v>
      </c>
      <c r="M15" s="319">
        <f>Prod.!N19*Supuestos!$D$26</f>
        <v>647503.38469749689</v>
      </c>
      <c r="N15" s="320">
        <f>Prod.!O19*Supuestos!$D$26</f>
        <v>660453.4523914468</v>
      </c>
      <c r="O15" s="320">
        <f>Prod.!P19*Supuestos!$D$26</f>
        <v>673662.5214392757</v>
      </c>
    </row>
    <row r="16" spans="2:15" s="128" customFormat="1"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</row>
    <row r="17" spans="2:15" s="128" customFormat="1">
      <c r="B17" s="126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</row>
    <row r="20" spans="2:15" ht="15.75">
      <c r="M20" s="347">
        <v>124</v>
      </c>
    </row>
  </sheetData>
  <mergeCells count="2">
    <mergeCell ref="B9:M10"/>
    <mergeCell ref="B4:M5"/>
  </mergeCells>
  <phoneticPr fontId="19" type="noConversion"/>
  <pageMargins left="0.23622047244094488" right="0.23622047244094488" top="1.5748031496062993" bottom="0.74803149606299213" header="0.31496062992125984" footer="0.31496062992125984"/>
  <pageSetup paperSize="9" orientation="landscape" horizontalDpi="300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P116"/>
  <sheetViews>
    <sheetView workbookViewId="0">
      <selection activeCell="C9" sqref="C9"/>
    </sheetView>
  </sheetViews>
  <sheetFormatPr baseColWidth="10" defaultRowHeight="15"/>
  <cols>
    <col min="1" max="1" width="6.7109375" style="330" customWidth="1"/>
    <col min="2" max="2" width="5.140625" customWidth="1"/>
    <col min="3" max="3" width="28.42578125" bestFit="1" customWidth="1"/>
    <col min="4" max="13" width="9.5703125" bestFit="1" customWidth="1"/>
    <col min="16" max="16" width="9.5703125" bestFit="1" customWidth="1"/>
  </cols>
  <sheetData>
    <row r="1" spans="2:16" ht="15.75" customHeight="1" thickBot="1">
      <c r="B1" s="426" t="s">
        <v>286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375">
        <v>125</v>
      </c>
    </row>
    <row r="2" spans="2:16" ht="15.75" customHeight="1" thickBot="1">
      <c r="B2" s="435" t="s">
        <v>293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7"/>
      <c r="P2" s="135"/>
    </row>
    <row r="3" spans="2:16" s="358" customFormat="1" ht="12" customHeight="1" thickBot="1">
      <c r="B3" s="438" t="s">
        <v>294</v>
      </c>
      <c r="C3" s="439"/>
      <c r="D3" s="355">
        <v>2010</v>
      </c>
      <c r="E3" s="356">
        <v>2011</v>
      </c>
      <c r="F3" s="356">
        <v>2012</v>
      </c>
      <c r="G3" s="356">
        <v>2013</v>
      </c>
      <c r="H3" s="356">
        <v>2014</v>
      </c>
      <c r="I3" s="356">
        <v>2015</v>
      </c>
      <c r="J3" s="356">
        <v>2016</v>
      </c>
      <c r="K3" s="356">
        <v>2017</v>
      </c>
      <c r="L3" s="356">
        <v>2018</v>
      </c>
      <c r="M3" s="357">
        <v>2019</v>
      </c>
      <c r="O3" s="359"/>
      <c r="P3" s="214">
        <v>2020</v>
      </c>
    </row>
    <row r="4" spans="2:16" s="358" customFormat="1" ht="12" customHeight="1">
      <c r="B4" s="427" t="s">
        <v>273</v>
      </c>
      <c r="C4" s="446" t="s">
        <v>6</v>
      </c>
      <c r="D4" s="447"/>
      <c r="E4" s="447"/>
      <c r="F4" s="447"/>
      <c r="G4" s="447"/>
      <c r="H4" s="447"/>
      <c r="I4" s="447"/>
      <c r="J4" s="447"/>
      <c r="K4" s="447"/>
      <c r="L4" s="447"/>
      <c r="M4" s="448"/>
      <c r="O4" s="359"/>
      <c r="P4" s="360"/>
    </row>
    <row r="5" spans="2:16" s="358" customFormat="1" ht="12" customHeight="1">
      <c r="B5" s="428"/>
      <c r="C5" s="361" t="s">
        <v>143</v>
      </c>
      <c r="D5" s="362">
        <f>((Supuestos!G18/Supuestos!J6)*Supuestos!J7)</f>
        <v>3255.3504000000003</v>
      </c>
      <c r="E5" s="362">
        <f>D5+(D5*Supuestos!$J$30)</f>
        <v>3320.4574080000002</v>
      </c>
      <c r="F5" s="362">
        <f>E5+(E5*Supuestos!$J$30)</f>
        <v>3386.8665561600001</v>
      </c>
      <c r="G5" s="362">
        <f>F5+(F5*Supuestos!$J$30)</f>
        <v>3454.6038872832</v>
      </c>
      <c r="H5" s="362">
        <f>G5+(G5*Supuestos!$J$30)</f>
        <v>3523.6959650288641</v>
      </c>
      <c r="I5" s="362">
        <f>H5+(H5*Supuestos!$J$30)</f>
        <v>3594.1698843294412</v>
      </c>
      <c r="J5" s="362">
        <f>I5+(I5*Supuestos!$J$30)</f>
        <v>3666.0532820160302</v>
      </c>
      <c r="K5" s="362">
        <f>J5+(J5*Supuestos!$J$30)</f>
        <v>3739.3743476563509</v>
      </c>
      <c r="L5" s="362">
        <f>K5+(K5*Supuestos!$J$30)</f>
        <v>3814.1618346094779</v>
      </c>
      <c r="M5" s="363">
        <f>L5+(L5*Supuestos!$J$30)</f>
        <v>3890.4450713016672</v>
      </c>
      <c r="O5" s="359"/>
      <c r="P5" s="320">
        <f>M5+(M5*Supuestos!$J$30)</f>
        <v>3968.2539727277008</v>
      </c>
    </row>
    <row r="6" spans="2:16" s="358" customFormat="1" ht="12" customHeight="1">
      <c r="B6" s="428"/>
      <c r="C6" s="361" t="s">
        <v>144</v>
      </c>
      <c r="D6" s="362">
        <f>Supuestos!G21</f>
        <v>1728</v>
      </c>
      <c r="E6" s="362">
        <f>D6+(D6*Supuestos!$J$30)</f>
        <v>1762.56</v>
      </c>
      <c r="F6" s="362">
        <f>E6+(E6*Supuestos!$J$30)</f>
        <v>1797.8111999999999</v>
      </c>
      <c r="G6" s="362">
        <f>F6+(F6*Supuestos!$J$30)</f>
        <v>1833.7674239999999</v>
      </c>
      <c r="H6" s="362">
        <f>G6+(G6*Supuestos!$J$30)</f>
        <v>1870.4427724799998</v>
      </c>
      <c r="I6" s="362">
        <f>H6+(H6*Supuestos!$J$30)</f>
        <v>1907.8516279295998</v>
      </c>
      <c r="J6" s="362">
        <f>I6+(I6*Supuestos!$J$30)</f>
        <v>1946.0086604881917</v>
      </c>
      <c r="K6" s="362">
        <f>J6+(J6*Supuestos!$J$30)</f>
        <v>1984.9288336979555</v>
      </c>
      <c r="L6" s="362">
        <f>K6+(K6*Supuestos!$J$30)</f>
        <v>2024.6274103719147</v>
      </c>
      <c r="M6" s="363">
        <f>L6+(L6*Supuestos!$J$30)</f>
        <v>2065.1199585793529</v>
      </c>
      <c r="O6" s="359"/>
      <c r="P6" s="320">
        <f>M6+(M6*Supuestos!$J$30)</f>
        <v>2106.4223577509401</v>
      </c>
    </row>
    <row r="7" spans="2:16" s="358" customFormat="1" ht="12" customHeight="1">
      <c r="B7" s="428"/>
      <c r="C7" s="440" t="s">
        <v>7</v>
      </c>
      <c r="D7" s="441"/>
      <c r="E7" s="441"/>
      <c r="F7" s="441"/>
      <c r="G7" s="441"/>
      <c r="H7" s="441"/>
      <c r="I7" s="441"/>
      <c r="J7" s="441"/>
      <c r="K7" s="441"/>
      <c r="L7" s="441"/>
      <c r="M7" s="442"/>
      <c r="O7" s="359"/>
      <c r="P7" s="320"/>
    </row>
    <row r="8" spans="2:16" s="358" customFormat="1" ht="12" customHeight="1">
      <c r="B8" s="428"/>
      <c r="C8" s="361" t="s">
        <v>143</v>
      </c>
      <c r="D8" s="362">
        <f>Supuestos!J39</f>
        <v>304.06</v>
      </c>
      <c r="E8" s="362">
        <f>D8+(D8*Supuestos!$J$30)</f>
        <v>310.14120000000003</v>
      </c>
      <c r="F8" s="362">
        <f>E8+(E8*Supuestos!$J$30)</f>
        <v>316.34402400000005</v>
      </c>
      <c r="G8" s="362">
        <f>F8+(F8*Supuestos!$J$30)</f>
        <v>322.67090448000005</v>
      </c>
      <c r="H8" s="362">
        <f>G8+(G8*Supuestos!$J$30)</f>
        <v>329.12432256960005</v>
      </c>
      <c r="I8" s="362">
        <f>H8+(H8*Supuestos!$J$30)</f>
        <v>335.70680902099207</v>
      </c>
      <c r="J8" s="362">
        <f>I8+(I8*Supuestos!$J$30)</f>
        <v>342.42094520141188</v>
      </c>
      <c r="K8" s="362">
        <f>J8+(J8*Supuestos!$J$30)</f>
        <v>349.2693641054401</v>
      </c>
      <c r="L8" s="362">
        <f>K8+(K8*Supuestos!$J$30)</f>
        <v>356.25475138754888</v>
      </c>
      <c r="M8" s="363">
        <f>L8+(L8*Supuestos!$J$30)</f>
        <v>363.37984641529988</v>
      </c>
      <c r="O8" s="359"/>
      <c r="P8" s="320">
        <f>M8+(M8*Supuestos!$J$30)</f>
        <v>370.64744334360586</v>
      </c>
    </row>
    <row r="9" spans="2:16" s="358" customFormat="1" ht="12" customHeight="1">
      <c r="B9" s="428"/>
      <c r="C9" s="361" t="s">
        <v>144</v>
      </c>
      <c r="D9" s="362">
        <f>Supuestos!J40</f>
        <v>225</v>
      </c>
      <c r="E9" s="362">
        <f>D9+(D9*Supuestos!$J$30)</f>
        <v>229.5</v>
      </c>
      <c r="F9" s="362">
        <f>E9+(E9*Supuestos!$J$30)</f>
        <v>234.09</v>
      </c>
      <c r="G9" s="362">
        <f>F9+(F9*Supuestos!$J$30)</f>
        <v>238.77180000000001</v>
      </c>
      <c r="H9" s="362">
        <f>G9+(G9*Supuestos!$J$30)</f>
        <v>243.54723600000003</v>
      </c>
      <c r="I9" s="362">
        <f>H9+(H9*Supuestos!$J$30)</f>
        <v>248.41818072000004</v>
      </c>
      <c r="J9" s="362">
        <f>I9+(I9*Supuestos!$J$30)</f>
        <v>253.38654433440004</v>
      </c>
      <c r="K9" s="362">
        <f>J9+(J9*Supuestos!$J$30)</f>
        <v>258.45427522108804</v>
      </c>
      <c r="L9" s="362">
        <f>K9+(K9*Supuestos!$J$30)</f>
        <v>263.62336072550983</v>
      </c>
      <c r="M9" s="363">
        <f>L9+(L9*Supuestos!$J$30)</f>
        <v>268.89582794002001</v>
      </c>
      <c r="O9" s="359"/>
      <c r="P9" s="320">
        <f>M9+(M9*Supuestos!$J$30)</f>
        <v>274.27374449882041</v>
      </c>
    </row>
    <row r="10" spans="2:16" s="358" customFormat="1" ht="12" customHeight="1">
      <c r="B10" s="428"/>
      <c r="C10" s="440" t="s">
        <v>5</v>
      </c>
      <c r="D10" s="441"/>
      <c r="E10" s="441"/>
      <c r="F10" s="441"/>
      <c r="G10" s="441"/>
      <c r="H10" s="441"/>
      <c r="I10" s="441"/>
      <c r="J10" s="441"/>
      <c r="K10" s="441"/>
      <c r="L10" s="441"/>
      <c r="M10" s="442"/>
      <c r="O10" s="359"/>
      <c r="P10" s="320"/>
    </row>
    <row r="11" spans="2:16" s="358" customFormat="1" ht="12" customHeight="1">
      <c r="B11" s="428"/>
      <c r="C11" s="364" t="s">
        <v>10</v>
      </c>
      <c r="D11" s="362">
        <f>'S&amp;S'!K8</f>
        <v>13053.599999999999</v>
      </c>
      <c r="E11" s="362">
        <f>D11+(D11*Supuestos!$J$30)</f>
        <v>13314.671999999999</v>
      </c>
      <c r="F11" s="362">
        <f>E11+(E11*Supuestos!$J$30)</f>
        <v>13580.965439999998</v>
      </c>
      <c r="G11" s="362">
        <f>F11+(F11*Supuestos!$J$30)</f>
        <v>13852.584748799998</v>
      </c>
      <c r="H11" s="362">
        <f>G11+(G11*Supuestos!$J$30)</f>
        <v>14129.636443775998</v>
      </c>
      <c r="I11" s="362">
        <f>H11+(H11*Supuestos!$J$30)</f>
        <v>14412.229172651518</v>
      </c>
      <c r="J11" s="362">
        <f>I11+(I11*Supuestos!$J$30)</f>
        <v>14700.473756104548</v>
      </c>
      <c r="K11" s="362">
        <f>J11+(J11*Supuestos!$J$30)</f>
        <v>14994.483231226639</v>
      </c>
      <c r="L11" s="362">
        <f>K11+(K11*Supuestos!$J$30)</f>
        <v>15294.372895851171</v>
      </c>
      <c r="M11" s="363">
        <f>L11+(L11*Supuestos!$J$30)</f>
        <v>15600.260353768195</v>
      </c>
      <c r="O11" s="359"/>
      <c r="P11" s="320">
        <f>M11+(M11*Supuestos!$J$30)</f>
        <v>15912.26556084356</v>
      </c>
    </row>
    <row r="12" spans="2:16" s="358" customFormat="1" ht="12" customHeight="1">
      <c r="B12" s="428"/>
      <c r="C12" s="364" t="s">
        <v>11</v>
      </c>
      <c r="D12" s="362">
        <f>'S&amp;S'!K9</f>
        <v>11421.900000000001</v>
      </c>
      <c r="E12" s="362">
        <f>D12+(D12*Supuestos!$J$30)</f>
        <v>11650.338000000002</v>
      </c>
      <c r="F12" s="362">
        <f>E12+(E12*Supuestos!$J$30)</f>
        <v>11883.344760000002</v>
      </c>
      <c r="G12" s="362">
        <f>F12+(F12*Supuestos!$J$30)</f>
        <v>12121.011655200002</v>
      </c>
      <c r="H12" s="362">
        <f>G12+(G12*Supuestos!$J$30)</f>
        <v>12363.431888304001</v>
      </c>
      <c r="I12" s="362">
        <f>H12+(H12*Supuestos!$J$30)</f>
        <v>12610.700526070081</v>
      </c>
      <c r="J12" s="362">
        <f>I12+(I12*Supuestos!$J$30)</f>
        <v>12862.914536591483</v>
      </c>
      <c r="K12" s="362">
        <f>J12+(J12*Supuestos!$J$30)</f>
        <v>13120.172827323313</v>
      </c>
      <c r="L12" s="362">
        <f>K12+(K12*Supuestos!$J$30)</f>
        <v>13382.576283869779</v>
      </c>
      <c r="M12" s="363">
        <f>L12+(L12*Supuestos!$J$30)</f>
        <v>13650.227809547176</v>
      </c>
      <c r="O12" s="359"/>
      <c r="P12" s="320">
        <f>M12+(M12*Supuestos!$J$30)</f>
        <v>13923.232365738118</v>
      </c>
    </row>
    <row r="13" spans="2:16" s="358" customFormat="1" ht="12" customHeight="1">
      <c r="B13" s="428"/>
      <c r="C13" s="364" t="s">
        <v>127</v>
      </c>
      <c r="D13" s="362">
        <f>'S&amp;S'!K10</f>
        <v>34265.699999999997</v>
      </c>
      <c r="E13" s="362">
        <f>D13+(D13*Supuestos!$J$30)</f>
        <v>34951.013999999996</v>
      </c>
      <c r="F13" s="362">
        <f>E13+(E13*Supuestos!$J$30)</f>
        <v>35650.034279999993</v>
      </c>
      <c r="G13" s="362">
        <f>F13+(F13*Supuestos!$J$30)</f>
        <v>36363.034965599989</v>
      </c>
      <c r="H13" s="362">
        <f>G13+(G13*Supuestos!$J$30)</f>
        <v>37090.295664911988</v>
      </c>
      <c r="I13" s="362">
        <f>H13+(H13*Supuestos!$J$30)</f>
        <v>37832.101578210226</v>
      </c>
      <c r="J13" s="362">
        <f>I13+(I13*Supuestos!$J$30)</f>
        <v>38588.743609774428</v>
      </c>
      <c r="K13" s="362">
        <f>J13+(J13*Supuestos!$J$30)</f>
        <v>39360.518481969921</v>
      </c>
      <c r="L13" s="362">
        <f>K13+(K13*Supuestos!$J$30)</f>
        <v>40147.728851609318</v>
      </c>
      <c r="M13" s="363">
        <f>L13+(L13*Supuestos!$J$30)</f>
        <v>40950.683428641503</v>
      </c>
      <c r="O13" s="359"/>
      <c r="P13" s="320">
        <f>M13+(M13*Supuestos!$J$30)</f>
        <v>41769.697097214332</v>
      </c>
    </row>
    <row r="14" spans="2:16" s="358" customFormat="1" ht="12" customHeight="1">
      <c r="B14" s="428"/>
      <c r="C14" s="440" t="s">
        <v>12</v>
      </c>
      <c r="D14" s="441"/>
      <c r="E14" s="441"/>
      <c r="F14" s="441"/>
      <c r="G14" s="441"/>
      <c r="H14" s="441"/>
      <c r="I14" s="441"/>
      <c r="J14" s="441"/>
      <c r="K14" s="441"/>
      <c r="L14" s="441"/>
      <c r="M14" s="442"/>
      <c r="O14" s="359"/>
      <c r="P14" s="320"/>
    </row>
    <row r="15" spans="2:16" s="358" customFormat="1" ht="12" customHeight="1">
      <c r="B15" s="428"/>
      <c r="C15" s="361" t="s">
        <v>13</v>
      </c>
      <c r="D15" s="362">
        <f>Supuestos!G15*Supuestos!J34</f>
        <v>84758.399999999994</v>
      </c>
      <c r="E15" s="362">
        <f>D15+(D15*Supuestos!$J$30)</f>
        <v>86453.567999999999</v>
      </c>
      <c r="F15" s="362">
        <f>E15+(E15*Supuestos!$J$30)</f>
        <v>88182.639360000001</v>
      </c>
      <c r="G15" s="362">
        <f>F15+(F15*Supuestos!$J$30)</f>
        <v>89946.292147200002</v>
      </c>
      <c r="H15" s="362">
        <f>G15+(G15*Supuestos!$J$30)</f>
        <v>91745.217990143996</v>
      </c>
      <c r="I15" s="362">
        <f>H15+(H15*Supuestos!$J$30)</f>
        <v>93580.122349946876</v>
      </c>
      <c r="J15" s="362">
        <f>I15+(I15*Supuestos!$J$30)</f>
        <v>95451.724796945811</v>
      </c>
      <c r="K15" s="362">
        <f>J15+(J15*Supuestos!$J$30)</f>
        <v>97360.75929288473</v>
      </c>
      <c r="L15" s="362">
        <f>K15+(K15*Supuestos!$J$30)</f>
        <v>99307.974478742428</v>
      </c>
      <c r="M15" s="363">
        <f>L15+(L15*Supuestos!$J$30)</f>
        <v>101294.13396831727</v>
      </c>
      <c r="O15" s="359"/>
      <c r="P15" s="320">
        <f>M15+(M15*Supuestos!$J$30)</f>
        <v>103320.01664768362</v>
      </c>
    </row>
    <row r="16" spans="2:16" s="358" customFormat="1" ht="12" customHeight="1">
      <c r="B16" s="428"/>
      <c r="C16" s="440" t="s">
        <v>14</v>
      </c>
      <c r="D16" s="441"/>
      <c r="E16" s="441"/>
      <c r="F16" s="441"/>
      <c r="G16" s="441"/>
      <c r="H16" s="441"/>
      <c r="I16" s="441"/>
      <c r="J16" s="441"/>
      <c r="K16" s="441"/>
      <c r="L16" s="441"/>
      <c r="M16" s="442"/>
      <c r="O16" s="359"/>
      <c r="P16" s="320"/>
    </row>
    <row r="17" spans="2:16" s="358" customFormat="1" ht="12" customHeight="1" thickBot="1">
      <c r="B17" s="429"/>
      <c r="C17" s="365" t="s">
        <v>114</v>
      </c>
      <c r="D17" s="366">
        <f>Supuestos!H9</f>
        <v>144237.84723578879</v>
      </c>
      <c r="E17" s="366">
        <f>D17+(D17*Supuestos!$J$30)</f>
        <v>147122.60418050457</v>
      </c>
      <c r="F17" s="366">
        <f>E17+(E17*Supuestos!$J$30)</f>
        <v>150065.05626411465</v>
      </c>
      <c r="G17" s="366">
        <f>F17+(F17*Supuestos!$J$30)</f>
        <v>153066.35738939696</v>
      </c>
      <c r="H17" s="366">
        <f>G17+(G17*Supuestos!$J$30)</f>
        <v>156127.68453718489</v>
      </c>
      <c r="I17" s="366">
        <f>H17+(H17*Supuestos!$J$30)</f>
        <v>159250.23822792858</v>
      </c>
      <c r="J17" s="366">
        <f>I17+(I17*Supuestos!$J$30)</f>
        <v>162435.24299248715</v>
      </c>
      <c r="K17" s="366">
        <f>J17+(J17*Supuestos!$J$30)</f>
        <v>165683.94785233689</v>
      </c>
      <c r="L17" s="366">
        <f>K17+(K17*Supuestos!$J$30)</f>
        <v>168997.62680938363</v>
      </c>
      <c r="M17" s="367">
        <f>L17+(L17*Supuestos!$J$30)</f>
        <v>172377.57934557128</v>
      </c>
      <c r="O17" s="359"/>
      <c r="P17" s="320">
        <f>M17+(M17*Supuestos!$J$30)</f>
        <v>175825.13093248272</v>
      </c>
    </row>
    <row r="18" spans="2:16" s="358" customFormat="1" ht="12" customHeight="1">
      <c r="B18" s="427" t="s">
        <v>274</v>
      </c>
      <c r="C18" s="440" t="s">
        <v>4</v>
      </c>
      <c r="D18" s="441"/>
      <c r="E18" s="441"/>
      <c r="F18" s="441"/>
      <c r="G18" s="441"/>
      <c r="H18" s="441"/>
      <c r="I18" s="441"/>
      <c r="J18" s="441"/>
      <c r="K18" s="441"/>
      <c r="L18" s="441"/>
      <c r="M18" s="442"/>
      <c r="O18" s="359"/>
      <c r="P18" s="320"/>
    </row>
    <row r="19" spans="2:16" s="358" customFormat="1" ht="12" customHeight="1">
      <c r="B19" s="428"/>
      <c r="C19" s="361" t="s">
        <v>148</v>
      </c>
      <c r="D19" s="362">
        <f>Supuestos!$J$32*Supuestos!$C$12</f>
        <v>6191.277</v>
      </c>
      <c r="E19" s="362">
        <f>D19</f>
        <v>6191.277</v>
      </c>
      <c r="F19" s="362">
        <f t="shared" ref="F19:M19" si="0">E19</f>
        <v>6191.277</v>
      </c>
      <c r="G19" s="362">
        <f t="shared" si="0"/>
        <v>6191.277</v>
      </c>
      <c r="H19" s="362">
        <f t="shared" si="0"/>
        <v>6191.277</v>
      </c>
      <c r="I19" s="362">
        <f t="shared" si="0"/>
        <v>6191.277</v>
      </c>
      <c r="J19" s="362">
        <f t="shared" si="0"/>
        <v>6191.277</v>
      </c>
      <c r="K19" s="362">
        <f t="shared" si="0"/>
        <v>6191.277</v>
      </c>
      <c r="L19" s="362">
        <f t="shared" si="0"/>
        <v>6191.277</v>
      </c>
      <c r="M19" s="363">
        <f t="shared" si="0"/>
        <v>6191.277</v>
      </c>
      <c r="O19" s="359"/>
      <c r="P19" s="320">
        <f>M19</f>
        <v>6191.277</v>
      </c>
    </row>
    <row r="20" spans="2:16" s="358" customFormat="1" ht="12" customHeight="1">
      <c r="B20" s="428"/>
      <c r="C20" s="361" t="s">
        <v>73</v>
      </c>
      <c r="D20" s="362">
        <f>Supuestos!J38*Supuestos!C2</f>
        <v>7200</v>
      </c>
      <c r="E20" s="362">
        <f>D20</f>
        <v>7200</v>
      </c>
      <c r="F20" s="362">
        <f t="shared" ref="F20:M20" si="1">E20</f>
        <v>7200</v>
      </c>
      <c r="G20" s="362">
        <f t="shared" si="1"/>
        <v>7200</v>
      </c>
      <c r="H20" s="362">
        <f t="shared" si="1"/>
        <v>7200</v>
      </c>
      <c r="I20" s="362">
        <f t="shared" si="1"/>
        <v>7200</v>
      </c>
      <c r="J20" s="362">
        <f t="shared" si="1"/>
        <v>7200</v>
      </c>
      <c r="K20" s="362">
        <f t="shared" si="1"/>
        <v>7200</v>
      </c>
      <c r="L20" s="362">
        <f t="shared" si="1"/>
        <v>7200</v>
      </c>
      <c r="M20" s="363">
        <f t="shared" si="1"/>
        <v>7200</v>
      </c>
      <c r="O20" s="359"/>
      <c r="P20" s="320">
        <f>M20</f>
        <v>7200</v>
      </c>
    </row>
    <row r="21" spans="2:16" s="358" customFormat="1" ht="12" customHeight="1">
      <c r="B21" s="428"/>
      <c r="C21" s="440" t="s">
        <v>3</v>
      </c>
      <c r="D21" s="441"/>
      <c r="E21" s="441"/>
      <c r="F21" s="441"/>
      <c r="G21" s="441"/>
      <c r="H21" s="441"/>
      <c r="I21" s="441"/>
      <c r="J21" s="441"/>
      <c r="K21" s="441"/>
      <c r="L21" s="441"/>
      <c r="M21" s="442"/>
      <c r="O21" s="359"/>
      <c r="P21" s="320"/>
    </row>
    <row r="22" spans="2:16" s="358" customFormat="1" ht="12" customHeight="1">
      <c r="B22" s="428"/>
      <c r="C22" s="361" t="s">
        <v>68</v>
      </c>
      <c r="D22" s="362">
        <f>Supuestos!$J$33*Supuestos!$C$15</f>
        <v>4800</v>
      </c>
      <c r="E22" s="362">
        <f>D22</f>
        <v>4800</v>
      </c>
      <c r="F22" s="362">
        <f t="shared" ref="F22:M22" si="2">E22</f>
        <v>4800</v>
      </c>
      <c r="G22" s="362">
        <f t="shared" si="2"/>
        <v>4800</v>
      </c>
      <c r="H22" s="362">
        <f t="shared" si="2"/>
        <v>4800</v>
      </c>
      <c r="I22" s="362">
        <f t="shared" si="2"/>
        <v>4800</v>
      </c>
      <c r="J22" s="362">
        <f t="shared" si="2"/>
        <v>4800</v>
      </c>
      <c r="K22" s="362">
        <f t="shared" si="2"/>
        <v>4800</v>
      </c>
      <c r="L22" s="362">
        <f t="shared" si="2"/>
        <v>4800</v>
      </c>
      <c r="M22" s="363">
        <f t="shared" si="2"/>
        <v>4800</v>
      </c>
      <c r="O22" s="359"/>
      <c r="P22" s="320">
        <f>M22</f>
        <v>4800</v>
      </c>
    </row>
    <row r="23" spans="2:16" s="358" customFormat="1" ht="12" customHeight="1">
      <c r="B23" s="428"/>
      <c r="C23" s="440" t="s">
        <v>8</v>
      </c>
      <c r="D23" s="441"/>
      <c r="E23" s="441"/>
      <c r="F23" s="441"/>
      <c r="G23" s="441"/>
      <c r="H23" s="441"/>
      <c r="I23" s="441"/>
      <c r="J23" s="441"/>
      <c r="K23" s="441"/>
      <c r="L23" s="441"/>
      <c r="M23" s="442"/>
      <c r="O23" s="359"/>
      <c r="P23" s="320"/>
    </row>
    <row r="24" spans="2:16" s="358" customFormat="1" ht="12" customHeight="1" thickBot="1">
      <c r="B24" s="429"/>
      <c r="C24" s="365" t="s">
        <v>9</v>
      </c>
      <c r="D24" s="366">
        <f>'S&amp;S'!K11</f>
        <v>4351.2000000000007</v>
      </c>
      <c r="E24" s="366">
        <f>D24</f>
        <v>4351.2000000000007</v>
      </c>
      <c r="F24" s="366">
        <f t="shared" ref="F24:M24" si="3">E24</f>
        <v>4351.2000000000007</v>
      </c>
      <c r="G24" s="366">
        <f t="shared" si="3"/>
        <v>4351.2000000000007</v>
      </c>
      <c r="H24" s="366">
        <f t="shared" si="3"/>
        <v>4351.2000000000007</v>
      </c>
      <c r="I24" s="366">
        <f t="shared" si="3"/>
        <v>4351.2000000000007</v>
      </c>
      <c r="J24" s="366">
        <f t="shared" si="3"/>
        <v>4351.2000000000007</v>
      </c>
      <c r="K24" s="366">
        <f t="shared" si="3"/>
        <v>4351.2000000000007</v>
      </c>
      <c r="L24" s="366">
        <f t="shared" si="3"/>
        <v>4351.2000000000007</v>
      </c>
      <c r="M24" s="367">
        <f t="shared" si="3"/>
        <v>4351.2000000000007</v>
      </c>
      <c r="O24" s="359"/>
      <c r="P24" s="320">
        <f>M24</f>
        <v>4351.2000000000007</v>
      </c>
    </row>
    <row r="25" spans="2:16" s="358" customFormat="1" ht="12" customHeight="1">
      <c r="B25" s="430" t="s">
        <v>275</v>
      </c>
      <c r="C25" s="440" t="s">
        <v>15</v>
      </c>
      <c r="D25" s="441"/>
      <c r="E25" s="441"/>
      <c r="F25" s="441"/>
      <c r="G25" s="441"/>
      <c r="H25" s="441"/>
      <c r="I25" s="441"/>
      <c r="J25" s="441"/>
      <c r="K25" s="441"/>
      <c r="L25" s="441"/>
      <c r="M25" s="442"/>
      <c r="O25" s="359"/>
      <c r="P25" s="320"/>
    </row>
    <row r="26" spans="2:16" s="358" customFormat="1" ht="12" customHeight="1">
      <c r="B26" s="431"/>
      <c r="C26" s="361" t="s">
        <v>54</v>
      </c>
      <c r="D26" s="362">
        <f>'S&amp;S'!K7</f>
        <v>8702.4000000000015</v>
      </c>
      <c r="E26" s="362">
        <f>D26</f>
        <v>8702.4000000000015</v>
      </c>
      <c r="F26" s="362">
        <f t="shared" ref="F26:M26" si="4">E26</f>
        <v>8702.4000000000015</v>
      </c>
      <c r="G26" s="362">
        <f t="shared" si="4"/>
        <v>8702.4000000000015</v>
      </c>
      <c r="H26" s="362">
        <f t="shared" si="4"/>
        <v>8702.4000000000015</v>
      </c>
      <c r="I26" s="362">
        <f t="shared" si="4"/>
        <v>8702.4000000000015</v>
      </c>
      <c r="J26" s="362">
        <f t="shared" si="4"/>
        <v>8702.4000000000015</v>
      </c>
      <c r="K26" s="362">
        <f t="shared" si="4"/>
        <v>8702.4000000000015</v>
      </c>
      <c r="L26" s="362">
        <f t="shared" si="4"/>
        <v>8702.4000000000015</v>
      </c>
      <c r="M26" s="363">
        <f t="shared" si="4"/>
        <v>8702.4000000000015</v>
      </c>
      <c r="O26" s="359"/>
      <c r="P26" s="320">
        <f>M26</f>
        <v>8702.4000000000015</v>
      </c>
    </row>
    <row r="27" spans="2:16" s="358" customFormat="1" ht="12" customHeight="1">
      <c r="B27" s="431"/>
      <c r="C27" s="361" t="s">
        <v>55</v>
      </c>
      <c r="D27" s="362">
        <f>'S&amp;S'!K6</f>
        <v>7614.5999999999995</v>
      </c>
      <c r="E27" s="362">
        <f t="shared" ref="E27:M29" si="5">D27</f>
        <v>7614.5999999999995</v>
      </c>
      <c r="F27" s="362">
        <f t="shared" si="5"/>
        <v>7614.5999999999995</v>
      </c>
      <c r="G27" s="362">
        <f t="shared" si="5"/>
        <v>7614.5999999999995</v>
      </c>
      <c r="H27" s="362">
        <f t="shared" si="5"/>
        <v>7614.5999999999995</v>
      </c>
      <c r="I27" s="362">
        <f t="shared" si="5"/>
        <v>7614.5999999999995</v>
      </c>
      <c r="J27" s="362">
        <f t="shared" si="5"/>
        <v>7614.5999999999995</v>
      </c>
      <c r="K27" s="362">
        <f t="shared" si="5"/>
        <v>7614.5999999999995</v>
      </c>
      <c r="L27" s="362">
        <f t="shared" si="5"/>
        <v>7614.5999999999995</v>
      </c>
      <c r="M27" s="363">
        <f t="shared" si="5"/>
        <v>7614.5999999999995</v>
      </c>
      <c r="O27" s="359"/>
      <c r="P27" s="320">
        <f>M27</f>
        <v>7614.5999999999995</v>
      </c>
    </row>
    <row r="28" spans="2:16" s="358" customFormat="1" ht="12" customHeight="1">
      <c r="B28" s="431"/>
      <c r="C28" s="361" t="s">
        <v>52</v>
      </c>
      <c r="D28" s="362">
        <f>'S&amp;S'!K12</f>
        <v>7614.5999999999995</v>
      </c>
      <c r="E28" s="362">
        <f t="shared" si="5"/>
        <v>7614.5999999999995</v>
      </c>
      <c r="F28" s="362">
        <f t="shared" si="5"/>
        <v>7614.5999999999995</v>
      </c>
      <c r="G28" s="362">
        <f t="shared" si="5"/>
        <v>7614.5999999999995</v>
      </c>
      <c r="H28" s="362">
        <f t="shared" si="5"/>
        <v>7614.5999999999995</v>
      </c>
      <c r="I28" s="362">
        <f t="shared" si="5"/>
        <v>7614.5999999999995</v>
      </c>
      <c r="J28" s="362">
        <f t="shared" si="5"/>
        <v>7614.5999999999995</v>
      </c>
      <c r="K28" s="362">
        <f t="shared" si="5"/>
        <v>7614.5999999999995</v>
      </c>
      <c r="L28" s="362">
        <f t="shared" si="5"/>
        <v>7614.5999999999995</v>
      </c>
      <c r="M28" s="363">
        <f t="shared" si="5"/>
        <v>7614.5999999999995</v>
      </c>
      <c r="O28" s="359"/>
      <c r="P28" s="320">
        <f>M28</f>
        <v>7614.5999999999995</v>
      </c>
    </row>
    <row r="29" spans="2:16" s="358" customFormat="1" ht="12" customHeight="1">
      <c r="B29" s="431"/>
      <c r="C29" s="361" t="s">
        <v>63</v>
      </c>
      <c r="D29" s="362">
        <f>'S&amp;S'!K13</f>
        <v>7614.5999999999995</v>
      </c>
      <c r="E29" s="362">
        <f t="shared" si="5"/>
        <v>7614.5999999999995</v>
      </c>
      <c r="F29" s="362">
        <f t="shared" si="5"/>
        <v>7614.5999999999995</v>
      </c>
      <c r="G29" s="362">
        <f t="shared" si="5"/>
        <v>7614.5999999999995</v>
      </c>
      <c r="H29" s="362">
        <f t="shared" si="5"/>
        <v>7614.5999999999995</v>
      </c>
      <c r="I29" s="362">
        <f t="shared" si="5"/>
        <v>7614.5999999999995</v>
      </c>
      <c r="J29" s="362">
        <f t="shared" si="5"/>
        <v>7614.5999999999995</v>
      </c>
      <c r="K29" s="362">
        <f t="shared" si="5"/>
        <v>7614.5999999999995</v>
      </c>
      <c r="L29" s="362">
        <f t="shared" si="5"/>
        <v>7614.5999999999995</v>
      </c>
      <c r="M29" s="363">
        <f t="shared" si="5"/>
        <v>7614.5999999999995</v>
      </c>
      <c r="O29" s="359"/>
      <c r="P29" s="320">
        <f>M29</f>
        <v>7614.5999999999995</v>
      </c>
    </row>
    <row r="30" spans="2:16" s="358" customFormat="1" ht="12" customHeight="1">
      <c r="B30" s="431"/>
      <c r="C30" s="440" t="s">
        <v>99</v>
      </c>
      <c r="D30" s="441"/>
      <c r="E30" s="441"/>
      <c r="F30" s="441"/>
      <c r="G30" s="441"/>
      <c r="H30" s="441"/>
      <c r="I30" s="441"/>
      <c r="J30" s="441"/>
      <c r="K30" s="441"/>
      <c r="L30" s="441"/>
      <c r="M30" s="442"/>
      <c r="O30" s="359"/>
      <c r="P30" s="320"/>
    </row>
    <row r="31" spans="2:16" s="358" customFormat="1" ht="12" customHeight="1">
      <c r="B31" s="431"/>
      <c r="C31" s="361" t="s">
        <v>16</v>
      </c>
      <c r="D31" s="362">
        <f>Supuestos!J37*Supuestos!J8</f>
        <v>3600</v>
      </c>
      <c r="E31" s="362">
        <f>D31</f>
        <v>3600</v>
      </c>
      <c r="F31" s="362">
        <f t="shared" ref="F31:M31" si="6">E31</f>
        <v>3600</v>
      </c>
      <c r="G31" s="362">
        <f t="shared" si="6"/>
        <v>3600</v>
      </c>
      <c r="H31" s="362">
        <f t="shared" si="6"/>
        <v>3600</v>
      </c>
      <c r="I31" s="362">
        <f t="shared" si="6"/>
        <v>3600</v>
      </c>
      <c r="J31" s="362">
        <f t="shared" si="6"/>
        <v>3600</v>
      </c>
      <c r="K31" s="362">
        <f t="shared" si="6"/>
        <v>3600</v>
      </c>
      <c r="L31" s="362">
        <f t="shared" si="6"/>
        <v>3600</v>
      </c>
      <c r="M31" s="363">
        <f t="shared" si="6"/>
        <v>3600</v>
      </c>
      <c r="O31" s="359"/>
      <c r="P31" s="320">
        <f>M31</f>
        <v>3600</v>
      </c>
    </row>
    <row r="32" spans="2:16" s="358" customFormat="1" ht="12" customHeight="1">
      <c r="B32" s="431"/>
      <c r="C32" s="443" t="s">
        <v>17</v>
      </c>
      <c r="D32" s="444"/>
      <c r="E32" s="444"/>
      <c r="F32" s="444"/>
      <c r="G32" s="444"/>
      <c r="H32" s="444"/>
      <c r="I32" s="444"/>
      <c r="J32" s="444"/>
      <c r="K32" s="444"/>
      <c r="L32" s="444"/>
      <c r="M32" s="445"/>
      <c r="O32" s="359"/>
      <c r="P32" s="320"/>
    </row>
    <row r="33" spans="2:16" s="358" customFormat="1" ht="12" customHeight="1">
      <c r="B33" s="431"/>
      <c r="C33" s="361" t="s">
        <v>18</v>
      </c>
      <c r="D33" s="362">
        <f>Supuestos!J36*'S&amp;S'!A14</f>
        <v>4000</v>
      </c>
      <c r="E33" s="362">
        <f t="shared" ref="E33:M35" si="7">D33</f>
        <v>4000</v>
      </c>
      <c r="F33" s="362">
        <f t="shared" si="7"/>
        <v>4000</v>
      </c>
      <c r="G33" s="362">
        <f t="shared" si="7"/>
        <v>4000</v>
      </c>
      <c r="H33" s="362">
        <f t="shared" si="7"/>
        <v>4000</v>
      </c>
      <c r="I33" s="362">
        <f t="shared" si="7"/>
        <v>4000</v>
      </c>
      <c r="J33" s="362">
        <f t="shared" si="7"/>
        <v>4000</v>
      </c>
      <c r="K33" s="362">
        <f t="shared" si="7"/>
        <v>4000</v>
      </c>
      <c r="L33" s="362">
        <f t="shared" si="7"/>
        <v>4000</v>
      </c>
      <c r="M33" s="363">
        <f t="shared" si="7"/>
        <v>4000</v>
      </c>
      <c r="O33" s="359"/>
      <c r="P33" s="320">
        <f>M33</f>
        <v>4000</v>
      </c>
    </row>
    <row r="34" spans="2:16" s="358" customFormat="1" ht="12" customHeight="1">
      <c r="B34" s="431"/>
      <c r="C34" s="440" t="s">
        <v>20</v>
      </c>
      <c r="D34" s="441"/>
      <c r="E34" s="441"/>
      <c r="F34" s="441"/>
      <c r="G34" s="441"/>
      <c r="H34" s="441"/>
      <c r="I34" s="441"/>
      <c r="J34" s="441"/>
      <c r="K34" s="441"/>
      <c r="L34" s="441"/>
      <c r="M34" s="442"/>
      <c r="O34" s="359"/>
      <c r="P34" s="320"/>
    </row>
    <row r="35" spans="2:16" s="358" customFormat="1" ht="12" customHeight="1" thickBot="1">
      <c r="B35" s="432"/>
      <c r="C35" s="371" t="s">
        <v>19</v>
      </c>
      <c r="D35" s="372">
        <f>Supuestos!J35</f>
        <v>250</v>
      </c>
      <c r="E35" s="372">
        <f t="shared" si="7"/>
        <v>250</v>
      </c>
      <c r="F35" s="372">
        <f t="shared" si="7"/>
        <v>250</v>
      </c>
      <c r="G35" s="372">
        <f t="shared" si="7"/>
        <v>250</v>
      </c>
      <c r="H35" s="372">
        <f t="shared" si="7"/>
        <v>250</v>
      </c>
      <c r="I35" s="372">
        <f t="shared" si="7"/>
        <v>250</v>
      </c>
      <c r="J35" s="372">
        <f t="shared" si="7"/>
        <v>250</v>
      </c>
      <c r="K35" s="372">
        <f t="shared" si="7"/>
        <v>250</v>
      </c>
      <c r="L35" s="372">
        <f t="shared" si="7"/>
        <v>250</v>
      </c>
      <c r="M35" s="373">
        <f t="shared" si="7"/>
        <v>250</v>
      </c>
      <c r="O35" s="359"/>
      <c r="P35" s="320">
        <f>M35</f>
        <v>250</v>
      </c>
    </row>
    <row r="36" spans="2:16" s="358" customFormat="1" ht="12" customHeight="1" thickBot="1">
      <c r="B36" s="433" t="s">
        <v>276</v>
      </c>
      <c r="C36" s="434"/>
      <c r="D36" s="368">
        <f>SUM(D5:D35)</f>
        <v>355188.53463578876</v>
      </c>
      <c r="E36" s="369">
        <f>SUM(E5:E35)</f>
        <v>361053.53178850451</v>
      </c>
      <c r="F36" s="369">
        <f t="shared" ref="F36:M36" si="8">SUM(F5:F35)</f>
        <v>367035.82888427464</v>
      </c>
      <c r="G36" s="369">
        <f t="shared" si="8"/>
        <v>373137.77192196011</v>
      </c>
      <c r="H36" s="369">
        <f t="shared" si="8"/>
        <v>379361.75382039929</v>
      </c>
      <c r="I36" s="369">
        <f t="shared" si="8"/>
        <v>385710.21535680728</v>
      </c>
      <c r="J36" s="369">
        <f t="shared" si="8"/>
        <v>392185.64612394344</v>
      </c>
      <c r="K36" s="369">
        <f t="shared" si="8"/>
        <v>398790.58550642227</v>
      </c>
      <c r="L36" s="369">
        <f t="shared" si="8"/>
        <v>405527.62367655075</v>
      </c>
      <c r="M36" s="370">
        <f t="shared" si="8"/>
        <v>412399.40261008177</v>
      </c>
      <c r="O36" s="359"/>
      <c r="P36" s="320">
        <f>SUM(P5:P35)</f>
        <v>419408.61712228338</v>
      </c>
    </row>
    <row r="37" spans="2:16">
      <c r="C37" s="27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O37" s="128"/>
      <c r="P37" s="221"/>
    </row>
    <row r="38" spans="2:16"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O38" s="128"/>
      <c r="P38" s="221"/>
    </row>
    <row r="39" spans="2:16"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O39" s="128"/>
      <c r="P39" s="221"/>
    </row>
    <row r="40" spans="2:16"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O40" s="128"/>
      <c r="P40" s="221"/>
    </row>
    <row r="41" spans="2:16"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O41" s="128"/>
      <c r="P41" s="128"/>
    </row>
    <row r="42" spans="2:16"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O42" s="128"/>
      <c r="P42" s="128"/>
    </row>
    <row r="43" spans="2:16"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O43" s="128"/>
      <c r="P43" s="128"/>
    </row>
    <row r="44" spans="2:16"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O44" s="128"/>
      <c r="P44" s="128"/>
    </row>
    <row r="45" spans="2:16"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O45" s="128"/>
      <c r="P45" s="128"/>
    </row>
    <row r="46" spans="2:16"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O46" s="128"/>
      <c r="P46" s="128"/>
    </row>
    <row r="47" spans="2:16"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O47" s="128"/>
      <c r="P47" s="128"/>
    </row>
    <row r="48" spans="2:16"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O48" s="128"/>
      <c r="P48" s="128"/>
    </row>
    <row r="49" spans="3:16"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O49" s="128"/>
      <c r="P49" s="128"/>
    </row>
    <row r="50" spans="3:16"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O50" s="128"/>
      <c r="P50" s="128"/>
    </row>
    <row r="51" spans="3:16"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O51" s="128"/>
      <c r="P51" s="128"/>
    </row>
    <row r="52" spans="3:16"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O52" s="128"/>
      <c r="P52" s="128"/>
    </row>
    <row r="53" spans="3:16"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O53" s="128"/>
      <c r="P53" s="128"/>
    </row>
    <row r="54" spans="3:16"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O54" s="128"/>
      <c r="P54" s="128"/>
    </row>
    <row r="55" spans="3:16"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O55" s="128"/>
      <c r="P55" s="128"/>
    </row>
    <row r="56" spans="3:16"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O56" s="128"/>
      <c r="P56" s="128"/>
    </row>
    <row r="57" spans="3:16"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O57" s="128"/>
      <c r="P57" s="128"/>
    </row>
    <row r="58" spans="3:16"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O58" s="128"/>
      <c r="P58" s="128"/>
    </row>
    <row r="59" spans="3:16"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O59" s="128"/>
      <c r="P59" s="128"/>
    </row>
    <row r="60" spans="3:16"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  <c r="O60" s="128"/>
      <c r="P60" s="128"/>
    </row>
    <row r="61" spans="3:16"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  <c r="O61" s="128"/>
      <c r="P61" s="128"/>
    </row>
    <row r="62" spans="3:16">
      <c r="C62" s="128"/>
      <c r="D62" s="128"/>
      <c r="E62" s="128"/>
      <c r="F62" s="128"/>
      <c r="G62" s="128"/>
      <c r="H62" s="128"/>
      <c r="I62" s="128"/>
      <c r="J62" s="128"/>
      <c r="K62" s="128"/>
      <c r="L62" s="128"/>
      <c r="M62" s="128"/>
      <c r="O62" s="128"/>
      <c r="P62" s="128"/>
    </row>
    <row r="63" spans="3:16"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  <c r="O63" s="128"/>
      <c r="P63" s="128"/>
    </row>
    <row r="64" spans="3:16"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  <c r="O64" s="128"/>
      <c r="P64" s="128"/>
    </row>
    <row r="65" spans="3:16">
      <c r="C65" s="128"/>
      <c r="D65" s="128"/>
      <c r="E65" s="128"/>
      <c r="F65" s="128"/>
      <c r="G65" s="128"/>
      <c r="H65" s="128"/>
      <c r="I65" s="128"/>
      <c r="J65" s="128"/>
      <c r="K65" s="128"/>
      <c r="L65" s="128"/>
      <c r="M65" s="128"/>
      <c r="O65" s="128"/>
      <c r="P65" s="128"/>
    </row>
    <row r="66" spans="3:16"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  <c r="O66" s="128"/>
      <c r="P66" s="128"/>
    </row>
    <row r="67" spans="3:16"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  <c r="O67" s="128"/>
      <c r="P67" s="128"/>
    </row>
    <row r="68" spans="3:16"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O68" s="128"/>
      <c r="P68" s="128"/>
    </row>
    <row r="69" spans="3:16">
      <c r="C69" s="128"/>
      <c r="D69" s="128"/>
      <c r="E69" s="128"/>
      <c r="F69" s="128"/>
      <c r="G69" s="128"/>
      <c r="H69" s="128"/>
      <c r="I69" s="128"/>
      <c r="J69" s="128"/>
      <c r="K69" s="128"/>
      <c r="L69" s="128"/>
      <c r="M69" s="128"/>
      <c r="O69" s="128"/>
      <c r="P69" s="128"/>
    </row>
    <row r="70" spans="3:16">
      <c r="C70" s="128"/>
      <c r="D70" s="128"/>
      <c r="E70" s="128"/>
      <c r="F70" s="128"/>
      <c r="G70" s="128"/>
      <c r="H70" s="128"/>
      <c r="I70" s="128"/>
      <c r="J70" s="128"/>
      <c r="K70" s="128"/>
      <c r="L70" s="128"/>
      <c r="M70" s="128"/>
      <c r="O70" s="128"/>
      <c r="P70" s="128"/>
    </row>
    <row r="71" spans="3:16">
      <c r="C71" s="128"/>
      <c r="D71" s="128"/>
      <c r="E71" s="128"/>
      <c r="F71" s="128"/>
      <c r="G71" s="128"/>
      <c r="H71" s="128"/>
      <c r="I71" s="128"/>
      <c r="J71" s="128"/>
      <c r="K71" s="128"/>
      <c r="L71" s="128"/>
      <c r="M71" s="128"/>
      <c r="O71" s="128"/>
      <c r="P71" s="128"/>
    </row>
    <row r="72" spans="3:16">
      <c r="C72" s="128"/>
      <c r="D72" s="128"/>
      <c r="E72" s="128"/>
      <c r="F72" s="128"/>
      <c r="G72" s="128"/>
      <c r="H72" s="128"/>
      <c r="I72" s="128"/>
      <c r="J72" s="128"/>
      <c r="K72" s="128"/>
      <c r="L72" s="128"/>
      <c r="M72" s="128"/>
      <c r="O72" s="128"/>
      <c r="P72" s="128"/>
    </row>
    <row r="73" spans="3:16"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O73" s="128"/>
      <c r="P73" s="128"/>
    </row>
    <row r="74" spans="3:16">
      <c r="C74" s="128"/>
      <c r="D74" s="128"/>
      <c r="E74" s="128"/>
      <c r="F74" s="128"/>
      <c r="G74" s="128"/>
      <c r="H74" s="128"/>
      <c r="I74" s="128"/>
      <c r="J74" s="128"/>
      <c r="K74" s="128"/>
      <c r="L74" s="128"/>
      <c r="M74" s="128"/>
      <c r="O74" s="128"/>
      <c r="P74" s="128"/>
    </row>
    <row r="75" spans="3:16">
      <c r="C75" s="128"/>
      <c r="D75" s="128"/>
      <c r="E75" s="128"/>
      <c r="F75" s="128"/>
      <c r="G75" s="128"/>
      <c r="H75" s="128"/>
      <c r="I75" s="128"/>
      <c r="J75" s="128"/>
      <c r="K75" s="128"/>
      <c r="L75" s="128"/>
      <c r="M75" s="128"/>
      <c r="O75" s="128"/>
      <c r="P75" s="128"/>
    </row>
    <row r="76" spans="3:16">
      <c r="C76" s="128"/>
      <c r="D76" s="128"/>
      <c r="E76" s="128"/>
      <c r="F76" s="128"/>
      <c r="G76" s="128"/>
      <c r="H76" s="128"/>
      <c r="I76" s="128"/>
      <c r="J76" s="128"/>
      <c r="K76" s="128"/>
      <c r="L76" s="128"/>
      <c r="M76" s="128"/>
      <c r="O76" s="128"/>
      <c r="P76" s="128"/>
    </row>
    <row r="77" spans="3:16">
      <c r="C77" s="128"/>
      <c r="D77" s="128"/>
      <c r="E77" s="128"/>
      <c r="F77" s="128"/>
      <c r="G77" s="128"/>
      <c r="H77" s="128"/>
      <c r="I77" s="128"/>
      <c r="J77" s="128"/>
      <c r="K77" s="128"/>
      <c r="L77" s="128"/>
      <c r="M77" s="128"/>
      <c r="O77" s="128"/>
      <c r="P77" s="128"/>
    </row>
    <row r="78" spans="3:16">
      <c r="C78" s="128"/>
      <c r="D78" s="128"/>
      <c r="E78" s="128"/>
      <c r="F78" s="128"/>
      <c r="G78" s="128"/>
      <c r="H78" s="128"/>
      <c r="I78" s="128"/>
      <c r="J78" s="128"/>
      <c r="K78" s="128"/>
      <c r="L78" s="128"/>
      <c r="M78" s="128"/>
      <c r="O78" s="128"/>
      <c r="P78" s="128"/>
    </row>
    <row r="79" spans="3:16">
      <c r="C79" s="128"/>
      <c r="D79" s="128"/>
      <c r="E79" s="128"/>
      <c r="F79" s="128"/>
      <c r="G79" s="128"/>
      <c r="H79" s="128"/>
      <c r="I79" s="128"/>
      <c r="J79" s="128"/>
      <c r="K79" s="128"/>
      <c r="L79" s="128"/>
      <c r="M79" s="128"/>
      <c r="O79" s="128"/>
      <c r="P79" s="128"/>
    </row>
    <row r="80" spans="3:16">
      <c r="C80" s="128"/>
      <c r="D80" s="128"/>
      <c r="E80" s="128"/>
      <c r="F80" s="128"/>
      <c r="G80" s="128"/>
      <c r="H80" s="128"/>
      <c r="I80" s="128"/>
      <c r="J80" s="128"/>
      <c r="K80" s="128"/>
      <c r="L80" s="128"/>
      <c r="M80" s="128"/>
      <c r="O80" s="128"/>
      <c r="P80" s="128"/>
    </row>
    <row r="81" spans="3:16">
      <c r="C81" s="128"/>
      <c r="D81" s="128"/>
      <c r="E81" s="128"/>
      <c r="F81" s="128"/>
      <c r="G81" s="128"/>
      <c r="H81" s="128"/>
      <c r="I81" s="128"/>
      <c r="J81" s="128"/>
      <c r="K81" s="128"/>
      <c r="L81" s="128"/>
      <c r="M81" s="128"/>
      <c r="O81" s="128"/>
      <c r="P81" s="128"/>
    </row>
    <row r="82" spans="3:16">
      <c r="C82" s="128"/>
      <c r="D82" s="128"/>
      <c r="E82" s="128"/>
      <c r="F82" s="128"/>
      <c r="G82" s="128"/>
      <c r="H82" s="128"/>
      <c r="I82" s="128"/>
      <c r="J82" s="128"/>
      <c r="K82" s="128"/>
      <c r="L82" s="128"/>
      <c r="M82" s="128"/>
      <c r="O82" s="128"/>
      <c r="P82" s="128"/>
    </row>
    <row r="83" spans="3:16">
      <c r="C83" s="128"/>
      <c r="D83" s="128"/>
      <c r="E83" s="128"/>
      <c r="F83" s="128"/>
      <c r="G83" s="128"/>
      <c r="H83" s="128"/>
      <c r="I83" s="128"/>
      <c r="J83" s="128"/>
      <c r="K83" s="128"/>
      <c r="L83" s="128"/>
      <c r="M83" s="128"/>
      <c r="O83" s="128"/>
      <c r="P83" s="128"/>
    </row>
    <row r="84" spans="3:16">
      <c r="C84" s="128"/>
      <c r="D84" s="128"/>
      <c r="E84" s="128"/>
      <c r="F84" s="128"/>
      <c r="G84" s="128"/>
      <c r="H84" s="128"/>
      <c r="I84" s="128"/>
      <c r="J84" s="128"/>
      <c r="K84" s="128"/>
      <c r="L84" s="128"/>
      <c r="M84" s="128"/>
      <c r="O84" s="128"/>
      <c r="P84" s="128"/>
    </row>
    <row r="85" spans="3:16"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O85" s="128"/>
      <c r="P85" s="128"/>
    </row>
    <row r="86" spans="3:16">
      <c r="C86" s="128"/>
      <c r="D86" s="128"/>
      <c r="E86" s="128"/>
      <c r="F86" s="128"/>
      <c r="G86" s="128"/>
      <c r="H86" s="128"/>
      <c r="I86" s="128"/>
      <c r="J86" s="128"/>
      <c r="K86" s="128"/>
      <c r="L86" s="128"/>
      <c r="M86" s="128"/>
      <c r="O86" s="128"/>
      <c r="P86" s="128"/>
    </row>
    <row r="87" spans="3:16">
      <c r="C87" s="128"/>
      <c r="D87" s="128"/>
      <c r="E87" s="128"/>
      <c r="F87" s="128"/>
      <c r="G87" s="128"/>
      <c r="H87" s="128"/>
      <c r="I87" s="128"/>
      <c r="J87" s="128"/>
      <c r="K87" s="128"/>
      <c r="L87" s="128"/>
      <c r="M87" s="128"/>
      <c r="O87" s="128"/>
      <c r="P87" s="128"/>
    </row>
    <row r="88" spans="3:16">
      <c r="C88" s="128"/>
      <c r="D88" s="128"/>
      <c r="E88" s="128"/>
      <c r="F88" s="128"/>
      <c r="G88" s="128"/>
      <c r="H88" s="128"/>
      <c r="I88" s="128"/>
      <c r="J88" s="128"/>
      <c r="K88" s="128"/>
      <c r="L88" s="128"/>
      <c r="M88" s="128"/>
      <c r="O88" s="128"/>
      <c r="P88" s="128"/>
    </row>
    <row r="89" spans="3:16">
      <c r="C89" s="128"/>
      <c r="D89" s="128"/>
      <c r="E89" s="128"/>
      <c r="F89" s="128"/>
      <c r="G89" s="128"/>
      <c r="H89" s="128"/>
      <c r="I89" s="128"/>
      <c r="J89" s="128"/>
      <c r="K89" s="128"/>
      <c r="L89" s="128"/>
      <c r="M89" s="128"/>
      <c r="O89" s="128"/>
      <c r="P89" s="128"/>
    </row>
    <row r="90" spans="3:16">
      <c r="C90" s="128"/>
      <c r="D90" s="128"/>
      <c r="E90" s="128"/>
      <c r="F90" s="128"/>
      <c r="G90" s="128"/>
      <c r="H90" s="128"/>
      <c r="I90" s="128"/>
      <c r="J90" s="128"/>
      <c r="K90" s="128"/>
      <c r="L90" s="128"/>
      <c r="M90" s="128"/>
      <c r="O90" s="128"/>
      <c r="P90" s="128"/>
    </row>
    <row r="91" spans="3:16">
      <c r="C91" s="128"/>
      <c r="D91" s="128"/>
      <c r="E91" s="128"/>
      <c r="F91" s="128"/>
      <c r="G91" s="128"/>
      <c r="H91" s="128"/>
      <c r="I91" s="128"/>
      <c r="J91" s="128"/>
      <c r="K91" s="128"/>
      <c r="L91" s="128"/>
      <c r="M91" s="128"/>
      <c r="O91" s="128"/>
      <c r="P91" s="128"/>
    </row>
    <row r="92" spans="3:16">
      <c r="C92" s="128"/>
      <c r="D92" s="128"/>
      <c r="E92" s="128"/>
      <c r="F92" s="128"/>
      <c r="G92" s="128"/>
      <c r="H92" s="128"/>
      <c r="I92" s="128"/>
      <c r="J92" s="128"/>
      <c r="K92" s="128"/>
      <c r="L92" s="128"/>
      <c r="M92" s="128"/>
      <c r="O92" s="128"/>
      <c r="P92" s="128"/>
    </row>
    <row r="93" spans="3:16">
      <c r="C93" s="128"/>
      <c r="D93" s="128"/>
      <c r="E93" s="128"/>
      <c r="F93" s="128"/>
      <c r="G93" s="128"/>
      <c r="H93" s="128"/>
      <c r="I93" s="128"/>
      <c r="J93" s="128"/>
      <c r="K93" s="128"/>
      <c r="L93" s="128"/>
      <c r="M93" s="128"/>
      <c r="O93" s="128"/>
      <c r="P93" s="128"/>
    </row>
    <row r="94" spans="3:16">
      <c r="C94" s="128"/>
      <c r="D94" s="128"/>
      <c r="E94" s="128"/>
      <c r="F94" s="128"/>
      <c r="G94" s="128"/>
      <c r="H94" s="128"/>
      <c r="I94" s="128"/>
      <c r="J94" s="128"/>
      <c r="K94" s="128"/>
      <c r="L94" s="128"/>
      <c r="M94" s="128"/>
      <c r="O94" s="128"/>
      <c r="P94" s="128"/>
    </row>
    <row r="95" spans="3:16">
      <c r="C95" s="128"/>
      <c r="D95" s="128"/>
      <c r="E95" s="128"/>
      <c r="F95" s="128"/>
      <c r="G95" s="128"/>
      <c r="H95" s="128"/>
      <c r="I95" s="128"/>
      <c r="J95" s="128"/>
      <c r="K95" s="128"/>
      <c r="L95" s="128"/>
      <c r="M95" s="128"/>
      <c r="O95" s="128"/>
      <c r="P95" s="128"/>
    </row>
    <row r="96" spans="3:16">
      <c r="C96" s="128"/>
      <c r="D96" s="128"/>
      <c r="E96" s="128"/>
      <c r="F96" s="128"/>
      <c r="G96" s="128"/>
      <c r="H96" s="128"/>
      <c r="I96" s="128"/>
      <c r="J96" s="128"/>
      <c r="K96" s="128"/>
      <c r="L96" s="128"/>
      <c r="M96" s="128"/>
      <c r="O96" s="128"/>
      <c r="P96" s="128"/>
    </row>
    <row r="97" spans="3:16">
      <c r="C97" s="128"/>
      <c r="D97" s="128"/>
      <c r="E97" s="128"/>
      <c r="F97" s="128"/>
      <c r="G97" s="128"/>
      <c r="H97" s="128"/>
      <c r="I97" s="128"/>
      <c r="J97" s="128"/>
      <c r="K97" s="128"/>
      <c r="L97" s="128"/>
      <c r="M97" s="128"/>
      <c r="O97" s="128"/>
      <c r="P97" s="128"/>
    </row>
    <row r="98" spans="3:16"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O98" s="128"/>
      <c r="P98" s="128"/>
    </row>
    <row r="99" spans="3:16"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O99" s="128"/>
      <c r="P99" s="128"/>
    </row>
    <row r="100" spans="3:16">
      <c r="C100" s="128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O100" s="128"/>
      <c r="P100" s="128"/>
    </row>
    <row r="101" spans="3:16">
      <c r="C101" s="128"/>
      <c r="D101" s="128"/>
      <c r="E101" s="128"/>
      <c r="F101" s="128"/>
      <c r="G101" s="128"/>
      <c r="H101" s="128"/>
      <c r="I101" s="128"/>
      <c r="J101" s="128"/>
      <c r="K101" s="128"/>
      <c r="L101" s="128"/>
      <c r="M101" s="128"/>
      <c r="O101" s="128"/>
      <c r="P101" s="128"/>
    </row>
    <row r="102" spans="3:16">
      <c r="C102" s="128"/>
      <c r="D102" s="128"/>
      <c r="E102" s="128"/>
      <c r="F102" s="128"/>
      <c r="G102" s="128"/>
      <c r="H102" s="128"/>
      <c r="I102" s="128"/>
      <c r="J102" s="128"/>
      <c r="K102" s="128"/>
      <c r="L102" s="128"/>
      <c r="M102" s="128"/>
      <c r="O102" s="128"/>
      <c r="P102" s="128"/>
    </row>
    <row r="103" spans="3:16">
      <c r="C103" s="128"/>
      <c r="D103" s="128"/>
      <c r="E103" s="128"/>
      <c r="F103" s="128"/>
      <c r="G103" s="128"/>
      <c r="H103" s="128"/>
      <c r="I103" s="128"/>
      <c r="J103" s="128"/>
      <c r="K103" s="128"/>
      <c r="L103" s="128"/>
      <c r="M103" s="128"/>
      <c r="O103" s="128"/>
      <c r="P103" s="128"/>
    </row>
    <row r="104" spans="3:16">
      <c r="C104" s="128"/>
      <c r="D104" s="128"/>
      <c r="E104" s="128"/>
      <c r="F104" s="128"/>
      <c r="G104" s="128"/>
      <c r="H104" s="128"/>
      <c r="I104" s="128"/>
      <c r="J104" s="128"/>
      <c r="K104" s="128"/>
      <c r="L104" s="128"/>
      <c r="M104" s="128"/>
      <c r="O104" s="128"/>
      <c r="P104" s="128"/>
    </row>
    <row r="105" spans="3:16">
      <c r="C105" s="128"/>
      <c r="D105" s="128"/>
      <c r="E105" s="128"/>
      <c r="F105" s="128"/>
      <c r="G105" s="128"/>
      <c r="H105" s="128"/>
      <c r="I105" s="128"/>
      <c r="J105" s="128"/>
      <c r="K105" s="128"/>
      <c r="L105" s="128"/>
      <c r="M105" s="128"/>
      <c r="O105" s="128"/>
      <c r="P105" s="128"/>
    </row>
    <row r="106" spans="3:16">
      <c r="C106" s="128"/>
      <c r="D106" s="128"/>
      <c r="E106" s="128"/>
      <c r="F106" s="128"/>
      <c r="G106" s="128"/>
      <c r="H106" s="128"/>
      <c r="I106" s="128"/>
      <c r="J106" s="128"/>
      <c r="K106" s="128"/>
      <c r="L106" s="128"/>
      <c r="M106" s="128"/>
      <c r="O106" s="128"/>
      <c r="P106" s="128"/>
    </row>
    <row r="107" spans="3:16">
      <c r="C107" s="128"/>
      <c r="D107" s="128"/>
      <c r="E107" s="128"/>
      <c r="F107" s="128"/>
      <c r="G107" s="128"/>
      <c r="H107" s="128"/>
      <c r="I107" s="128"/>
      <c r="J107" s="128"/>
      <c r="K107" s="128"/>
      <c r="L107" s="128"/>
      <c r="M107" s="128"/>
      <c r="O107" s="128"/>
      <c r="P107" s="128"/>
    </row>
    <row r="108" spans="3:16">
      <c r="C108" s="128"/>
      <c r="D108" s="128"/>
      <c r="E108" s="128"/>
      <c r="F108" s="128"/>
      <c r="G108" s="128"/>
      <c r="H108" s="128"/>
      <c r="I108" s="128"/>
      <c r="J108" s="128"/>
      <c r="K108" s="128"/>
      <c r="L108" s="128"/>
      <c r="M108" s="128"/>
      <c r="O108" s="128"/>
      <c r="P108" s="128"/>
    </row>
    <row r="109" spans="3:16">
      <c r="C109" s="128"/>
      <c r="D109" s="128"/>
      <c r="E109" s="128"/>
      <c r="F109" s="128"/>
      <c r="G109" s="128"/>
      <c r="H109" s="128"/>
      <c r="I109" s="128"/>
      <c r="J109" s="128"/>
      <c r="K109" s="128"/>
      <c r="L109" s="128"/>
      <c r="M109" s="128"/>
      <c r="O109" s="128"/>
      <c r="P109" s="128"/>
    </row>
    <row r="110" spans="3:16">
      <c r="C110" s="128"/>
      <c r="D110" s="128"/>
      <c r="E110" s="128"/>
      <c r="F110" s="128"/>
      <c r="G110" s="128"/>
      <c r="H110" s="128"/>
      <c r="I110" s="128"/>
      <c r="J110" s="128"/>
      <c r="K110" s="128"/>
      <c r="L110" s="128"/>
      <c r="M110" s="128"/>
      <c r="O110" s="128"/>
      <c r="P110" s="128"/>
    </row>
    <row r="111" spans="3:16">
      <c r="C111" s="128"/>
      <c r="D111" s="128"/>
      <c r="E111" s="128"/>
      <c r="F111" s="128"/>
      <c r="G111" s="128"/>
      <c r="H111" s="128"/>
      <c r="I111" s="128"/>
      <c r="J111" s="128"/>
      <c r="K111" s="128"/>
      <c r="L111" s="128"/>
      <c r="M111" s="128"/>
      <c r="O111" s="128"/>
      <c r="P111" s="128"/>
    </row>
    <row r="112" spans="3:16">
      <c r="C112" s="128"/>
      <c r="D112" s="128"/>
      <c r="E112" s="128"/>
      <c r="F112" s="128"/>
      <c r="G112" s="128"/>
      <c r="H112" s="128"/>
      <c r="I112" s="128"/>
      <c r="J112" s="128"/>
      <c r="K112" s="128"/>
      <c r="L112" s="128"/>
      <c r="M112" s="128"/>
      <c r="O112" s="128"/>
      <c r="P112" s="128"/>
    </row>
    <row r="113" spans="3:16">
      <c r="C113" s="128"/>
      <c r="D113" s="128"/>
      <c r="E113" s="128"/>
      <c r="F113" s="128"/>
      <c r="G113" s="128"/>
      <c r="H113" s="128"/>
      <c r="I113" s="128"/>
      <c r="J113" s="128"/>
      <c r="K113" s="128"/>
      <c r="L113" s="128"/>
      <c r="M113" s="128"/>
      <c r="O113" s="128"/>
      <c r="P113" s="128"/>
    </row>
    <row r="114" spans="3:16">
      <c r="C114" s="128"/>
      <c r="D114" s="128"/>
      <c r="E114" s="128"/>
      <c r="F114" s="128"/>
      <c r="G114" s="128"/>
      <c r="H114" s="128"/>
      <c r="I114" s="128"/>
      <c r="J114" s="128"/>
      <c r="K114" s="128"/>
      <c r="L114" s="128"/>
      <c r="M114" s="128"/>
      <c r="O114" s="128"/>
      <c r="P114" s="128"/>
    </row>
    <row r="115" spans="3:16">
      <c r="C115" s="128"/>
      <c r="D115" s="128"/>
      <c r="E115" s="128"/>
      <c r="F115" s="128"/>
      <c r="G115" s="128"/>
      <c r="H115" s="128"/>
      <c r="I115" s="128"/>
      <c r="J115" s="128"/>
      <c r="K115" s="128"/>
      <c r="L115" s="128"/>
      <c r="M115" s="128"/>
      <c r="O115" s="128"/>
      <c r="P115" s="128"/>
    </row>
    <row r="116" spans="3:16">
      <c r="C116" s="128"/>
      <c r="D116" s="128"/>
      <c r="E116" s="128"/>
      <c r="F116" s="128"/>
      <c r="G116" s="128"/>
      <c r="H116" s="128"/>
      <c r="I116" s="128"/>
      <c r="J116" s="128"/>
      <c r="K116" s="128"/>
      <c r="L116" s="128"/>
      <c r="M116" s="128"/>
      <c r="O116" s="128"/>
      <c r="P116" s="128"/>
    </row>
  </sheetData>
  <mergeCells count="19">
    <mergeCell ref="C16:M16"/>
    <mergeCell ref="C18:M18"/>
    <mergeCell ref="C21:M21"/>
    <mergeCell ref="B1:L1"/>
    <mergeCell ref="B4:B17"/>
    <mergeCell ref="B18:B24"/>
    <mergeCell ref="B25:B35"/>
    <mergeCell ref="B36:C36"/>
    <mergeCell ref="B2:M2"/>
    <mergeCell ref="B3:C3"/>
    <mergeCell ref="C25:M25"/>
    <mergeCell ref="C30:M30"/>
    <mergeCell ref="C32:M32"/>
    <mergeCell ref="C34:M34"/>
    <mergeCell ref="C23:M23"/>
    <mergeCell ref="C4:M4"/>
    <mergeCell ref="C7:M7"/>
    <mergeCell ref="C10:M10"/>
    <mergeCell ref="C14:M14"/>
  </mergeCells>
  <phoneticPr fontId="19" type="noConversion"/>
  <pageMargins left="0.23622047244094488" right="0.23622047244094488" top="1.5748031496062993" bottom="0.74803149606299213" header="0.31496062992125984" footer="0.31496062992125984"/>
  <pageSetup paperSize="9" orientation="landscape" horizontalDpi="300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B2:I33"/>
  <sheetViews>
    <sheetView zoomScale="120" zoomScaleNormal="120" zoomScalePageLayoutView="120" workbookViewId="0">
      <selection activeCell="G11" sqref="G11"/>
    </sheetView>
  </sheetViews>
  <sheetFormatPr baseColWidth="10" defaultRowHeight="15"/>
  <cols>
    <col min="2" max="2" width="30.85546875" customWidth="1"/>
    <col min="3" max="3" width="15.85546875" bestFit="1" customWidth="1"/>
    <col min="5" max="5" width="29.42578125" bestFit="1" customWidth="1"/>
    <col min="6" max="6" width="15.85546875" bestFit="1" customWidth="1"/>
    <col min="7" max="7" width="29.7109375" bestFit="1" customWidth="1"/>
  </cols>
  <sheetData>
    <row r="2" spans="2:9" ht="15.75" thickBot="1"/>
    <row r="3" spans="2:9">
      <c r="B3" s="459" t="s">
        <v>1</v>
      </c>
      <c r="C3" s="460"/>
      <c r="E3" s="453" t="s">
        <v>98</v>
      </c>
      <c r="F3" s="454"/>
    </row>
    <row r="4" spans="2:9" ht="15.75" thickBot="1">
      <c r="B4" s="461"/>
      <c r="C4" s="462"/>
      <c r="E4" s="455"/>
      <c r="F4" s="456"/>
      <c r="G4" s="128"/>
      <c r="H4" s="128"/>
      <c r="I4" s="128"/>
    </row>
    <row r="5" spans="2:9" ht="16.5" thickBot="1">
      <c r="B5" s="152" t="s">
        <v>0</v>
      </c>
      <c r="C5" s="153" t="s">
        <v>100</v>
      </c>
      <c r="E5" s="91" t="s">
        <v>0</v>
      </c>
      <c r="F5" s="92" t="s">
        <v>100</v>
      </c>
      <c r="G5" s="162"/>
      <c r="H5" s="128"/>
      <c r="I5" s="128"/>
    </row>
    <row r="6" spans="2:9" ht="16.5" thickBot="1">
      <c r="B6" s="449" t="s">
        <v>4</v>
      </c>
      <c r="C6" s="463"/>
      <c r="E6" s="449" t="s">
        <v>15</v>
      </c>
      <c r="F6" s="450"/>
      <c r="G6" s="162"/>
      <c r="H6" s="128"/>
      <c r="I6" s="128"/>
    </row>
    <row r="7" spans="2:9" ht="15.75">
      <c r="B7" s="74" t="s">
        <v>148</v>
      </c>
      <c r="C7" s="147">
        <f>Supuestos!$J$32*Supuestos!$C$12</f>
        <v>6191.277</v>
      </c>
      <c r="E7" s="74" t="s">
        <v>54</v>
      </c>
      <c r="F7" s="147">
        <f>'S&amp;S'!K7</f>
        <v>8702.4000000000015</v>
      </c>
      <c r="G7" s="162"/>
      <c r="H7" s="128"/>
      <c r="I7" s="128"/>
    </row>
    <row r="8" spans="2:9" ht="16.5" thickBot="1">
      <c r="B8" s="148" t="s">
        <v>73</v>
      </c>
      <c r="C8" s="145">
        <v>7200</v>
      </c>
      <c r="E8" s="75" t="s">
        <v>55</v>
      </c>
      <c r="F8" s="144">
        <f>'S&amp;S'!K6</f>
        <v>7614.5999999999995</v>
      </c>
      <c r="G8" s="163"/>
      <c r="H8" s="164"/>
      <c r="I8" s="128"/>
    </row>
    <row r="9" spans="2:9" ht="16.5" thickBot="1">
      <c r="B9" s="449" t="s">
        <v>3</v>
      </c>
      <c r="C9" s="463"/>
      <c r="E9" s="75" t="s">
        <v>277</v>
      </c>
      <c r="F9" s="144">
        <f>'S&amp;S'!K12</f>
        <v>7614.5999999999995</v>
      </c>
      <c r="G9" s="165"/>
      <c r="H9" s="165"/>
      <c r="I9" s="128"/>
    </row>
    <row r="10" spans="2:9" ht="16.5" thickBot="1">
      <c r="B10" s="151" t="s">
        <v>68</v>
      </c>
      <c r="C10" s="156">
        <f>Supuestos!$J$33*Supuestos!$C$15</f>
        <v>4800</v>
      </c>
      <c r="E10" s="148" t="s">
        <v>63</v>
      </c>
      <c r="F10" s="145">
        <f>'S&amp;S'!K13</f>
        <v>7614.5999999999995</v>
      </c>
      <c r="G10" s="165"/>
      <c r="H10" s="165"/>
      <c r="I10" s="128"/>
    </row>
    <row r="11" spans="2:9" ht="16.5" thickBot="1">
      <c r="B11" s="449" t="s">
        <v>8</v>
      </c>
      <c r="C11" s="463"/>
      <c r="E11" s="449" t="s">
        <v>99</v>
      </c>
      <c r="F11" s="450"/>
      <c r="G11" s="165"/>
      <c r="H11" s="165"/>
      <c r="I11" s="128"/>
    </row>
    <row r="12" spans="2:9" ht="16.5" thickBot="1">
      <c r="B12" s="151" t="s">
        <v>9</v>
      </c>
      <c r="C12" s="157">
        <f>'S&amp;S'!K11</f>
        <v>4351.2000000000007</v>
      </c>
      <c r="E12" s="151" t="s">
        <v>16</v>
      </c>
      <c r="F12" s="156">
        <v>3600</v>
      </c>
      <c r="G12" s="165"/>
      <c r="H12" s="165"/>
      <c r="I12" s="128"/>
    </row>
    <row r="13" spans="2:9" ht="16.5" thickBot="1">
      <c r="B13" s="155" t="s">
        <v>2</v>
      </c>
      <c r="C13" s="158">
        <f>C7+C8+C10+C12</f>
        <v>22542.477000000003</v>
      </c>
      <c r="E13" s="457" t="s">
        <v>17</v>
      </c>
      <c r="F13" s="458"/>
      <c r="G13" s="32"/>
      <c r="H13" s="32"/>
      <c r="I13" s="128"/>
    </row>
    <row r="14" spans="2:9" ht="16.5" thickBot="1">
      <c r="B14" s="149"/>
      <c r="C14" s="150"/>
      <c r="E14" s="151" t="s">
        <v>18</v>
      </c>
      <c r="F14" s="156">
        <f>E.Oper.1!D33</f>
        <v>4000</v>
      </c>
      <c r="G14" s="32"/>
      <c r="H14" s="32"/>
      <c r="I14" s="128"/>
    </row>
    <row r="15" spans="2:9" ht="16.5" thickBot="1">
      <c r="E15" s="449" t="s">
        <v>20</v>
      </c>
      <c r="F15" s="450"/>
      <c r="G15" s="143"/>
      <c r="H15" s="128"/>
      <c r="I15" s="128"/>
    </row>
    <row r="16" spans="2:9" ht="16.5" thickBot="1">
      <c r="B16" s="459" t="s">
        <v>21</v>
      </c>
      <c r="C16" s="460"/>
      <c r="E16" s="151" t="s">
        <v>19</v>
      </c>
      <c r="F16" s="156">
        <f>E.Oper.1!D35</f>
        <v>250</v>
      </c>
      <c r="G16" s="143"/>
      <c r="H16" s="143"/>
      <c r="I16" s="128"/>
    </row>
    <row r="17" spans="2:6" ht="16.5" thickBot="1">
      <c r="B17" s="461"/>
      <c r="C17" s="462"/>
      <c r="E17" s="155" t="s">
        <v>151</v>
      </c>
      <c r="F17" s="158">
        <f>SUM(F7:F10,F12,F14,F16)</f>
        <v>39396.199999999997</v>
      </c>
    </row>
    <row r="18" spans="2:6" ht="16.5" thickBot="1">
      <c r="B18" s="152" t="s">
        <v>0</v>
      </c>
      <c r="C18" s="153" t="s">
        <v>100</v>
      </c>
    </row>
    <row r="19" spans="2:6" ht="16.5" thickBot="1">
      <c r="B19" s="449" t="s">
        <v>6</v>
      </c>
      <c r="C19" s="464"/>
    </row>
    <row r="20" spans="2:6" ht="15.75">
      <c r="B20" s="74" t="s">
        <v>143</v>
      </c>
      <c r="C20" s="147">
        <f>E.Oper.1!D5</f>
        <v>3255.3504000000003</v>
      </c>
    </row>
    <row r="21" spans="2:6" ht="16.5" thickBot="1">
      <c r="B21" s="148" t="s">
        <v>144</v>
      </c>
      <c r="C21" s="145">
        <f>E.Oper.1!D6</f>
        <v>1728</v>
      </c>
    </row>
    <row r="22" spans="2:6" ht="16.5" thickBot="1">
      <c r="B22" s="449" t="s">
        <v>7</v>
      </c>
      <c r="C22" s="450"/>
    </row>
    <row r="23" spans="2:6" ht="15.75">
      <c r="B23" s="74" t="s">
        <v>143</v>
      </c>
      <c r="C23" s="147">
        <v>304.06</v>
      </c>
    </row>
    <row r="24" spans="2:6" ht="16.5" thickBot="1">
      <c r="B24" s="148" t="s">
        <v>144</v>
      </c>
      <c r="C24" s="145">
        <v>225</v>
      </c>
    </row>
    <row r="25" spans="2:6" ht="16.5" thickBot="1">
      <c r="B25" s="449" t="s">
        <v>5</v>
      </c>
      <c r="C25" s="450"/>
    </row>
    <row r="26" spans="2:6" ht="15.75">
      <c r="B26" s="159" t="s">
        <v>10</v>
      </c>
      <c r="C26" s="147">
        <f>'S&amp;S'!K8</f>
        <v>13053.599999999999</v>
      </c>
      <c r="D26" s="4"/>
      <c r="E26" s="4"/>
      <c r="F26" s="4"/>
    </row>
    <row r="27" spans="2:6" ht="15.75">
      <c r="B27" s="160" t="s">
        <v>11</v>
      </c>
      <c r="C27" s="144">
        <f>'S&amp;S'!K9</f>
        <v>11421.900000000001</v>
      </c>
    </row>
    <row r="28" spans="2:6" ht="16.5" thickBot="1">
      <c r="B28" s="161" t="s">
        <v>127</v>
      </c>
      <c r="C28" s="145">
        <f>'S&amp;S'!K10</f>
        <v>34265.699999999997</v>
      </c>
    </row>
    <row r="29" spans="2:6" ht="16.5" thickBot="1">
      <c r="B29" s="451" t="s">
        <v>12</v>
      </c>
      <c r="C29" s="452"/>
    </row>
    <row r="30" spans="2:6" ht="16.5" thickBot="1">
      <c r="B30" s="151" t="s">
        <v>13</v>
      </c>
      <c r="C30" s="156">
        <f>E.Oper.1!D15</f>
        <v>84758.399999999994</v>
      </c>
    </row>
    <row r="31" spans="2:6" ht="16.5" thickBot="1">
      <c r="B31" s="451" t="s">
        <v>14</v>
      </c>
      <c r="C31" s="452"/>
    </row>
    <row r="32" spans="2:6" ht="15.75">
      <c r="B32" s="74" t="s">
        <v>114</v>
      </c>
      <c r="C32" s="147">
        <f>E.Oper.1!D17</f>
        <v>144237.84723578879</v>
      </c>
    </row>
    <row r="33" spans="2:3" ht="16.5" thickBot="1">
      <c r="B33" s="146" t="s">
        <v>2</v>
      </c>
      <c r="C33" s="154">
        <f>C20+C21+C23+C24+C26+C27+C28+C30+C32</f>
        <v>293249.85763578879</v>
      </c>
    </row>
  </sheetData>
  <mergeCells count="15">
    <mergeCell ref="B25:C25"/>
    <mergeCell ref="B22:C22"/>
    <mergeCell ref="B29:C29"/>
    <mergeCell ref="B31:C31"/>
    <mergeCell ref="E3:F4"/>
    <mergeCell ref="E6:F6"/>
    <mergeCell ref="E11:F11"/>
    <mergeCell ref="E15:F15"/>
    <mergeCell ref="E13:F13"/>
    <mergeCell ref="B3:C4"/>
    <mergeCell ref="B6:C6"/>
    <mergeCell ref="B9:C9"/>
    <mergeCell ref="B16:C17"/>
    <mergeCell ref="B19:C19"/>
    <mergeCell ref="B11:C11"/>
  </mergeCells>
  <phoneticPr fontId="19" type="noConversion"/>
  <pageMargins left="0.7" right="0.7" top="0.75" bottom="0.75" header="0.3" footer="0.3"/>
  <pageSetup paperSize="119" orientation="portrait" horizontalDpi="4294967292" verticalDpi="4294967292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9:Q47"/>
  <sheetViews>
    <sheetView zoomScalePageLayoutView="120" workbookViewId="0">
      <selection activeCell="G6" sqref="G6"/>
    </sheetView>
  </sheetViews>
  <sheetFormatPr baseColWidth="10" defaultColWidth="10.85546875" defaultRowHeight="15.75"/>
  <cols>
    <col min="1" max="1" width="11" style="11" customWidth="1"/>
    <col min="2" max="16" width="9.140625" style="11" bestFit="1" customWidth="1"/>
    <col min="17" max="17" width="17" style="11" bestFit="1" customWidth="1"/>
    <col min="18" max="23" width="13.85546875" style="11" bestFit="1" customWidth="1"/>
    <col min="24" max="16384" width="10.85546875" style="11"/>
  </cols>
  <sheetData>
    <row r="9" spans="1:14">
      <c r="B9" s="471" t="s">
        <v>284</v>
      </c>
      <c r="C9" s="471"/>
      <c r="D9" s="471"/>
      <c r="E9" s="471"/>
      <c r="F9" s="471"/>
      <c r="G9" s="471"/>
      <c r="H9" s="471"/>
      <c r="I9" s="471"/>
      <c r="J9" s="471"/>
      <c r="K9" s="471"/>
      <c r="L9" s="471"/>
      <c r="M9" s="471"/>
      <c r="N9" s="471"/>
    </row>
    <row r="10" spans="1:14">
      <c r="A10" s="343"/>
      <c r="B10" s="471"/>
      <c r="C10" s="471"/>
      <c r="D10" s="471"/>
      <c r="E10" s="471"/>
      <c r="F10" s="471"/>
      <c r="G10" s="471"/>
      <c r="H10" s="471"/>
      <c r="I10" s="471"/>
      <c r="J10" s="471"/>
      <c r="K10" s="471"/>
      <c r="L10" s="471"/>
      <c r="M10" s="471"/>
      <c r="N10" s="471"/>
    </row>
    <row r="11" spans="1:14">
      <c r="A11" s="124"/>
    </row>
    <row r="12" spans="1:14">
      <c r="A12" s="124"/>
    </row>
    <row r="13" spans="1:14">
      <c r="A13" s="124"/>
    </row>
    <row r="14" spans="1:14">
      <c r="A14" s="124"/>
    </row>
    <row r="15" spans="1:14" ht="16.5" thickBot="1"/>
    <row r="16" spans="1:14">
      <c r="B16" s="465" t="s">
        <v>92</v>
      </c>
      <c r="C16" s="466"/>
      <c r="D16" s="466"/>
      <c r="E16" s="466"/>
      <c r="F16" s="466"/>
      <c r="G16" s="466"/>
      <c r="H16" s="466"/>
      <c r="I16" s="466"/>
      <c r="J16" s="466"/>
      <c r="K16" s="466"/>
      <c r="L16" s="466"/>
      <c r="M16" s="466"/>
      <c r="N16" s="467"/>
    </row>
    <row r="17" spans="1:16" ht="19.5" customHeight="1" thickBot="1">
      <c r="A17" s="122"/>
      <c r="B17" s="468"/>
      <c r="C17" s="469"/>
      <c r="D17" s="469"/>
      <c r="E17" s="469"/>
      <c r="F17" s="469"/>
      <c r="G17" s="469"/>
      <c r="H17" s="469"/>
      <c r="I17" s="469"/>
      <c r="J17" s="469"/>
      <c r="K17" s="469"/>
      <c r="L17" s="469"/>
      <c r="M17" s="469"/>
      <c r="N17" s="470"/>
      <c r="O17" s="133"/>
      <c r="P17" s="133"/>
    </row>
    <row r="18" spans="1:16" ht="19.5" customHeight="1" thickBot="1">
      <c r="A18" s="123"/>
      <c r="B18" s="129">
        <v>2008</v>
      </c>
      <c r="C18" s="131">
        <v>2009</v>
      </c>
      <c r="D18" s="131">
        <v>2010</v>
      </c>
      <c r="E18" s="130">
        <v>2011</v>
      </c>
      <c r="F18" s="130">
        <v>2012</v>
      </c>
      <c r="G18" s="130">
        <v>2013</v>
      </c>
      <c r="H18" s="130">
        <v>2014</v>
      </c>
      <c r="I18" s="130">
        <v>2015</v>
      </c>
      <c r="J18" s="131">
        <v>2016</v>
      </c>
      <c r="K18" s="131">
        <v>2017</v>
      </c>
      <c r="L18" s="130">
        <v>2018</v>
      </c>
      <c r="M18" s="130">
        <v>2019</v>
      </c>
      <c r="N18" s="132">
        <v>2020</v>
      </c>
      <c r="O18" s="134">
        <v>2021</v>
      </c>
      <c r="P18" s="134">
        <v>2022</v>
      </c>
    </row>
    <row r="19" spans="1:16" ht="39" customHeight="1" thickBot="1">
      <c r="A19" s="324" t="s">
        <v>96</v>
      </c>
      <c r="B19" s="325">
        <f>Supuestos!$H$35</f>
        <v>1021104</v>
      </c>
      <c r="C19" s="326">
        <f>B19*(1+Supuestos!$J$30)</f>
        <v>1041526.0800000001</v>
      </c>
      <c r="D19" s="326">
        <f>C19*(1+Supuestos!$J$30)</f>
        <v>1062356.6016000002</v>
      </c>
      <c r="E19" s="326">
        <f>D19*(1+Supuestos!$J$30)</f>
        <v>1083603.7336320002</v>
      </c>
      <c r="F19" s="326">
        <f>E19*(1+Supuestos!$J$30)</f>
        <v>1105275.8083046402</v>
      </c>
      <c r="G19" s="326">
        <f>F19*(1+Supuestos!$J$30)</f>
        <v>1127381.3244707331</v>
      </c>
      <c r="H19" s="326">
        <f>G19*(1+Supuestos!$J$30)</f>
        <v>1149928.9509601477</v>
      </c>
      <c r="I19" s="326">
        <f>H19*(1+Supuestos!$J$30)</f>
        <v>1172927.5299793507</v>
      </c>
      <c r="J19" s="326">
        <f>I19*(1+Supuestos!$J$30)</f>
        <v>1196386.0805789379</v>
      </c>
      <c r="K19" s="326">
        <f>J19*(1+Supuestos!$J$30)</f>
        <v>1220313.8021905166</v>
      </c>
      <c r="L19" s="326">
        <f>K19*(1+Supuestos!$J$30)</f>
        <v>1244720.078234327</v>
      </c>
      <c r="M19" s="326">
        <f>L19*(1+Supuestos!$J$30)</f>
        <v>1269614.4797990136</v>
      </c>
      <c r="N19" s="327">
        <f>M19*(1+Supuestos!$J$30)</f>
        <v>1295006.7693949938</v>
      </c>
      <c r="O19" s="121">
        <f>N19*(1+Supuestos!$J$30)</f>
        <v>1320906.9047828936</v>
      </c>
      <c r="P19" s="121">
        <f>O19*(1+Supuestos!$J$30)</f>
        <v>1347325.0428785514</v>
      </c>
    </row>
    <row r="20" spans="1:16">
      <c r="A20" s="1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  <row r="21" spans="1:16">
      <c r="A21" s="1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>
      <c r="A22" s="1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</row>
    <row r="23" spans="1:16">
      <c r="A23" s="1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</row>
    <row r="24" spans="1:16">
      <c r="A24" s="1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344">
        <v>123</v>
      </c>
      <c r="O24" s="15"/>
      <c r="P24" s="15"/>
    </row>
    <row r="25" spans="1:16">
      <c r="A25" s="14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</row>
    <row r="26" spans="1:16">
      <c r="A26" s="14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</row>
    <row r="27" spans="1:16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</row>
    <row r="28" spans="1:16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1:16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1:16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1:16">
      <c r="A31" s="14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1:16">
      <c r="A32" s="12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</row>
    <row r="33" spans="1:17">
      <c r="A33" s="12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</row>
    <row r="47" spans="1:17">
      <c r="Q47" s="13"/>
    </row>
  </sheetData>
  <mergeCells count="2">
    <mergeCell ref="B16:N17"/>
    <mergeCell ref="B9:N10"/>
  </mergeCells>
  <phoneticPr fontId="19" type="noConversion"/>
  <pageMargins left="0.7" right="0.7" top="0.75" bottom="0.75" header="0.3" footer="0.3"/>
  <pageSetup paperSize="9" orientation="landscape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B1:I25"/>
  <sheetViews>
    <sheetView zoomScalePageLayoutView="120" workbookViewId="0">
      <selection activeCell="F28" sqref="F28"/>
    </sheetView>
  </sheetViews>
  <sheetFormatPr baseColWidth="10" defaultRowHeight="15"/>
  <cols>
    <col min="2" max="2" width="30" bestFit="1" customWidth="1"/>
    <col min="3" max="3" width="15.140625" bestFit="1" customWidth="1"/>
    <col min="6" max="6" width="32" customWidth="1"/>
    <col min="7" max="7" width="14.140625" customWidth="1"/>
    <col min="8" max="8" width="14.28515625" customWidth="1"/>
  </cols>
  <sheetData>
    <row r="1" spans="2:9" ht="15.75" thickBot="1"/>
    <row r="2" spans="2:9" ht="22.5" customHeight="1" thickBot="1">
      <c r="B2" s="485" t="s">
        <v>78</v>
      </c>
      <c r="C2" s="486"/>
      <c r="F2" s="472" t="s">
        <v>81</v>
      </c>
      <c r="G2" s="473"/>
    </row>
    <row r="3" spans="2:9" ht="16.5" thickBot="1">
      <c r="B3" s="76" t="s">
        <v>65</v>
      </c>
      <c r="C3" s="77" t="s">
        <v>76</v>
      </c>
      <c r="F3" s="87" t="s">
        <v>65</v>
      </c>
      <c r="G3" s="88" t="s">
        <v>80</v>
      </c>
    </row>
    <row r="4" spans="2:9" ht="16.5" thickBot="1">
      <c r="B4" s="483" t="s">
        <v>72</v>
      </c>
      <c r="C4" s="484"/>
      <c r="F4" s="89" t="s">
        <v>64</v>
      </c>
      <c r="G4" s="90">
        <f>-CdT!C13</f>
        <v>29599.044552982396</v>
      </c>
      <c r="H4" s="4"/>
    </row>
    <row r="5" spans="2:9" ht="16.5" thickBot="1">
      <c r="B5" s="78" t="s">
        <v>73</v>
      </c>
      <c r="C5" s="79">
        <f>SUM(Supuestos!D2:D8)</f>
        <v>184134.10680000001</v>
      </c>
      <c r="F5" s="281" t="s">
        <v>78</v>
      </c>
      <c r="G5" s="282">
        <f>C19</f>
        <v>442538.04680000001</v>
      </c>
    </row>
    <row r="6" spans="2:9" ht="16.5" thickBot="1">
      <c r="B6" s="80" t="s">
        <v>148</v>
      </c>
      <c r="C6" s="81">
        <f>Supuestos!D12</f>
        <v>61912.770000000004</v>
      </c>
      <c r="F6" s="283" t="s">
        <v>79</v>
      </c>
      <c r="G6" s="284">
        <f>(SUM(G4:G5))</f>
        <v>472137.09135298239</v>
      </c>
      <c r="H6" s="4"/>
    </row>
    <row r="7" spans="2:9" ht="16.5" thickBot="1">
      <c r="B7" s="82" t="s">
        <v>202</v>
      </c>
      <c r="C7" s="83">
        <f>Supuestos!D14</f>
        <v>3584</v>
      </c>
    </row>
    <row r="8" spans="2:9" ht="16.5" thickBot="1">
      <c r="B8" s="481" t="s">
        <v>75</v>
      </c>
      <c r="C8" s="482"/>
    </row>
    <row r="9" spans="2:9" ht="16.5" thickBot="1">
      <c r="B9" s="84" t="s">
        <v>68</v>
      </c>
      <c r="C9" s="85">
        <f>SUM(Supuestos!D15:D17)</f>
        <v>71480</v>
      </c>
    </row>
    <row r="10" spans="2:9" ht="16.5" thickBot="1">
      <c r="B10" s="479" t="s">
        <v>69</v>
      </c>
      <c r="C10" s="480"/>
      <c r="F10" s="474" t="s">
        <v>86</v>
      </c>
      <c r="G10" s="475"/>
      <c r="H10" s="476"/>
    </row>
    <row r="11" spans="2:9" ht="16.5" thickBot="1">
      <c r="B11" s="80" t="s">
        <v>69</v>
      </c>
      <c r="C11" s="81">
        <f>Supuestos!D10</f>
        <v>64826.28</v>
      </c>
      <c r="F11" s="91" t="s">
        <v>65</v>
      </c>
      <c r="G11" s="92" t="s">
        <v>83</v>
      </c>
      <c r="H11" s="93" t="s">
        <v>84</v>
      </c>
    </row>
    <row r="12" spans="2:9" ht="16.5" thickBot="1">
      <c r="B12" s="82" t="s">
        <v>70</v>
      </c>
      <c r="C12" s="83">
        <f>Supuestos!J14</f>
        <v>1383.23</v>
      </c>
      <c r="F12" s="74" t="s">
        <v>82</v>
      </c>
      <c r="G12" s="94">
        <f>H12/H14</f>
        <v>0.21837745326159216</v>
      </c>
      <c r="H12" s="95">
        <f>Supuestos!B19</f>
        <v>103104.09559999999</v>
      </c>
    </row>
    <row r="13" spans="2:9" ht="16.5" thickBot="1">
      <c r="B13" s="477" t="s">
        <v>74</v>
      </c>
      <c r="C13" s="478"/>
      <c r="F13" s="148" t="s">
        <v>85</v>
      </c>
      <c r="G13" s="285">
        <f>G14-G12</f>
        <v>0.78162254673840781</v>
      </c>
      <c r="H13" s="286">
        <f>ROUNDDOWN(H14-H12,2)</f>
        <v>369032.99</v>
      </c>
      <c r="I13" s="4"/>
    </row>
    <row r="14" spans="2:9" ht="16.5" thickBot="1">
      <c r="B14" s="78" t="s">
        <v>77</v>
      </c>
      <c r="C14" s="79">
        <f>Supuestos!D11</f>
        <v>5000</v>
      </c>
      <c r="F14" s="287" t="s">
        <v>79</v>
      </c>
      <c r="G14" s="288">
        <v>1</v>
      </c>
      <c r="H14" s="289">
        <f>G6</f>
        <v>472137.09135298239</v>
      </c>
    </row>
    <row r="15" spans="2:9" ht="16.5" thickBot="1">
      <c r="B15" s="82" t="s">
        <v>66</v>
      </c>
      <c r="C15" s="83">
        <f>Supuestos!D9</f>
        <v>47517.66</v>
      </c>
    </row>
    <row r="16" spans="2:9" ht="16.5" thickBot="1">
      <c r="B16" s="477" t="s">
        <v>67</v>
      </c>
      <c r="C16" s="478"/>
    </row>
    <row r="17" spans="2:3" ht="15" customHeight="1">
      <c r="B17" s="78" t="s">
        <v>67</v>
      </c>
      <c r="C17" s="79">
        <f>Supuestos!B18</f>
        <v>2000</v>
      </c>
    </row>
    <row r="18" spans="2:3" ht="16.5" thickBot="1">
      <c r="B18" s="86" t="s">
        <v>221</v>
      </c>
      <c r="C18" s="83">
        <f>Supuestos!B21</f>
        <v>700</v>
      </c>
    </row>
    <row r="19" spans="2:3" ht="16.5" thickBot="1">
      <c r="B19" s="118" t="s">
        <v>151</v>
      </c>
      <c r="C19" s="119">
        <f>SUM(C5:C18)</f>
        <v>442538.04680000001</v>
      </c>
    </row>
    <row r="24" spans="2:3">
      <c r="B24" s="70" t="s">
        <v>150</v>
      </c>
      <c r="C24" s="72">
        <f>Supuestos!B19</f>
        <v>103104.09559999999</v>
      </c>
    </row>
    <row r="25" spans="2:3" ht="15.75" thickBot="1">
      <c r="B25" s="71" t="s">
        <v>71</v>
      </c>
      <c r="C25" s="73">
        <f>C19-C24</f>
        <v>339433.95120000001</v>
      </c>
    </row>
  </sheetData>
  <mergeCells count="8">
    <mergeCell ref="F2:G2"/>
    <mergeCell ref="F10:H10"/>
    <mergeCell ref="B16:C16"/>
    <mergeCell ref="B13:C13"/>
    <mergeCell ref="B10:C10"/>
    <mergeCell ref="B8:C8"/>
    <mergeCell ref="B4:C4"/>
    <mergeCell ref="B2:C2"/>
  </mergeCells>
  <phoneticPr fontId="19" type="noConversion"/>
  <pageMargins left="0.7" right="0.7" top="0.75" bottom="0.75" header="0.3" footer="0.3"/>
  <pageSetup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 published="0" enableFormatConditionsCalculation="0"/>
  <dimension ref="A1:O19"/>
  <sheetViews>
    <sheetView zoomScalePageLayoutView="120" workbookViewId="0">
      <selection activeCell="G18" sqref="G18"/>
    </sheetView>
  </sheetViews>
  <sheetFormatPr baseColWidth="10" defaultRowHeight="15"/>
  <cols>
    <col min="1" max="1" width="7.85546875" style="330" customWidth="1"/>
    <col min="2" max="2" width="13.7109375" style="65" bestFit="1" customWidth="1"/>
    <col min="3" max="4" width="9.85546875" bestFit="1" customWidth="1"/>
    <col min="5" max="10" width="9.140625" bestFit="1" customWidth="1"/>
    <col min="11" max="11" width="11.42578125" bestFit="1" customWidth="1"/>
    <col min="12" max="12" width="9.140625" bestFit="1" customWidth="1"/>
    <col min="13" max="13" width="11.140625" bestFit="1" customWidth="1"/>
    <col min="14" max="14" width="10.140625" bestFit="1" customWidth="1"/>
  </cols>
  <sheetData>
    <row r="1" spans="2:15" ht="15.75" customHeight="1">
      <c r="B1" s="416" t="s">
        <v>283</v>
      </c>
      <c r="C1" s="416"/>
      <c r="D1" s="416"/>
      <c r="E1" s="416"/>
      <c r="F1" s="416"/>
      <c r="G1" s="416"/>
      <c r="H1" s="416"/>
      <c r="I1" s="416"/>
      <c r="J1" s="416"/>
      <c r="K1" s="416"/>
      <c r="L1" s="416"/>
      <c r="M1" s="416"/>
      <c r="N1" s="416"/>
    </row>
    <row r="2" spans="2:15">
      <c r="B2" s="416"/>
      <c r="C2" s="416"/>
      <c r="D2" s="416"/>
      <c r="E2" s="416"/>
      <c r="F2" s="416"/>
      <c r="G2" s="416"/>
      <c r="H2" s="416"/>
      <c r="I2" s="416"/>
      <c r="J2" s="416"/>
      <c r="K2" s="416"/>
      <c r="L2" s="416"/>
      <c r="M2" s="416"/>
      <c r="N2" s="416"/>
    </row>
    <row r="3" spans="2:15" s="330" customFormat="1" ht="15.75">
      <c r="B3" s="348"/>
      <c r="C3" s="348"/>
      <c r="D3" s="348"/>
      <c r="E3" s="348"/>
      <c r="F3" s="348"/>
      <c r="G3" s="348"/>
      <c r="H3" s="348"/>
      <c r="I3" s="348"/>
      <c r="J3" s="348"/>
      <c r="K3" s="348"/>
      <c r="L3" s="348"/>
      <c r="M3" s="348"/>
      <c r="N3" s="348"/>
    </row>
    <row r="4" spans="2:15" s="330" customFormat="1" ht="15.75"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</row>
    <row r="6" spans="2:15" ht="45" customHeight="1">
      <c r="B6" s="425" t="s">
        <v>64</v>
      </c>
      <c r="C6" s="425"/>
      <c r="D6" s="425"/>
      <c r="E6" s="425"/>
      <c r="F6" s="425"/>
      <c r="G6" s="425"/>
      <c r="H6" s="425"/>
      <c r="I6" s="425"/>
      <c r="J6" s="425"/>
      <c r="K6" s="425"/>
      <c r="L6" s="425"/>
      <c r="M6" s="425"/>
      <c r="N6" s="425"/>
    </row>
    <row r="7" spans="2:15" ht="15.75" thickBot="1"/>
    <row r="8" spans="2:15" ht="15.75" thickBot="1">
      <c r="C8" s="487">
        <v>2010</v>
      </c>
      <c r="D8" s="488"/>
      <c r="E8" s="488"/>
      <c r="F8" s="488"/>
      <c r="G8" s="488"/>
      <c r="H8" s="488"/>
      <c r="I8" s="488"/>
      <c r="J8" s="488"/>
      <c r="K8" s="488"/>
      <c r="L8" s="488"/>
      <c r="M8" s="488"/>
      <c r="N8" s="489"/>
    </row>
    <row r="9" spans="2:15" ht="17.25" customHeight="1" thickBot="1">
      <c r="B9" s="69" t="s">
        <v>65</v>
      </c>
      <c r="C9" s="138" t="s">
        <v>102</v>
      </c>
      <c r="D9" s="136" t="s">
        <v>103</v>
      </c>
      <c r="E9" s="137" t="s">
        <v>104</v>
      </c>
      <c r="F9" s="136" t="s">
        <v>105</v>
      </c>
      <c r="G9" s="137" t="s">
        <v>106</v>
      </c>
      <c r="H9" s="136" t="s">
        <v>107</v>
      </c>
      <c r="I9" s="137" t="s">
        <v>108</v>
      </c>
      <c r="J9" s="136" t="s">
        <v>109</v>
      </c>
      <c r="K9" s="137" t="s">
        <v>110</v>
      </c>
      <c r="L9" s="136" t="s">
        <v>111</v>
      </c>
      <c r="M9" s="137" t="s">
        <v>112</v>
      </c>
      <c r="N9" s="136" t="s">
        <v>113</v>
      </c>
    </row>
    <row r="10" spans="2:15" ht="30">
      <c r="B10" s="68" t="s">
        <v>164</v>
      </c>
      <c r="C10" s="139">
        <v>0</v>
      </c>
      <c r="D10" s="142">
        <f>Ingresos!$C$15/Supuestos!$J$8</f>
        <v>40576.120200000005</v>
      </c>
      <c r="E10" s="141">
        <f>Ingresos!$C$15/Supuestos!$J$8</f>
        <v>40576.120200000005</v>
      </c>
      <c r="F10" s="142">
        <f>Ingresos!$C$15/Supuestos!$J$8</f>
        <v>40576.120200000005</v>
      </c>
      <c r="G10" s="141">
        <f>Ingresos!$C$15/Supuestos!$J$8</f>
        <v>40576.120200000005</v>
      </c>
      <c r="H10" s="142">
        <f>Ingresos!$C$15/Supuestos!$J$8</f>
        <v>40576.120200000005</v>
      </c>
      <c r="I10" s="141">
        <f>Ingresos!$C$15/Supuestos!$J$8</f>
        <v>40576.120200000005</v>
      </c>
      <c r="J10" s="142">
        <f>Ingresos!$C$15/Supuestos!$J$8</f>
        <v>40576.120200000005</v>
      </c>
      <c r="K10" s="141">
        <f>Ingresos!$C$15/Supuestos!$J$8</f>
        <v>40576.120200000005</v>
      </c>
      <c r="L10" s="142">
        <f>Ingresos!$C$15/Supuestos!$J$8</f>
        <v>40576.120200000005</v>
      </c>
      <c r="M10" s="141">
        <f>Ingresos!$C$15/Supuestos!$J$8</f>
        <v>40576.120200000005</v>
      </c>
      <c r="N10" s="142">
        <f>Ingresos!$C$15/Supuestos!$J$8</f>
        <v>40576.120200000005</v>
      </c>
      <c r="O10" s="4"/>
    </row>
    <row r="11" spans="2:15" ht="30" customHeight="1">
      <c r="B11" s="66" t="s">
        <v>165</v>
      </c>
      <c r="C11" s="140">
        <f>E.Oper.1!$D$36/Supuestos!$J$8</f>
        <v>29599.044552982396</v>
      </c>
      <c r="D11" s="140">
        <f>E.Oper.1!$D$36/Supuestos!$J$8</f>
        <v>29599.044552982396</v>
      </c>
      <c r="E11" s="140">
        <f>E.Oper.1!$D$36/Supuestos!$J$8</f>
        <v>29599.044552982396</v>
      </c>
      <c r="F11" s="140">
        <f>E.Oper.1!$D$36/Supuestos!$J$8</f>
        <v>29599.044552982396</v>
      </c>
      <c r="G11" s="140">
        <f>E.Oper.1!$D$36/Supuestos!$J$8</f>
        <v>29599.044552982396</v>
      </c>
      <c r="H11" s="140">
        <f>E.Oper.1!$D$36/Supuestos!$J$8</f>
        <v>29599.044552982396</v>
      </c>
      <c r="I11" s="140">
        <f>E.Oper.1!$D$36/Supuestos!$J$8</f>
        <v>29599.044552982396</v>
      </c>
      <c r="J11" s="140">
        <f>E.Oper.1!$D$36/Supuestos!$J$8</f>
        <v>29599.044552982396</v>
      </c>
      <c r="K11" s="140">
        <f>E.Oper.1!$D$36/Supuestos!$J$8</f>
        <v>29599.044552982396</v>
      </c>
      <c r="L11" s="140">
        <f>E.Oper.1!$D$36/Supuestos!$J$8</f>
        <v>29599.044552982396</v>
      </c>
      <c r="M11" s="140">
        <f>E.Oper.1!$D$36/Supuestos!$J$8</f>
        <v>29599.044552982396</v>
      </c>
      <c r="N11" s="67">
        <f>E.Oper.1!$D$36/Supuestos!$J$8</f>
        <v>29599.044552982396</v>
      </c>
    </row>
    <row r="12" spans="2:15" ht="30" customHeight="1" thickBot="1">
      <c r="B12" s="272" t="s">
        <v>163</v>
      </c>
      <c r="C12" s="273">
        <f>C10-C11</f>
        <v>-29599.044552982396</v>
      </c>
      <c r="D12" s="274">
        <f>D10-D11</f>
        <v>10977.075647017609</v>
      </c>
      <c r="E12" s="275">
        <f t="shared" ref="E12:N12" si="0">E10-E11</f>
        <v>10977.075647017609</v>
      </c>
      <c r="F12" s="274">
        <f t="shared" si="0"/>
        <v>10977.075647017609</v>
      </c>
      <c r="G12" s="275">
        <f t="shared" si="0"/>
        <v>10977.075647017609</v>
      </c>
      <c r="H12" s="274">
        <f t="shared" si="0"/>
        <v>10977.075647017609</v>
      </c>
      <c r="I12" s="275">
        <f t="shared" si="0"/>
        <v>10977.075647017609</v>
      </c>
      <c r="J12" s="274">
        <f t="shared" si="0"/>
        <v>10977.075647017609</v>
      </c>
      <c r="K12" s="275">
        <f t="shared" si="0"/>
        <v>10977.075647017609</v>
      </c>
      <c r="L12" s="274">
        <f t="shared" si="0"/>
        <v>10977.075647017609</v>
      </c>
      <c r="M12" s="275">
        <f t="shared" si="0"/>
        <v>10977.075647017609</v>
      </c>
      <c r="N12" s="274">
        <f t="shared" si="0"/>
        <v>10977.075647017609</v>
      </c>
    </row>
    <row r="13" spans="2:15" ht="30" customHeight="1" thickBot="1">
      <c r="B13" s="276" t="s">
        <v>166</v>
      </c>
      <c r="C13" s="277">
        <f>C12</f>
        <v>-29599.044552982396</v>
      </c>
      <c r="D13" s="278">
        <f>C13+D12</f>
        <v>-18621.968905964786</v>
      </c>
      <c r="E13" s="279">
        <f t="shared" ref="E13:N13" si="1">D13+E12</f>
        <v>-7644.8932589471769</v>
      </c>
      <c r="F13" s="278">
        <f t="shared" si="1"/>
        <v>3332.1823880704324</v>
      </c>
      <c r="G13" s="279">
        <f t="shared" si="1"/>
        <v>14309.258035088042</v>
      </c>
      <c r="H13" s="278">
        <f t="shared" si="1"/>
        <v>25286.333682105651</v>
      </c>
      <c r="I13" s="279">
        <f t="shared" si="1"/>
        <v>36263.409329123257</v>
      </c>
      <c r="J13" s="278">
        <f t="shared" si="1"/>
        <v>47240.48497614087</v>
      </c>
      <c r="K13" s="279">
        <f t="shared" si="1"/>
        <v>58217.560623158482</v>
      </c>
      <c r="L13" s="278">
        <f t="shared" si="1"/>
        <v>69194.636270176095</v>
      </c>
      <c r="M13" s="279">
        <f t="shared" si="1"/>
        <v>80171.711917193708</v>
      </c>
      <c r="N13" s="278">
        <f t="shared" si="1"/>
        <v>91148.787564211321</v>
      </c>
    </row>
    <row r="19" spans="14:14" ht="15.75">
      <c r="N19" s="347">
        <v>122</v>
      </c>
    </row>
  </sheetData>
  <mergeCells count="3">
    <mergeCell ref="C8:N8"/>
    <mergeCell ref="B6:N6"/>
    <mergeCell ref="B1:N2"/>
  </mergeCells>
  <phoneticPr fontId="19" type="noConversion"/>
  <pageMargins left="0.23622047244094488" right="0.23622047244094488" top="1.5748031496062993" bottom="0.74803149606299213" header="0.31496062992125984" footer="0.31496062992125984"/>
  <pageSetup paperSize="9" orientation="landscape" horizontalDpi="300" verticalDpi="300"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Supuestos</vt:lpstr>
      <vt:lpstr>FdC Pro</vt:lpstr>
      <vt:lpstr>FdC Inv</vt:lpstr>
      <vt:lpstr>Ingresos</vt:lpstr>
      <vt:lpstr>E.Oper.1</vt:lpstr>
      <vt:lpstr>Costos y Gastos</vt:lpstr>
      <vt:lpstr>Prod.</vt:lpstr>
      <vt:lpstr>Inv.</vt:lpstr>
      <vt:lpstr>CdT</vt:lpstr>
      <vt:lpstr>S&amp;S</vt:lpstr>
      <vt:lpstr>Deprec.</vt:lpstr>
      <vt:lpstr>Amort.</vt:lpstr>
      <vt:lpstr>Demanda</vt:lpstr>
      <vt:lpstr>CdT!Área_de_impresión</vt:lpstr>
      <vt:lpstr>E.Oper.1!Área_de_impresión</vt:lpstr>
      <vt:lpstr>'FdC Inv'!Área_de_impresión</vt:lpstr>
      <vt:lpstr>'FdC Pro'!Área_de_impresión</vt:lpstr>
      <vt:lpstr>Ingresos!Área_de_impresión</vt:lpstr>
      <vt:lpstr>Prod.!Área_de_impresión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AQP</dc:creator>
  <cp:lastModifiedBy>Vero</cp:lastModifiedBy>
  <cp:lastPrinted>2010-02-20T23:26:01Z</cp:lastPrinted>
  <dcterms:created xsi:type="dcterms:W3CDTF">2010-01-18T14:45:58Z</dcterms:created>
  <dcterms:modified xsi:type="dcterms:W3CDTF">2010-02-23T23:44:20Z</dcterms:modified>
</cp:coreProperties>
</file>