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315" windowHeight="5445" tabRatio="871" firstSheet="13" activeTab="16"/>
  </bookViews>
  <sheets>
    <sheet name="CUADRO 1" sheetId="1" r:id="rId1"/>
    <sheet name="CUADRO 2" sheetId="2" r:id="rId2"/>
    <sheet name="CUADRO 3" sheetId="3" r:id="rId3"/>
    <sheet name="competidores directos" sheetId="4" r:id="rId4"/>
    <sheet name="PRECIO DE MATERIA PRIMA" sheetId="5" r:id="rId5"/>
    <sheet name="COMPOSICION DE 1 LITRO" sheetId="6" r:id="rId6"/>
    <sheet name=" COSTO VARIABLE" sheetId="7" r:id="rId7"/>
    <sheet name="COSTOS FIJOS ADMINISTRATIVOS" sheetId="8" r:id="rId8"/>
    <sheet name="COSTOS FIJOS SERVICIOS BASICOS" sheetId="9" r:id="rId9"/>
    <sheet name="INGRESOS DEL PROYECTO" sheetId="10" r:id="rId10"/>
    <sheet name="CALCULOS DE INGRESOS MENSUALES" sheetId="11" r:id="rId11"/>
    <sheet name="CAPITAL DE TRABAJO" sheetId="12" r:id="rId12"/>
    <sheet name="PROYECCION ANUAL DE LOS COSTOS " sheetId="13" r:id="rId13"/>
    <sheet name="ANALISIS DE COSTO VOLUMEN UTILI" sheetId="14" r:id="rId14"/>
    <sheet name="VALOR DE DESECHO" sheetId="15" r:id="rId15"/>
    <sheet name="TASA DE DESCUENTO" sheetId="16" r:id="rId16"/>
    <sheet name="FLUJO DE CAJA" sheetId="17" r:id="rId17"/>
    <sheet name="INVERSION INICIAL" sheetId="18" r:id="rId18"/>
    <sheet name="Hoja2" sheetId="20" r:id="rId19"/>
  </sheets>
  <externalReferences>
    <externalReference r:id="rId20"/>
  </externalReferences>
  <definedNames>
    <definedName name="i">[1]CB!$B$4</definedName>
  </definedNames>
  <calcPr calcId="124519"/>
</workbook>
</file>

<file path=xl/calcChain.xml><?xml version="1.0" encoding="utf-8"?>
<calcChain xmlns="http://schemas.openxmlformats.org/spreadsheetml/2006/main">
  <c r="I44" i="17"/>
  <c r="D45"/>
  <c r="D47"/>
  <c r="C12" i="16"/>
  <c r="I15" l="1"/>
  <c r="I11"/>
  <c r="I10"/>
  <c r="C4"/>
  <c r="C8" s="1"/>
  <c r="F41" i="17" l="1"/>
  <c r="G41" s="1"/>
  <c r="H41" s="1"/>
  <c r="I41" s="1"/>
  <c r="F6" i="15"/>
  <c r="E33" i="17"/>
  <c r="D25" i="13"/>
  <c r="H7" i="6"/>
  <c r="H4"/>
  <c r="D16" i="12"/>
  <c r="G15" i="11"/>
  <c r="F35" i="17"/>
  <c r="G35" s="1"/>
  <c r="H35" s="1"/>
  <c r="I35" s="1"/>
  <c r="F32"/>
  <c r="F31"/>
  <c r="G31" s="1"/>
  <c r="H31" s="1"/>
  <c r="I31" s="1"/>
  <c r="F30"/>
  <c r="G30" s="1"/>
  <c r="H30" s="1"/>
  <c r="I30" s="1"/>
  <c r="F29"/>
  <c r="G29" s="1"/>
  <c r="H29" s="1"/>
  <c r="I29" s="1"/>
  <c r="F28"/>
  <c r="G28" s="1"/>
  <c r="H28" s="1"/>
  <c r="I28" s="1"/>
  <c r="E14"/>
  <c r="C15"/>
  <c r="F6"/>
  <c r="F10" i="18"/>
  <c r="F9"/>
  <c r="F7"/>
  <c r="F8"/>
  <c r="F6"/>
  <c r="F11" s="1"/>
  <c r="G9" i="15"/>
  <c r="G8"/>
  <c r="G7"/>
  <c r="F7"/>
  <c r="F8"/>
  <c r="E6"/>
  <c r="E7"/>
  <c r="E8"/>
  <c r="E5"/>
  <c r="F5" s="1"/>
  <c r="H9" i="14"/>
  <c r="H8"/>
  <c r="G8" i="13"/>
  <c r="F8"/>
  <c r="E73" i="7"/>
  <c r="I73" s="1"/>
  <c r="E74"/>
  <c r="I74" s="1"/>
  <c r="E75"/>
  <c r="I75" s="1"/>
  <c r="E76"/>
  <c r="I76" s="1"/>
  <c r="E77"/>
  <c r="I77" s="1"/>
  <c r="E78"/>
  <c r="I78" s="1"/>
  <c r="E79"/>
  <c r="I79" s="1"/>
  <c r="E80"/>
  <c r="I80" s="1"/>
  <c r="E81"/>
  <c r="I81" s="1"/>
  <c r="E82"/>
  <c r="I82" s="1"/>
  <c r="E83"/>
  <c r="I83" s="1"/>
  <c r="E72"/>
  <c r="I72" s="1"/>
  <c r="E63"/>
  <c r="E64"/>
  <c r="E65"/>
  <c r="E66"/>
  <c r="E67"/>
  <c r="E61"/>
  <c r="E62"/>
  <c r="E59"/>
  <c r="E60"/>
  <c r="E58"/>
  <c r="E57"/>
  <c r="E68" s="1"/>
  <c r="I68" s="1"/>
  <c r="E56"/>
  <c r="E51"/>
  <c r="E50"/>
  <c r="E48"/>
  <c r="E49"/>
  <c r="E47"/>
  <c r="E46"/>
  <c r="E45"/>
  <c r="E44"/>
  <c r="E43"/>
  <c r="E42"/>
  <c r="E41"/>
  <c r="E40"/>
  <c r="D42"/>
  <c r="D40"/>
  <c r="D45"/>
  <c r="D44"/>
  <c r="D43"/>
  <c r="D41"/>
  <c r="G84"/>
  <c r="G68"/>
  <c r="G52"/>
  <c r="G36"/>
  <c r="F14" i="17" l="1"/>
  <c r="E42"/>
  <c r="F42" s="1"/>
  <c r="G42" s="1"/>
  <c r="H42" s="1"/>
  <c r="I42" s="1"/>
  <c r="E36"/>
  <c r="E37" s="1"/>
  <c r="E9" i="15"/>
  <c r="F33" i="17"/>
  <c r="F36" s="1"/>
  <c r="G32"/>
  <c r="E15"/>
  <c r="F15" s="1"/>
  <c r="C16"/>
  <c r="C17" s="1"/>
  <c r="C18" s="1"/>
  <c r="E84" i="7"/>
  <c r="F37" i="17" l="1"/>
  <c r="F38"/>
  <c r="E38"/>
  <c r="F39"/>
  <c r="I84" i="7"/>
  <c r="H32" i="17"/>
  <c r="G33"/>
  <c r="G36" s="1"/>
  <c r="C19"/>
  <c r="E16"/>
  <c r="F16" s="1"/>
  <c r="F40" l="1"/>
  <c r="F47" s="1"/>
  <c r="E39"/>
  <c r="E40" s="1"/>
  <c r="E47" s="1"/>
  <c r="G37"/>
  <c r="I32"/>
  <c r="I33" s="1"/>
  <c r="I36" s="1"/>
  <c r="H33"/>
  <c r="H36" s="1"/>
  <c r="G38" l="1"/>
  <c r="G39" s="1"/>
  <c r="G40" s="1"/>
  <c r="G47" s="1"/>
  <c r="H37"/>
  <c r="H38" s="1"/>
  <c r="H39" s="1"/>
  <c r="I37"/>
  <c r="I38" s="1"/>
  <c r="I39" s="1"/>
  <c r="I40" l="1"/>
  <c r="I47" s="1"/>
  <c r="H40"/>
  <c r="H47" s="1"/>
  <c r="E17"/>
  <c r="F17" s="1"/>
  <c r="D48" l="1"/>
  <c r="D49"/>
  <c r="E18"/>
  <c r="D19"/>
  <c r="E19" s="1"/>
  <c r="C7" i="1" l="1"/>
  <c r="C6"/>
  <c r="E22" i="12" l="1"/>
  <c r="H12" i="11"/>
  <c r="G14"/>
  <c r="E31" i="13"/>
  <c r="E23" i="12"/>
  <c r="D11"/>
  <c r="E11" s="1"/>
  <c r="D5"/>
  <c r="E5" s="1"/>
  <c r="E16"/>
  <c r="C22" s="1"/>
  <c r="D10"/>
  <c r="E10" s="1"/>
  <c r="E25" i="13"/>
  <c r="D19"/>
  <c r="E19" s="1"/>
  <c r="E20" s="1"/>
  <c r="I19" i="11"/>
  <c r="D9" i="10"/>
  <c r="H9" s="1"/>
  <c r="E71"/>
  <c r="E72"/>
  <c r="E73"/>
  <c r="E74"/>
  <c r="E75"/>
  <c r="E76"/>
  <c r="E77"/>
  <c r="E78"/>
  <c r="E79"/>
  <c r="E80"/>
  <c r="E81"/>
  <c r="D71"/>
  <c r="D72"/>
  <c r="D73"/>
  <c r="D74"/>
  <c r="D75"/>
  <c r="D76"/>
  <c r="D77"/>
  <c r="D78"/>
  <c r="D79"/>
  <c r="D80"/>
  <c r="D81"/>
  <c r="E70"/>
  <c r="D70"/>
  <c r="D82" s="1"/>
  <c r="E55"/>
  <c r="E56"/>
  <c r="E57"/>
  <c r="E58"/>
  <c r="E59"/>
  <c r="E60"/>
  <c r="E61"/>
  <c r="E62"/>
  <c r="E63"/>
  <c r="E64"/>
  <c r="E65"/>
  <c r="D55"/>
  <c r="D56"/>
  <c r="D57"/>
  <c r="D58"/>
  <c r="D59"/>
  <c r="D60"/>
  <c r="D61"/>
  <c r="D62"/>
  <c r="D63"/>
  <c r="D64"/>
  <c r="D65"/>
  <c r="E54"/>
  <c r="D54"/>
  <c r="D66" s="1"/>
  <c r="D39"/>
  <c r="D40"/>
  <c r="D41"/>
  <c r="D42"/>
  <c r="D43"/>
  <c r="D44"/>
  <c r="D45"/>
  <c r="D46"/>
  <c r="D47"/>
  <c r="D48"/>
  <c r="D49"/>
  <c r="E39"/>
  <c r="E40"/>
  <c r="E41"/>
  <c r="E42"/>
  <c r="E43"/>
  <c r="E44"/>
  <c r="E45"/>
  <c r="E46"/>
  <c r="E47"/>
  <c r="E48"/>
  <c r="E49"/>
  <c r="E38"/>
  <c r="D38"/>
  <c r="E23"/>
  <c r="E24"/>
  <c r="E25"/>
  <c r="E26"/>
  <c r="E27"/>
  <c r="E28"/>
  <c r="E29"/>
  <c r="E30"/>
  <c r="E31"/>
  <c r="E32"/>
  <c r="E33"/>
  <c r="D23"/>
  <c r="D24"/>
  <c r="H24" s="1"/>
  <c r="D25"/>
  <c r="H25" s="1"/>
  <c r="D26"/>
  <c r="H26" s="1"/>
  <c r="D27"/>
  <c r="H27" s="1"/>
  <c r="D28"/>
  <c r="H28" s="1"/>
  <c r="D29"/>
  <c r="H29" s="1"/>
  <c r="D30"/>
  <c r="H30" s="1"/>
  <c r="D31"/>
  <c r="H31" s="1"/>
  <c r="D32"/>
  <c r="H32" s="1"/>
  <c r="D33"/>
  <c r="E22"/>
  <c r="D22"/>
  <c r="E7"/>
  <c r="I7" s="1"/>
  <c r="E8"/>
  <c r="I8" s="1"/>
  <c r="E9"/>
  <c r="I9" s="1"/>
  <c r="E10"/>
  <c r="I10" s="1"/>
  <c r="E11"/>
  <c r="I11" s="1"/>
  <c r="E12"/>
  <c r="I12" s="1"/>
  <c r="E13"/>
  <c r="I13" s="1"/>
  <c r="E14"/>
  <c r="I14" s="1"/>
  <c r="E15"/>
  <c r="I15" s="1"/>
  <c r="E16"/>
  <c r="I16" s="1"/>
  <c r="E17"/>
  <c r="I17" s="1"/>
  <c r="D7"/>
  <c r="D8"/>
  <c r="H8" s="1"/>
  <c r="D10"/>
  <c r="H10" s="1"/>
  <c r="D11"/>
  <c r="H11" s="1"/>
  <c r="D12"/>
  <c r="H12" s="1"/>
  <c r="D13"/>
  <c r="H13" s="1"/>
  <c r="D14"/>
  <c r="H14" s="1"/>
  <c r="D15"/>
  <c r="H15" s="1"/>
  <c r="D16"/>
  <c r="H16" s="1"/>
  <c r="D17"/>
  <c r="H17" s="1"/>
  <c r="D73" i="7"/>
  <c r="D74"/>
  <c r="D75"/>
  <c r="D76"/>
  <c r="D77"/>
  <c r="D78"/>
  <c r="D79"/>
  <c r="D80"/>
  <c r="D81"/>
  <c r="D82"/>
  <c r="D83"/>
  <c r="D72"/>
  <c r="D84" s="1"/>
  <c r="D57"/>
  <c r="D58"/>
  <c r="D59"/>
  <c r="D60"/>
  <c r="D61"/>
  <c r="D62"/>
  <c r="D63"/>
  <c r="D64"/>
  <c r="D65"/>
  <c r="D66"/>
  <c r="D67"/>
  <c r="D56"/>
  <c r="D68" s="1"/>
  <c r="D46"/>
  <c r="D47"/>
  <c r="D48"/>
  <c r="D49"/>
  <c r="D50"/>
  <c r="D51"/>
  <c r="E34"/>
  <c r="E32"/>
  <c r="E33"/>
  <c r="E35"/>
  <c r="E31"/>
  <c r="E30"/>
  <c r="E29"/>
  <c r="E27"/>
  <c r="E28"/>
  <c r="E26"/>
  <c r="E25"/>
  <c r="E24"/>
  <c r="D27"/>
  <c r="D28"/>
  <c r="D29"/>
  <c r="D30"/>
  <c r="D31"/>
  <c r="D32"/>
  <c r="D33"/>
  <c r="D34"/>
  <c r="D35"/>
  <c r="D26"/>
  <c r="D25"/>
  <c r="D24"/>
  <c r="E18"/>
  <c r="I18" s="1"/>
  <c r="E17"/>
  <c r="I17" s="1"/>
  <c r="E16"/>
  <c r="I16" s="1"/>
  <c r="E15"/>
  <c r="I15" s="1"/>
  <c r="E14"/>
  <c r="I14" s="1"/>
  <c r="E13"/>
  <c r="I13" s="1"/>
  <c r="E12"/>
  <c r="I12" s="1"/>
  <c r="E11"/>
  <c r="I11" s="1"/>
  <c r="E10"/>
  <c r="I10" s="1"/>
  <c r="E9"/>
  <c r="I9" s="1"/>
  <c r="E8"/>
  <c r="I8" s="1"/>
  <c r="D18"/>
  <c r="H18" s="1"/>
  <c r="D17"/>
  <c r="H17" s="1"/>
  <c r="D16"/>
  <c r="H16" s="1"/>
  <c r="D15"/>
  <c r="H15" s="1"/>
  <c r="D14"/>
  <c r="H14" s="1"/>
  <c r="D13"/>
  <c r="H13" s="1"/>
  <c r="D12"/>
  <c r="H12" s="1"/>
  <c r="D11"/>
  <c r="H11" s="1"/>
  <c r="D10"/>
  <c r="H10" s="1"/>
  <c r="D9"/>
  <c r="H9" s="1"/>
  <c r="D8"/>
  <c r="H8" s="1"/>
  <c r="D24" i="12"/>
  <c r="C18"/>
  <c r="C12"/>
  <c r="D6"/>
  <c r="C6"/>
  <c r="C7" s="1"/>
  <c r="D17"/>
  <c r="D18" s="1"/>
  <c r="D32" i="13"/>
  <c r="E32"/>
  <c r="D26"/>
  <c r="C26"/>
  <c r="D20"/>
  <c r="C20"/>
  <c r="C14"/>
  <c r="D30"/>
  <c r="E30"/>
  <c r="C30"/>
  <c r="D13"/>
  <c r="E13" s="1"/>
  <c r="E14" s="1"/>
  <c r="E6"/>
  <c r="E12" s="1"/>
  <c r="E18" s="1"/>
  <c r="E24" s="1"/>
  <c r="F6"/>
  <c r="G6"/>
  <c r="D6"/>
  <c r="D8" s="1"/>
  <c r="C6"/>
  <c r="C8" s="1"/>
  <c r="E24" i="12"/>
  <c r="H22" i="11"/>
  <c r="I22"/>
  <c r="D22"/>
  <c r="D21"/>
  <c r="H21"/>
  <c r="I21"/>
  <c r="H20"/>
  <c r="H23" s="1"/>
  <c r="I20"/>
  <c r="I23" s="1"/>
  <c r="D20"/>
  <c r="D23" s="1"/>
  <c r="E19"/>
  <c r="E21" s="1"/>
  <c r="H14"/>
  <c r="G13"/>
  <c r="H13"/>
  <c r="D13"/>
  <c r="D16" s="1"/>
  <c r="E12"/>
  <c r="E14" s="1"/>
  <c r="E66" i="10" l="1"/>
  <c r="I66" s="1"/>
  <c r="E34"/>
  <c r="I34" s="1"/>
  <c r="D36" i="7"/>
  <c r="E36"/>
  <c r="I36" s="1"/>
  <c r="E50" i="10"/>
  <c r="I50" s="1"/>
  <c r="I38"/>
  <c r="I70"/>
  <c r="E82"/>
  <c r="I82" s="1"/>
  <c r="D34"/>
  <c r="D35" s="1"/>
  <c r="H22"/>
  <c r="D50"/>
  <c r="H38"/>
  <c r="H66"/>
  <c r="J66" s="1"/>
  <c r="D67"/>
  <c r="D83"/>
  <c r="I12" i="11"/>
  <c r="I15" s="1"/>
  <c r="H15"/>
  <c r="H16" s="1"/>
  <c r="H68" i="7"/>
  <c r="D69"/>
  <c r="H84"/>
  <c r="D85"/>
  <c r="H36"/>
  <c r="J36" s="1"/>
  <c r="H37" s="1"/>
  <c r="D52"/>
  <c r="H52" s="1"/>
  <c r="D7" i="12"/>
  <c r="I14" i="11"/>
  <c r="I13"/>
  <c r="I16" s="1"/>
  <c r="H34" i="10"/>
  <c r="H50"/>
  <c r="D51"/>
  <c r="H7"/>
  <c r="J7" s="1"/>
  <c r="E12" i="12"/>
  <c r="G16" i="11"/>
  <c r="E6" i="12"/>
  <c r="E26" i="13"/>
  <c r="C31"/>
  <c r="C32" s="1"/>
  <c r="D12" i="12"/>
  <c r="E7"/>
  <c r="C13" s="1"/>
  <c r="D14" i="13"/>
  <c r="J17" i="10"/>
  <c r="J9"/>
  <c r="J15"/>
  <c r="J11"/>
  <c r="J14"/>
  <c r="J12"/>
  <c r="J10"/>
  <c r="J8"/>
  <c r="E17" i="12"/>
  <c r="E18" s="1"/>
  <c r="E8" i="13"/>
  <c r="C12"/>
  <c r="C18" s="1"/>
  <c r="C24" s="1"/>
  <c r="D12"/>
  <c r="D18" s="1"/>
  <c r="D24" s="1"/>
  <c r="F12" i="11"/>
  <c r="F15" s="1"/>
  <c r="E13"/>
  <c r="E16" s="1"/>
  <c r="E20"/>
  <c r="E23" s="1"/>
  <c r="E22"/>
  <c r="F19"/>
  <c r="I71" i="10"/>
  <c r="I72"/>
  <c r="I73"/>
  <c r="I74"/>
  <c r="I75"/>
  <c r="I76"/>
  <c r="I77"/>
  <c r="I78"/>
  <c r="I79"/>
  <c r="I80"/>
  <c r="I81"/>
  <c r="I55"/>
  <c r="I56"/>
  <c r="I57"/>
  <c r="I58"/>
  <c r="I59"/>
  <c r="I60"/>
  <c r="I61"/>
  <c r="I62"/>
  <c r="I63"/>
  <c r="I64"/>
  <c r="I65"/>
  <c r="I39"/>
  <c r="I40"/>
  <c r="I41"/>
  <c r="I42"/>
  <c r="I43"/>
  <c r="I44"/>
  <c r="I45"/>
  <c r="I46"/>
  <c r="I47"/>
  <c r="I48"/>
  <c r="I49"/>
  <c r="I23"/>
  <c r="I24"/>
  <c r="J24" s="1"/>
  <c r="I25"/>
  <c r="I26"/>
  <c r="J26" s="1"/>
  <c r="I27"/>
  <c r="I28"/>
  <c r="J28" s="1"/>
  <c r="I29"/>
  <c r="I30"/>
  <c r="J30" s="1"/>
  <c r="I31"/>
  <c r="I32"/>
  <c r="J32" s="1"/>
  <c r="I33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3"/>
  <c r="J63" s="1"/>
  <c r="H64"/>
  <c r="J64" s="1"/>
  <c r="H65"/>
  <c r="J65" s="1"/>
  <c r="I54"/>
  <c r="H54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70"/>
  <c r="H82" s="1"/>
  <c r="H23"/>
  <c r="J23" s="1"/>
  <c r="J25"/>
  <c r="J27"/>
  <c r="J29"/>
  <c r="J31"/>
  <c r="H33"/>
  <c r="J33" s="1"/>
  <c r="I22"/>
  <c r="G6"/>
  <c r="D12" i="9"/>
  <c r="F5"/>
  <c r="F6"/>
  <c r="F7"/>
  <c r="F8"/>
  <c r="F9"/>
  <c r="F10"/>
  <c r="F11"/>
  <c r="F4"/>
  <c r="F6" i="8"/>
  <c r="F7"/>
  <c r="F8"/>
  <c r="F9"/>
  <c r="F10"/>
  <c r="F11"/>
  <c r="F12"/>
  <c r="F5"/>
  <c r="E6"/>
  <c r="E7"/>
  <c r="E8"/>
  <c r="E9"/>
  <c r="E10"/>
  <c r="E11"/>
  <c r="E12"/>
  <c r="E13"/>
  <c r="E14" s="1"/>
  <c r="F14" s="1"/>
  <c r="E5"/>
  <c r="H73" i="7"/>
  <c r="H72"/>
  <c r="H57"/>
  <c r="H56"/>
  <c r="H41"/>
  <c r="H40"/>
  <c r="I26"/>
  <c r="H25"/>
  <c r="H26"/>
  <c r="H27"/>
  <c r="H28"/>
  <c r="H29"/>
  <c r="H30"/>
  <c r="H31"/>
  <c r="H32"/>
  <c r="H33"/>
  <c r="H34"/>
  <c r="H35"/>
  <c r="H24"/>
  <c r="H75"/>
  <c r="H76"/>
  <c r="H77"/>
  <c r="H79"/>
  <c r="H81"/>
  <c r="H83"/>
  <c r="I57"/>
  <c r="H58"/>
  <c r="I59"/>
  <c r="H60"/>
  <c r="I61"/>
  <c r="H62"/>
  <c r="I63"/>
  <c r="H64"/>
  <c r="H65"/>
  <c r="H66"/>
  <c r="I67"/>
  <c r="I56"/>
  <c r="I41"/>
  <c r="H42"/>
  <c r="I43"/>
  <c r="H44"/>
  <c r="I45"/>
  <c r="H46"/>
  <c r="I47"/>
  <c r="H48"/>
  <c r="I49"/>
  <c r="H50"/>
  <c r="I51"/>
  <c r="I25"/>
  <c r="I27"/>
  <c r="I28"/>
  <c r="I29"/>
  <c r="I30"/>
  <c r="I31"/>
  <c r="I32"/>
  <c r="I33"/>
  <c r="I34"/>
  <c r="I35"/>
  <c r="I24"/>
  <c r="J11"/>
  <c r="G7"/>
  <c r="H8" i="6"/>
  <c r="H9" s="1"/>
  <c r="E4" i="3"/>
  <c r="F4" s="1"/>
  <c r="G4" s="1"/>
  <c r="D5"/>
  <c r="E5" s="1"/>
  <c r="F5" s="1"/>
  <c r="G5" s="1"/>
  <c r="D37" i="7" l="1"/>
  <c r="G19"/>
  <c r="D7"/>
  <c r="E7"/>
  <c r="F12" i="9"/>
  <c r="F13" i="8"/>
  <c r="J72" i="7"/>
  <c r="E6" i="10"/>
  <c r="D6"/>
  <c r="I40" i="7"/>
  <c r="D13" i="12"/>
  <c r="E13" s="1"/>
  <c r="C19" s="1"/>
  <c r="D19" s="1"/>
  <c r="E19" s="1"/>
  <c r="J16" i="10"/>
  <c r="J13"/>
  <c r="J54"/>
  <c r="J22"/>
  <c r="J34" s="1"/>
  <c r="J57" i="7"/>
  <c r="J41"/>
  <c r="H82"/>
  <c r="H80"/>
  <c r="H78"/>
  <c r="J78" s="1"/>
  <c r="J76"/>
  <c r="H74"/>
  <c r="H67"/>
  <c r="J67" s="1"/>
  <c r="I66"/>
  <c r="I65"/>
  <c r="J65" s="1"/>
  <c r="I64"/>
  <c r="H63"/>
  <c r="J63" s="1"/>
  <c r="I62"/>
  <c r="H61"/>
  <c r="J61" s="1"/>
  <c r="I60"/>
  <c r="H59"/>
  <c r="J59" s="1"/>
  <c r="I58"/>
  <c r="H51"/>
  <c r="I50"/>
  <c r="J50" s="1"/>
  <c r="H49"/>
  <c r="J49" s="1"/>
  <c r="I48"/>
  <c r="J48" s="1"/>
  <c r="H47"/>
  <c r="J47" s="1"/>
  <c r="I46"/>
  <c r="J46" s="1"/>
  <c r="H45"/>
  <c r="J45" s="1"/>
  <c r="I44"/>
  <c r="J44" s="1"/>
  <c r="H43"/>
  <c r="J43" s="1"/>
  <c r="J34"/>
  <c r="J32"/>
  <c r="J30"/>
  <c r="J28"/>
  <c r="J35"/>
  <c r="J33"/>
  <c r="J31"/>
  <c r="J29"/>
  <c r="J27"/>
  <c r="J26"/>
  <c r="J25"/>
  <c r="J18"/>
  <c r="J17"/>
  <c r="J9"/>
  <c r="J8"/>
  <c r="J14"/>
  <c r="J16"/>
  <c r="J15"/>
  <c r="J13"/>
  <c r="J12"/>
  <c r="J10"/>
  <c r="C23" i="12"/>
  <c r="C24" s="1"/>
  <c r="F22" i="11"/>
  <c r="F21"/>
  <c r="F20"/>
  <c r="F23" s="1"/>
  <c r="G19"/>
  <c r="F14"/>
  <c r="F13"/>
  <c r="J38" i="10"/>
  <c r="J70"/>
  <c r="J66" i="7"/>
  <c r="J64"/>
  <c r="J62"/>
  <c r="J60"/>
  <c r="J58"/>
  <c r="J24"/>
  <c r="J40"/>
  <c r="J51"/>
  <c r="J56"/>
  <c r="J83"/>
  <c r="J81"/>
  <c r="J79"/>
  <c r="J77"/>
  <c r="J75"/>
  <c r="J73"/>
  <c r="D7" i="1"/>
  <c r="D6" i="3"/>
  <c r="J68" i="7" l="1"/>
  <c r="H69" s="1"/>
  <c r="F16" i="11"/>
  <c r="H7" i="7"/>
  <c r="D19"/>
  <c r="I7"/>
  <c r="E19"/>
  <c r="J82" i="10"/>
  <c r="D18"/>
  <c r="H6"/>
  <c r="J50"/>
  <c r="E18"/>
  <c r="I18" s="1"/>
  <c r="I6"/>
  <c r="I42" i="7"/>
  <c r="J42" s="1"/>
  <c r="E52"/>
  <c r="I52" s="1"/>
  <c r="J52" s="1"/>
  <c r="H53" s="1"/>
  <c r="C25" i="12"/>
  <c r="D25" s="1"/>
  <c r="E25" s="1"/>
  <c r="J82" i="7"/>
  <c r="J80"/>
  <c r="J74"/>
  <c r="J84" s="1"/>
  <c r="H85" s="1"/>
  <c r="G22" i="11"/>
  <c r="G21"/>
  <c r="G20"/>
  <c r="G23" s="1"/>
  <c r="D7" i="3"/>
  <c r="E6"/>
  <c r="F6" s="1"/>
  <c r="G6" s="1"/>
  <c r="I19" i="7" l="1"/>
  <c r="H19"/>
  <c r="D20"/>
  <c r="J7"/>
  <c r="J6" i="10"/>
  <c r="H18"/>
  <c r="D19"/>
  <c r="J18"/>
  <c r="D53" i="7"/>
  <c r="D8" i="3"/>
  <c r="E8" s="1"/>
  <c r="F8" s="1"/>
  <c r="G8" s="1"/>
  <c r="E7"/>
  <c r="F7" s="1"/>
  <c r="G7" s="1"/>
  <c r="D6" i="1"/>
  <c r="D8" s="1"/>
  <c r="J19" i="7" l="1"/>
  <c r="E6" i="1"/>
</calcChain>
</file>

<file path=xl/sharedStrings.xml><?xml version="1.0" encoding="utf-8"?>
<sst xmlns="http://schemas.openxmlformats.org/spreadsheetml/2006/main" count="538" uniqueCount="284">
  <si>
    <t>Freq.</t>
  </si>
  <si>
    <t>Percent</t>
  </si>
  <si>
    <t>Cum.</t>
  </si>
  <si>
    <t>SI</t>
  </si>
  <si>
    <t>NO</t>
  </si>
  <si>
    <t>TOTAL</t>
  </si>
  <si>
    <t>Fuente: Encuesta de Condiciones de Vida</t>
  </si>
  <si>
    <t>Hab. de la muestra</t>
  </si>
  <si>
    <t>% de la muestra que consume bebidas naturales</t>
  </si>
  <si>
    <t>Población de Guayaquil</t>
  </si>
  <si>
    <t>Población del Ecuador</t>
  </si>
  <si>
    <t>Proporción Guayaquil-Ecuador</t>
  </si>
  <si>
    <t>Hab. de Guayaquil en la muestra</t>
  </si>
  <si>
    <t>Hab. de Guayaquil en la muestra que consumen bebidas</t>
  </si>
  <si>
    <t>% de hab. de Guayaquil de la muestra que consumen bebidas naturales</t>
  </si>
  <si>
    <t>Hab. de Guayaquil que consumen bebidas naturales</t>
  </si>
  <si>
    <t>Fuente: Condiciones de Vida , INEC</t>
  </si>
  <si>
    <t>Año</t>
  </si>
  <si>
    <t>Población dispuesta a consumir</t>
  </si>
  <si>
    <t>Mercado objetivo</t>
  </si>
  <si>
    <t>Demanda Mensual</t>
  </si>
  <si>
    <t>Demanda Anual</t>
  </si>
  <si>
    <t>1. La población objetivo es la clase media-alta de Guayaquil: 35.00%</t>
  </si>
  <si>
    <t>3. La tasa de crecimiento de la disposición es el 8%</t>
  </si>
  <si>
    <t>21.04%</t>
  </si>
  <si>
    <t xml:space="preserve">2. La demanda mensual estimada corresponde a la participación que </t>
  </si>
  <si>
    <t xml:space="preserve">    se espera en el mercado objetivo del 70%</t>
  </si>
  <si>
    <t xml:space="preserve"> Fuente: INEC</t>
  </si>
  <si>
    <t>Productos Sustitutos</t>
  </si>
  <si>
    <t>Competidores Directos</t>
  </si>
  <si>
    <t>Precio de venta</t>
  </si>
  <si>
    <t>V220</t>
  </si>
  <si>
    <t>RED BULL</t>
  </si>
  <si>
    <t>TESALIA SPORT</t>
  </si>
  <si>
    <t>GATORATE (VIDRIO)</t>
  </si>
  <si>
    <t>GATORATE (PLASTICO)</t>
  </si>
  <si>
    <t>PROFIT</t>
  </si>
  <si>
    <t>ARAZA</t>
  </si>
  <si>
    <t>AGUA</t>
  </si>
  <si>
    <t>AZUCAR</t>
  </si>
  <si>
    <t>CAFEINA Y ADITIVOS</t>
  </si>
  <si>
    <t>ENVASE DE 1000 ML</t>
  </si>
  <si>
    <t>PRODUCTO</t>
  </si>
  <si>
    <t>PRECIO</t>
  </si>
  <si>
    <t>ENVASE DE 250 ML</t>
  </si>
  <si>
    <t>CANTIDAD</t>
  </si>
  <si>
    <t>1KG</t>
  </si>
  <si>
    <t>1 METRO CUBICO</t>
  </si>
  <si>
    <t>110 LIBRAS</t>
  </si>
  <si>
    <t>1 GRAMO</t>
  </si>
  <si>
    <t>1 UNIDAD</t>
  </si>
  <si>
    <t>1  UNIDAD</t>
  </si>
  <si>
    <t>COMPOSICION DE 1 LITRO</t>
  </si>
  <si>
    <t>MATERIA PRIMA</t>
  </si>
  <si>
    <t>PRECIO UNITARIO</t>
  </si>
  <si>
    <t>COSTO</t>
  </si>
  <si>
    <t>COSTO TOTAL 1 LITRO SIN ENVANSE</t>
  </si>
  <si>
    <t>ENVASE 1000 ML</t>
  </si>
  <si>
    <t>ENVASE 250ML</t>
  </si>
  <si>
    <t>COSTO TOTAL DE 250 ML SIN ENVASE</t>
  </si>
  <si>
    <t>COSTO VARIABLE TOTAL DE 1 LITRO (CON ENVASE)</t>
  </si>
  <si>
    <t>COSTO VARIABLE TOTAL DE 250 ML (CON ENVASE)</t>
  </si>
  <si>
    <t>GR</t>
  </si>
  <si>
    <t>LT</t>
  </si>
  <si>
    <t>MG</t>
  </si>
  <si>
    <t>1LITRO</t>
  </si>
  <si>
    <t>1MG</t>
  </si>
  <si>
    <t>PERIODO</t>
  </si>
  <si>
    <t>NUMERO</t>
  </si>
  <si>
    <t>PARTICIPACION DE LA PRODUCCION</t>
  </si>
  <si>
    <t>250 ML</t>
  </si>
  <si>
    <t>1LT</t>
  </si>
  <si>
    <t>DEMANDA</t>
  </si>
  <si>
    <t>REAL</t>
  </si>
  <si>
    <t>COSTOS</t>
  </si>
  <si>
    <t>MENSUALES</t>
  </si>
  <si>
    <t>ENERO</t>
  </si>
  <si>
    <t>FEBRERO</t>
  </si>
  <si>
    <t>MARZO</t>
  </si>
  <si>
    <t>ABRIL</t>
  </si>
  <si>
    <t>MAYO</t>
  </si>
  <si>
    <t>JUNIO</t>
  </si>
  <si>
    <t>JULIO</t>
  </si>
  <si>
    <t xml:space="preserve">AGOSTO </t>
  </si>
  <si>
    <t>SESPTIEMBRE</t>
  </si>
  <si>
    <t>OCTUBRE</t>
  </si>
  <si>
    <t>NOVIEMBRE</t>
  </si>
  <si>
    <t>DICIEMBRE</t>
  </si>
  <si>
    <t>SUELDOS DE PERSONAL</t>
  </si>
  <si>
    <t>SUELDO MENSUAL</t>
  </si>
  <si>
    <t>PERSONAS</t>
  </si>
  <si>
    <t>GERENTE-GENERAL</t>
  </si>
  <si>
    <t>JEFE DE PLANTA</t>
  </si>
  <si>
    <t>JEFE DE INVESTIGACION Y DESARROLLO</t>
  </si>
  <si>
    <t>CONTADOR</t>
  </si>
  <si>
    <t>ASISTENTE CONTABLE</t>
  </si>
  <si>
    <t>GERENTE DE MARKETING</t>
  </si>
  <si>
    <t>ASITENTE DE COMPRAS</t>
  </si>
  <si>
    <t>ASISTENTE DE MARKETING Y VENTAS</t>
  </si>
  <si>
    <t>OPERARIOS</t>
  </si>
  <si>
    <t>TOTAL DE SUELDO PERSONAL</t>
  </si>
  <si>
    <t>CONCEPTO</t>
  </si>
  <si>
    <t>COSTO MENSUAL</t>
  </si>
  <si>
    <t>COSTO ANUAL</t>
  </si>
  <si>
    <t>ELECTRICIDAD</t>
  </si>
  <si>
    <t>TELEFONO</t>
  </si>
  <si>
    <t xml:space="preserve">AGUA </t>
  </si>
  <si>
    <t>INTERNET</t>
  </si>
  <si>
    <t>SUMINISTRO DE OFICINA</t>
  </si>
  <si>
    <t>SUMINISTRO DE PLANTA</t>
  </si>
  <si>
    <t>COSTO DE ALQUILER DE LA PLANTA</t>
  </si>
  <si>
    <t>GASTO DE MOVILIZACION (GASOLINA)</t>
  </si>
  <si>
    <t>VENTAS</t>
  </si>
  <si>
    <t>INVERSION INICIAL</t>
  </si>
  <si>
    <t>ACTIVO</t>
  </si>
  <si>
    <t>CAMIONETA</t>
  </si>
  <si>
    <t>COMPUTADORAS</t>
  </si>
  <si>
    <t>LINEA DE TELEFONO</t>
  </si>
  <si>
    <t>POLITICAS DE COBRO</t>
  </si>
  <si>
    <t>FORMA DE PAGO</t>
  </si>
  <si>
    <t>PLAZO</t>
  </si>
  <si>
    <t>%</t>
  </si>
  <si>
    <t>CONTADO</t>
  </si>
  <si>
    <t>CREDITO</t>
  </si>
  <si>
    <t>-</t>
  </si>
  <si>
    <t>DESCRIPCION</t>
  </si>
  <si>
    <t>PROYECCION INGRESO MENSUAL</t>
  </si>
  <si>
    <t>CONTADO 40%</t>
  </si>
  <si>
    <t>CREDITO 30%</t>
  </si>
  <si>
    <t>SEPTIEMBRE</t>
  </si>
  <si>
    <t>CREDITO 30 %</t>
  </si>
  <si>
    <t>SALDO EN CAJAS MENSUAL ACUMULADO</t>
  </si>
  <si>
    <t>INGRESOS</t>
  </si>
  <si>
    <t>EGRESOS</t>
  </si>
  <si>
    <t>SALDO MENSUAL</t>
  </si>
  <si>
    <t>SALDO ACUMULADO</t>
  </si>
  <si>
    <t>SEPTIEMBE</t>
  </si>
  <si>
    <t xml:space="preserve">PROYECCION ANUAL DE LOS COSTOS TOTALES </t>
  </si>
  <si>
    <t>PROYECCION ANUAL</t>
  </si>
  <si>
    <t>COSTO FIJOS</t>
  </si>
  <si>
    <t>COSTOS VARIABLES</t>
  </si>
  <si>
    <t>PROYECCION MENSUAL</t>
  </si>
  <si>
    <t>COSTOS FIJOS</t>
  </si>
  <si>
    <t>COSTOS TOTALES</t>
  </si>
  <si>
    <t>COSTO TOTAL MENSUAL</t>
  </si>
  <si>
    <t>AGOSTO</t>
  </si>
  <si>
    <t xml:space="preserve"> </t>
  </si>
  <si>
    <t>TOTAL UNIDADES</t>
  </si>
  <si>
    <t xml:space="preserve">TOTAL </t>
  </si>
  <si>
    <t>TOTAL DE UNIDADES</t>
  </si>
  <si>
    <t>TOTAL EN UNIDADES</t>
  </si>
  <si>
    <t>CREDITO  / 30%  60 DIAS</t>
  </si>
  <si>
    <t>TOAL</t>
  </si>
  <si>
    <t>TOAL UNIDADES</t>
  </si>
  <si>
    <t>PUNTO DE EQUILIBRIO</t>
  </si>
  <si>
    <t>PRESENTACION</t>
  </si>
  <si>
    <t>PORCENTAJE EN VENTAS</t>
  </si>
  <si>
    <t xml:space="preserve">COSTO FIJO </t>
  </si>
  <si>
    <t xml:space="preserve">COSTO </t>
  </si>
  <si>
    <t>VARIABLE</t>
  </si>
  <si>
    <t>PUNTO</t>
  </si>
  <si>
    <t>EQUILIBRIO</t>
  </si>
  <si>
    <t>UNIDADES</t>
  </si>
  <si>
    <t>1000 ML</t>
  </si>
  <si>
    <t>250   ML</t>
  </si>
  <si>
    <t>VALOR DE DESECHO</t>
  </si>
  <si>
    <t>ACTIVOS</t>
  </si>
  <si>
    <t>COMPUTADORA</t>
  </si>
  <si>
    <t>MUEBLEES Y ENSERES</t>
  </si>
  <si>
    <t>EQUIPO DE OFICINA</t>
  </si>
  <si>
    <t>VALOR DE COMPRAS</t>
  </si>
  <si>
    <t>VIDA UTIL</t>
  </si>
  <si>
    <t>DEP ANUAL</t>
  </si>
  <si>
    <t>DEP ACUMULADA</t>
  </si>
  <si>
    <t>VALOR EN LIBROS</t>
  </si>
  <si>
    <t>DEPRECIACION ANUAL DE LOS ACTIVOS</t>
  </si>
  <si>
    <t>RF</t>
  </si>
  <si>
    <t>B</t>
  </si>
  <si>
    <t>RM</t>
  </si>
  <si>
    <t>RPECU</t>
  </si>
  <si>
    <t>INFROMACION</t>
  </si>
  <si>
    <t>PORCENTAJE</t>
  </si>
  <si>
    <t>RESERVA FEDERAL ESTADOS UNIDOS</t>
  </si>
  <si>
    <t>YAHOO FINANCE</t>
  </si>
  <si>
    <t>BANCO CENTRAL DEL ECUADOR</t>
  </si>
  <si>
    <t>RI</t>
  </si>
  <si>
    <t>FORMULA</t>
  </si>
  <si>
    <t>RI= RF+B(RM-RF)+RPECUADOR</t>
  </si>
  <si>
    <t>FINANCIAMIENTO</t>
  </si>
  <si>
    <t>INVERSION DE CAPITAL DE TRABAJO</t>
  </si>
  <si>
    <t>TOTAL POR ACTIVO</t>
  </si>
  <si>
    <t>MUEBLES Y ENSERSES</t>
  </si>
  <si>
    <t>EQUIPOS DE OFICINA</t>
  </si>
  <si>
    <t>TOTAL DE INVERSION INICIAL</t>
  </si>
  <si>
    <t>TOTAL DE INVERSION</t>
  </si>
  <si>
    <t>CUOTA</t>
  </si>
  <si>
    <t>SALDO</t>
  </si>
  <si>
    <t>TOTAL DE PRESTAMO</t>
  </si>
  <si>
    <t>VAN Y TIR DEL PROYECTO</t>
  </si>
  <si>
    <t>INGRESOS POR VENTAS</t>
  </si>
  <si>
    <t>COSTO VARIABLE</t>
  </si>
  <si>
    <t>GASTO ADMINISTRATIVOS</t>
  </si>
  <si>
    <t>GASTOS SERVICIOS  BASICOS</t>
  </si>
  <si>
    <t>GASTO DE SUMINISTROS</t>
  </si>
  <si>
    <t>GASTO DE ALQUILER</t>
  </si>
  <si>
    <t>GASTO DE MOVILIZACION</t>
  </si>
  <si>
    <t>DEPRECIACION</t>
  </si>
  <si>
    <t>UTILIDAD NETA</t>
  </si>
  <si>
    <t>AMORTIZACION</t>
  </si>
  <si>
    <t>CAPITAL DE TRABAJO</t>
  </si>
  <si>
    <t>PRESTAMO</t>
  </si>
  <si>
    <t>FLUJO DE CAJA</t>
  </si>
  <si>
    <t>VAN</t>
  </si>
  <si>
    <t>30 DIAS</t>
  </si>
  <si>
    <t>60 DIAS</t>
  </si>
  <si>
    <t>VENTAS ANUAL</t>
  </si>
  <si>
    <t>VENTA ANUAL</t>
  </si>
  <si>
    <t>PRESTAMO DEL 60% DEL VALOR DEL LA INVERSION INICIAL</t>
  </si>
  <si>
    <t>VEHICULO</t>
  </si>
  <si>
    <t>TIR</t>
  </si>
  <si>
    <t>PARTICIPACION DE LOS TRABAJADORES</t>
  </si>
  <si>
    <t>FUENTE: Los Autores</t>
  </si>
  <si>
    <t>TABLA 2.1: Estimación de la Demanda</t>
  </si>
  <si>
    <t>TABLA 2.2: Términos Poblacionales de Guayaquil</t>
  </si>
  <si>
    <t>TABLA 2.3: Tasa de Crecimiento</t>
  </si>
  <si>
    <t>TABLA 3.1: BALANCE DE MAQUINARIAS Y EQUIPOS</t>
  </si>
  <si>
    <t>RUBRO</t>
  </si>
  <si>
    <t>P. UNITARIO</t>
  </si>
  <si>
    <t>P. TOTAL</t>
  </si>
  <si>
    <t>CALENTOR DE AGUA</t>
  </si>
  <si>
    <t>LICUADORAS INDUSTRIALES</t>
  </si>
  <si>
    <t xml:space="preserve">HOMOGENIZADORA </t>
  </si>
  <si>
    <t>PASTEURIZADORA</t>
  </si>
  <si>
    <t>LLENADORA</t>
  </si>
  <si>
    <t>EMPAQUETADORA</t>
  </si>
  <si>
    <t>SELLADORA</t>
  </si>
  <si>
    <t>RECIPIENTES PLASTICOS</t>
  </si>
  <si>
    <t>PISCINA DE LAVADO</t>
  </si>
  <si>
    <t>GILLOTINAS</t>
  </si>
  <si>
    <t>MESAS DE TRABAJO</t>
  </si>
  <si>
    <t>CERNIDORAS INDUSTRIALES</t>
  </si>
  <si>
    <t>CARGO</t>
  </si>
  <si>
    <t>GTO. MENSUAL</t>
  </si>
  <si>
    <t>GTO. ANUAL</t>
  </si>
  <si>
    <t>TABLA 3.3: BALANCE DE OBRAS FISICAS</t>
  </si>
  <si>
    <t>UNIDAD DE MEDIDAS</t>
  </si>
  <si>
    <t>COSTO UNITARIO</t>
  </si>
  <si>
    <t>COSTO TOTAL</t>
  </si>
  <si>
    <t>PLANTA A</t>
  </si>
  <si>
    <t>200 m2</t>
  </si>
  <si>
    <t>PLANTA B</t>
  </si>
  <si>
    <t>400 m2</t>
  </si>
  <si>
    <t>PLANTA C</t>
  </si>
  <si>
    <t>600 m2</t>
  </si>
  <si>
    <t>OFICINAS</t>
  </si>
  <si>
    <t>100 m2</t>
  </si>
  <si>
    <t>CASETA DE GUARDIA</t>
  </si>
  <si>
    <t>2m2</t>
  </si>
  <si>
    <t>TABLA 5.1: ESTIMACION DE COSTOS</t>
  </si>
  <si>
    <t>TABLA 5.2: ANALISIS COSTO VOLUMEN UTILIDAD</t>
  </si>
  <si>
    <t>UNITARIO</t>
  </si>
  <si>
    <t>FUENTE. Los Autores</t>
  </si>
  <si>
    <t>TABLA 5.7: PROYECCION DE COSTO VARIABLES AÑO 2O17</t>
  </si>
  <si>
    <t>TABLA 5.8: COSTOS FIJOS ADMINISTRATIVOS</t>
  </si>
  <si>
    <t>TABLA 5.9: COSTOS FIJOS SERVICIOS BASICOS, SUMINISTRO ALQUILER Y MOVILIZACION</t>
  </si>
  <si>
    <t xml:space="preserve">TABLA 6.: INVERSION INICIAL </t>
  </si>
  <si>
    <t xml:space="preserve">TABLA 6.1: SALDO EN CAJAS MENSUAL ACUMULADO </t>
  </si>
  <si>
    <t xml:space="preserve">TABLA 6.3: CALCULOS   DE INGRESOS MENSUALES </t>
  </si>
  <si>
    <t>FUENTE.: Los Autores</t>
  </si>
  <si>
    <t>FUENTES: Los Autores</t>
  </si>
  <si>
    <t>TABLA 6.8: PROYECCION DE INGRESOS AÑO 2O17</t>
  </si>
  <si>
    <t>FUENTE:Los Autores</t>
  </si>
  <si>
    <t>TABLA 6.9: VALOR DE DESECHO</t>
  </si>
  <si>
    <t>TABLA 7: TASA DE DESCUENTO MODELO CAPM</t>
  </si>
  <si>
    <t>TABLA 7.1: INVERSION INICIAL AÑO 0</t>
  </si>
  <si>
    <t xml:space="preserve">INTERES        </t>
  </si>
  <si>
    <t>TABLA 7.2: TABLA DE AMORTIZACION 15% TASA DE INTERES</t>
  </si>
  <si>
    <t>CONSIDERANDO QUE LA TASA DE DESCUENTO ES:</t>
  </si>
  <si>
    <t>IMPUESTO 23% / 22%</t>
  </si>
  <si>
    <t>GASTOS FINANCIEROS</t>
  </si>
  <si>
    <t>UTILIDAD A. PAT E IMPUESTO</t>
  </si>
  <si>
    <t>UTILIDAD A. IMPUESTO</t>
  </si>
  <si>
    <t>AÑOS</t>
  </si>
  <si>
    <t>TASA DE DESCUENTO</t>
  </si>
</sst>
</file>

<file path=xl/styles.xml><?xml version="1.0" encoding="utf-8"?>
<styleSheet xmlns="http://schemas.openxmlformats.org/spreadsheetml/2006/main">
  <numFmts count="8">
    <numFmt numFmtId="164" formatCode="&quot;$&quot;\ #,##0_);\(&quot;$&quot;\ #,##0\)"/>
    <numFmt numFmtId="165" formatCode="&quot;$&quot;\ #,##0.00_);\(&quot;$&quot;\ #,##0.00\)"/>
    <numFmt numFmtId="166" formatCode="&quot;$&quot;\ #,##0.00_);[Red]\(&quot;$&quot;\ #,##0.00\)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71" formatCode="&quot;$&quot;\ #,##0.00"/>
    <numFmt numFmtId="172" formatCode="&quot;$&quot;\ #,##0"/>
    <numFmt numFmtId="173" formatCode="0.0000"/>
  </numFmts>
  <fonts count="2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u/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299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/>
    <xf numFmtId="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2" borderId="26" xfId="0" applyFill="1" applyBorder="1"/>
    <xf numFmtId="0" fontId="0" fillId="2" borderId="27" xfId="0" applyFill="1" applyBorder="1"/>
    <xf numFmtId="1" fontId="0" fillId="0" borderId="0" xfId="0" applyNumberFormat="1"/>
    <xf numFmtId="0" fontId="6" fillId="2" borderId="0" xfId="0" applyFont="1" applyFill="1"/>
    <xf numFmtId="0" fontId="6" fillId="0" borderId="0" xfId="0" applyFont="1"/>
    <xf numFmtId="0" fontId="0" fillId="0" borderId="0" xfId="0" applyBorder="1"/>
    <xf numFmtId="168" fontId="0" fillId="0" borderId="0" xfId="0" applyNumberFormat="1"/>
    <xf numFmtId="168" fontId="0" fillId="0" borderId="1" xfId="0" applyNumberFormat="1" applyBorder="1"/>
    <xf numFmtId="168" fontId="0" fillId="2" borderId="1" xfId="0" applyNumberFormat="1" applyFill="1" applyBorder="1"/>
    <xf numFmtId="168" fontId="0" fillId="0" borderId="34" xfId="0" applyNumberFormat="1" applyBorder="1" applyAlignment="1">
      <alignment horizontal="center"/>
    </xf>
    <xf numFmtId="168" fontId="0" fillId="0" borderId="33" xfId="0" applyNumberFormat="1" applyBorder="1" applyAlignment="1">
      <alignment horizontal="center"/>
    </xf>
    <xf numFmtId="168" fontId="0" fillId="0" borderId="33" xfId="0" applyNumberFormat="1" applyBorder="1"/>
    <xf numFmtId="167" fontId="6" fillId="2" borderId="0" xfId="0" applyNumberFormat="1" applyFont="1" applyFill="1"/>
    <xf numFmtId="0" fontId="8" fillId="0" borderId="0" xfId="0" applyFont="1"/>
    <xf numFmtId="0" fontId="9" fillId="0" borderId="1" xfId="0" applyFont="1" applyBorder="1" applyAlignment="1">
      <alignment horizontal="center"/>
    </xf>
    <xf numFmtId="168" fontId="8" fillId="2" borderId="1" xfId="0" applyNumberFormat="1" applyFont="1" applyFill="1" applyBorder="1"/>
    <xf numFmtId="168" fontId="8" fillId="0" borderId="1" xfId="0" applyNumberFormat="1" applyFont="1" applyBorder="1"/>
    <xf numFmtId="0" fontId="7" fillId="0" borderId="0" xfId="0" applyFont="1"/>
    <xf numFmtId="168" fontId="0" fillId="0" borderId="8" xfId="0" applyNumberFormat="1" applyBorder="1"/>
    <xf numFmtId="168" fontId="0" fillId="0" borderId="0" xfId="0" applyNumberFormat="1" applyBorder="1"/>
    <xf numFmtId="168" fontId="0" fillId="0" borderId="9" xfId="0" applyNumberFormat="1" applyBorder="1"/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1" fontId="8" fillId="0" borderId="1" xfId="0" applyNumberFormat="1" applyFont="1" applyBorder="1" applyAlignment="1">
      <alignment horizontal="center"/>
    </xf>
    <xf numFmtId="10" fontId="0" fillId="0" borderId="0" xfId="0" applyNumberFormat="1"/>
    <xf numFmtId="0" fontId="2" fillId="2" borderId="1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9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/>
    </xf>
    <xf numFmtId="0" fontId="16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166" fontId="20" fillId="0" borderId="11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166" fontId="20" fillId="0" borderId="9" xfId="0" applyNumberFormat="1" applyFont="1" applyBorder="1" applyAlignment="1">
      <alignment horizontal="center" vertical="center"/>
    </xf>
    <xf numFmtId="166" fontId="21" fillId="2" borderId="4" xfId="0" applyNumberFormat="1" applyFont="1" applyFill="1" applyBorder="1" applyAlignment="1">
      <alignment horizontal="right" vertical="center"/>
    </xf>
    <xf numFmtId="0" fontId="12" fillId="0" borderId="18" xfId="0" applyFont="1" applyBorder="1"/>
    <xf numFmtId="17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71" fontId="12" fillId="0" borderId="19" xfId="0" applyNumberFormat="1" applyFont="1" applyBorder="1" applyAlignment="1">
      <alignment horizontal="center"/>
    </xf>
    <xf numFmtId="171" fontId="13" fillId="2" borderId="1" xfId="0" applyNumberFormat="1" applyFont="1" applyFill="1" applyBorder="1"/>
    <xf numFmtId="0" fontId="13" fillId="2" borderId="18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166" fontId="23" fillId="0" borderId="11" xfId="0" applyNumberFormat="1" applyFont="1" applyBorder="1" applyAlignment="1">
      <alignment horizontal="center" vertical="center"/>
    </xf>
    <xf numFmtId="166" fontId="23" fillId="2" borderId="1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1" fontId="12" fillId="2" borderId="17" xfId="0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1" fontId="12" fillId="2" borderId="21" xfId="0" applyNumberFormat="1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168" fontId="12" fillId="0" borderId="31" xfId="0" applyNumberFormat="1" applyFont="1" applyBorder="1" applyAlignment="1">
      <alignment horizontal="center"/>
    </xf>
    <xf numFmtId="168" fontId="12" fillId="0" borderId="32" xfId="0" applyNumberFormat="1" applyFont="1" applyBorder="1" applyAlignment="1">
      <alignment horizontal="center"/>
    </xf>
    <xf numFmtId="171" fontId="12" fillId="0" borderId="31" xfId="0" applyNumberFormat="1" applyFont="1" applyBorder="1" applyAlignment="1">
      <alignment horizontal="center"/>
    </xf>
    <xf numFmtId="171" fontId="12" fillId="0" borderId="32" xfId="0" applyNumberFormat="1" applyFont="1" applyBorder="1" applyAlignment="1">
      <alignment horizontal="center"/>
    </xf>
    <xf numFmtId="0" fontId="9" fillId="0" borderId="1" xfId="0" applyFont="1" applyBorder="1"/>
    <xf numFmtId="1" fontId="9" fillId="0" borderId="1" xfId="0" applyNumberFormat="1" applyFont="1" applyBorder="1"/>
    <xf numFmtId="168" fontId="9" fillId="0" borderId="1" xfId="0" applyNumberFormat="1" applyFont="1" applyBorder="1"/>
    <xf numFmtId="168" fontId="9" fillId="2" borderId="1" xfId="0" applyNumberFormat="1" applyFont="1" applyFill="1" applyBorder="1"/>
    <xf numFmtId="1" fontId="9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9" fontId="9" fillId="2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68" fontId="12" fillId="0" borderId="1" xfId="0" applyNumberFormat="1" applyFont="1" applyBorder="1"/>
    <xf numFmtId="1" fontId="8" fillId="0" borderId="1" xfId="0" applyNumberFormat="1" applyFont="1" applyFill="1" applyBorder="1"/>
    <xf numFmtId="1" fontId="9" fillId="0" borderId="1" xfId="0" applyNumberFormat="1" applyFont="1" applyFill="1" applyBorder="1"/>
    <xf numFmtId="0" fontId="9" fillId="0" borderId="0" xfId="0" applyFont="1"/>
    <xf numFmtId="0" fontId="10" fillId="2" borderId="1" xfId="0" applyFont="1" applyFill="1" applyBorder="1" applyAlignment="1">
      <alignment horizontal="center"/>
    </xf>
    <xf numFmtId="0" fontId="13" fillId="0" borderId="1" xfId="0" applyFont="1" applyBorder="1"/>
    <xf numFmtId="0" fontId="12" fillId="0" borderId="0" xfId="0" applyFont="1"/>
    <xf numFmtId="168" fontId="10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/>
    <xf numFmtId="165" fontId="9" fillId="2" borderId="1" xfId="0" applyNumberFormat="1" applyFont="1" applyFill="1" applyBorder="1"/>
    <xf numFmtId="168" fontId="9" fillId="0" borderId="0" xfId="0" applyNumberFormat="1" applyFont="1" applyAlignment="1"/>
    <xf numFmtId="168" fontId="9" fillId="0" borderId="0" xfId="0" applyNumberFormat="1" applyFont="1"/>
    <xf numFmtId="165" fontId="9" fillId="4" borderId="1" xfId="0" applyNumberFormat="1" applyFont="1" applyFill="1" applyBorder="1"/>
    <xf numFmtId="165" fontId="9" fillId="3" borderId="1" xfId="0" applyNumberFormat="1" applyFont="1" applyFill="1" applyBorder="1"/>
    <xf numFmtId="168" fontId="9" fillId="3" borderId="1" xfId="0" applyNumberFormat="1" applyFont="1" applyFill="1" applyBorder="1"/>
    <xf numFmtId="168" fontId="11" fillId="0" borderId="0" xfId="0" applyNumberFormat="1" applyFont="1"/>
    <xf numFmtId="168" fontId="13" fillId="2" borderId="1" xfId="0" applyNumberFormat="1" applyFont="1" applyFill="1" applyBorder="1"/>
    <xf numFmtId="168" fontId="13" fillId="2" borderId="1" xfId="0" applyNumberFormat="1" applyFont="1" applyFill="1" applyBorder="1" applyAlignment="1">
      <alignment horizontal="center"/>
    </xf>
    <xf numFmtId="9" fontId="10" fillId="2" borderId="1" xfId="0" applyNumberFormat="1" applyFont="1" applyFill="1" applyBorder="1" applyAlignment="1">
      <alignment horizontal="center"/>
    </xf>
    <xf numFmtId="0" fontId="0" fillId="3" borderId="0" xfId="0" applyFill="1"/>
    <xf numFmtId="0" fontId="9" fillId="2" borderId="1" xfId="0" applyFont="1" applyFill="1" applyBorder="1"/>
    <xf numFmtId="0" fontId="12" fillId="2" borderId="1" xfId="0" applyFont="1" applyFill="1" applyBorder="1"/>
    <xf numFmtId="0" fontId="13" fillId="0" borderId="1" xfId="0" applyFont="1" applyBorder="1" applyAlignment="1">
      <alignment horizontal="center" vertical="center" wrapText="1"/>
    </xf>
    <xf numFmtId="171" fontId="12" fillId="0" borderId="1" xfId="0" applyNumberFormat="1" applyFont="1" applyBorder="1"/>
    <xf numFmtId="171" fontId="12" fillId="2" borderId="1" xfId="0" applyNumberFormat="1" applyFont="1" applyFill="1" applyBorder="1"/>
    <xf numFmtId="172" fontId="12" fillId="2" borderId="1" xfId="0" applyNumberFormat="1" applyFont="1" applyFill="1" applyBorder="1"/>
    <xf numFmtId="0" fontId="10" fillId="0" borderId="0" xfId="0" applyFont="1"/>
    <xf numFmtId="171" fontId="12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1" fontId="13" fillId="0" borderId="1" xfId="0" applyNumberFormat="1" applyFont="1" applyBorder="1" applyAlignment="1">
      <alignment horizontal="center"/>
    </xf>
    <xf numFmtId="171" fontId="12" fillId="2" borderId="39" xfId="0" applyNumberFormat="1" applyFont="1" applyFill="1" applyBorder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/>
    </xf>
    <xf numFmtId="9" fontId="9" fillId="2" borderId="11" xfId="1" applyFont="1" applyFill="1" applyBorder="1"/>
    <xf numFmtId="173" fontId="0" fillId="0" borderId="0" xfId="0" applyNumberFormat="1"/>
    <xf numFmtId="0" fontId="10" fillId="0" borderId="33" xfId="0" applyFont="1" applyBorder="1"/>
    <xf numFmtId="0" fontId="9" fillId="0" borderId="40" xfId="0" applyFont="1" applyBorder="1"/>
    <xf numFmtId="0" fontId="10" fillId="0" borderId="40" xfId="0" applyFont="1" applyBorder="1"/>
    <xf numFmtId="0" fontId="9" fillId="0" borderId="33" xfId="0" applyFont="1" applyBorder="1"/>
    <xf numFmtId="0" fontId="9" fillId="0" borderId="41" xfId="0" applyFont="1" applyBorder="1"/>
    <xf numFmtId="0" fontId="9" fillId="2" borderId="40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right"/>
    </xf>
    <xf numFmtId="0" fontId="10" fillId="0" borderId="42" xfId="0" applyFont="1" applyBorder="1"/>
    <xf numFmtId="166" fontId="9" fillId="2" borderId="33" xfId="0" applyNumberFormat="1" applyFont="1" applyFill="1" applyBorder="1"/>
    <xf numFmtId="0" fontId="9" fillId="0" borderId="33" xfId="0" applyFont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0" borderId="41" xfId="0" applyFont="1" applyBorder="1" applyAlignment="1">
      <alignment horizontal="right"/>
    </xf>
    <xf numFmtId="171" fontId="9" fillId="0" borderId="41" xfId="0" applyNumberFormat="1" applyFont="1" applyBorder="1" applyAlignment="1">
      <alignment horizontal="right"/>
    </xf>
    <xf numFmtId="0" fontId="9" fillId="0" borderId="33" xfId="0" applyFont="1" applyBorder="1" applyAlignment="1">
      <alignment horizontal="right"/>
    </xf>
    <xf numFmtId="171" fontId="9" fillId="0" borderId="33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71" fontId="9" fillId="0" borderId="1" xfId="0" applyNumberFormat="1" applyFont="1" applyBorder="1" applyAlignment="1">
      <alignment horizontal="right"/>
    </xf>
    <xf numFmtId="0" fontId="9" fillId="0" borderId="40" xfId="0" applyFont="1" applyBorder="1" applyAlignment="1">
      <alignment horizontal="right"/>
    </xf>
    <xf numFmtId="171" fontId="9" fillId="0" borderId="40" xfId="0" applyNumberFormat="1" applyFont="1" applyBorder="1" applyAlignment="1">
      <alignment horizontal="right"/>
    </xf>
    <xf numFmtId="0" fontId="10" fillId="0" borderId="33" xfId="0" applyFont="1" applyBorder="1" applyAlignment="1">
      <alignment horizontal="right"/>
    </xf>
    <xf numFmtId="0" fontId="10" fillId="0" borderId="40" xfId="0" applyFont="1" applyBorder="1" applyAlignment="1">
      <alignment horizontal="right"/>
    </xf>
    <xf numFmtId="0" fontId="9" fillId="0" borderId="42" xfId="0" applyFont="1" applyBorder="1" applyAlignment="1">
      <alignment horizontal="right"/>
    </xf>
    <xf numFmtId="171" fontId="9" fillId="0" borderId="42" xfId="0" applyNumberFormat="1" applyFont="1" applyBorder="1" applyAlignment="1">
      <alignment horizontal="right"/>
    </xf>
    <xf numFmtId="167" fontId="9" fillId="0" borderId="42" xfId="0" applyNumberFormat="1" applyFont="1" applyBorder="1" applyAlignment="1">
      <alignment horizontal="right"/>
    </xf>
    <xf numFmtId="164" fontId="9" fillId="0" borderId="42" xfId="0" applyNumberFormat="1" applyFont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left" indent="6"/>
    </xf>
    <xf numFmtId="0" fontId="3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9" fontId="9" fillId="2" borderId="1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171" fontId="13" fillId="2" borderId="1" xfId="0" applyNumberFormat="1" applyFont="1" applyFill="1" applyBorder="1" applyAlignment="1">
      <alignment horizontal="center"/>
    </xf>
    <xf numFmtId="171" fontId="12" fillId="0" borderId="1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9" fontId="10" fillId="2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0" fillId="0" borderId="0" xfId="0" applyNumberFormat="1" applyFont="1" applyBorder="1" applyAlignment="1">
      <alignment horizontal="center"/>
    </xf>
    <xf numFmtId="168" fontId="13" fillId="2" borderId="23" xfId="0" applyNumberFormat="1" applyFont="1" applyFill="1" applyBorder="1" applyAlignment="1">
      <alignment horizontal="center"/>
    </xf>
    <xf numFmtId="168" fontId="13" fillId="2" borderId="29" xfId="0" applyNumberFormat="1" applyFont="1" applyFill="1" applyBorder="1" applyAlignment="1">
      <alignment horizontal="center"/>
    </xf>
    <xf numFmtId="168" fontId="0" fillId="0" borderId="37" xfId="0" applyNumberFormat="1" applyFont="1" applyBorder="1" applyAlignment="1">
      <alignment horizontal="center"/>
    </xf>
    <xf numFmtId="168" fontId="12" fillId="0" borderId="23" xfId="0" applyNumberFormat="1" applyFont="1" applyBorder="1" applyAlignment="1">
      <alignment horizontal="left"/>
    </xf>
    <xf numFmtId="168" fontId="12" fillId="0" borderId="29" xfId="0" applyNumberFormat="1" applyFont="1" applyBorder="1" applyAlignment="1">
      <alignment horizontal="left"/>
    </xf>
    <xf numFmtId="168" fontId="12" fillId="0" borderId="23" xfId="0" applyNumberFormat="1" applyFont="1" applyBorder="1" applyAlignment="1">
      <alignment horizontal="center"/>
    </xf>
    <xf numFmtId="168" fontId="12" fillId="0" borderId="29" xfId="0" applyNumberFormat="1" applyFont="1" applyBorder="1" applyAlignment="1">
      <alignment horizontal="center"/>
    </xf>
    <xf numFmtId="168" fontId="9" fillId="0" borderId="0" xfId="0" applyNumberFormat="1" applyFont="1" applyAlignment="1">
      <alignment horizontal="center"/>
    </xf>
    <xf numFmtId="168" fontId="10" fillId="2" borderId="1" xfId="0" applyNumberFormat="1" applyFont="1" applyFill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168" fontId="0" fillId="0" borderId="33" xfId="0" applyNumberFormat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168" fontId="6" fillId="0" borderId="29" xfId="0" applyNumberFormat="1" applyFon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68" fontId="0" fillId="0" borderId="23" xfId="0" applyNumberFormat="1" applyBorder="1" applyAlignment="1">
      <alignment horizontal="center"/>
    </xf>
    <xf numFmtId="168" fontId="0" fillId="0" borderId="29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171" fontId="12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71" fontId="12" fillId="0" borderId="1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idweb.espol.edu.ec/private/download/3728/573567/doDownload?attachment=608453&amp;websiteId=3728&amp;folderId=17&amp;docId=573567&amp;websiteType=1&amp;action=none&amp;url=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q.xCont. (2)"/>
      <sheetName val="Dim.Maquina"/>
      <sheetName val="Maq.xCont."/>
      <sheetName val="EQUIPOS"/>
      <sheetName val="PERSONAL"/>
      <sheetName val="Tamaño Bodega"/>
      <sheetName val="Localiz.Bodega"/>
      <sheetName val="Inver.inicial"/>
      <sheetName val="Equipamiento"/>
      <sheetName val="Sueldos"/>
      <sheetName val="Gstosoper"/>
      <sheetName val="Alquiler"/>
      <sheetName val="Publi"/>
      <sheetName val="Depr"/>
      <sheetName val="Demanda real"/>
      <sheetName val="Dem.Maq.Mens."/>
      <sheetName val="Cap_Trab"/>
      <sheetName val="Dem.NP2"/>
      <sheetName val="Dem.NP"/>
      <sheetName val="Demproy"/>
      <sheetName val="Dem.Maq.Anual"/>
      <sheetName val="FLUJO CAJA"/>
      <sheetName val="Payback"/>
      <sheetName val="CB"/>
      <sheetName val="REPORTC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">
          <cell r="B4">
            <v>0.3029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E9"/>
  <sheetViews>
    <sheetView workbookViewId="0">
      <selection activeCell="H14" sqref="H14"/>
    </sheetView>
  </sheetViews>
  <sheetFormatPr baseColWidth="10" defaultRowHeight="15"/>
  <cols>
    <col min="5" max="5" width="13.5703125" bestFit="1" customWidth="1"/>
  </cols>
  <sheetData>
    <row r="4" spans="2:5">
      <c r="C4" s="168" t="s">
        <v>222</v>
      </c>
      <c r="D4" s="168"/>
      <c r="E4" s="168"/>
    </row>
    <row r="5" spans="2:5" ht="15.75">
      <c r="B5" s="1"/>
      <c r="C5" s="51" t="s">
        <v>0</v>
      </c>
      <c r="D5" s="51" t="s">
        <v>1</v>
      </c>
      <c r="E5" s="51" t="s">
        <v>2</v>
      </c>
    </row>
    <row r="6" spans="2:5" ht="15.75">
      <c r="B6" s="2" t="s">
        <v>3</v>
      </c>
      <c r="C6" s="5">
        <f>C8*0.3</f>
        <v>15579</v>
      </c>
      <c r="D6" s="7">
        <f>C6/$C$8</f>
        <v>0.3</v>
      </c>
      <c r="E6" s="8">
        <f>D6*100</f>
        <v>30</v>
      </c>
    </row>
    <row r="7" spans="2:5" ht="15.75">
      <c r="B7" s="2" t="s">
        <v>4</v>
      </c>
      <c r="C7" s="5">
        <f>C8*0.7</f>
        <v>36351</v>
      </c>
      <c r="D7" s="7">
        <f>C7/$C$8</f>
        <v>0.7</v>
      </c>
      <c r="E7" s="8">
        <v>100</v>
      </c>
    </row>
    <row r="8" spans="2:5" ht="15.75">
      <c r="B8" s="2" t="s">
        <v>5</v>
      </c>
      <c r="C8" s="5">
        <v>51930</v>
      </c>
      <c r="D8" s="7">
        <f>SUM(D6:D7)</f>
        <v>1</v>
      </c>
      <c r="E8" s="5"/>
    </row>
    <row r="9" spans="2:5">
      <c r="C9" s="3" t="s">
        <v>6</v>
      </c>
      <c r="D9" s="4"/>
      <c r="E9" s="4"/>
    </row>
  </sheetData>
  <mergeCells count="1">
    <mergeCell ref="C4:E4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J84"/>
  <sheetViews>
    <sheetView workbookViewId="0">
      <selection activeCell="L86" sqref="L86"/>
    </sheetView>
  </sheetViews>
  <sheetFormatPr baseColWidth="10" defaultRowHeight="15"/>
  <cols>
    <col min="2" max="2" width="12" bestFit="1" customWidth="1"/>
    <col min="3" max="3" width="7" bestFit="1" customWidth="1"/>
    <col min="4" max="4" width="8" bestFit="1" customWidth="1"/>
    <col min="7" max="7" width="7.85546875" bestFit="1" customWidth="1"/>
    <col min="8" max="8" width="7.140625" bestFit="1" customWidth="1"/>
    <col min="9" max="9" width="6.28515625" bestFit="1" customWidth="1"/>
    <col min="10" max="10" width="12.42578125" bestFit="1" customWidth="1"/>
  </cols>
  <sheetData>
    <row r="2" spans="2:10" ht="9.75" customHeight="1">
      <c r="B2" s="201" t="s">
        <v>270</v>
      </c>
      <c r="C2" s="201"/>
      <c r="D2" s="201"/>
      <c r="E2" s="201"/>
      <c r="F2" s="201"/>
      <c r="G2" s="201"/>
      <c r="H2" s="201"/>
      <c r="I2" s="201"/>
      <c r="J2" s="201"/>
    </row>
    <row r="3" spans="2:10" ht="12.75" customHeight="1">
      <c r="B3" s="201" t="s">
        <v>67</v>
      </c>
      <c r="C3" s="201" t="s">
        <v>68</v>
      </c>
      <c r="D3" s="201" t="s">
        <v>69</v>
      </c>
      <c r="E3" s="201"/>
      <c r="F3" s="201"/>
      <c r="G3" s="111" t="s">
        <v>72</v>
      </c>
      <c r="H3" s="201" t="s">
        <v>112</v>
      </c>
      <c r="I3" s="201"/>
      <c r="J3" s="111" t="s">
        <v>112</v>
      </c>
    </row>
    <row r="4" spans="2:10" ht="11.25" customHeight="1">
      <c r="B4" s="201"/>
      <c r="C4" s="201"/>
      <c r="D4" s="125">
        <v>0.6</v>
      </c>
      <c r="E4" s="224">
        <v>0.4</v>
      </c>
      <c r="F4" s="224"/>
      <c r="G4" s="111" t="s">
        <v>73</v>
      </c>
      <c r="H4" s="111" t="s">
        <v>70</v>
      </c>
      <c r="I4" s="111" t="s">
        <v>71</v>
      </c>
      <c r="J4" s="201" t="s">
        <v>75</v>
      </c>
    </row>
    <row r="5" spans="2:10" ht="9.75" customHeight="1">
      <c r="B5" s="201"/>
      <c r="C5" s="201"/>
      <c r="D5" s="111" t="s">
        <v>70</v>
      </c>
      <c r="E5" s="201" t="s">
        <v>71</v>
      </c>
      <c r="F5" s="201"/>
      <c r="G5" s="111">
        <v>2017</v>
      </c>
      <c r="H5" s="111">
        <v>0.3</v>
      </c>
      <c r="I5" s="111">
        <v>1</v>
      </c>
      <c r="J5" s="201"/>
    </row>
    <row r="6" spans="2:10" hidden="1">
      <c r="B6" s="96" t="s">
        <v>76</v>
      </c>
      <c r="C6" s="96">
        <v>1</v>
      </c>
      <c r="D6" s="96">
        <f>(1323000*G6)*$D$4</f>
        <v>79380</v>
      </c>
      <c r="E6" s="194">
        <f>(1323000*G6)*$E$4</f>
        <v>52920</v>
      </c>
      <c r="F6" s="194"/>
      <c r="G6" s="37">
        <f>10%</f>
        <v>0.1</v>
      </c>
      <c r="H6" s="96">
        <f>D6*$H$5</f>
        <v>23814</v>
      </c>
      <c r="I6" s="96">
        <f>E6*$I$5</f>
        <v>52920</v>
      </c>
      <c r="J6" s="115">
        <f>H6+I6</f>
        <v>76734</v>
      </c>
    </row>
    <row r="7" spans="2:10" hidden="1">
      <c r="B7" s="96" t="s">
        <v>77</v>
      </c>
      <c r="C7" s="96">
        <v>2</v>
      </c>
      <c r="D7" s="96">
        <f t="shared" ref="D7:D17" si="0">(1323000*G7)*$D$4</f>
        <v>79380</v>
      </c>
      <c r="E7" s="194">
        <f t="shared" ref="E7:E17" si="1">(1323000*G7)*$E$4</f>
        <v>52920</v>
      </c>
      <c r="F7" s="194"/>
      <c r="G7" s="37">
        <v>0.1</v>
      </c>
      <c r="H7" s="96">
        <f t="shared" ref="H7:H18" si="2">D7*$H$5</f>
        <v>23814</v>
      </c>
      <c r="I7" s="96">
        <f>E7*$I$5</f>
        <v>52920</v>
      </c>
      <c r="J7" s="115">
        <f t="shared" ref="J7:J18" si="3">H7+I7</f>
        <v>76734</v>
      </c>
    </row>
    <row r="8" spans="2:10" hidden="1">
      <c r="B8" s="96" t="s">
        <v>78</v>
      </c>
      <c r="C8" s="96">
        <v>3</v>
      </c>
      <c r="D8" s="96">
        <f t="shared" si="0"/>
        <v>79380</v>
      </c>
      <c r="E8" s="194">
        <f t="shared" si="1"/>
        <v>52920</v>
      </c>
      <c r="F8" s="194"/>
      <c r="G8" s="37">
        <v>0.1</v>
      </c>
      <c r="H8" s="96">
        <f t="shared" si="2"/>
        <v>23814</v>
      </c>
      <c r="I8" s="96">
        <f t="shared" ref="I8:I16" si="4">E8*$I$5</f>
        <v>52920</v>
      </c>
      <c r="J8" s="115">
        <f t="shared" si="3"/>
        <v>76734</v>
      </c>
    </row>
    <row r="9" spans="2:10" hidden="1">
      <c r="B9" s="96" t="s">
        <v>79</v>
      </c>
      <c r="C9" s="96">
        <v>4</v>
      </c>
      <c r="D9" s="96">
        <f>(1323000*G9)*$D$4</f>
        <v>47628</v>
      </c>
      <c r="E9" s="194">
        <f t="shared" si="1"/>
        <v>31752</v>
      </c>
      <c r="F9" s="194"/>
      <c r="G9" s="37">
        <v>0.06</v>
      </c>
      <c r="H9" s="96">
        <f t="shared" si="2"/>
        <v>14288.4</v>
      </c>
      <c r="I9" s="96">
        <f t="shared" si="4"/>
        <v>31752</v>
      </c>
      <c r="J9" s="115">
        <f t="shared" si="3"/>
        <v>46040.4</v>
      </c>
    </row>
    <row r="10" spans="2:10" hidden="1">
      <c r="B10" s="96" t="s">
        <v>80</v>
      </c>
      <c r="C10" s="96">
        <v>5</v>
      </c>
      <c r="D10" s="96">
        <f t="shared" si="0"/>
        <v>47628</v>
      </c>
      <c r="E10" s="194">
        <f t="shared" si="1"/>
        <v>31752</v>
      </c>
      <c r="F10" s="194"/>
      <c r="G10" s="37">
        <v>0.06</v>
      </c>
      <c r="H10" s="96">
        <f t="shared" si="2"/>
        <v>14288.4</v>
      </c>
      <c r="I10" s="96">
        <f t="shared" si="4"/>
        <v>31752</v>
      </c>
      <c r="J10" s="115">
        <f t="shared" si="3"/>
        <v>46040.4</v>
      </c>
    </row>
    <row r="11" spans="2:10" hidden="1">
      <c r="B11" s="96" t="s">
        <v>81</v>
      </c>
      <c r="C11" s="96">
        <v>6</v>
      </c>
      <c r="D11" s="96">
        <f t="shared" si="0"/>
        <v>47628</v>
      </c>
      <c r="E11" s="194">
        <f t="shared" si="1"/>
        <v>31752</v>
      </c>
      <c r="F11" s="194"/>
      <c r="G11" s="37">
        <v>0.06</v>
      </c>
      <c r="H11" s="96">
        <f t="shared" si="2"/>
        <v>14288.4</v>
      </c>
      <c r="I11" s="96">
        <f t="shared" si="4"/>
        <v>31752</v>
      </c>
      <c r="J11" s="115">
        <f t="shared" si="3"/>
        <v>46040.4</v>
      </c>
    </row>
    <row r="12" spans="2:10" hidden="1">
      <c r="B12" s="96" t="s">
        <v>82</v>
      </c>
      <c r="C12" s="96">
        <v>7</v>
      </c>
      <c r="D12" s="96">
        <f t="shared" si="0"/>
        <v>63504</v>
      </c>
      <c r="E12" s="194">
        <f t="shared" si="1"/>
        <v>42336</v>
      </c>
      <c r="F12" s="194"/>
      <c r="G12" s="37">
        <v>0.08</v>
      </c>
      <c r="H12" s="96">
        <f t="shared" si="2"/>
        <v>19051.2</v>
      </c>
      <c r="I12" s="96">
        <f t="shared" si="4"/>
        <v>42336</v>
      </c>
      <c r="J12" s="115">
        <f t="shared" si="3"/>
        <v>61387.199999999997</v>
      </c>
    </row>
    <row r="13" spans="2:10" hidden="1">
      <c r="B13" s="96" t="s">
        <v>83</v>
      </c>
      <c r="C13" s="96">
        <v>8</v>
      </c>
      <c r="D13" s="96">
        <f t="shared" si="0"/>
        <v>63504</v>
      </c>
      <c r="E13" s="194">
        <f t="shared" si="1"/>
        <v>42336</v>
      </c>
      <c r="F13" s="194"/>
      <c r="G13" s="37">
        <v>0.08</v>
      </c>
      <c r="H13" s="96">
        <f t="shared" si="2"/>
        <v>19051.2</v>
      </c>
      <c r="I13" s="96">
        <f t="shared" si="4"/>
        <v>42336</v>
      </c>
      <c r="J13" s="115">
        <f t="shared" si="3"/>
        <v>61387.199999999997</v>
      </c>
    </row>
    <row r="14" spans="2:10" hidden="1">
      <c r="B14" s="96" t="s">
        <v>84</v>
      </c>
      <c r="C14" s="96">
        <v>9</v>
      </c>
      <c r="D14" s="96">
        <f t="shared" si="0"/>
        <v>63504</v>
      </c>
      <c r="E14" s="194">
        <f t="shared" si="1"/>
        <v>42336</v>
      </c>
      <c r="F14" s="194"/>
      <c r="G14" s="37">
        <v>0.08</v>
      </c>
      <c r="H14" s="96">
        <f t="shared" si="2"/>
        <v>19051.2</v>
      </c>
      <c r="I14" s="96">
        <f t="shared" si="4"/>
        <v>42336</v>
      </c>
      <c r="J14" s="115">
        <f t="shared" si="3"/>
        <v>61387.199999999997</v>
      </c>
    </row>
    <row r="15" spans="2:10" hidden="1">
      <c r="B15" s="96" t="s">
        <v>85</v>
      </c>
      <c r="C15" s="96">
        <v>10</v>
      </c>
      <c r="D15" s="96">
        <f t="shared" si="0"/>
        <v>63504</v>
      </c>
      <c r="E15" s="194">
        <f t="shared" si="1"/>
        <v>42336</v>
      </c>
      <c r="F15" s="194"/>
      <c r="G15" s="37">
        <v>0.08</v>
      </c>
      <c r="H15" s="96">
        <f t="shared" si="2"/>
        <v>19051.2</v>
      </c>
      <c r="I15" s="96">
        <f t="shared" si="4"/>
        <v>42336</v>
      </c>
      <c r="J15" s="115">
        <f t="shared" si="3"/>
        <v>61387.199999999997</v>
      </c>
    </row>
    <row r="16" spans="2:10" hidden="1">
      <c r="B16" s="96" t="s">
        <v>86</v>
      </c>
      <c r="C16" s="96">
        <v>11</v>
      </c>
      <c r="D16" s="96">
        <f t="shared" si="0"/>
        <v>79380</v>
      </c>
      <c r="E16" s="194">
        <f t="shared" si="1"/>
        <v>52920</v>
      </c>
      <c r="F16" s="194"/>
      <c r="G16" s="37">
        <v>0.1</v>
      </c>
      <c r="H16" s="96">
        <f t="shared" si="2"/>
        <v>23814</v>
      </c>
      <c r="I16" s="96">
        <f t="shared" si="4"/>
        <v>52920</v>
      </c>
      <c r="J16" s="115">
        <f t="shared" si="3"/>
        <v>76734</v>
      </c>
    </row>
    <row r="17" spans="2:10" hidden="1">
      <c r="B17" s="96" t="s">
        <v>87</v>
      </c>
      <c r="C17" s="96">
        <v>12</v>
      </c>
      <c r="D17" s="96">
        <f t="shared" si="0"/>
        <v>79380</v>
      </c>
      <c r="E17" s="194">
        <f t="shared" si="1"/>
        <v>52920</v>
      </c>
      <c r="F17" s="194"/>
      <c r="G17" s="37">
        <v>0.1</v>
      </c>
      <c r="H17" s="96">
        <f t="shared" si="2"/>
        <v>23814</v>
      </c>
      <c r="I17" s="96">
        <f>E17*$I$5</f>
        <v>52920</v>
      </c>
      <c r="J17" s="115">
        <f t="shared" si="3"/>
        <v>76734</v>
      </c>
    </row>
    <row r="18" spans="2:10" hidden="1">
      <c r="B18" s="96" t="s">
        <v>5</v>
      </c>
      <c r="C18" s="96"/>
      <c r="D18" s="96">
        <f>SUM(D6:D17)</f>
        <v>793800</v>
      </c>
      <c r="E18" s="194">
        <f>SUM(E6:F17)</f>
        <v>529200</v>
      </c>
      <c r="F18" s="194"/>
      <c r="G18" s="37"/>
      <c r="H18" s="96">
        <f t="shared" si="2"/>
        <v>238140</v>
      </c>
      <c r="I18" s="96">
        <f>E18*$I$5</f>
        <v>529200</v>
      </c>
      <c r="J18" s="116">
        <f t="shared" si="3"/>
        <v>767340</v>
      </c>
    </row>
    <row r="19" spans="2:10" ht="14.25" hidden="1" customHeight="1">
      <c r="B19" s="194" t="s">
        <v>147</v>
      </c>
      <c r="C19" s="194"/>
      <c r="D19" s="202">
        <f>D18+E18</f>
        <v>1323000</v>
      </c>
      <c r="E19" s="202"/>
      <c r="F19" s="202"/>
      <c r="G19" s="37"/>
      <c r="H19" s="202" t="s">
        <v>215</v>
      </c>
      <c r="I19" s="202"/>
      <c r="J19" s="98"/>
    </row>
    <row r="20" spans="2:10" ht="14.25" hidden="1" customHeight="1">
      <c r="B20" s="209" t="s">
        <v>221</v>
      </c>
      <c r="C20" s="209"/>
      <c r="D20" s="209"/>
      <c r="E20" s="209"/>
      <c r="F20" s="209"/>
      <c r="G20" s="209"/>
      <c r="H20" s="209"/>
      <c r="I20" s="209"/>
      <c r="J20" s="209"/>
    </row>
    <row r="21" spans="2:10" hidden="1">
      <c r="B21" s="209">
        <v>2014</v>
      </c>
      <c r="C21" s="209"/>
      <c r="D21" s="209"/>
      <c r="E21" s="209"/>
      <c r="F21" s="209"/>
      <c r="G21" s="209"/>
      <c r="H21" s="209"/>
      <c r="I21" s="209"/>
      <c r="J21" s="209"/>
    </row>
    <row r="22" spans="2:10" hidden="1">
      <c r="B22" s="96" t="s">
        <v>76</v>
      </c>
      <c r="C22" s="96">
        <v>1</v>
      </c>
      <c r="D22" s="96">
        <f>(1428840*G22)*$D$4</f>
        <v>85730.4</v>
      </c>
      <c r="E22" s="194">
        <f>(1428840*G22)*$E$4</f>
        <v>57153.600000000006</v>
      </c>
      <c r="F22" s="194"/>
      <c r="G22" s="105">
        <v>0.1</v>
      </c>
      <c r="H22" s="97">
        <f>D22*0.3</f>
        <v>25719.119999999999</v>
      </c>
      <c r="I22" s="97">
        <f>E22*$I$5</f>
        <v>57153.600000000006</v>
      </c>
      <c r="J22" s="98">
        <f>H22+I22</f>
        <v>82872.72</v>
      </c>
    </row>
    <row r="23" spans="2:10" hidden="1">
      <c r="B23" s="96" t="s">
        <v>77</v>
      </c>
      <c r="C23" s="96">
        <v>2</v>
      </c>
      <c r="D23" s="96">
        <f t="shared" ref="D23:D33" si="5">(1428840*G23)*$D$4</f>
        <v>85730.4</v>
      </c>
      <c r="E23" s="194">
        <f t="shared" ref="E23:E33" si="6">(1428840*G23)*$E$4</f>
        <v>57153.600000000006</v>
      </c>
      <c r="F23" s="194"/>
      <c r="G23" s="105">
        <v>0.1</v>
      </c>
      <c r="H23" s="97">
        <f t="shared" ref="H23:H34" si="7">D23*$H$5</f>
        <v>25719.119999999999</v>
      </c>
      <c r="I23" s="97">
        <f t="shared" ref="I23:I34" si="8">E23*$I$5</f>
        <v>57153.600000000006</v>
      </c>
      <c r="J23" s="98">
        <f t="shared" ref="J23:J33" si="9">H23+I23</f>
        <v>82872.72</v>
      </c>
    </row>
    <row r="24" spans="2:10" hidden="1">
      <c r="B24" s="96" t="s">
        <v>78</v>
      </c>
      <c r="C24" s="96">
        <v>3</v>
      </c>
      <c r="D24" s="96">
        <f t="shared" si="5"/>
        <v>77157.359999999986</v>
      </c>
      <c r="E24" s="194">
        <f t="shared" si="6"/>
        <v>51438.239999999998</v>
      </c>
      <c r="F24" s="194"/>
      <c r="G24" s="105">
        <v>0.09</v>
      </c>
      <c r="H24" s="97">
        <f t="shared" si="7"/>
        <v>23147.207999999995</v>
      </c>
      <c r="I24" s="97">
        <f t="shared" si="8"/>
        <v>51438.239999999998</v>
      </c>
      <c r="J24" s="98">
        <f t="shared" si="9"/>
        <v>74585.447999999989</v>
      </c>
    </row>
    <row r="25" spans="2:10" hidden="1">
      <c r="B25" s="96" t="s">
        <v>79</v>
      </c>
      <c r="C25" s="96">
        <v>4</v>
      </c>
      <c r="D25" s="96">
        <f t="shared" si="5"/>
        <v>77157.359999999986</v>
      </c>
      <c r="E25" s="194">
        <f t="shared" si="6"/>
        <v>51438.239999999998</v>
      </c>
      <c r="F25" s="194"/>
      <c r="G25" s="105">
        <v>0.09</v>
      </c>
      <c r="H25" s="97">
        <f t="shared" si="7"/>
        <v>23147.207999999995</v>
      </c>
      <c r="I25" s="97">
        <f t="shared" si="8"/>
        <v>51438.239999999998</v>
      </c>
      <c r="J25" s="98">
        <f t="shared" si="9"/>
        <v>74585.447999999989</v>
      </c>
    </row>
    <row r="26" spans="2:10" hidden="1">
      <c r="B26" s="96" t="s">
        <v>80</v>
      </c>
      <c r="C26" s="96">
        <v>5</v>
      </c>
      <c r="D26" s="96">
        <f t="shared" si="5"/>
        <v>77157.359999999986</v>
      </c>
      <c r="E26" s="194">
        <f t="shared" si="6"/>
        <v>51438.239999999998</v>
      </c>
      <c r="F26" s="194"/>
      <c r="G26" s="105">
        <v>0.09</v>
      </c>
      <c r="H26" s="97">
        <f t="shared" si="7"/>
        <v>23147.207999999995</v>
      </c>
      <c r="I26" s="97">
        <f t="shared" si="8"/>
        <v>51438.239999999998</v>
      </c>
      <c r="J26" s="98">
        <f t="shared" si="9"/>
        <v>74585.447999999989</v>
      </c>
    </row>
    <row r="27" spans="2:10" hidden="1">
      <c r="B27" s="96" t="s">
        <v>81</v>
      </c>
      <c r="C27" s="96">
        <v>6</v>
      </c>
      <c r="D27" s="96">
        <f t="shared" si="5"/>
        <v>68584.319999999992</v>
      </c>
      <c r="E27" s="194">
        <f t="shared" si="6"/>
        <v>45722.880000000005</v>
      </c>
      <c r="F27" s="194"/>
      <c r="G27" s="105">
        <v>0.08</v>
      </c>
      <c r="H27" s="97">
        <f t="shared" si="7"/>
        <v>20575.295999999998</v>
      </c>
      <c r="I27" s="97">
        <f t="shared" si="8"/>
        <v>45722.880000000005</v>
      </c>
      <c r="J27" s="98">
        <f t="shared" si="9"/>
        <v>66298.176000000007</v>
      </c>
    </row>
    <row r="28" spans="2:10" hidden="1">
      <c r="B28" s="96" t="s">
        <v>82</v>
      </c>
      <c r="C28" s="96">
        <v>7</v>
      </c>
      <c r="D28" s="96">
        <f t="shared" si="5"/>
        <v>68584.319999999992</v>
      </c>
      <c r="E28" s="194">
        <f t="shared" si="6"/>
        <v>45722.880000000005</v>
      </c>
      <c r="F28" s="194"/>
      <c r="G28" s="105">
        <v>0.08</v>
      </c>
      <c r="H28" s="97">
        <f t="shared" si="7"/>
        <v>20575.295999999998</v>
      </c>
      <c r="I28" s="97">
        <f t="shared" si="8"/>
        <v>45722.880000000005</v>
      </c>
      <c r="J28" s="98">
        <f t="shared" si="9"/>
        <v>66298.176000000007</v>
      </c>
    </row>
    <row r="29" spans="2:10" hidden="1">
      <c r="B29" s="96" t="s">
        <v>83</v>
      </c>
      <c r="C29" s="96">
        <v>8</v>
      </c>
      <c r="D29" s="96">
        <f t="shared" si="5"/>
        <v>60011.28</v>
      </c>
      <c r="E29" s="194">
        <f t="shared" si="6"/>
        <v>40007.520000000004</v>
      </c>
      <c r="F29" s="194"/>
      <c r="G29" s="105">
        <v>7.0000000000000007E-2</v>
      </c>
      <c r="H29" s="97">
        <f t="shared" si="7"/>
        <v>18003.383999999998</v>
      </c>
      <c r="I29" s="97">
        <f t="shared" si="8"/>
        <v>40007.520000000004</v>
      </c>
      <c r="J29" s="98">
        <f t="shared" si="9"/>
        <v>58010.904000000002</v>
      </c>
    </row>
    <row r="30" spans="2:10" hidden="1">
      <c r="B30" s="96" t="s">
        <v>84</v>
      </c>
      <c r="C30" s="96">
        <v>9</v>
      </c>
      <c r="D30" s="96">
        <f t="shared" si="5"/>
        <v>60011.28</v>
      </c>
      <c r="E30" s="194">
        <f t="shared" si="6"/>
        <v>40007.520000000004</v>
      </c>
      <c r="F30" s="194"/>
      <c r="G30" s="105">
        <v>7.0000000000000007E-2</v>
      </c>
      <c r="H30" s="97">
        <f t="shared" si="7"/>
        <v>18003.383999999998</v>
      </c>
      <c r="I30" s="97">
        <f t="shared" si="8"/>
        <v>40007.520000000004</v>
      </c>
      <c r="J30" s="98">
        <f t="shared" si="9"/>
        <v>58010.904000000002</v>
      </c>
    </row>
    <row r="31" spans="2:10" hidden="1">
      <c r="B31" s="96" t="s">
        <v>85</v>
      </c>
      <c r="C31" s="96">
        <v>10</v>
      </c>
      <c r="D31" s="96">
        <f t="shared" si="5"/>
        <v>60011.28</v>
      </c>
      <c r="E31" s="194">
        <f t="shared" si="6"/>
        <v>40007.520000000004</v>
      </c>
      <c r="F31" s="194"/>
      <c r="G31" s="105">
        <v>7.0000000000000007E-2</v>
      </c>
      <c r="H31" s="97">
        <f t="shared" si="7"/>
        <v>18003.383999999998</v>
      </c>
      <c r="I31" s="97">
        <f t="shared" si="8"/>
        <v>40007.520000000004</v>
      </c>
      <c r="J31" s="98">
        <f t="shared" si="9"/>
        <v>58010.904000000002</v>
      </c>
    </row>
    <row r="32" spans="2:10" hidden="1">
      <c r="B32" s="96" t="s">
        <v>86</v>
      </c>
      <c r="C32" s="96">
        <v>11</v>
      </c>
      <c r="D32" s="96">
        <f t="shared" si="5"/>
        <v>68584.319999999992</v>
      </c>
      <c r="E32" s="194">
        <f t="shared" si="6"/>
        <v>45722.880000000005</v>
      </c>
      <c r="F32" s="194"/>
      <c r="G32" s="105">
        <v>0.08</v>
      </c>
      <c r="H32" s="97">
        <f t="shared" si="7"/>
        <v>20575.295999999998</v>
      </c>
      <c r="I32" s="97">
        <f t="shared" si="8"/>
        <v>45722.880000000005</v>
      </c>
      <c r="J32" s="98">
        <f t="shared" si="9"/>
        <v>66298.176000000007</v>
      </c>
    </row>
    <row r="33" spans="2:10" hidden="1">
      <c r="B33" s="96" t="s">
        <v>87</v>
      </c>
      <c r="C33" s="96">
        <v>12</v>
      </c>
      <c r="D33" s="96">
        <f t="shared" si="5"/>
        <v>68584.319999999992</v>
      </c>
      <c r="E33" s="194">
        <f t="shared" si="6"/>
        <v>45722.880000000005</v>
      </c>
      <c r="F33" s="194"/>
      <c r="G33" s="105">
        <v>0.08</v>
      </c>
      <c r="H33" s="97">
        <f t="shared" si="7"/>
        <v>20575.295999999998</v>
      </c>
      <c r="I33" s="97">
        <f t="shared" si="8"/>
        <v>45722.880000000005</v>
      </c>
      <c r="J33" s="98">
        <f t="shared" si="9"/>
        <v>66298.176000000007</v>
      </c>
    </row>
    <row r="34" spans="2:10" hidden="1">
      <c r="B34" s="96" t="s">
        <v>5</v>
      </c>
      <c r="C34" s="96"/>
      <c r="D34" s="96">
        <f>SUM(D22:D33)</f>
        <v>857303.99999999988</v>
      </c>
      <c r="E34" s="194">
        <f>SUM(E22:F33)</f>
        <v>571536.00000000012</v>
      </c>
      <c r="F34" s="194"/>
      <c r="G34" s="105"/>
      <c r="H34" s="97">
        <f t="shared" si="7"/>
        <v>257191.19999999995</v>
      </c>
      <c r="I34" s="97">
        <f t="shared" si="8"/>
        <v>571536.00000000012</v>
      </c>
      <c r="J34" s="99">
        <f>SUM(J22:J33)</f>
        <v>828727.19999999984</v>
      </c>
    </row>
    <row r="35" spans="2:10" hidden="1">
      <c r="B35" s="96" t="s">
        <v>147</v>
      </c>
      <c r="C35" s="96"/>
      <c r="D35" s="202">
        <f>D34+E34</f>
        <v>1428840</v>
      </c>
      <c r="E35" s="202"/>
      <c r="F35" s="202"/>
      <c r="G35" s="105"/>
      <c r="H35" s="195" t="s">
        <v>215</v>
      </c>
      <c r="I35" s="195"/>
      <c r="J35" s="98"/>
    </row>
    <row r="36" spans="2:10" hidden="1">
      <c r="B36" s="225" t="s">
        <v>269</v>
      </c>
      <c r="C36" s="225"/>
      <c r="D36" s="225"/>
      <c r="E36" s="225"/>
      <c r="F36" s="225"/>
      <c r="G36" s="225"/>
      <c r="H36" s="225"/>
      <c r="I36" s="225"/>
      <c r="J36" s="225"/>
    </row>
    <row r="37" spans="2:10" hidden="1">
      <c r="B37" s="209">
        <v>2015</v>
      </c>
      <c r="C37" s="209"/>
      <c r="D37" s="209"/>
      <c r="E37" s="209"/>
      <c r="F37" s="209"/>
      <c r="G37" s="209"/>
      <c r="H37" s="209"/>
      <c r="I37" s="209"/>
      <c r="J37" s="209"/>
    </row>
    <row r="38" spans="2:10" hidden="1">
      <c r="B38" s="96" t="s">
        <v>76</v>
      </c>
      <c r="C38" s="96">
        <v>1</v>
      </c>
      <c r="D38" s="97">
        <f>(1543147*G38)*$D$4</f>
        <v>92588.82</v>
      </c>
      <c r="E38" s="198">
        <f>(1543147*G38)*$E$4</f>
        <v>61725.880000000005</v>
      </c>
      <c r="F38" s="198"/>
      <c r="G38" s="105">
        <v>0.1</v>
      </c>
      <c r="H38" s="97">
        <f>D38*0.3</f>
        <v>27776.646000000001</v>
      </c>
      <c r="I38" s="97">
        <f>E38*1</f>
        <v>61725.880000000005</v>
      </c>
      <c r="J38" s="98">
        <f>H38+I38</f>
        <v>89502.526000000013</v>
      </c>
    </row>
    <row r="39" spans="2:10" hidden="1">
      <c r="B39" s="96" t="s">
        <v>77</v>
      </c>
      <c r="C39" s="96">
        <v>2</v>
      </c>
      <c r="D39" s="97">
        <f t="shared" ref="D39:D49" si="10">(1543147*G39)*$D$4</f>
        <v>92588.82</v>
      </c>
      <c r="E39" s="198">
        <f t="shared" ref="E39:E49" si="11">(1543147*G39)*$E$4</f>
        <v>61725.880000000005</v>
      </c>
      <c r="F39" s="198"/>
      <c r="G39" s="105">
        <v>0.1</v>
      </c>
      <c r="H39" s="97">
        <f t="shared" ref="H39:H50" si="12">D39*$H$5</f>
        <v>27776.646000000001</v>
      </c>
      <c r="I39" s="97">
        <f t="shared" ref="I39:I50" si="13">E39*$I$5</f>
        <v>61725.880000000005</v>
      </c>
      <c r="J39" s="98">
        <f t="shared" ref="J39:J49" si="14">H39+I39</f>
        <v>89502.526000000013</v>
      </c>
    </row>
    <row r="40" spans="2:10" hidden="1">
      <c r="B40" s="96" t="s">
        <v>78</v>
      </c>
      <c r="C40" s="96">
        <v>3</v>
      </c>
      <c r="D40" s="97">
        <f t="shared" si="10"/>
        <v>83329.93799999998</v>
      </c>
      <c r="E40" s="198">
        <f t="shared" si="11"/>
        <v>55553.291999999994</v>
      </c>
      <c r="F40" s="198"/>
      <c r="G40" s="105">
        <v>0.09</v>
      </c>
      <c r="H40" s="97">
        <f t="shared" si="12"/>
        <v>24998.981399999993</v>
      </c>
      <c r="I40" s="97">
        <f t="shared" si="13"/>
        <v>55553.291999999994</v>
      </c>
      <c r="J40" s="98">
        <f t="shared" si="14"/>
        <v>80552.273399999991</v>
      </c>
    </row>
    <row r="41" spans="2:10" hidden="1">
      <c r="B41" s="96" t="s">
        <v>79</v>
      </c>
      <c r="C41" s="96">
        <v>4</v>
      </c>
      <c r="D41" s="97">
        <f t="shared" si="10"/>
        <v>83329.93799999998</v>
      </c>
      <c r="E41" s="198">
        <f t="shared" si="11"/>
        <v>55553.291999999994</v>
      </c>
      <c r="F41" s="198"/>
      <c r="G41" s="105">
        <v>0.09</v>
      </c>
      <c r="H41" s="97">
        <f t="shared" si="12"/>
        <v>24998.981399999993</v>
      </c>
      <c r="I41" s="97">
        <f t="shared" si="13"/>
        <v>55553.291999999994</v>
      </c>
      <c r="J41" s="98">
        <f t="shared" si="14"/>
        <v>80552.273399999991</v>
      </c>
    </row>
    <row r="42" spans="2:10" hidden="1">
      <c r="B42" s="96" t="s">
        <v>80</v>
      </c>
      <c r="C42" s="96">
        <v>5</v>
      </c>
      <c r="D42" s="97">
        <f t="shared" si="10"/>
        <v>83329.93799999998</v>
      </c>
      <c r="E42" s="198">
        <f t="shared" si="11"/>
        <v>55553.291999999994</v>
      </c>
      <c r="F42" s="198"/>
      <c r="G42" s="105">
        <v>0.09</v>
      </c>
      <c r="H42" s="97">
        <f t="shared" si="12"/>
        <v>24998.981399999993</v>
      </c>
      <c r="I42" s="97">
        <f t="shared" si="13"/>
        <v>55553.291999999994</v>
      </c>
      <c r="J42" s="98">
        <f t="shared" si="14"/>
        <v>80552.273399999991</v>
      </c>
    </row>
    <row r="43" spans="2:10" hidden="1">
      <c r="B43" s="96" t="s">
        <v>81</v>
      </c>
      <c r="C43" s="96">
        <v>6</v>
      </c>
      <c r="D43" s="97">
        <f t="shared" si="10"/>
        <v>74071.055999999997</v>
      </c>
      <c r="E43" s="198">
        <f t="shared" si="11"/>
        <v>49380.704000000005</v>
      </c>
      <c r="F43" s="198"/>
      <c r="G43" s="105">
        <v>0.08</v>
      </c>
      <c r="H43" s="97">
        <f t="shared" si="12"/>
        <v>22221.316799999997</v>
      </c>
      <c r="I43" s="97">
        <f t="shared" si="13"/>
        <v>49380.704000000005</v>
      </c>
      <c r="J43" s="98">
        <f t="shared" si="14"/>
        <v>71602.020799999998</v>
      </c>
    </row>
    <row r="44" spans="2:10" hidden="1">
      <c r="B44" s="96" t="s">
        <v>82</v>
      </c>
      <c r="C44" s="96">
        <v>7</v>
      </c>
      <c r="D44" s="97">
        <f t="shared" si="10"/>
        <v>74071.055999999997</v>
      </c>
      <c r="E44" s="198">
        <f t="shared" si="11"/>
        <v>49380.704000000005</v>
      </c>
      <c r="F44" s="198"/>
      <c r="G44" s="105">
        <v>0.08</v>
      </c>
      <c r="H44" s="97">
        <f t="shared" si="12"/>
        <v>22221.316799999997</v>
      </c>
      <c r="I44" s="97">
        <f t="shared" si="13"/>
        <v>49380.704000000005</v>
      </c>
      <c r="J44" s="98">
        <f t="shared" si="14"/>
        <v>71602.020799999998</v>
      </c>
    </row>
    <row r="45" spans="2:10" hidden="1">
      <c r="B45" s="96" t="s">
        <v>83</v>
      </c>
      <c r="C45" s="96">
        <v>8</v>
      </c>
      <c r="D45" s="97">
        <f t="shared" si="10"/>
        <v>64812.173999999999</v>
      </c>
      <c r="E45" s="198">
        <f t="shared" si="11"/>
        <v>43208.116000000009</v>
      </c>
      <c r="F45" s="198"/>
      <c r="G45" s="105">
        <v>7.0000000000000007E-2</v>
      </c>
      <c r="H45" s="97">
        <f t="shared" si="12"/>
        <v>19443.6522</v>
      </c>
      <c r="I45" s="97">
        <f t="shared" si="13"/>
        <v>43208.116000000009</v>
      </c>
      <c r="J45" s="98">
        <f t="shared" si="14"/>
        <v>62651.768200000006</v>
      </c>
    </row>
    <row r="46" spans="2:10" hidden="1">
      <c r="B46" s="96" t="s">
        <v>84</v>
      </c>
      <c r="C46" s="96">
        <v>9</v>
      </c>
      <c r="D46" s="97">
        <f t="shared" si="10"/>
        <v>64812.173999999999</v>
      </c>
      <c r="E46" s="198">
        <f t="shared" si="11"/>
        <v>43208.116000000009</v>
      </c>
      <c r="F46" s="198"/>
      <c r="G46" s="105">
        <v>7.0000000000000007E-2</v>
      </c>
      <c r="H46" s="97">
        <f t="shared" si="12"/>
        <v>19443.6522</v>
      </c>
      <c r="I46" s="97">
        <f t="shared" si="13"/>
        <v>43208.116000000009</v>
      </c>
      <c r="J46" s="98">
        <f t="shared" si="14"/>
        <v>62651.768200000006</v>
      </c>
    </row>
    <row r="47" spans="2:10" hidden="1">
      <c r="B47" s="96" t="s">
        <v>85</v>
      </c>
      <c r="C47" s="96">
        <v>10</v>
      </c>
      <c r="D47" s="97">
        <f t="shared" si="10"/>
        <v>64812.173999999999</v>
      </c>
      <c r="E47" s="198">
        <f t="shared" si="11"/>
        <v>43208.116000000009</v>
      </c>
      <c r="F47" s="198"/>
      <c r="G47" s="105">
        <v>7.0000000000000007E-2</v>
      </c>
      <c r="H47" s="97">
        <f t="shared" si="12"/>
        <v>19443.6522</v>
      </c>
      <c r="I47" s="97">
        <f t="shared" si="13"/>
        <v>43208.116000000009</v>
      </c>
      <c r="J47" s="98">
        <f t="shared" si="14"/>
        <v>62651.768200000006</v>
      </c>
    </row>
    <row r="48" spans="2:10" hidden="1">
      <c r="B48" s="96" t="s">
        <v>86</v>
      </c>
      <c r="C48" s="96">
        <v>11</v>
      </c>
      <c r="D48" s="97">
        <f t="shared" si="10"/>
        <v>74071.055999999997</v>
      </c>
      <c r="E48" s="198">
        <f t="shared" si="11"/>
        <v>49380.704000000005</v>
      </c>
      <c r="F48" s="198"/>
      <c r="G48" s="105">
        <v>0.08</v>
      </c>
      <c r="H48" s="97">
        <f t="shared" si="12"/>
        <v>22221.316799999997</v>
      </c>
      <c r="I48" s="97">
        <f t="shared" si="13"/>
        <v>49380.704000000005</v>
      </c>
      <c r="J48" s="98">
        <f t="shared" si="14"/>
        <v>71602.020799999998</v>
      </c>
    </row>
    <row r="49" spans="2:10" hidden="1">
      <c r="B49" s="96" t="s">
        <v>87</v>
      </c>
      <c r="C49" s="96">
        <v>12</v>
      </c>
      <c r="D49" s="97">
        <f t="shared" si="10"/>
        <v>74071.055999999997</v>
      </c>
      <c r="E49" s="198">
        <f t="shared" si="11"/>
        <v>49380.704000000005</v>
      </c>
      <c r="F49" s="198"/>
      <c r="G49" s="105">
        <v>0.08</v>
      </c>
      <c r="H49" s="97">
        <f t="shared" si="12"/>
        <v>22221.316799999997</v>
      </c>
      <c r="I49" s="97">
        <f t="shared" si="13"/>
        <v>49380.704000000005</v>
      </c>
      <c r="J49" s="98">
        <f t="shared" si="14"/>
        <v>71602.020799999998</v>
      </c>
    </row>
    <row r="50" spans="2:10" hidden="1">
      <c r="B50" s="96" t="s">
        <v>5</v>
      </c>
      <c r="C50" s="96"/>
      <c r="D50" s="97">
        <f>SUM(D38:D49)</f>
        <v>925888.19999999984</v>
      </c>
      <c r="E50" s="198">
        <f>SUM(E38:F49)</f>
        <v>617258.80000000016</v>
      </c>
      <c r="F50" s="198"/>
      <c r="G50" s="105"/>
      <c r="H50" s="97">
        <f t="shared" si="12"/>
        <v>277766.45999999996</v>
      </c>
      <c r="I50" s="97">
        <f t="shared" si="13"/>
        <v>617258.80000000016</v>
      </c>
      <c r="J50" s="99">
        <f>SUM(J38:J49)</f>
        <v>895025.26000000024</v>
      </c>
    </row>
    <row r="51" spans="2:10" hidden="1">
      <c r="B51" s="96" t="s">
        <v>147</v>
      </c>
      <c r="C51" s="96"/>
      <c r="D51" s="195">
        <f>D50+E50</f>
        <v>1543147</v>
      </c>
      <c r="E51" s="195"/>
      <c r="F51" s="195"/>
      <c r="G51" s="105"/>
      <c r="H51" s="195" t="s">
        <v>216</v>
      </c>
      <c r="I51" s="195"/>
      <c r="J51" s="98"/>
    </row>
    <row r="52" spans="2:10" hidden="1">
      <c r="B52" s="225" t="s">
        <v>221</v>
      </c>
      <c r="C52" s="225"/>
      <c r="D52" s="225"/>
      <c r="E52" s="225"/>
      <c r="F52" s="225"/>
      <c r="G52" s="225"/>
      <c r="H52" s="225"/>
      <c r="I52" s="225"/>
      <c r="J52" s="225"/>
    </row>
    <row r="53" spans="2:10" hidden="1">
      <c r="B53" s="209">
        <v>2016</v>
      </c>
      <c r="C53" s="209"/>
      <c r="D53" s="209"/>
      <c r="E53" s="209"/>
      <c r="F53" s="209"/>
      <c r="G53" s="209"/>
      <c r="H53" s="209"/>
      <c r="I53" s="209"/>
      <c r="J53" s="209"/>
    </row>
    <row r="54" spans="2:10" hidden="1">
      <c r="B54" s="96" t="s">
        <v>76</v>
      </c>
      <c r="C54" s="96">
        <v>1</v>
      </c>
      <c r="D54" s="97">
        <f>(1666599*G54)*$D$4</f>
        <v>99995.940000000017</v>
      </c>
      <c r="E54" s="198">
        <f>(1666599*G54)*$E$4</f>
        <v>66663.960000000006</v>
      </c>
      <c r="F54" s="198"/>
      <c r="G54" s="105">
        <v>0.1</v>
      </c>
      <c r="H54" s="97">
        <f>D54*$H$5</f>
        <v>29998.782000000003</v>
      </c>
      <c r="I54" s="97">
        <f>E54*$I$5</f>
        <v>66663.960000000006</v>
      </c>
      <c r="J54" s="98">
        <f>H54+I54</f>
        <v>96662.742000000013</v>
      </c>
    </row>
    <row r="55" spans="2:10" hidden="1">
      <c r="B55" s="96" t="s">
        <v>77</v>
      </c>
      <c r="C55" s="96">
        <v>2</v>
      </c>
      <c r="D55" s="97">
        <f t="shared" ref="D55:D65" si="15">(1666599*G55)*$D$4</f>
        <v>99995.940000000017</v>
      </c>
      <c r="E55" s="198">
        <f t="shared" ref="E55:E65" si="16">(1666599*G55)*$E$4</f>
        <v>66663.960000000006</v>
      </c>
      <c r="F55" s="198"/>
      <c r="G55" s="105">
        <v>0.1</v>
      </c>
      <c r="H55" s="97">
        <f t="shared" ref="H55:H66" si="17">D55*$H$5</f>
        <v>29998.782000000003</v>
      </c>
      <c r="I55" s="97">
        <f t="shared" ref="I55:I66" si="18">E55*$I$5</f>
        <v>66663.960000000006</v>
      </c>
      <c r="J55" s="98">
        <f t="shared" ref="J55:J66" si="19">H55+I55</f>
        <v>96662.742000000013</v>
      </c>
    </row>
    <row r="56" spans="2:10" hidden="1">
      <c r="B56" s="96" t="s">
        <v>78</v>
      </c>
      <c r="C56" s="96">
        <v>3</v>
      </c>
      <c r="D56" s="97">
        <f t="shared" si="15"/>
        <v>89996.346000000005</v>
      </c>
      <c r="E56" s="198">
        <f t="shared" si="16"/>
        <v>59997.564000000006</v>
      </c>
      <c r="F56" s="198"/>
      <c r="G56" s="105">
        <v>0.09</v>
      </c>
      <c r="H56" s="97">
        <f t="shared" si="17"/>
        <v>26998.9038</v>
      </c>
      <c r="I56" s="97">
        <f t="shared" si="18"/>
        <v>59997.564000000006</v>
      </c>
      <c r="J56" s="98">
        <f t="shared" si="19"/>
        <v>86996.467800000013</v>
      </c>
    </row>
    <row r="57" spans="2:10" hidden="1">
      <c r="B57" s="96" t="s">
        <v>79</v>
      </c>
      <c r="C57" s="96">
        <v>4</v>
      </c>
      <c r="D57" s="97">
        <f t="shared" si="15"/>
        <v>89996.346000000005</v>
      </c>
      <c r="E57" s="198">
        <f t="shared" si="16"/>
        <v>59997.564000000006</v>
      </c>
      <c r="F57" s="198"/>
      <c r="G57" s="105">
        <v>0.09</v>
      </c>
      <c r="H57" s="97">
        <f t="shared" si="17"/>
        <v>26998.9038</v>
      </c>
      <c r="I57" s="97">
        <f t="shared" si="18"/>
        <v>59997.564000000006</v>
      </c>
      <c r="J57" s="98">
        <f t="shared" si="19"/>
        <v>86996.467800000013</v>
      </c>
    </row>
    <row r="58" spans="2:10" hidden="1">
      <c r="B58" s="96" t="s">
        <v>80</v>
      </c>
      <c r="C58" s="96">
        <v>5</v>
      </c>
      <c r="D58" s="97">
        <f t="shared" si="15"/>
        <v>89996.346000000005</v>
      </c>
      <c r="E58" s="198">
        <f t="shared" si="16"/>
        <v>59997.564000000006</v>
      </c>
      <c r="F58" s="198"/>
      <c r="G58" s="105">
        <v>0.09</v>
      </c>
      <c r="H58" s="97">
        <f t="shared" si="17"/>
        <v>26998.9038</v>
      </c>
      <c r="I58" s="97">
        <f t="shared" si="18"/>
        <v>59997.564000000006</v>
      </c>
      <c r="J58" s="98">
        <f t="shared" si="19"/>
        <v>86996.467800000013</v>
      </c>
    </row>
    <row r="59" spans="2:10" hidden="1">
      <c r="B59" s="96" t="s">
        <v>81</v>
      </c>
      <c r="C59" s="96">
        <v>6</v>
      </c>
      <c r="D59" s="97">
        <f t="shared" si="15"/>
        <v>79996.752000000008</v>
      </c>
      <c r="E59" s="198">
        <f t="shared" si="16"/>
        <v>53331.168000000005</v>
      </c>
      <c r="F59" s="198"/>
      <c r="G59" s="105">
        <v>0.08</v>
      </c>
      <c r="H59" s="97">
        <f t="shared" si="17"/>
        <v>23999.025600000001</v>
      </c>
      <c r="I59" s="97">
        <f t="shared" si="18"/>
        <v>53331.168000000005</v>
      </c>
      <c r="J59" s="98">
        <f t="shared" si="19"/>
        <v>77330.193599999999</v>
      </c>
    </row>
    <row r="60" spans="2:10" hidden="1">
      <c r="B60" s="96" t="s">
        <v>82</v>
      </c>
      <c r="C60" s="96">
        <v>7</v>
      </c>
      <c r="D60" s="97">
        <f t="shared" si="15"/>
        <v>79996.752000000008</v>
      </c>
      <c r="E60" s="198">
        <f t="shared" si="16"/>
        <v>53331.168000000005</v>
      </c>
      <c r="F60" s="198"/>
      <c r="G60" s="105">
        <v>0.08</v>
      </c>
      <c r="H60" s="97">
        <f t="shared" si="17"/>
        <v>23999.025600000001</v>
      </c>
      <c r="I60" s="97">
        <f t="shared" si="18"/>
        <v>53331.168000000005</v>
      </c>
      <c r="J60" s="98">
        <f t="shared" si="19"/>
        <v>77330.193599999999</v>
      </c>
    </row>
    <row r="61" spans="2:10" hidden="1">
      <c r="B61" s="96" t="s">
        <v>83</v>
      </c>
      <c r="C61" s="96">
        <v>8</v>
      </c>
      <c r="D61" s="97">
        <f t="shared" si="15"/>
        <v>69997.157999999996</v>
      </c>
      <c r="E61" s="198">
        <f t="shared" si="16"/>
        <v>46664.772000000004</v>
      </c>
      <c r="F61" s="198"/>
      <c r="G61" s="105">
        <v>7.0000000000000007E-2</v>
      </c>
      <c r="H61" s="97">
        <f t="shared" si="17"/>
        <v>20999.147399999998</v>
      </c>
      <c r="I61" s="97">
        <f t="shared" si="18"/>
        <v>46664.772000000004</v>
      </c>
      <c r="J61" s="98">
        <f t="shared" si="19"/>
        <v>67663.919399999999</v>
      </c>
    </row>
    <row r="62" spans="2:10" hidden="1">
      <c r="B62" s="96" t="s">
        <v>84</v>
      </c>
      <c r="C62" s="96">
        <v>9</v>
      </c>
      <c r="D62" s="97">
        <f t="shared" si="15"/>
        <v>69997.157999999996</v>
      </c>
      <c r="E62" s="198">
        <f t="shared" si="16"/>
        <v>46664.772000000004</v>
      </c>
      <c r="F62" s="198"/>
      <c r="G62" s="105">
        <v>7.0000000000000007E-2</v>
      </c>
      <c r="H62" s="97">
        <f t="shared" si="17"/>
        <v>20999.147399999998</v>
      </c>
      <c r="I62" s="97">
        <f t="shared" si="18"/>
        <v>46664.772000000004</v>
      </c>
      <c r="J62" s="98">
        <f t="shared" si="19"/>
        <v>67663.919399999999</v>
      </c>
    </row>
    <row r="63" spans="2:10" hidden="1">
      <c r="B63" s="96" t="s">
        <v>85</v>
      </c>
      <c r="C63" s="96">
        <v>10</v>
      </c>
      <c r="D63" s="97">
        <f t="shared" si="15"/>
        <v>69997.157999999996</v>
      </c>
      <c r="E63" s="198">
        <f t="shared" si="16"/>
        <v>46664.772000000004</v>
      </c>
      <c r="F63" s="198"/>
      <c r="G63" s="105">
        <v>7.0000000000000007E-2</v>
      </c>
      <c r="H63" s="97">
        <f t="shared" si="17"/>
        <v>20999.147399999998</v>
      </c>
      <c r="I63" s="97">
        <f t="shared" si="18"/>
        <v>46664.772000000004</v>
      </c>
      <c r="J63" s="98">
        <f t="shared" si="19"/>
        <v>67663.919399999999</v>
      </c>
    </row>
    <row r="64" spans="2:10" hidden="1">
      <c r="B64" s="96" t="s">
        <v>86</v>
      </c>
      <c r="C64" s="96">
        <v>11</v>
      </c>
      <c r="D64" s="97">
        <f t="shared" si="15"/>
        <v>79996.752000000008</v>
      </c>
      <c r="E64" s="198">
        <f t="shared" si="16"/>
        <v>53331.168000000005</v>
      </c>
      <c r="F64" s="198"/>
      <c r="G64" s="105">
        <v>0.08</v>
      </c>
      <c r="H64" s="97">
        <f t="shared" si="17"/>
        <v>23999.025600000001</v>
      </c>
      <c r="I64" s="97">
        <f t="shared" si="18"/>
        <v>53331.168000000005</v>
      </c>
      <c r="J64" s="98">
        <f t="shared" si="19"/>
        <v>77330.193599999999</v>
      </c>
    </row>
    <row r="65" spans="2:10" hidden="1">
      <c r="B65" s="96" t="s">
        <v>87</v>
      </c>
      <c r="C65" s="96">
        <v>12</v>
      </c>
      <c r="D65" s="97">
        <f t="shared" si="15"/>
        <v>79996.752000000008</v>
      </c>
      <c r="E65" s="198">
        <f t="shared" si="16"/>
        <v>53331.168000000005</v>
      </c>
      <c r="F65" s="198"/>
      <c r="G65" s="105">
        <v>0.08</v>
      </c>
      <c r="H65" s="97">
        <f t="shared" si="17"/>
        <v>23999.025600000001</v>
      </c>
      <c r="I65" s="97">
        <f t="shared" si="18"/>
        <v>53331.168000000005</v>
      </c>
      <c r="J65" s="98">
        <f t="shared" si="19"/>
        <v>77330.193599999999</v>
      </c>
    </row>
    <row r="66" spans="2:10" hidden="1">
      <c r="B66" s="96" t="s">
        <v>152</v>
      </c>
      <c r="C66" s="96"/>
      <c r="D66" s="97">
        <f>SUM(D54:D65)</f>
        <v>999959.40000000014</v>
      </c>
      <c r="E66" s="198">
        <f>SUM(E54:F65)</f>
        <v>666639.60000000009</v>
      </c>
      <c r="F66" s="198"/>
      <c r="G66" s="105"/>
      <c r="H66" s="97">
        <f t="shared" si="17"/>
        <v>299987.82</v>
      </c>
      <c r="I66" s="97">
        <f t="shared" si="18"/>
        <v>666639.60000000009</v>
      </c>
      <c r="J66" s="99">
        <f t="shared" si="19"/>
        <v>966627.42000000016</v>
      </c>
    </row>
    <row r="67" spans="2:10" hidden="1">
      <c r="B67" s="202" t="s">
        <v>147</v>
      </c>
      <c r="C67" s="202"/>
      <c r="D67" s="195">
        <f>D66+E66</f>
        <v>1666599.0000000002</v>
      </c>
      <c r="E67" s="195"/>
      <c r="F67" s="195"/>
      <c r="G67" s="105"/>
      <c r="H67" s="195" t="s">
        <v>216</v>
      </c>
      <c r="I67" s="195"/>
      <c r="J67" s="98"/>
    </row>
    <row r="68" spans="2:10" hidden="1">
      <c r="B68" s="226" t="s">
        <v>221</v>
      </c>
      <c r="C68" s="226"/>
      <c r="D68" s="226"/>
      <c r="E68" s="226"/>
      <c r="F68" s="226"/>
      <c r="G68" s="226"/>
      <c r="H68" s="226"/>
      <c r="I68" s="226"/>
      <c r="J68" s="226"/>
    </row>
    <row r="69" spans="2:10" s="126" customFormat="1" hidden="1">
      <c r="B69" s="209">
        <v>2017</v>
      </c>
      <c r="C69" s="209"/>
      <c r="D69" s="209"/>
      <c r="E69" s="209"/>
      <c r="F69" s="209"/>
      <c r="G69" s="209"/>
      <c r="H69" s="209"/>
      <c r="I69" s="209"/>
      <c r="J69" s="209"/>
    </row>
    <row r="70" spans="2:10">
      <c r="B70" s="96" t="s">
        <v>76</v>
      </c>
      <c r="C70" s="96">
        <v>1</v>
      </c>
      <c r="D70" s="97">
        <f>(1799927*G70)*$D$4</f>
        <v>107995.62000000001</v>
      </c>
      <c r="E70" s="198">
        <f>(1799927*G70)*$E$4</f>
        <v>71997.08</v>
      </c>
      <c r="F70" s="198"/>
      <c r="G70" s="105">
        <v>0.1</v>
      </c>
      <c r="H70" s="97">
        <f>D70*$H$5</f>
        <v>32398.686000000002</v>
      </c>
      <c r="I70" s="97">
        <f>E70*$I$5</f>
        <v>71997.08</v>
      </c>
      <c r="J70" s="98">
        <f>H70+I70</f>
        <v>104395.766</v>
      </c>
    </row>
    <row r="71" spans="2:10">
      <c r="B71" s="96" t="s">
        <v>77</v>
      </c>
      <c r="C71" s="96">
        <v>2</v>
      </c>
      <c r="D71" s="97">
        <f t="shared" ref="D71:D81" si="20">(1799927*G71)*$D$4</f>
        <v>107995.62000000001</v>
      </c>
      <c r="E71" s="198">
        <f t="shared" ref="E71:E81" si="21">(1799927*G71)*$E$4</f>
        <v>71997.08</v>
      </c>
      <c r="F71" s="198"/>
      <c r="G71" s="105">
        <v>0.1</v>
      </c>
      <c r="H71" s="97">
        <f t="shared" ref="H71:H81" si="22">D71*$H$5</f>
        <v>32398.686000000002</v>
      </c>
      <c r="I71" s="97">
        <f t="shared" ref="I71:I82" si="23">E71*$I$5</f>
        <v>71997.08</v>
      </c>
      <c r="J71" s="98">
        <f t="shared" ref="J71:J81" si="24">H71+I71</f>
        <v>104395.766</v>
      </c>
    </row>
    <row r="72" spans="2:10">
      <c r="B72" s="96" t="s">
        <v>78</v>
      </c>
      <c r="C72" s="96">
        <v>3</v>
      </c>
      <c r="D72" s="97">
        <f t="shared" si="20"/>
        <v>97196.05799999999</v>
      </c>
      <c r="E72" s="198">
        <f t="shared" si="21"/>
        <v>64797.372000000003</v>
      </c>
      <c r="F72" s="198"/>
      <c r="G72" s="105">
        <v>0.09</v>
      </c>
      <c r="H72" s="97">
        <f t="shared" si="22"/>
        <v>29158.817399999996</v>
      </c>
      <c r="I72" s="97">
        <f t="shared" si="23"/>
        <v>64797.372000000003</v>
      </c>
      <c r="J72" s="98">
        <f t="shared" si="24"/>
        <v>93956.189400000003</v>
      </c>
    </row>
    <row r="73" spans="2:10">
      <c r="B73" s="96" t="s">
        <v>79</v>
      </c>
      <c r="C73" s="96">
        <v>4</v>
      </c>
      <c r="D73" s="97">
        <f t="shared" si="20"/>
        <v>97196.05799999999</v>
      </c>
      <c r="E73" s="198">
        <f t="shared" si="21"/>
        <v>64797.372000000003</v>
      </c>
      <c r="F73" s="198"/>
      <c r="G73" s="105">
        <v>0.09</v>
      </c>
      <c r="H73" s="97">
        <f t="shared" si="22"/>
        <v>29158.817399999996</v>
      </c>
      <c r="I73" s="97">
        <f t="shared" si="23"/>
        <v>64797.372000000003</v>
      </c>
      <c r="J73" s="98">
        <f t="shared" si="24"/>
        <v>93956.189400000003</v>
      </c>
    </row>
    <row r="74" spans="2:10">
      <c r="B74" s="96" t="s">
        <v>80</v>
      </c>
      <c r="C74" s="96">
        <v>5</v>
      </c>
      <c r="D74" s="97">
        <f t="shared" si="20"/>
        <v>97196.05799999999</v>
      </c>
      <c r="E74" s="198">
        <f t="shared" si="21"/>
        <v>64797.372000000003</v>
      </c>
      <c r="F74" s="198"/>
      <c r="G74" s="105">
        <v>0.09</v>
      </c>
      <c r="H74" s="97">
        <f t="shared" si="22"/>
        <v>29158.817399999996</v>
      </c>
      <c r="I74" s="97">
        <f t="shared" si="23"/>
        <v>64797.372000000003</v>
      </c>
      <c r="J74" s="98">
        <f t="shared" si="24"/>
        <v>93956.189400000003</v>
      </c>
    </row>
    <row r="75" spans="2:10">
      <c r="B75" s="96" t="s">
        <v>81</v>
      </c>
      <c r="C75" s="96">
        <v>6</v>
      </c>
      <c r="D75" s="97">
        <f t="shared" si="20"/>
        <v>86396.495999999999</v>
      </c>
      <c r="E75" s="198">
        <f t="shared" si="21"/>
        <v>57597.664000000004</v>
      </c>
      <c r="F75" s="198"/>
      <c r="G75" s="105">
        <v>0.08</v>
      </c>
      <c r="H75" s="97">
        <f t="shared" si="22"/>
        <v>25918.948799999998</v>
      </c>
      <c r="I75" s="97">
        <f t="shared" si="23"/>
        <v>57597.664000000004</v>
      </c>
      <c r="J75" s="98">
        <f t="shared" si="24"/>
        <v>83516.612800000003</v>
      </c>
    </row>
    <row r="76" spans="2:10">
      <c r="B76" s="96" t="s">
        <v>82</v>
      </c>
      <c r="C76" s="96">
        <v>7</v>
      </c>
      <c r="D76" s="97">
        <f t="shared" si="20"/>
        <v>86396.495999999999</v>
      </c>
      <c r="E76" s="198">
        <f t="shared" si="21"/>
        <v>57597.664000000004</v>
      </c>
      <c r="F76" s="198"/>
      <c r="G76" s="105">
        <v>0.08</v>
      </c>
      <c r="H76" s="97">
        <f t="shared" si="22"/>
        <v>25918.948799999998</v>
      </c>
      <c r="I76" s="97">
        <f t="shared" si="23"/>
        <v>57597.664000000004</v>
      </c>
      <c r="J76" s="98">
        <f t="shared" si="24"/>
        <v>83516.612800000003</v>
      </c>
    </row>
    <row r="77" spans="2:10">
      <c r="B77" s="96" t="s">
        <v>83</v>
      </c>
      <c r="C77" s="96">
        <v>8</v>
      </c>
      <c r="D77" s="97">
        <f t="shared" si="20"/>
        <v>75596.934000000008</v>
      </c>
      <c r="E77" s="198">
        <f t="shared" si="21"/>
        <v>50397.956000000006</v>
      </c>
      <c r="F77" s="198"/>
      <c r="G77" s="105">
        <v>7.0000000000000007E-2</v>
      </c>
      <c r="H77" s="97">
        <f t="shared" si="22"/>
        <v>22679.0802</v>
      </c>
      <c r="I77" s="97">
        <f t="shared" si="23"/>
        <v>50397.956000000006</v>
      </c>
      <c r="J77" s="98">
        <f t="shared" si="24"/>
        <v>73077.036200000002</v>
      </c>
    </row>
    <row r="78" spans="2:10">
      <c r="B78" s="96" t="s">
        <v>84</v>
      </c>
      <c r="C78" s="96">
        <v>9</v>
      </c>
      <c r="D78" s="97">
        <f t="shared" si="20"/>
        <v>75596.934000000008</v>
      </c>
      <c r="E78" s="198">
        <f t="shared" si="21"/>
        <v>50397.956000000006</v>
      </c>
      <c r="F78" s="198"/>
      <c r="G78" s="105">
        <v>7.0000000000000007E-2</v>
      </c>
      <c r="H78" s="97">
        <f t="shared" si="22"/>
        <v>22679.0802</v>
      </c>
      <c r="I78" s="97">
        <f t="shared" si="23"/>
        <v>50397.956000000006</v>
      </c>
      <c r="J78" s="98">
        <f t="shared" si="24"/>
        <v>73077.036200000002</v>
      </c>
    </row>
    <row r="79" spans="2:10">
      <c r="B79" s="96" t="s">
        <v>85</v>
      </c>
      <c r="C79" s="96">
        <v>10</v>
      </c>
      <c r="D79" s="97">
        <f t="shared" si="20"/>
        <v>75596.934000000008</v>
      </c>
      <c r="E79" s="198">
        <f t="shared" si="21"/>
        <v>50397.956000000006</v>
      </c>
      <c r="F79" s="198"/>
      <c r="G79" s="105">
        <v>7.0000000000000007E-2</v>
      </c>
      <c r="H79" s="97">
        <f t="shared" si="22"/>
        <v>22679.0802</v>
      </c>
      <c r="I79" s="97">
        <f t="shared" si="23"/>
        <v>50397.956000000006</v>
      </c>
      <c r="J79" s="98">
        <f t="shared" si="24"/>
        <v>73077.036200000002</v>
      </c>
    </row>
    <row r="80" spans="2:10">
      <c r="B80" s="96" t="s">
        <v>86</v>
      </c>
      <c r="C80" s="96">
        <v>11</v>
      </c>
      <c r="D80" s="97">
        <f t="shared" si="20"/>
        <v>86396.495999999999</v>
      </c>
      <c r="E80" s="198">
        <f t="shared" si="21"/>
        <v>57597.664000000004</v>
      </c>
      <c r="F80" s="198"/>
      <c r="G80" s="105">
        <v>0.08</v>
      </c>
      <c r="H80" s="97">
        <f t="shared" si="22"/>
        <v>25918.948799999998</v>
      </c>
      <c r="I80" s="97">
        <f t="shared" si="23"/>
        <v>57597.664000000004</v>
      </c>
      <c r="J80" s="98">
        <f t="shared" si="24"/>
        <v>83516.612800000003</v>
      </c>
    </row>
    <row r="81" spans="2:10">
      <c r="B81" s="96" t="s">
        <v>87</v>
      </c>
      <c r="C81" s="96">
        <v>12</v>
      </c>
      <c r="D81" s="97">
        <f t="shared" si="20"/>
        <v>86396.495999999999</v>
      </c>
      <c r="E81" s="198">
        <f t="shared" si="21"/>
        <v>57597.664000000004</v>
      </c>
      <c r="F81" s="198"/>
      <c r="G81" s="105">
        <v>0.08</v>
      </c>
      <c r="H81" s="97">
        <f t="shared" si="22"/>
        <v>25918.948799999998</v>
      </c>
      <c r="I81" s="97">
        <f t="shared" si="23"/>
        <v>57597.664000000004</v>
      </c>
      <c r="J81" s="98">
        <f t="shared" si="24"/>
        <v>83516.612800000003</v>
      </c>
    </row>
    <row r="82" spans="2:10">
      <c r="B82" s="96" t="s">
        <v>152</v>
      </c>
      <c r="C82" s="96"/>
      <c r="D82" s="97">
        <f>SUM(D70:D81)</f>
        <v>1079956.2000000002</v>
      </c>
      <c r="E82" s="198">
        <f>SUM(E70:F81)</f>
        <v>719970.79999999993</v>
      </c>
      <c r="F82" s="198"/>
      <c r="G82" s="105"/>
      <c r="H82" s="97">
        <f>SUM(H70:H81)</f>
        <v>323986.86000000004</v>
      </c>
      <c r="I82" s="97">
        <f t="shared" si="23"/>
        <v>719970.79999999993</v>
      </c>
      <c r="J82" s="99">
        <f>SUM(J70:J81)</f>
        <v>1043957.66</v>
      </c>
    </row>
    <row r="83" spans="2:10">
      <c r="B83" s="127" t="s">
        <v>153</v>
      </c>
      <c r="C83" s="127"/>
      <c r="D83" s="195">
        <f>D82+E82</f>
        <v>1799927</v>
      </c>
      <c r="E83" s="195"/>
      <c r="F83" s="195"/>
      <c r="G83" s="105"/>
      <c r="H83" s="195" t="s">
        <v>216</v>
      </c>
      <c r="I83" s="195"/>
      <c r="J83" s="98"/>
    </row>
    <row r="84" spans="2:10">
      <c r="B84" s="223" t="s">
        <v>271</v>
      </c>
      <c r="C84" s="223"/>
      <c r="D84" s="223"/>
      <c r="E84" s="223"/>
      <c r="F84" s="223"/>
      <c r="G84" s="223"/>
      <c r="H84" s="223"/>
      <c r="I84" s="223"/>
      <c r="J84" s="223"/>
    </row>
  </sheetData>
  <mergeCells count="94">
    <mergeCell ref="E11:F11"/>
    <mergeCell ref="E12:F12"/>
    <mergeCell ref="E6:F6"/>
    <mergeCell ref="E7:F7"/>
    <mergeCell ref="E8:F8"/>
    <mergeCell ref="E9:F9"/>
    <mergeCell ref="E10:F10"/>
    <mergeCell ref="B2:J2"/>
    <mergeCell ref="B3:B5"/>
    <mergeCell ref="C3:C5"/>
    <mergeCell ref="D3:F3"/>
    <mergeCell ref="H3:I3"/>
    <mergeCell ref="E4:F4"/>
    <mergeCell ref="J4:J5"/>
    <mergeCell ref="E5:F5"/>
    <mergeCell ref="E13:F13"/>
    <mergeCell ref="E14:F14"/>
    <mergeCell ref="E31:F31"/>
    <mergeCell ref="E32:F32"/>
    <mergeCell ref="E33:F33"/>
    <mergeCell ref="B20:J20"/>
    <mergeCell ref="E15:F15"/>
    <mergeCell ref="E16:F16"/>
    <mergeCell ref="E17:F17"/>
    <mergeCell ref="B21:J21"/>
    <mergeCell ref="B19:C19"/>
    <mergeCell ref="E18:F18"/>
    <mergeCell ref="D19:F19"/>
    <mergeCell ref="E38:F38"/>
    <mergeCell ref="E44:F44"/>
    <mergeCell ref="B36:J36"/>
    <mergeCell ref="B37:J37"/>
    <mergeCell ref="B84:J84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B69:J69"/>
    <mergeCell ref="E39:F39"/>
    <mergeCell ref="E40:F40"/>
    <mergeCell ref="E41:F41"/>
    <mergeCell ref="E42:F42"/>
    <mergeCell ref="E43:F43"/>
    <mergeCell ref="E60:F60"/>
    <mergeCell ref="E45:F45"/>
    <mergeCell ref="E46:F46"/>
    <mergeCell ref="E47:F47"/>
    <mergeCell ref="E48:F48"/>
    <mergeCell ref="E49:F49"/>
    <mergeCell ref="E54:F54"/>
    <mergeCell ref="E55:F55"/>
    <mergeCell ref="E56:F56"/>
    <mergeCell ref="E57:F57"/>
    <mergeCell ref="E58:F58"/>
    <mergeCell ref="E59:F59"/>
    <mergeCell ref="B53:J53"/>
    <mergeCell ref="B52:J52"/>
    <mergeCell ref="E79:F79"/>
    <mergeCell ref="E80:F80"/>
    <mergeCell ref="E81:F81"/>
    <mergeCell ref="E76:F76"/>
    <mergeCell ref="E61:F61"/>
    <mergeCell ref="E62:F62"/>
    <mergeCell ref="E63:F63"/>
    <mergeCell ref="E64:F64"/>
    <mergeCell ref="E65:F65"/>
    <mergeCell ref="E70:F70"/>
    <mergeCell ref="E71:F71"/>
    <mergeCell ref="E72:F72"/>
    <mergeCell ref="E73:F73"/>
    <mergeCell ref="E74:F74"/>
    <mergeCell ref="E75:F75"/>
    <mergeCell ref="B68:J68"/>
    <mergeCell ref="B67:C67"/>
    <mergeCell ref="D67:F67"/>
    <mergeCell ref="E82:F82"/>
    <mergeCell ref="D83:F83"/>
    <mergeCell ref="H19:I19"/>
    <mergeCell ref="H35:I35"/>
    <mergeCell ref="H51:I51"/>
    <mergeCell ref="H67:I67"/>
    <mergeCell ref="H83:I83"/>
    <mergeCell ref="E34:F34"/>
    <mergeCell ref="D35:F35"/>
    <mergeCell ref="E50:F50"/>
    <mergeCell ref="D51:F51"/>
    <mergeCell ref="E66:F66"/>
    <mergeCell ref="E77:F77"/>
    <mergeCell ref="E78:F7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3:I27"/>
  <sheetViews>
    <sheetView topLeftCell="A7" workbookViewId="0">
      <selection activeCell="E26" sqref="E26"/>
    </sheetView>
  </sheetViews>
  <sheetFormatPr baseColWidth="10" defaultRowHeight="15"/>
  <cols>
    <col min="3" max="3" width="19" customWidth="1"/>
    <col min="4" max="4" width="13.28515625" customWidth="1"/>
    <col min="5" max="5" width="12.7109375" customWidth="1"/>
    <col min="6" max="6" width="12" customWidth="1"/>
    <col min="7" max="7" width="12.5703125" customWidth="1"/>
    <col min="8" max="9" width="13.28515625" bestFit="1" customWidth="1"/>
  </cols>
  <sheetData>
    <row r="3" spans="2:9">
      <c r="C3" s="28"/>
      <c r="D3" s="168" t="s">
        <v>118</v>
      </c>
      <c r="E3" s="168"/>
      <c r="F3" s="168"/>
      <c r="G3" s="168"/>
    </row>
    <row r="4" spans="2:9">
      <c r="D4" s="168" t="s">
        <v>119</v>
      </c>
      <c r="E4" s="168"/>
      <c r="F4" s="77" t="s">
        <v>120</v>
      </c>
      <c r="G4" s="77" t="s">
        <v>121</v>
      </c>
    </row>
    <row r="5" spans="2:9">
      <c r="D5" s="182" t="s">
        <v>122</v>
      </c>
      <c r="E5" s="182"/>
      <c r="F5" s="73" t="s">
        <v>124</v>
      </c>
      <c r="G5" s="73">
        <v>40</v>
      </c>
    </row>
    <row r="6" spans="2:9">
      <c r="D6" s="182" t="s">
        <v>123</v>
      </c>
      <c r="E6" s="182"/>
      <c r="F6" s="73" t="s">
        <v>213</v>
      </c>
      <c r="G6" s="73">
        <v>30</v>
      </c>
    </row>
    <row r="7" spans="2:9">
      <c r="D7" s="182" t="s">
        <v>123</v>
      </c>
      <c r="E7" s="182"/>
      <c r="F7" s="73" t="s">
        <v>214</v>
      </c>
      <c r="G7" s="73">
        <v>30</v>
      </c>
    </row>
    <row r="8" spans="2:9">
      <c r="B8" s="29"/>
      <c r="C8" s="29"/>
      <c r="D8" s="228" t="s">
        <v>221</v>
      </c>
      <c r="E8" s="228"/>
      <c r="F8" s="228"/>
      <c r="G8" s="228"/>
      <c r="H8" s="29"/>
      <c r="I8" s="29"/>
    </row>
    <row r="9" spans="2:9">
      <c r="B9" s="29"/>
      <c r="C9" s="29"/>
      <c r="D9" s="29"/>
      <c r="E9" s="29"/>
      <c r="F9" s="29"/>
      <c r="G9" s="29"/>
      <c r="H9" s="29"/>
      <c r="I9" s="29"/>
    </row>
    <row r="10" spans="2:9">
      <c r="B10" s="227" t="s">
        <v>267</v>
      </c>
      <c r="C10" s="227"/>
      <c r="D10" s="227"/>
      <c r="E10" s="227"/>
      <c r="F10" s="227"/>
      <c r="G10" s="227"/>
      <c r="H10" s="227"/>
      <c r="I10" s="227"/>
    </row>
    <row r="11" spans="2:9">
      <c r="B11" s="229" t="s">
        <v>125</v>
      </c>
      <c r="C11" s="230"/>
      <c r="D11" s="124" t="s">
        <v>76</v>
      </c>
      <c r="E11" s="124" t="s">
        <v>77</v>
      </c>
      <c r="F11" s="124" t="s">
        <v>78</v>
      </c>
      <c r="G11" s="124" t="s">
        <v>79</v>
      </c>
      <c r="H11" s="124" t="s">
        <v>80</v>
      </c>
      <c r="I11" s="124" t="s">
        <v>81</v>
      </c>
    </row>
    <row r="12" spans="2:9">
      <c r="B12" s="232" t="s">
        <v>126</v>
      </c>
      <c r="C12" s="233"/>
      <c r="D12" s="107">
        <v>76734</v>
      </c>
      <c r="E12" s="107">
        <f>+D12</f>
        <v>76734</v>
      </c>
      <c r="F12" s="107">
        <f>+E12</f>
        <v>76734</v>
      </c>
      <c r="G12" s="107">
        <v>46040</v>
      </c>
      <c r="H12" s="107">
        <f>G12</f>
        <v>46040</v>
      </c>
      <c r="I12" s="107">
        <f>H12</f>
        <v>46040</v>
      </c>
    </row>
    <row r="13" spans="2:9">
      <c r="B13" s="232" t="s">
        <v>127</v>
      </c>
      <c r="C13" s="233"/>
      <c r="D13" s="107">
        <f>D12*0.4</f>
        <v>30693.600000000002</v>
      </c>
      <c r="E13" s="107">
        <f t="shared" ref="E13:I13" si="0">E12*0.4</f>
        <v>30693.600000000002</v>
      </c>
      <c r="F13" s="107">
        <f t="shared" si="0"/>
        <v>30693.600000000002</v>
      </c>
      <c r="G13" s="107">
        <f t="shared" si="0"/>
        <v>18416</v>
      </c>
      <c r="H13" s="107">
        <f t="shared" si="0"/>
        <v>18416</v>
      </c>
      <c r="I13" s="107">
        <f t="shared" si="0"/>
        <v>18416</v>
      </c>
    </row>
    <row r="14" spans="2:9">
      <c r="B14" s="232" t="s">
        <v>128</v>
      </c>
      <c r="C14" s="233"/>
      <c r="D14" s="107"/>
      <c r="E14" s="107">
        <f>E12*0.3</f>
        <v>23020.2</v>
      </c>
      <c r="F14" s="107">
        <f t="shared" ref="F14:I14" si="1">F12*0.3</f>
        <v>23020.2</v>
      </c>
      <c r="G14" s="107">
        <f t="shared" si="1"/>
        <v>13812</v>
      </c>
      <c r="H14" s="107">
        <f t="shared" si="1"/>
        <v>13812</v>
      </c>
      <c r="I14" s="107">
        <f t="shared" si="1"/>
        <v>13812</v>
      </c>
    </row>
    <row r="15" spans="2:9">
      <c r="B15" s="232" t="s">
        <v>151</v>
      </c>
      <c r="C15" s="233"/>
      <c r="D15" s="107"/>
      <c r="E15" s="107"/>
      <c r="F15" s="107">
        <f>F12*0.3</f>
        <v>23020.2</v>
      </c>
      <c r="G15" s="107">
        <f>G12*0.3</f>
        <v>13812</v>
      </c>
      <c r="H15" s="107">
        <f>H12*0.3</f>
        <v>13812</v>
      </c>
      <c r="I15" s="107">
        <f>I12*0.3</f>
        <v>13812</v>
      </c>
    </row>
    <row r="16" spans="2:9">
      <c r="B16" s="227" t="s">
        <v>5</v>
      </c>
      <c r="C16" s="227"/>
      <c r="D16" s="123">
        <f>SUM(D13:D15)</f>
        <v>30693.600000000002</v>
      </c>
      <c r="E16" s="123">
        <f t="shared" ref="E16:I16" si="2">SUM(E13:E15)</f>
        <v>53713.8</v>
      </c>
      <c r="F16" s="123">
        <f t="shared" si="2"/>
        <v>76734</v>
      </c>
      <c r="G16" s="123">
        <f t="shared" si="2"/>
        <v>46040</v>
      </c>
      <c r="H16" s="123">
        <f t="shared" si="2"/>
        <v>46040</v>
      </c>
      <c r="I16" s="123">
        <f t="shared" si="2"/>
        <v>46040</v>
      </c>
    </row>
    <row r="17" spans="2:9">
      <c r="B17" s="41"/>
      <c r="C17" s="42"/>
      <c r="D17" s="42"/>
      <c r="E17" s="42"/>
      <c r="F17" s="42"/>
      <c r="G17" s="42"/>
      <c r="H17" s="42"/>
      <c r="I17" s="43"/>
    </row>
    <row r="18" spans="2:9">
      <c r="B18" s="229" t="s">
        <v>125</v>
      </c>
      <c r="C18" s="230"/>
      <c r="D18" s="124" t="s">
        <v>82</v>
      </c>
      <c r="E18" s="124" t="s">
        <v>83</v>
      </c>
      <c r="F18" s="124" t="s">
        <v>129</v>
      </c>
      <c r="G18" s="124" t="s">
        <v>85</v>
      </c>
      <c r="H18" s="124" t="s">
        <v>86</v>
      </c>
      <c r="I18" s="124" t="s">
        <v>87</v>
      </c>
    </row>
    <row r="19" spans="2:9">
      <c r="B19" s="234" t="s">
        <v>126</v>
      </c>
      <c r="C19" s="235"/>
      <c r="D19" s="107">
        <v>61387</v>
      </c>
      <c r="E19" s="107">
        <f>D19</f>
        <v>61387</v>
      </c>
      <c r="F19" s="107">
        <f>E19</f>
        <v>61387</v>
      </c>
      <c r="G19" s="107">
        <f>F19</f>
        <v>61387</v>
      </c>
      <c r="H19" s="107">
        <v>76734</v>
      </c>
      <c r="I19" s="107">
        <f>H19</f>
        <v>76734</v>
      </c>
    </row>
    <row r="20" spans="2:9">
      <c r="B20" s="232" t="s">
        <v>127</v>
      </c>
      <c r="C20" s="233"/>
      <c r="D20" s="107">
        <f>D19*0.4</f>
        <v>24554.800000000003</v>
      </c>
      <c r="E20" s="107">
        <f t="shared" ref="E20:I20" si="3">E19*0.4</f>
        <v>24554.800000000003</v>
      </c>
      <c r="F20" s="107">
        <f t="shared" si="3"/>
        <v>24554.800000000003</v>
      </c>
      <c r="G20" s="107">
        <f t="shared" si="3"/>
        <v>24554.800000000003</v>
      </c>
      <c r="H20" s="107">
        <f t="shared" si="3"/>
        <v>30693.600000000002</v>
      </c>
      <c r="I20" s="107">
        <f t="shared" si="3"/>
        <v>30693.600000000002</v>
      </c>
    </row>
    <row r="21" spans="2:9">
      <c r="B21" s="232" t="s">
        <v>130</v>
      </c>
      <c r="C21" s="233"/>
      <c r="D21" s="107">
        <f>D19*0.3</f>
        <v>18416.099999999999</v>
      </c>
      <c r="E21" s="107">
        <f>E19*0.3</f>
        <v>18416.099999999999</v>
      </c>
      <c r="F21" s="107">
        <f t="shared" ref="F21:I21" si="4">F19*0.3</f>
        <v>18416.099999999999</v>
      </c>
      <c r="G21" s="107">
        <f t="shared" si="4"/>
        <v>18416.099999999999</v>
      </c>
      <c r="H21" s="107">
        <f t="shared" si="4"/>
        <v>23020.2</v>
      </c>
      <c r="I21" s="107">
        <f t="shared" si="4"/>
        <v>23020.2</v>
      </c>
    </row>
    <row r="22" spans="2:9">
      <c r="B22" s="232" t="s">
        <v>130</v>
      </c>
      <c r="C22" s="233"/>
      <c r="D22" s="107">
        <f>D19*0.3</f>
        <v>18416.099999999999</v>
      </c>
      <c r="E22" s="107">
        <f t="shared" ref="E22:I22" si="5">E19*0.3</f>
        <v>18416.099999999999</v>
      </c>
      <c r="F22" s="107">
        <f t="shared" si="5"/>
        <v>18416.099999999999</v>
      </c>
      <c r="G22" s="107">
        <f t="shared" si="5"/>
        <v>18416.099999999999</v>
      </c>
      <c r="H22" s="107">
        <f t="shared" si="5"/>
        <v>23020.2</v>
      </c>
      <c r="I22" s="107">
        <f t="shared" si="5"/>
        <v>23020.2</v>
      </c>
    </row>
    <row r="23" spans="2:9">
      <c r="B23" s="229" t="s">
        <v>5</v>
      </c>
      <c r="C23" s="230"/>
      <c r="D23" s="123">
        <f>SUM(D20:D22)</f>
        <v>61387</v>
      </c>
      <c r="E23" s="123">
        <f t="shared" ref="E23:I23" si="6">SUM(E20:E22)</f>
        <v>61387</v>
      </c>
      <c r="F23" s="123">
        <f t="shared" si="6"/>
        <v>61387</v>
      </c>
      <c r="G23" s="123">
        <f t="shared" si="6"/>
        <v>61387</v>
      </c>
      <c r="H23" s="123">
        <f t="shared" si="6"/>
        <v>76734</v>
      </c>
      <c r="I23" s="123">
        <f t="shared" si="6"/>
        <v>76734</v>
      </c>
    </row>
    <row r="24" spans="2:9">
      <c r="B24" s="231" t="s">
        <v>268</v>
      </c>
      <c r="C24" s="231"/>
      <c r="D24" s="231"/>
      <c r="E24" s="231"/>
      <c r="F24" s="231"/>
      <c r="G24" s="231"/>
      <c r="H24" s="231"/>
      <c r="I24" s="231"/>
    </row>
    <row r="25" spans="2:9">
      <c r="B25" s="29"/>
      <c r="C25" s="29"/>
      <c r="D25" s="29"/>
      <c r="E25" s="29"/>
      <c r="F25" s="29"/>
      <c r="G25" s="29"/>
      <c r="H25" s="29"/>
      <c r="I25" s="29"/>
    </row>
    <row r="26" spans="2:9">
      <c r="B26" s="29"/>
      <c r="C26" s="29"/>
      <c r="D26" s="29"/>
      <c r="E26" s="29"/>
      <c r="F26" s="29"/>
      <c r="G26" s="29"/>
      <c r="H26" s="29"/>
      <c r="I26" s="29"/>
    </row>
    <row r="27" spans="2:9">
      <c r="B27" s="29"/>
      <c r="C27" s="29"/>
      <c r="D27" s="29"/>
      <c r="E27" s="29"/>
      <c r="F27" s="29"/>
      <c r="G27" s="29"/>
      <c r="H27" s="29"/>
      <c r="I27" s="29"/>
    </row>
  </sheetData>
  <mergeCells count="20">
    <mergeCell ref="B24:I24"/>
    <mergeCell ref="B23:C23"/>
    <mergeCell ref="B12:C12"/>
    <mergeCell ref="B13:C13"/>
    <mergeCell ref="B14:C14"/>
    <mergeCell ref="B15:C15"/>
    <mergeCell ref="B18:C18"/>
    <mergeCell ref="B19:C19"/>
    <mergeCell ref="B20:C20"/>
    <mergeCell ref="B21:C21"/>
    <mergeCell ref="B22:C22"/>
    <mergeCell ref="D3:G3"/>
    <mergeCell ref="D4:E4"/>
    <mergeCell ref="B16:C16"/>
    <mergeCell ref="B10:I10"/>
    <mergeCell ref="D5:E5"/>
    <mergeCell ref="D6:E6"/>
    <mergeCell ref="D7:E7"/>
    <mergeCell ref="D8:G8"/>
    <mergeCell ref="B11:C1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26"/>
  <sheetViews>
    <sheetView workbookViewId="0">
      <selection activeCell="H22" sqref="H22"/>
    </sheetView>
  </sheetViews>
  <sheetFormatPr baseColWidth="10" defaultRowHeight="15"/>
  <cols>
    <col min="2" max="2" width="19.140625" customWidth="1"/>
    <col min="3" max="5" width="16.42578125" bestFit="1" customWidth="1"/>
  </cols>
  <sheetData>
    <row r="2" spans="2:6">
      <c r="B2" s="237" t="s">
        <v>266</v>
      </c>
      <c r="C2" s="237"/>
      <c r="D2" s="237"/>
      <c r="E2" s="237"/>
      <c r="F2" s="117"/>
    </row>
    <row r="3" spans="2:6">
      <c r="B3" s="114" t="s">
        <v>125</v>
      </c>
      <c r="C3" s="114" t="s">
        <v>76</v>
      </c>
      <c r="D3" s="114" t="s">
        <v>77</v>
      </c>
      <c r="E3" s="114" t="s">
        <v>78</v>
      </c>
      <c r="F3" s="118"/>
    </row>
    <row r="4" spans="2:6">
      <c r="B4" s="98" t="s">
        <v>132</v>
      </c>
      <c r="C4" s="115">
        <v>30693.599999999999</v>
      </c>
      <c r="D4" s="115">
        <v>53713</v>
      </c>
      <c r="E4" s="115">
        <v>76734</v>
      </c>
      <c r="F4" s="118"/>
    </row>
    <row r="5" spans="2:6">
      <c r="B5" s="98" t="s">
        <v>133</v>
      </c>
      <c r="C5" s="116">
        <v>48686.400000000001</v>
      </c>
      <c r="D5" s="116">
        <f>C5</f>
        <v>48686.400000000001</v>
      </c>
      <c r="E5" s="116">
        <f>D5</f>
        <v>48686.400000000001</v>
      </c>
      <c r="F5" s="118"/>
    </row>
    <row r="6" spans="2:6">
      <c r="B6" s="98" t="s">
        <v>134</v>
      </c>
      <c r="C6" s="115">
        <f>C4-C5</f>
        <v>-17992.800000000003</v>
      </c>
      <c r="D6" s="115">
        <f t="shared" ref="D6:E6" si="0">D4-D5</f>
        <v>5026.5999999999985</v>
      </c>
      <c r="E6" s="115">
        <f t="shared" si="0"/>
        <v>28047.599999999999</v>
      </c>
      <c r="F6" s="118"/>
    </row>
    <row r="7" spans="2:6">
      <c r="B7" s="98" t="s">
        <v>135</v>
      </c>
      <c r="C7" s="119">
        <f>C6</f>
        <v>-17992.800000000003</v>
      </c>
      <c r="D7" s="120">
        <f>C7+D6</f>
        <v>-12966.200000000004</v>
      </c>
      <c r="E7" s="115">
        <f>D7+E6</f>
        <v>15081.399999999994</v>
      </c>
      <c r="F7" s="118"/>
    </row>
    <row r="8" spans="2:6">
      <c r="B8" s="236" t="s">
        <v>131</v>
      </c>
      <c r="C8" s="236"/>
      <c r="D8" s="236"/>
      <c r="E8" s="236"/>
      <c r="F8" s="236"/>
    </row>
    <row r="9" spans="2:6">
      <c r="B9" s="114" t="s">
        <v>125</v>
      </c>
      <c r="C9" s="114" t="s">
        <v>79</v>
      </c>
      <c r="D9" s="114" t="s">
        <v>80</v>
      </c>
      <c r="E9" s="114" t="s">
        <v>81</v>
      </c>
      <c r="F9" s="118"/>
    </row>
    <row r="10" spans="2:6">
      <c r="B10" s="98" t="s">
        <v>132</v>
      </c>
      <c r="C10" s="115">
        <v>46040</v>
      </c>
      <c r="D10" s="115">
        <f>C10</f>
        <v>46040</v>
      </c>
      <c r="E10" s="115">
        <f>D10</f>
        <v>46040</v>
      </c>
      <c r="F10" s="118"/>
    </row>
    <row r="11" spans="2:6">
      <c r="B11" s="98" t="s">
        <v>133</v>
      </c>
      <c r="C11" s="116">
        <v>29211.84</v>
      </c>
      <c r="D11" s="116">
        <f>C11</f>
        <v>29211.84</v>
      </c>
      <c r="E11" s="116">
        <f>+D11</f>
        <v>29211.84</v>
      </c>
      <c r="F11" s="118"/>
    </row>
    <row r="12" spans="2:6">
      <c r="B12" s="98" t="s">
        <v>134</v>
      </c>
      <c r="C12" s="115">
        <f>C10-C11</f>
        <v>16828.16</v>
      </c>
      <c r="D12" s="115">
        <f t="shared" ref="D12:E12" si="1">D10-D11</f>
        <v>16828.16</v>
      </c>
      <c r="E12" s="115">
        <f t="shared" si="1"/>
        <v>16828.16</v>
      </c>
      <c r="F12" s="118"/>
    </row>
    <row r="13" spans="2:6">
      <c r="B13" s="98" t="s">
        <v>135</v>
      </c>
      <c r="C13" s="115">
        <f>E7+C12</f>
        <v>31909.559999999994</v>
      </c>
      <c r="D13" s="115">
        <f>C13+D12</f>
        <v>48737.719999999994</v>
      </c>
      <c r="E13" s="115">
        <f>D13+E12</f>
        <v>65565.87999999999</v>
      </c>
      <c r="F13" s="118"/>
    </row>
    <row r="14" spans="2:6">
      <c r="B14" s="236" t="s">
        <v>131</v>
      </c>
      <c r="C14" s="236"/>
      <c r="D14" s="236"/>
      <c r="E14" s="236"/>
      <c r="F14" s="236"/>
    </row>
    <row r="15" spans="2:6">
      <c r="B15" s="114" t="s">
        <v>125</v>
      </c>
      <c r="C15" s="114" t="s">
        <v>82</v>
      </c>
      <c r="D15" s="114" t="s">
        <v>83</v>
      </c>
      <c r="E15" s="114" t="s">
        <v>136</v>
      </c>
      <c r="F15" s="118"/>
    </row>
    <row r="16" spans="2:6">
      <c r="B16" s="121" t="s">
        <v>132</v>
      </c>
      <c r="C16" s="120">
        <v>61387</v>
      </c>
      <c r="D16" s="120">
        <f>+C16</f>
        <v>61387</v>
      </c>
      <c r="E16" s="120">
        <f>D16</f>
        <v>61387</v>
      </c>
      <c r="F16" s="118"/>
    </row>
    <row r="17" spans="2:6">
      <c r="B17" s="121" t="s">
        <v>133</v>
      </c>
      <c r="C17" s="120">
        <v>38949.120000000003</v>
      </c>
      <c r="D17" s="120">
        <f>+C17</f>
        <v>38949.120000000003</v>
      </c>
      <c r="E17" s="120">
        <f>+D17</f>
        <v>38949.120000000003</v>
      </c>
      <c r="F17" s="118"/>
    </row>
    <row r="18" spans="2:6">
      <c r="B18" s="121" t="s">
        <v>134</v>
      </c>
      <c r="C18" s="120">
        <f>C16-C17</f>
        <v>22437.879999999997</v>
      </c>
      <c r="D18" s="120">
        <f t="shared" ref="D18:E18" si="2">D16-D17</f>
        <v>22437.879999999997</v>
      </c>
      <c r="E18" s="120">
        <f t="shared" si="2"/>
        <v>22437.879999999997</v>
      </c>
      <c r="F18" s="118"/>
    </row>
    <row r="19" spans="2:6">
      <c r="B19" s="121" t="s">
        <v>135</v>
      </c>
      <c r="C19" s="120">
        <f>E13+C18</f>
        <v>88003.75999999998</v>
      </c>
      <c r="D19" s="120">
        <f>C19+D18</f>
        <v>110441.63999999998</v>
      </c>
      <c r="E19" s="120">
        <f>D19+E18</f>
        <v>132879.51999999999</v>
      </c>
      <c r="F19" s="118"/>
    </row>
    <row r="20" spans="2:6">
      <c r="B20" s="236" t="s">
        <v>131</v>
      </c>
      <c r="C20" s="236"/>
      <c r="D20" s="236"/>
      <c r="E20" s="236"/>
      <c r="F20" s="236"/>
    </row>
    <row r="21" spans="2:6">
      <c r="B21" s="114" t="s">
        <v>125</v>
      </c>
      <c r="C21" s="114" t="s">
        <v>85</v>
      </c>
      <c r="D21" s="114" t="s">
        <v>86</v>
      </c>
      <c r="E21" s="114" t="s">
        <v>87</v>
      </c>
      <c r="F21" s="118"/>
    </row>
    <row r="22" spans="2:6">
      <c r="B22" s="98" t="s">
        <v>132</v>
      </c>
      <c r="C22" s="115">
        <f>E16</f>
        <v>61387</v>
      </c>
      <c r="D22" s="115">
        <v>76734</v>
      </c>
      <c r="E22" s="115">
        <f>D22</f>
        <v>76734</v>
      </c>
      <c r="F22" s="118"/>
    </row>
    <row r="23" spans="2:6">
      <c r="B23" s="98" t="s">
        <v>133</v>
      </c>
      <c r="C23" s="116">
        <f>+E17</f>
        <v>38949.120000000003</v>
      </c>
      <c r="D23" s="116">
        <v>48686.400000000001</v>
      </c>
      <c r="E23" s="116">
        <f>D23</f>
        <v>48686.400000000001</v>
      </c>
      <c r="F23" s="118"/>
    </row>
    <row r="24" spans="2:6">
      <c r="B24" s="98" t="s">
        <v>134</v>
      </c>
      <c r="C24" s="115">
        <f>C22-C23</f>
        <v>22437.879999999997</v>
      </c>
      <c r="D24" s="115">
        <f t="shared" ref="D24:E24" si="3">D22-D23</f>
        <v>28047.599999999999</v>
      </c>
      <c r="E24" s="115">
        <f t="shared" si="3"/>
        <v>28047.599999999999</v>
      </c>
      <c r="F24" s="118"/>
    </row>
    <row r="25" spans="2:6">
      <c r="B25" s="98" t="s">
        <v>135</v>
      </c>
      <c r="C25" s="115">
        <f>E19+C24</f>
        <v>155317.4</v>
      </c>
      <c r="D25" s="115">
        <f>C25+D24</f>
        <v>183365</v>
      </c>
      <c r="E25" s="115">
        <f>D25+E24</f>
        <v>211412.6</v>
      </c>
      <c r="F25" s="118"/>
    </row>
    <row r="26" spans="2:6">
      <c r="B26" s="122"/>
      <c r="C26" s="122"/>
      <c r="D26" s="122"/>
      <c r="E26" s="122"/>
      <c r="F26" s="122"/>
    </row>
  </sheetData>
  <mergeCells count="4">
    <mergeCell ref="B8:F8"/>
    <mergeCell ref="B14:F14"/>
    <mergeCell ref="B20:F20"/>
    <mergeCell ref="B2:E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G32"/>
  <sheetViews>
    <sheetView workbookViewId="0">
      <selection activeCell="G8" sqref="G8"/>
    </sheetView>
  </sheetViews>
  <sheetFormatPr baseColWidth="10" defaultRowHeight="15"/>
  <cols>
    <col min="3" max="5" width="13" bestFit="1" customWidth="1"/>
  </cols>
  <sheetData>
    <row r="2" spans="1:7">
      <c r="C2" t="s">
        <v>137</v>
      </c>
    </row>
    <row r="4" spans="1:7">
      <c r="C4" t="s">
        <v>138</v>
      </c>
    </row>
    <row r="5" spans="1:7">
      <c r="C5">
        <v>2013</v>
      </c>
      <c r="D5">
        <v>2014</v>
      </c>
      <c r="E5">
        <v>2015</v>
      </c>
      <c r="F5">
        <v>2016</v>
      </c>
      <c r="G5">
        <v>2017</v>
      </c>
    </row>
    <row r="6" spans="1:7">
      <c r="A6" t="s">
        <v>139</v>
      </c>
      <c r="C6" s="25">
        <f>40920+87600</f>
        <v>128520</v>
      </c>
      <c r="D6" s="25">
        <f t="shared" ref="D6:G6" si="0">40920+87600</f>
        <v>128520</v>
      </c>
      <c r="E6" s="25">
        <f t="shared" si="0"/>
        <v>128520</v>
      </c>
      <c r="F6" s="25">
        <f t="shared" si="0"/>
        <v>128520</v>
      </c>
      <c r="G6" s="25">
        <f t="shared" si="0"/>
        <v>128520</v>
      </c>
    </row>
    <row r="7" spans="1:7">
      <c r="A7" t="s">
        <v>140</v>
      </c>
      <c r="C7" s="25">
        <v>486864</v>
      </c>
      <c r="D7" s="25">
        <v>525813</v>
      </c>
      <c r="E7" s="25">
        <v>56878.1</v>
      </c>
      <c r="F7" s="25">
        <v>613308.43000000005</v>
      </c>
      <c r="G7" s="25">
        <v>662373.14</v>
      </c>
    </row>
    <row r="8" spans="1:7">
      <c r="A8" s="27" t="s">
        <v>143</v>
      </c>
      <c r="B8" s="27"/>
      <c r="C8" s="35">
        <f>SUM(C5:C7)</f>
        <v>617397</v>
      </c>
      <c r="D8" s="35">
        <f t="shared" ref="D8:E8" si="1">SUM(D5:D7)</f>
        <v>656347</v>
      </c>
      <c r="E8" s="35">
        <f t="shared" si="1"/>
        <v>187413.1</v>
      </c>
      <c r="F8" s="35">
        <f>SUM(F5:F7)</f>
        <v>743844.43</v>
      </c>
      <c r="G8" s="35">
        <f>SUM(G5:G7)</f>
        <v>792910.14</v>
      </c>
    </row>
    <row r="9" spans="1:7" ht="15.75" thickBot="1">
      <c r="A9" s="27"/>
      <c r="B9" s="27"/>
      <c r="C9" s="26"/>
      <c r="D9" s="26"/>
      <c r="E9" s="26"/>
      <c r="F9" s="26"/>
      <c r="G9" s="26"/>
    </row>
    <row r="10" spans="1:7">
      <c r="A10" s="244" t="s">
        <v>141</v>
      </c>
      <c r="B10" s="245"/>
      <c r="C10" s="245"/>
      <c r="D10" s="245"/>
      <c r="E10" s="246"/>
    </row>
    <row r="11" spans="1:7">
      <c r="A11" s="247"/>
      <c r="B11" s="248"/>
      <c r="C11" s="30" t="s">
        <v>76</v>
      </c>
      <c r="D11" s="30" t="s">
        <v>77</v>
      </c>
      <c r="E11" s="30" t="s">
        <v>78</v>
      </c>
    </row>
    <row r="12" spans="1:7">
      <c r="A12" s="30" t="s">
        <v>142</v>
      </c>
      <c r="B12" s="30"/>
      <c r="C12" s="30">
        <f>C6/12</f>
        <v>10710</v>
      </c>
      <c r="D12" s="30">
        <f t="shared" ref="D12:E12" si="2">D6/12</f>
        <v>10710</v>
      </c>
      <c r="E12" s="30">
        <f t="shared" si="2"/>
        <v>10710</v>
      </c>
    </row>
    <row r="13" spans="1:7">
      <c r="A13" s="30" t="s">
        <v>140</v>
      </c>
      <c r="B13" s="30"/>
      <c r="C13" s="30">
        <v>48686.400000000001</v>
      </c>
      <c r="D13" s="30">
        <f>C13</f>
        <v>48686.400000000001</v>
      </c>
      <c r="E13" s="30">
        <f>D13</f>
        <v>48686.400000000001</v>
      </c>
    </row>
    <row r="14" spans="1:7">
      <c r="A14" s="242" t="s">
        <v>144</v>
      </c>
      <c r="B14" s="243"/>
      <c r="C14" s="31">
        <f>SUM(C12:C13)</f>
        <v>59396.4</v>
      </c>
      <c r="D14" s="31">
        <f>SUM(D12:D13)</f>
        <v>59396.4</v>
      </c>
      <c r="E14" s="31">
        <f>SUM(E12:E13)</f>
        <v>59396.4</v>
      </c>
    </row>
    <row r="15" spans="1:7">
      <c r="A15" s="29"/>
      <c r="B15" s="29"/>
      <c r="C15" s="29"/>
      <c r="D15" s="29"/>
      <c r="E15" s="29"/>
    </row>
    <row r="16" spans="1:7">
      <c r="A16" s="30"/>
      <c r="B16" s="30"/>
      <c r="C16" s="30" t="s">
        <v>141</v>
      </c>
      <c r="D16" s="30"/>
      <c r="E16" s="30"/>
    </row>
    <row r="17" spans="1:5">
      <c r="A17" s="30"/>
      <c r="B17" s="30"/>
      <c r="C17" s="30" t="s">
        <v>79</v>
      </c>
      <c r="D17" s="30" t="s">
        <v>80</v>
      </c>
      <c r="E17" s="30" t="s">
        <v>81</v>
      </c>
    </row>
    <row r="18" spans="1:5">
      <c r="A18" s="30" t="s">
        <v>142</v>
      </c>
      <c r="B18" s="30"/>
      <c r="C18" s="30">
        <f>C12</f>
        <v>10710</v>
      </c>
      <c r="D18" s="30">
        <f t="shared" ref="D18:E18" si="3">D12</f>
        <v>10710</v>
      </c>
      <c r="E18" s="30">
        <f t="shared" si="3"/>
        <v>10710</v>
      </c>
    </row>
    <row r="19" spans="1:5">
      <c r="A19" s="30" t="s">
        <v>140</v>
      </c>
      <c r="B19" s="30"/>
      <c r="C19" s="30">
        <v>29211.84</v>
      </c>
      <c r="D19" s="30">
        <f>C19</f>
        <v>29211.84</v>
      </c>
      <c r="E19" s="30">
        <f>D19</f>
        <v>29211.84</v>
      </c>
    </row>
    <row r="20" spans="1:5">
      <c r="A20" s="242" t="s">
        <v>144</v>
      </c>
      <c r="B20" s="243"/>
      <c r="C20" s="31">
        <f>SUM(C18:C19)</f>
        <v>39921.839999999997</v>
      </c>
      <c r="D20" s="31">
        <f t="shared" ref="D20:E20" si="4">SUM(D18:D19)</f>
        <v>39921.839999999997</v>
      </c>
      <c r="E20" s="31">
        <f t="shared" si="4"/>
        <v>39921.839999999997</v>
      </c>
    </row>
    <row r="21" spans="1:5" ht="15.75" thickBot="1">
      <c r="A21" s="29"/>
      <c r="B21" s="29"/>
      <c r="C21" s="29"/>
      <c r="D21" s="29"/>
      <c r="E21" s="29"/>
    </row>
    <row r="22" spans="1:5" ht="15.75" thickBot="1">
      <c r="A22" s="238" t="s">
        <v>141</v>
      </c>
      <c r="B22" s="239"/>
      <c r="C22" s="239"/>
      <c r="D22" s="239"/>
      <c r="E22" s="240"/>
    </row>
    <row r="23" spans="1:5" ht="15.75" thickBot="1">
      <c r="A23" s="238"/>
      <c r="B23" s="240"/>
      <c r="C23" s="32" t="s">
        <v>82</v>
      </c>
      <c r="D23" s="33" t="s">
        <v>145</v>
      </c>
      <c r="E23" s="33" t="s">
        <v>129</v>
      </c>
    </row>
    <row r="24" spans="1:5">
      <c r="A24" s="34" t="s">
        <v>142</v>
      </c>
      <c r="B24" s="34"/>
      <c r="C24" s="30">
        <f>C18</f>
        <v>10710</v>
      </c>
      <c r="D24" s="30">
        <f t="shared" ref="D24:E24" si="5">D18</f>
        <v>10710</v>
      </c>
      <c r="E24" s="30">
        <f t="shared" si="5"/>
        <v>10710</v>
      </c>
    </row>
    <row r="25" spans="1:5">
      <c r="A25" s="30" t="s">
        <v>140</v>
      </c>
      <c r="B25" s="30"/>
      <c r="C25" s="30">
        <v>38949.120000000003</v>
      </c>
      <c r="D25" s="30">
        <f>+C25</f>
        <v>38949.120000000003</v>
      </c>
      <c r="E25" s="30">
        <f>D25</f>
        <v>38949.120000000003</v>
      </c>
    </row>
    <row r="26" spans="1:5">
      <c r="A26" s="242" t="s">
        <v>144</v>
      </c>
      <c r="B26" s="243"/>
      <c r="C26" s="31">
        <f>SUM(C24:C25)</f>
        <v>49659.12</v>
      </c>
      <c r="D26" s="31">
        <f t="shared" ref="D26:E26" si="6">SUM(D24:D25)</f>
        <v>49659.12</v>
      </c>
      <c r="E26" s="31">
        <f t="shared" si="6"/>
        <v>49659.12</v>
      </c>
    </row>
    <row r="27" spans="1:5" ht="15.75" thickBot="1">
      <c r="A27" s="29"/>
      <c r="B27" s="29"/>
      <c r="C27" s="29"/>
      <c r="D27" s="29"/>
      <c r="E27" s="29"/>
    </row>
    <row r="28" spans="1:5" ht="15.75" thickBot="1">
      <c r="A28" s="238" t="s">
        <v>141</v>
      </c>
      <c r="B28" s="239"/>
      <c r="C28" s="239"/>
      <c r="D28" s="239"/>
      <c r="E28" s="240"/>
    </row>
    <row r="29" spans="1:5">
      <c r="A29" s="241"/>
      <c r="B29" s="241"/>
      <c r="C29" s="34" t="s">
        <v>85</v>
      </c>
      <c r="D29" s="34" t="s">
        <v>86</v>
      </c>
      <c r="E29" s="34" t="s">
        <v>87</v>
      </c>
    </row>
    <row r="30" spans="1:5">
      <c r="A30" s="30" t="s">
        <v>142</v>
      </c>
      <c r="B30" s="30"/>
      <c r="C30" s="30">
        <f>C24</f>
        <v>10710</v>
      </c>
      <c r="D30" s="30">
        <f t="shared" ref="D30:E30" si="7">D24</f>
        <v>10710</v>
      </c>
      <c r="E30" s="30">
        <f t="shared" si="7"/>
        <v>10710</v>
      </c>
    </row>
    <row r="31" spans="1:5">
      <c r="A31" s="30" t="s">
        <v>140</v>
      </c>
      <c r="B31" s="30"/>
      <c r="C31" s="30">
        <f>E25</f>
        <v>38949.120000000003</v>
      </c>
      <c r="D31" s="30">
        <v>48686.400000000001</v>
      </c>
      <c r="E31" s="30">
        <f>D31</f>
        <v>48686.400000000001</v>
      </c>
    </row>
    <row r="32" spans="1:5">
      <c r="A32" s="242" t="s">
        <v>144</v>
      </c>
      <c r="B32" s="243"/>
      <c r="C32" s="31">
        <f>SUM(C30:C31)</f>
        <v>49659.12</v>
      </c>
      <c r="D32" s="31">
        <f t="shared" ref="D32:E32" si="8">SUM(D30:D31)</f>
        <v>59396.4</v>
      </c>
      <c r="E32" s="31">
        <f t="shared" si="8"/>
        <v>59396.4</v>
      </c>
    </row>
  </sheetData>
  <mergeCells count="10">
    <mergeCell ref="A28:E28"/>
    <mergeCell ref="A29:B29"/>
    <mergeCell ref="A32:B32"/>
    <mergeCell ref="A22:E22"/>
    <mergeCell ref="A10:E10"/>
    <mergeCell ref="A11:B11"/>
    <mergeCell ref="A23:B23"/>
    <mergeCell ref="A26:B26"/>
    <mergeCell ref="A20:B20"/>
    <mergeCell ref="A14:B1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H10"/>
  <sheetViews>
    <sheetView workbookViewId="0">
      <selection activeCell="C26" sqref="C26"/>
    </sheetView>
  </sheetViews>
  <sheetFormatPr baseColWidth="10" defaultRowHeight="15"/>
  <cols>
    <col min="2" max="2" width="14.42578125" customWidth="1"/>
    <col min="4" max="4" width="2.85546875" customWidth="1"/>
    <col min="6" max="6" width="9" customWidth="1"/>
    <col min="7" max="7" width="10.7109375" customWidth="1"/>
    <col min="8" max="8" width="12" customWidth="1"/>
  </cols>
  <sheetData>
    <row r="1" spans="2:8" ht="15.75" thickBot="1"/>
    <row r="2" spans="2:8">
      <c r="B2" s="216" t="s">
        <v>259</v>
      </c>
      <c r="C2" s="217"/>
      <c r="D2" s="217"/>
      <c r="E2" s="217"/>
      <c r="F2" s="217"/>
      <c r="G2" s="217"/>
      <c r="H2" s="218"/>
    </row>
    <row r="3" spans="2:8" ht="15.75" thickBot="1">
      <c r="B3" s="253"/>
      <c r="C3" s="254"/>
      <c r="D3" s="254"/>
      <c r="E3" s="254"/>
      <c r="F3" s="254"/>
      <c r="G3" s="254"/>
      <c r="H3" s="255"/>
    </row>
    <row r="4" spans="2:8" ht="15.75" thickBot="1">
      <c r="B4" s="213" t="s">
        <v>154</v>
      </c>
      <c r="C4" s="214"/>
      <c r="D4" s="214"/>
      <c r="E4" s="214"/>
      <c r="F4" s="214"/>
      <c r="G4" s="214"/>
      <c r="H4" s="215"/>
    </row>
    <row r="5" spans="2:8">
      <c r="B5" s="256" t="s">
        <v>155</v>
      </c>
      <c r="C5" s="259" t="s">
        <v>156</v>
      </c>
      <c r="D5" s="260"/>
      <c r="E5" s="265" t="s">
        <v>157</v>
      </c>
      <c r="F5" s="265" t="s">
        <v>43</v>
      </c>
      <c r="G5" s="90" t="s">
        <v>158</v>
      </c>
      <c r="H5" s="90" t="s">
        <v>160</v>
      </c>
    </row>
    <row r="6" spans="2:8">
      <c r="B6" s="257"/>
      <c r="C6" s="261"/>
      <c r="D6" s="262"/>
      <c r="E6" s="266"/>
      <c r="F6" s="266"/>
      <c r="G6" s="91" t="s">
        <v>159</v>
      </c>
      <c r="H6" s="91" t="s">
        <v>161</v>
      </c>
    </row>
    <row r="7" spans="2:8" ht="15.75" thickBot="1">
      <c r="B7" s="258"/>
      <c r="C7" s="263"/>
      <c r="D7" s="264"/>
      <c r="E7" s="267"/>
      <c r="F7" s="267"/>
      <c r="G7" s="91" t="s">
        <v>260</v>
      </c>
      <c r="H7" s="91" t="s">
        <v>162</v>
      </c>
    </row>
    <row r="8" spans="2:8">
      <c r="B8" s="86" t="s">
        <v>163</v>
      </c>
      <c r="C8" s="251">
        <v>40</v>
      </c>
      <c r="D8" s="251"/>
      <c r="E8" s="92">
        <v>51408</v>
      </c>
      <c r="F8" s="94">
        <v>1</v>
      </c>
      <c r="G8" s="92">
        <v>0.65</v>
      </c>
      <c r="H8" s="87">
        <f>E8/(F8-G8)</f>
        <v>146880</v>
      </c>
    </row>
    <row r="9" spans="2:8" ht="15.75" thickBot="1">
      <c r="B9" s="88" t="s">
        <v>164</v>
      </c>
      <c r="C9" s="252">
        <v>60</v>
      </c>
      <c r="D9" s="252"/>
      <c r="E9" s="93">
        <v>77112</v>
      </c>
      <c r="F9" s="95">
        <v>0.3</v>
      </c>
      <c r="G9" s="93">
        <v>0.18</v>
      </c>
      <c r="H9" s="89">
        <f>E9/(F9-G9)</f>
        <v>642600</v>
      </c>
    </row>
    <row r="10" spans="2:8">
      <c r="B10" s="249" t="s">
        <v>221</v>
      </c>
      <c r="C10" s="250"/>
      <c r="D10" s="250"/>
      <c r="E10" s="250"/>
      <c r="F10" s="250"/>
      <c r="G10" s="250"/>
      <c r="H10" s="250"/>
    </row>
  </sheetData>
  <mergeCells count="9">
    <mergeCell ref="B10:H10"/>
    <mergeCell ref="C8:D8"/>
    <mergeCell ref="C9:D9"/>
    <mergeCell ref="B2:H3"/>
    <mergeCell ref="B4:H4"/>
    <mergeCell ref="B5:B7"/>
    <mergeCell ref="C5:D7"/>
    <mergeCell ref="F5:F7"/>
    <mergeCell ref="E5:E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G10"/>
  <sheetViews>
    <sheetView workbookViewId="0">
      <selection activeCell="E12" sqref="E12"/>
    </sheetView>
  </sheetViews>
  <sheetFormatPr baseColWidth="10" defaultRowHeight="15"/>
  <cols>
    <col min="2" max="2" width="20.5703125" customWidth="1"/>
    <col min="3" max="3" width="11.140625" customWidth="1"/>
    <col min="4" max="4" width="6.7109375" customWidth="1"/>
    <col min="5" max="5" width="10.85546875" customWidth="1"/>
    <col min="6" max="6" width="18.42578125" bestFit="1" customWidth="1"/>
    <col min="7" max="7" width="10.42578125" customWidth="1"/>
  </cols>
  <sheetData>
    <row r="2" spans="2:7">
      <c r="B2" s="268" t="s">
        <v>272</v>
      </c>
      <c r="C2" s="268"/>
      <c r="D2" s="268"/>
      <c r="E2" s="268"/>
      <c r="F2" s="268"/>
      <c r="G2" s="268"/>
    </row>
    <row r="3" spans="2:7">
      <c r="B3" s="268"/>
      <c r="C3" s="268"/>
      <c r="D3" s="268"/>
      <c r="E3" s="268"/>
      <c r="F3" s="268"/>
      <c r="G3" s="268"/>
    </row>
    <row r="4" spans="2:7" ht="24">
      <c r="B4" s="129" t="s">
        <v>166</v>
      </c>
      <c r="C4" s="129" t="s">
        <v>170</v>
      </c>
      <c r="D4" s="129" t="s">
        <v>171</v>
      </c>
      <c r="E4" s="129" t="s">
        <v>172</v>
      </c>
      <c r="F4" s="129" t="s">
        <v>173</v>
      </c>
      <c r="G4" s="129" t="s">
        <v>174</v>
      </c>
    </row>
    <row r="5" spans="2:7">
      <c r="B5" s="52" t="s">
        <v>218</v>
      </c>
      <c r="C5" s="130">
        <v>30000</v>
      </c>
      <c r="D5" s="73">
        <v>5</v>
      </c>
      <c r="E5" s="130">
        <f>C5/D5</f>
        <v>6000</v>
      </c>
      <c r="F5" s="130">
        <f>D5*E5</f>
        <v>30000</v>
      </c>
      <c r="G5" s="130">
        <v>0</v>
      </c>
    </row>
    <row r="6" spans="2:7">
      <c r="B6" s="52" t="s">
        <v>167</v>
      </c>
      <c r="C6" s="130">
        <v>5000</v>
      </c>
      <c r="D6" s="73">
        <v>3</v>
      </c>
      <c r="E6" s="130">
        <f t="shared" ref="E6:E8" si="0">C6/D6</f>
        <v>1666.6666666666667</v>
      </c>
      <c r="F6" s="130">
        <f>D6*E6</f>
        <v>5000</v>
      </c>
      <c r="G6" s="130">
        <v>0</v>
      </c>
    </row>
    <row r="7" spans="2:7">
      <c r="B7" s="52" t="s">
        <v>168</v>
      </c>
      <c r="C7" s="130">
        <v>5000</v>
      </c>
      <c r="D7" s="73">
        <v>10</v>
      </c>
      <c r="E7" s="130">
        <f t="shared" si="0"/>
        <v>500</v>
      </c>
      <c r="F7" s="130">
        <f t="shared" ref="F7:F8" si="1">D7*E7</f>
        <v>5000</v>
      </c>
      <c r="G7" s="130">
        <f>F7</f>
        <v>5000</v>
      </c>
    </row>
    <row r="8" spans="2:7">
      <c r="B8" s="52" t="s">
        <v>169</v>
      </c>
      <c r="C8" s="130">
        <v>4000</v>
      </c>
      <c r="D8" s="73">
        <v>10</v>
      </c>
      <c r="E8" s="130">
        <f t="shared" si="0"/>
        <v>400</v>
      </c>
      <c r="F8" s="130">
        <f t="shared" si="1"/>
        <v>4000</v>
      </c>
      <c r="G8" s="130">
        <f>F8</f>
        <v>4000</v>
      </c>
    </row>
    <row r="9" spans="2:7">
      <c r="B9" s="181" t="s">
        <v>175</v>
      </c>
      <c r="C9" s="181"/>
      <c r="D9" s="181"/>
      <c r="E9" s="132">
        <f>SUM(E5:E8)</f>
        <v>8566.6666666666679</v>
      </c>
      <c r="F9" s="128" t="s">
        <v>165</v>
      </c>
      <c r="G9" s="131">
        <f>SUM(G5:G8)</f>
        <v>9000</v>
      </c>
    </row>
    <row r="10" spans="2:7">
      <c r="B10" s="133"/>
      <c r="C10" s="133"/>
      <c r="D10" s="133" t="s">
        <v>221</v>
      </c>
      <c r="E10" s="133"/>
      <c r="F10" s="133"/>
      <c r="G10" s="133"/>
    </row>
  </sheetData>
  <mergeCells count="2">
    <mergeCell ref="B9:D9"/>
    <mergeCell ref="B2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I15"/>
  <sheetViews>
    <sheetView workbookViewId="0">
      <selection activeCell="D12" sqref="D12"/>
    </sheetView>
  </sheetViews>
  <sheetFormatPr baseColWidth="10" defaultRowHeight="15"/>
  <cols>
    <col min="2" max="2" width="14.85546875" customWidth="1"/>
    <col min="3" max="3" width="12.28515625" customWidth="1"/>
  </cols>
  <sheetData>
    <row r="2" spans="2:9" ht="15" customHeight="1">
      <c r="B2" s="168" t="s">
        <v>273</v>
      </c>
      <c r="C2" s="168"/>
      <c r="D2" s="168"/>
      <c r="E2" s="168"/>
      <c r="F2" s="168"/>
    </row>
    <row r="3" spans="2:9">
      <c r="B3" s="112" t="s">
        <v>180</v>
      </c>
      <c r="C3" s="112" t="s">
        <v>181</v>
      </c>
      <c r="D3" s="272" t="s">
        <v>125</v>
      </c>
      <c r="E3" s="272"/>
      <c r="F3" s="272"/>
    </row>
    <row r="4" spans="2:9">
      <c r="B4" s="52" t="s">
        <v>176</v>
      </c>
      <c r="C4" s="52">
        <f>0.99</f>
        <v>0.99</v>
      </c>
      <c r="D4" s="52" t="s">
        <v>182</v>
      </c>
      <c r="E4" s="52"/>
      <c r="F4" s="52"/>
    </row>
    <row r="5" spans="2:9">
      <c r="B5" s="52" t="s">
        <v>177</v>
      </c>
      <c r="C5" s="52">
        <v>0.65</v>
      </c>
      <c r="D5" s="182" t="s">
        <v>183</v>
      </c>
      <c r="E5" s="182"/>
      <c r="F5" s="182"/>
    </row>
    <row r="6" spans="2:9">
      <c r="B6" s="52" t="s">
        <v>178</v>
      </c>
      <c r="C6" s="52">
        <v>6.3399999999999998E-2</v>
      </c>
      <c r="D6" s="182" t="s">
        <v>183</v>
      </c>
      <c r="E6" s="182"/>
      <c r="F6" s="182"/>
    </row>
    <row r="7" spans="2:9">
      <c r="B7" s="52" t="s">
        <v>179</v>
      </c>
      <c r="C7" s="52">
        <v>7.07</v>
      </c>
      <c r="D7" s="182" t="s">
        <v>184</v>
      </c>
      <c r="E7" s="182"/>
      <c r="F7" s="182"/>
    </row>
    <row r="8" spans="2:9">
      <c r="B8" s="52" t="s">
        <v>185</v>
      </c>
      <c r="C8" s="128">
        <f>+C4+C5*(C6-C4)+C7</f>
        <v>7.4577100000000005</v>
      </c>
      <c r="D8" s="182"/>
      <c r="E8" s="182"/>
      <c r="F8" s="182"/>
    </row>
    <row r="9" spans="2:9">
      <c r="B9" s="128" t="s">
        <v>186</v>
      </c>
      <c r="C9" s="269" t="s">
        <v>187</v>
      </c>
      <c r="D9" s="270"/>
      <c r="E9" s="270"/>
      <c r="F9" s="271"/>
    </row>
    <row r="10" spans="2:9">
      <c r="B10" s="180" t="s">
        <v>221</v>
      </c>
      <c r="C10" s="180"/>
      <c r="D10" s="180"/>
      <c r="E10" s="180"/>
      <c r="F10" s="180"/>
      <c r="I10">
        <f>1/100</f>
        <v>0.01</v>
      </c>
    </row>
    <row r="11" spans="2:9">
      <c r="I11" s="50">
        <f>1%-1</f>
        <v>-0.99</v>
      </c>
    </row>
    <row r="12" spans="2:9">
      <c r="C12" s="142">
        <f>+C8/100</f>
        <v>7.4577100000000007E-2</v>
      </c>
    </row>
    <row r="15" spans="2:9">
      <c r="I15">
        <f>6/100</f>
        <v>0.06</v>
      </c>
    </row>
  </sheetData>
  <mergeCells count="8">
    <mergeCell ref="B2:F2"/>
    <mergeCell ref="C9:F9"/>
    <mergeCell ref="B10:F10"/>
    <mergeCell ref="D8:F8"/>
    <mergeCell ref="D3:F3"/>
    <mergeCell ref="D5:F5"/>
    <mergeCell ref="D6:F6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J52"/>
  <sheetViews>
    <sheetView tabSelected="1" topLeftCell="A15" zoomScale="85" zoomScaleNormal="85" workbookViewId="0">
      <selection activeCell="D49" sqref="D49"/>
    </sheetView>
  </sheetViews>
  <sheetFormatPr baseColWidth="10" defaultRowHeight="15"/>
  <cols>
    <col min="3" max="3" width="32" customWidth="1"/>
    <col min="4" max="4" width="10.5703125" customWidth="1"/>
    <col min="5" max="5" width="11.28515625" customWidth="1"/>
    <col min="6" max="6" width="10.140625" customWidth="1"/>
    <col min="7" max="7" width="10.42578125" customWidth="1"/>
    <col min="8" max="8" width="10" customWidth="1"/>
    <col min="9" max="9" width="11.42578125" customWidth="1"/>
  </cols>
  <sheetData>
    <row r="2" spans="2:6">
      <c r="C2" s="169" t="s">
        <v>274</v>
      </c>
      <c r="D2" s="169"/>
      <c r="E2" s="169"/>
      <c r="F2" s="169"/>
    </row>
    <row r="3" spans="2:6">
      <c r="C3" s="277" t="s">
        <v>188</v>
      </c>
      <c r="D3" s="278"/>
      <c r="E3" s="135" t="s">
        <v>211</v>
      </c>
      <c r="F3" s="135"/>
    </row>
    <row r="4" spans="2:6">
      <c r="C4" s="280" t="s">
        <v>113</v>
      </c>
      <c r="D4" s="280"/>
      <c r="E4" s="280"/>
      <c r="F4" s="72">
        <v>55000</v>
      </c>
    </row>
    <row r="5" spans="2:6">
      <c r="C5" s="280" t="s">
        <v>189</v>
      </c>
      <c r="D5" s="280"/>
      <c r="E5" s="280"/>
      <c r="F5" s="72">
        <v>17922.8</v>
      </c>
    </row>
    <row r="6" spans="2:6">
      <c r="C6" s="279" t="s">
        <v>194</v>
      </c>
      <c r="D6" s="279"/>
      <c r="E6" s="279"/>
      <c r="F6" s="134">
        <f>SUM(F4:F5)</f>
        <v>72922.8</v>
      </c>
    </row>
    <row r="7" spans="2:6">
      <c r="C7" s="180" t="s">
        <v>221</v>
      </c>
      <c r="D7" s="180"/>
      <c r="E7" s="180"/>
      <c r="F7" s="180"/>
    </row>
    <row r="9" spans="2:6">
      <c r="B9" s="113"/>
      <c r="C9" s="181" t="s">
        <v>217</v>
      </c>
      <c r="D9" s="181"/>
      <c r="E9" s="181"/>
      <c r="F9" s="113"/>
    </row>
    <row r="10" spans="2:6">
      <c r="B10" s="113"/>
      <c r="C10" s="274" t="s">
        <v>197</v>
      </c>
      <c r="D10" s="274"/>
      <c r="E10" s="137">
        <v>41106.46</v>
      </c>
      <c r="F10" s="113"/>
    </row>
    <row r="11" spans="2:6">
      <c r="B11" s="181" t="s">
        <v>276</v>
      </c>
      <c r="C11" s="181"/>
      <c r="D11" s="181"/>
      <c r="E11" s="181"/>
      <c r="F11" s="181"/>
    </row>
    <row r="12" spans="2:6">
      <c r="B12" s="128" t="s">
        <v>67</v>
      </c>
      <c r="C12" s="128" t="s">
        <v>195</v>
      </c>
      <c r="D12" s="128" t="s">
        <v>275</v>
      </c>
      <c r="E12" s="85" t="s">
        <v>208</v>
      </c>
      <c r="F12" s="128" t="s">
        <v>196</v>
      </c>
    </row>
    <row r="13" spans="2:6">
      <c r="B13" s="73">
        <v>0</v>
      </c>
      <c r="C13" s="73"/>
      <c r="D13" s="73"/>
      <c r="E13" s="73"/>
      <c r="F13" s="72">
        <v>41106.46</v>
      </c>
    </row>
    <row r="14" spans="2:6">
      <c r="B14" s="73">
        <v>1</v>
      </c>
      <c r="C14" s="106">
        <v>12262.7</v>
      </c>
      <c r="D14" s="106">
        <v>6165.97</v>
      </c>
      <c r="E14" s="106">
        <f>C14-D14</f>
        <v>6096.7300000000005</v>
      </c>
      <c r="F14" s="72">
        <f>+F13-E14</f>
        <v>35009.729999999996</v>
      </c>
    </row>
    <row r="15" spans="2:6">
      <c r="B15" s="73">
        <v>2</v>
      </c>
      <c r="C15" s="106">
        <f>C14</f>
        <v>12262.7</v>
      </c>
      <c r="D15" s="106">
        <v>5251.46</v>
      </c>
      <c r="E15" s="106">
        <f t="shared" ref="E15:E19" si="0">C15-D15</f>
        <v>7011.2400000000007</v>
      </c>
      <c r="F15" s="72">
        <f t="shared" ref="F15:F17" si="1">+F14-E15</f>
        <v>27998.489999999994</v>
      </c>
    </row>
    <row r="16" spans="2:6">
      <c r="B16" s="73">
        <v>3</v>
      </c>
      <c r="C16" s="106">
        <f>+C15</f>
        <v>12262.7</v>
      </c>
      <c r="D16" s="106">
        <v>4199.7700000000004</v>
      </c>
      <c r="E16" s="106">
        <f t="shared" si="0"/>
        <v>8062.93</v>
      </c>
      <c r="F16" s="72">
        <f t="shared" si="1"/>
        <v>19935.559999999994</v>
      </c>
    </row>
    <row r="17" spans="2:10">
      <c r="B17" s="73">
        <v>4</v>
      </c>
      <c r="C17" s="106">
        <f>+C16</f>
        <v>12262.7</v>
      </c>
      <c r="D17" s="106">
        <v>2990.34</v>
      </c>
      <c r="E17" s="106">
        <f t="shared" si="0"/>
        <v>9272.36</v>
      </c>
      <c r="F17" s="72">
        <f t="shared" si="1"/>
        <v>10663.199999999993</v>
      </c>
    </row>
    <row r="18" spans="2:10">
      <c r="B18" s="73">
        <v>5</v>
      </c>
      <c r="C18" s="106">
        <f>+C17</f>
        <v>12262.7</v>
      </c>
      <c r="D18" s="106">
        <v>1599.48</v>
      </c>
      <c r="E18" s="106">
        <f t="shared" si="0"/>
        <v>10663.220000000001</v>
      </c>
      <c r="F18" s="106">
        <v>0</v>
      </c>
    </row>
    <row r="19" spans="2:10">
      <c r="B19" s="73"/>
      <c r="C19" s="136">
        <f>SUM(C14:C18)</f>
        <v>61313.5</v>
      </c>
      <c r="D19" s="136">
        <f>SUM(D14:D18)</f>
        <v>20207.02</v>
      </c>
      <c r="E19" s="136">
        <f t="shared" si="0"/>
        <v>41106.479999999996</v>
      </c>
      <c r="F19" s="73"/>
    </row>
    <row r="20" spans="2:10">
      <c r="B20" s="180" t="s">
        <v>221</v>
      </c>
      <c r="C20" s="180"/>
      <c r="D20" s="180"/>
      <c r="E20" s="180"/>
      <c r="F20" s="180"/>
    </row>
    <row r="24" spans="2:10">
      <c r="C24" s="110"/>
      <c r="D24" s="110"/>
      <c r="E24" s="110"/>
      <c r="F24" s="110"/>
      <c r="G24" s="110"/>
      <c r="H24" s="110"/>
      <c r="I24" s="110"/>
      <c r="J24" s="110"/>
    </row>
    <row r="25" spans="2:10" ht="15.75" thickBot="1">
      <c r="C25" s="149" t="s">
        <v>282</v>
      </c>
      <c r="D25" s="148">
        <v>0</v>
      </c>
      <c r="E25" s="148">
        <v>1</v>
      </c>
      <c r="F25" s="148">
        <v>2</v>
      </c>
      <c r="G25" s="148">
        <v>3</v>
      </c>
      <c r="H25" s="148">
        <v>4</v>
      </c>
      <c r="I25" s="148">
        <v>5</v>
      </c>
      <c r="J25" s="110"/>
    </row>
    <row r="26" spans="2:10" ht="16.5" thickTop="1" thickBot="1">
      <c r="C26" s="147" t="s">
        <v>199</v>
      </c>
      <c r="D26" s="154"/>
      <c r="E26" s="155">
        <v>767340</v>
      </c>
      <c r="F26" s="155">
        <v>828727</v>
      </c>
      <c r="G26" s="155">
        <v>895025</v>
      </c>
      <c r="H26" s="155">
        <v>966627.42</v>
      </c>
      <c r="I26" s="155">
        <v>1043957</v>
      </c>
      <c r="J26" s="110"/>
    </row>
    <row r="27" spans="2:10" ht="15.75" thickTop="1">
      <c r="C27" s="146" t="s">
        <v>200</v>
      </c>
      <c r="D27" s="156"/>
      <c r="E27" s="157">
        <v>486864</v>
      </c>
      <c r="F27" s="157">
        <v>525813</v>
      </c>
      <c r="G27" s="157">
        <v>567878.1</v>
      </c>
      <c r="H27" s="157">
        <v>613308.43000000005</v>
      </c>
      <c r="I27" s="157">
        <v>662373.14</v>
      </c>
      <c r="J27" s="110"/>
    </row>
    <row r="28" spans="2:10">
      <c r="C28" s="96" t="s">
        <v>201</v>
      </c>
      <c r="D28" s="158"/>
      <c r="E28" s="159">
        <v>102000</v>
      </c>
      <c r="F28" s="159">
        <f t="shared" ref="F28:I32" si="2">+E28</f>
        <v>102000</v>
      </c>
      <c r="G28" s="159">
        <f t="shared" si="2"/>
        <v>102000</v>
      </c>
      <c r="H28" s="159">
        <f t="shared" si="2"/>
        <v>102000</v>
      </c>
      <c r="I28" s="159">
        <f t="shared" si="2"/>
        <v>102000</v>
      </c>
      <c r="J28" s="110"/>
    </row>
    <row r="29" spans="2:10">
      <c r="C29" s="96" t="s">
        <v>202</v>
      </c>
      <c r="D29" s="158"/>
      <c r="E29" s="159">
        <v>42840</v>
      </c>
      <c r="F29" s="159">
        <f t="shared" si="2"/>
        <v>42840</v>
      </c>
      <c r="G29" s="159">
        <f t="shared" si="2"/>
        <v>42840</v>
      </c>
      <c r="H29" s="159">
        <f t="shared" si="2"/>
        <v>42840</v>
      </c>
      <c r="I29" s="159">
        <f t="shared" si="2"/>
        <v>42840</v>
      </c>
      <c r="J29" s="110"/>
    </row>
    <row r="30" spans="2:10">
      <c r="C30" s="96" t="s">
        <v>203</v>
      </c>
      <c r="D30" s="158"/>
      <c r="E30" s="159">
        <v>9600</v>
      </c>
      <c r="F30" s="159">
        <f t="shared" si="2"/>
        <v>9600</v>
      </c>
      <c r="G30" s="159">
        <f t="shared" si="2"/>
        <v>9600</v>
      </c>
      <c r="H30" s="159">
        <f t="shared" si="2"/>
        <v>9600</v>
      </c>
      <c r="I30" s="159">
        <f t="shared" si="2"/>
        <v>9600</v>
      </c>
      <c r="J30" s="110"/>
    </row>
    <row r="31" spans="2:10">
      <c r="C31" s="96" t="s">
        <v>204</v>
      </c>
      <c r="D31" s="158"/>
      <c r="E31" s="159">
        <v>30000</v>
      </c>
      <c r="F31" s="159">
        <f t="shared" si="2"/>
        <v>30000</v>
      </c>
      <c r="G31" s="159">
        <f t="shared" si="2"/>
        <v>30000</v>
      </c>
      <c r="H31" s="159">
        <f t="shared" si="2"/>
        <v>30000</v>
      </c>
      <c r="I31" s="159">
        <f t="shared" si="2"/>
        <v>30000</v>
      </c>
      <c r="J31" s="110"/>
    </row>
    <row r="32" spans="2:10" ht="15.75" thickBot="1">
      <c r="C32" s="144" t="s">
        <v>205</v>
      </c>
      <c r="D32" s="160"/>
      <c r="E32" s="161">
        <v>3600</v>
      </c>
      <c r="F32" s="161">
        <f t="shared" si="2"/>
        <v>3600</v>
      </c>
      <c r="G32" s="161">
        <f t="shared" si="2"/>
        <v>3600</v>
      </c>
      <c r="H32" s="161">
        <f t="shared" si="2"/>
        <v>3600</v>
      </c>
      <c r="I32" s="161">
        <f t="shared" si="2"/>
        <v>3600</v>
      </c>
      <c r="J32" s="110"/>
    </row>
    <row r="33" spans="3:10" ht="15.75" thickTop="1">
      <c r="C33" s="143" t="s">
        <v>143</v>
      </c>
      <c r="D33" s="162"/>
      <c r="E33" s="157">
        <f>SUM(E27:E32)</f>
        <v>674904</v>
      </c>
      <c r="F33" s="157">
        <f t="shared" ref="F33:I33" si="3">SUM(F27:F32)</f>
        <v>713853</v>
      </c>
      <c r="G33" s="157">
        <f t="shared" si="3"/>
        <v>755918.1</v>
      </c>
      <c r="H33" s="157">
        <f t="shared" si="3"/>
        <v>801348.43</v>
      </c>
      <c r="I33" s="157">
        <f t="shared" si="3"/>
        <v>850413.14</v>
      </c>
      <c r="J33" s="110"/>
    </row>
    <row r="34" spans="3:10">
      <c r="C34" s="96" t="s">
        <v>279</v>
      </c>
      <c r="D34" s="158"/>
      <c r="E34" s="159">
        <v>6166</v>
      </c>
      <c r="F34" s="159">
        <v>5251</v>
      </c>
      <c r="G34" s="159">
        <v>4200</v>
      </c>
      <c r="H34" s="159">
        <v>2990</v>
      </c>
      <c r="I34" s="159">
        <v>1599</v>
      </c>
      <c r="J34" s="110"/>
    </row>
    <row r="35" spans="3:10" ht="15.75" thickBot="1">
      <c r="C35" s="144" t="s">
        <v>206</v>
      </c>
      <c r="D35" s="160"/>
      <c r="E35" s="161">
        <v>12567</v>
      </c>
      <c r="F35" s="161">
        <f t="shared" ref="F35:I35" si="4">+E35</f>
        <v>12567</v>
      </c>
      <c r="G35" s="161">
        <f t="shared" si="4"/>
        <v>12567</v>
      </c>
      <c r="H35" s="161">
        <f t="shared" si="4"/>
        <v>12567</v>
      </c>
      <c r="I35" s="161">
        <f t="shared" si="4"/>
        <v>12567</v>
      </c>
      <c r="J35" s="110"/>
    </row>
    <row r="36" spans="3:10" ht="12.75" customHeight="1" thickTop="1">
      <c r="C36" s="143" t="s">
        <v>280</v>
      </c>
      <c r="D36" s="162"/>
      <c r="E36" s="157">
        <f>E26-E33-E34-E35</f>
        <v>73703</v>
      </c>
      <c r="F36" s="157">
        <f t="shared" ref="F36:I36" si="5">F26-F33-F34-F35</f>
        <v>97056</v>
      </c>
      <c r="G36" s="157">
        <f t="shared" si="5"/>
        <v>122339.90000000002</v>
      </c>
      <c r="H36" s="157">
        <f t="shared" si="5"/>
        <v>149721.99</v>
      </c>
      <c r="I36" s="157">
        <f t="shared" si="5"/>
        <v>179377.86</v>
      </c>
      <c r="J36" s="110"/>
    </row>
    <row r="37" spans="3:10" ht="15.75" thickBot="1">
      <c r="C37" s="145" t="s">
        <v>220</v>
      </c>
      <c r="D37" s="163"/>
      <c r="E37" s="161">
        <f>E36*0.15</f>
        <v>11055.449999999999</v>
      </c>
      <c r="F37" s="161">
        <f t="shared" ref="F37:I37" si="6">F36*0.15</f>
        <v>14558.4</v>
      </c>
      <c r="G37" s="161">
        <f t="shared" si="6"/>
        <v>18350.985000000004</v>
      </c>
      <c r="H37" s="161">
        <f t="shared" si="6"/>
        <v>22458.298499999997</v>
      </c>
      <c r="I37" s="161">
        <f t="shared" si="6"/>
        <v>26906.678999999996</v>
      </c>
      <c r="J37" s="110"/>
    </row>
    <row r="38" spans="3:10" ht="15.75" thickTop="1">
      <c r="C38" s="143" t="s">
        <v>281</v>
      </c>
      <c r="D38" s="162"/>
      <c r="E38" s="157">
        <f>E36-E37</f>
        <v>62647.55</v>
      </c>
      <c r="F38" s="157">
        <f t="shared" ref="F38:I38" si="7">F36-F37</f>
        <v>82497.600000000006</v>
      </c>
      <c r="G38" s="157">
        <f t="shared" si="7"/>
        <v>103988.91500000002</v>
      </c>
      <c r="H38" s="157">
        <f t="shared" si="7"/>
        <v>127263.69149999999</v>
      </c>
      <c r="I38" s="157">
        <f t="shared" si="7"/>
        <v>152471.18099999998</v>
      </c>
      <c r="J38" s="110"/>
    </row>
    <row r="39" spans="3:10" ht="15.75" thickBot="1">
      <c r="C39" s="145" t="s">
        <v>278</v>
      </c>
      <c r="D39" s="163"/>
      <c r="E39" s="161">
        <f>E38*0.23</f>
        <v>14408.936500000002</v>
      </c>
      <c r="F39" s="161">
        <f t="shared" ref="F39:I39" si="8">F38*0.22</f>
        <v>18149.472000000002</v>
      </c>
      <c r="G39" s="161">
        <f t="shared" si="8"/>
        <v>22877.561300000005</v>
      </c>
      <c r="H39" s="161">
        <f t="shared" si="8"/>
        <v>27998.012129999996</v>
      </c>
      <c r="I39" s="161">
        <f t="shared" si="8"/>
        <v>33543.659819999993</v>
      </c>
      <c r="J39" s="110"/>
    </row>
    <row r="40" spans="3:10" ht="16.5" thickTop="1" thickBot="1">
      <c r="C40" s="150" t="s">
        <v>207</v>
      </c>
      <c r="D40" s="164"/>
      <c r="E40" s="165">
        <f>E38-E39</f>
        <v>48238.613499999999</v>
      </c>
      <c r="F40" s="165">
        <f t="shared" ref="F40:I40" si="9">F38-F39</f>
        <v>64348.128000000004</v>
      </c>
      <c r="G40" s="165">
        <f t="shared" si="9"/>
        <v>81111.353700000021</v>
      </c>
      <c r="H40" s="165">
        <f t="shared" si="9"/>
        <v>99265.679369999998</v>
      </c>
      <c r="I40" s="165">
        <f t="shared" si="9"/>
        <v>118927.52117999998</v>
      </c>
      <c r="J40" s="110"/>
    </row>
    <row r="41" spans="3:10" ht="15.75" thickTop="1">
      <c r="C41" s="146" t="s">
        <v>206</v>
      </c>
      <c r="D41" s="156"/>
      <c r="E41" s="157">
        <v>12567</v>
      </c>
      <c r="F41" s="157">
        <f>+E41</f>
        <v>12567</v>
      </c>
      <c r="G41" s="157">
        <f>+F41</f>
        <v>12567</v>
      </c>
      <c r="H41" s="157">
        <f>+G41</f>
        <v>12567</v>
      </c>
      <c r="I41" s="157">
        <f>+H41</f>
        <v>12567</v>
      </c>
      <c r="J41" s="110"/>
    </row>
    <row r="42" spans="3:10">
      <c r="C42" s="96" t="s">
        <v>208</v>
      </c>
      <c r="D42" s="158"/>
      <c r="E42" s="159">
        <f>+E14</f>
        <v>6096.7300000000005</v>
      </c>
      <c r="F42" s="159">
        <f>+E42*1.15</f>
        <v>7011.2394999999997</v>
      </c>
      <c r="G42" s="159">
        <f t="shared" ref="G42:I42" si="10">+F42*1.15</f>
        <v>8062.9254249999994</v>
      </c>
      <c r="H42" s="159">
        <f t="shared" si="10"/>
        <v>9272.3642387499985</v>
      </c>
      <c r="I42" s="159">
        <f t="shared" si="10"/>
        <v>10663.218874562497</v>
      </c>
      <c r="J42" s="110"/>
    </row>
    <row r="43" spans="3:10">
      <c r="C43" s="96" t="s">
        <v>113</v>
      </c>
      <c r="D43" s="159">
        <v>-55000</v>
      </c>
      <c r="E43" s="158"/>
      <c r="F43" s="158"/>
      <c r="G43" s="158"/>
      <c r="H43" s="158"/>
      <c r="I43" s="158"/>
      <c r="J43" s="110"/>
    </row>
    <row r="44" spans="3:10">
      <c r="C44" s="96" t="s">
        <v>209</v>
      </c>
      <c r="D44" s="159">
        <v>-17992.8</v>
      </c>
      <c r="E44" s="158"/>
      <c r="F44" s="158"/>
      <c r="G44" s="158"/>
      <c r="H44" s="158"/>
      <c r="I44" s="159">
        <f>-D44</f>
        <v>17992.8</v>
      </c>
      <c r="J44" s="110"/>
    </row>
    <row r="45" spans="3:10">
      <c r="C45" s="96" t="s">
        <v>210</v>
      </c>
      <c r="D45" s="159">
        <f>F13</f>
        <v>41106.46</v>
      </c>
      <c r="E45" s="158"/>
      <c r="F45" s="158"/>
      <c r="G45" s="158"/>
      <c r="H45" s="158"/>
      <c r="I45" s="158"/>
      <c r="J45" s="110"/>
    </row>
    <row r="46" spans="3:10" ht="15.75" thickBot="1">
      <c r="C46" s="144" t="s">
        <v>165</v>
      </c>
      <c r="D46" s="160"/>
      <c r="E46" s="160"/>
      <c r="F46" s="160"/>
      <c r="G46" s="160"/>
      <c r="H46" s="160"/>
      <c r="I46" s="160">
        <v>9000</v>
      </c>
      <c r="J46" s="110"/>
    </row>
    <row r="47" spans="3:10" ht="16.5" thickTop="1" thickBot="1">
      <c r="C47" s="150" t="s">
        <v>211</v>
      </c>
      <c r="D47" s="166">
        <f>SUM(D43:D46)</f>
        <v>-31886.340000000004</v>
      </c>
      <c r="E47" s="167">
        <f>E40+E41-E42</f>
        <v>54708.883499999996</v>
      </c>
      <c r="F47" s="167">
        <f t="shared" ref="F47:H47" si="11">F40+F41-F42</f>
        <v>69903.888500000001</v>
      </c>
      <c r="G47" s="167">
        <f t="shared" si="11"/>
        <v>85615.428275000027</v>
      </c>
      <c r="H47" s="167">
        <f t="shared" si="11"/>
        <v>102560.31513125</v>
      </c>
      <c r="I47" s="167">
        <f>I40+I41-I42+I44+I46</f>
        <v>147824.10230543747</v>
      </c>
      <c r="J47" s="110"/>
    </row>
    <row r="48" spans="3:10" ht="15.75" thickTop="1">
      <c r="C48" s="298" t="s">
        <v>212</v>
      </c>
      <c r="D48" s="151">
        <f>NPV(I48,E47:I47)+D47</f>
        <v>328737.25968836324</v>
      </c>
      <c r="E48" s="152"/>
      <c r="F48" s="152"/>
      <c r="G48" s="273" t="s">
        <v>283</v>
      </c>
      <c r="H48" s="273"/>
      <c r="I48" s="153">
        <v>7.4499999999999997E-2</v>
      </c>
      <c r="J48" s="110"/>
    </row>
    <row r="49" spans="3:10" ht="15.75" thickBot="1">
      <c r="C49" s="140" t="s">
        <v>219</v>
      </c>
      <c r="D49" s="141">
        <f>IRR(D47:I47)</f>
        <v>1.9523522090775278</v>
      </c>
      <c r="E49" s="110"/>
      <c r="F49" s="110"/>
      <c r="G49" s="110"/>
      <c r="H49" s="110"/>
      <c r="I49" s="110"/>
      <c r="J49" s="110"/>
    </row>
    <row r="50" spans="3:10">
      <c r="C50" s="275" t="s">
        <v>198</v>
      </c>
      <c r="D50" s="275"/>
      <c r="E50" s="275"/>
    </row>
    <row r="51" spans="3:10">
      <c r="C51" s="138" t="s">
        <v>277</v>
      </c>
      <c r="D51" s="138"/>
      <c r="E51" s="139">
        <v>7.4499999999999997E-2</v>
      </c>
    </row>
    <row r="52" spans="3:10">
      <c r="C52" s="276" t="s">
        <v>221</v>
      </c>
      <c r="D52" s="276"/>
      <c r="E52" s="276"/>
    </row>
  </sheetData>
  <mergeCells count="13">
    <mergeCell ref="C2:F2"/>
    <mergeCell ref="C3:D3"/>
    <mergeCell ref="C7:F7"/>
    <mergeCell ref="B11:F11"/>
    <mergeCell ref="B20:F20"/>
    <mergeCell ref="C6:E6"/>
    <mergeCell ref="C4:E4"/>
    <mergeCell ref="C5:E5"/>
    <mergeCell ref="G48:H48"/>
    <mergeCell ref="C10:D10"/>
    <mergeCell ref="C9:E9"/>
    <mergeCell ref="C50:E50"/>
    <mergeCell ref="C52:E52"/>
  </mergeCells>
  <pageMargins left="0.7" right="0.7" top="0.75" bottom="0.75" header="0.3" footer="0.3"/>
  <pageSetup paperSize="9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3:H12"/>
  <sheetViews>
    <sheetView workbookViewId="0">
      <selection activeCell="F11" sqref="F11:G11"/>
    </sheetView>
  </sheetViews>
  <sheetFormatPr baseColWidth="10" defaultRowHeight="15"/>
  <cols>
    <col min="2" max="2" width="20.7109375" customWidth="1"/>
    <col min="4" max="4" width="9" customWidth="1"/>
    <col min="5" max="5" width="11.28515625" customWidth="1"/>
    <col min="7" max="7" width="5.85546875" customWidth="1"/>
  </cols>
  <sheetData>
    <row r="3" spans="2:8">
      <c r="B3" s="282" t="s">
        <v>265</v>
      </c>
      <c r="C3" s="282"/>
      <c r="D3" s="282"/>
      <c r="E3" s="282"/>
      <c r="F3" s="282"/>
      <c r="G3" s="282"/>
    </row>
    <row r="4" spans="2:8">
      <c r="B4" s="282"/>
      <c r="C4" s="282"/>
      <c r="D4" s="282"/>
      <c r="E4" s="282"/>
      <c r="F4" s="282"/>
      <c r="G4" s="282"/>
    </row>
    <row r="5" spans="2:8">
      <c r="B5" s="59" t="s">
        <v>114</v>
      </c>
      <c r="C5" s="59" t="s">
        <v>54</v>
      </c>
      <c r="D5" s="59"/>
      <c r="E5" s="59" t="s">
        <v>45</v>
      </c>
      <c r="F5" s="284" t="s">
        <v>190</v>
      </c>
      <c r="G5" s="285"/>
      <c r="H5" s="40"/>
    </row>
    <row r="6" spans="2:8">
      <c r="B6" s="52" t="s">
        <v>115</v>
      </c>
      <c r="C6" s="283">
        <v>30000</v>
      </c>
      <c r="D6" s="283"/>
      <c r="E6" s="73">
        <v>1</v>
      </c>
      <c r="F6" s="221">
        <f>C6*E6</f>
        <v>30000</v>
      </c>
      <c r="G6" s="221"/>
    </row>
    <row r="7" spans="2:8">
      <c r="B7" s="52" t="s">
        <v>116</v>
      </c>
      <c r="C7" s="283">
        <v>3000</v>
      </c>
      <c r="D7" s="283"/>
      <c r="E7" s="73">
        <v>5</v>
      </c>
      <c r="F7" s="221">
        <f t="shared" ref="F7:F8" si="0">C7*E7</f>
        <v>15000</v>
      </c>
      <c r="G7" s="221"/>
    </row>
    <row r="8" spans="2:8">
      <c r="B8" s="52" t="s">
        <v>117</v>
      </c>
      <c r="C8" s="283">
        <v>500</v>
      </c>
      <c r="D8" s="283"/>
      <c r="E8" s="73">
        <v>2</v>
      </c>
      <c r="F8" s="221">
        <f t="shared" si="0"/>
        <v>1000</v>
      </c>
      <c r="G8" s="221"/>
    </row>
    <row r="9" spans="2:8">
      <c r="B9" s="52" t="s">
        <v>191</v>
      </c>
      <c r="C9" s="283">
        <v>5000</v>
      </c>
      <c r="D9" s="283"/>
      <c r="E9" s="73"/>
      <c r="F9" s="221">
        <f>C9</f>
        <v>5000</v>
      </c>
      <c r="G9" s="221"/>
    </row>
    <row r="10" spans="2:8">
      <c r="B10" s="52" t="s">
        <v>192</v>
      </c>
      <c r="C10" s="283">
        <v>4000</v>
      </c>
      <c r="D10" s="283"/>
      <c r="E10" s="73"/>
      <c r="F10" s="221">
        <f>C10</f>
        <v>4000</v>
      </c>
      <c r="G10" s="221"/>
    </row>
    <row r="11" spans="2:8">
      <c r="B11" s="168" t="s">
        <v>193</v>
      </c>
      <c r="C11" s="168"/>
      <c r="D11" s="168"/>
      <c r="E11" s="168"/>
      <c r="F11" s="281">
        <f>SUM(F6:G10)</f>
        <v>55000</v>
      </c>
      <c r="G11" s="281"/>
    </row>
    <row r="12" spans="2:8">
      <c r="B12" s="3"/>
      <c r="C12" s="3" t="s">
        <v>221</v>
      </c>
      <c r="D12" s="3"/>
      <c r="E12" s="3"/>
      <c r="F12" s="3"/>
      <c r="G12" s="3"/>
    </row>
  </sheetData>
  <mergeCells count="14">
    <mergeCell ref="B11:E11"/>
    <mergeCell ref="F11:G11"/>
    <mergeCell ref="B3:G4"/>
    <mergeCell ref="C6:D6"/>
    <mergeCell ref="C7:D7"/>
    <mergeCell ref="C8:D8"/>
    <mergeCell ref="C9:D9"/>
    <mergeCell ref="C10:D10"/>
    <mergeCell ref="F6:G6"/>
    <mergeCell ref="F7:G7"/>
    <mergeCell ref="F8:G8"/>
    <mergeCell ref="F9:G9"/>
    <mergeCell ref="F10:G10"/>
    <mergeCell ref="F5:G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C4:K20"/>
  <sheetViews>
    <sheetView workbookViewId="0">
      <selection activeCell="H17" sqref="H17"/>
    </sheetView>
  </sheetViews>
  <sheetFormatPr baseColWidth="10" defaultRowHeight="15"/>
  <cols>
    <col min="3" max="3" width="22" customWidth="1"/>
    <col min="4" max="4" width="8.85546875" customWidth="1"/>
    <col min="5" max="5" width="10.28515625" customWidth="1"/>
    <col min="6" max="6" width="8.85546875" customWidth="1"/>
    <col min="10" max="10" width="12.140625" customWidth="1"/>
    <col min="11" max="11" width="14" customWidth="1"/>
  </cols>
  <sheetData>
    <row r="4" spans="3:11" ht="15.75" thickBot="1"/>
    <row r="5" spans="3:11" ht="15.75" thickBot="1">
      <c r="C5" s="286" t="s">
        <v>225</v>
      </c>
      <c r="D5" s="287"/>
      <c r="E5" s="287"/>
      <c r="F5" s="288"/>
      <c r="H5" s="292" t="s">
        <v>244</v>
      </c>
      <c r="I5" s="293"/>
      <c r="J5" s="293"/>
      <c r="K5" s="294"/>
    </row>
    <row r="6" spans="3:11" ht="24.75" thickBot="1">
      <c r="C6" s="62" t="s">
        <v>226</v>
      </c>
      <c r="D6" s="63" t="s">
        <v>45</v>
      </c>
      <c r="E6" s="63" t="s">
        <v>227</v>
      </c>
      <c r="F6" s="63" t="s">
        <v>228</v>
      </c>
      <c r="H6" s="79" t="s">
        <v>226</v>
      </c>
      <c r="I6" s="80" t="s">
        <v>245</v>
      </c>
      <c r="J6" s="80" t="s">
        <v>246</v>
      </c>
      <c r="K6" s="80" t="s">
        <v>247</v>
      </c>
    </row>
    <row r="7" spans="3:11" ht="15.75" thickBot="1">
      <c r="C7" s="64" t="s">
        <v>229</v>
      </c>
      <c r="D7" s="65">
        <v>1</v>
      </c>
      <c r="E7" s="66">
        <v>500</v>
      </c>
      <c r="F7" s="66">
        <v>500</v>
      </c>
      <c r="H7" s="81" t="s">
        <v>248</v>
      </c>
      <c r="I7" s="82" t="s">
        <v>249</v>
      </c>
      <c r="J7" s="83">
        <v>200</v>
      </c>
      <c r="K7" s="83">
        <v>40000</v>
      </c>
    </row>
    <row r="8" spans="3:11" ht="15.75" thickBot="1">
      <c r="C8" s="64" t="s">
        <v>230</v>
      </c>
      <c r="D8" s="65">
        <v>2</v>
      </c>
      <c r="E8" s="66">
        <v>450</v>
      </c>
      <c r="F8" s="66">
        <v>900</v>
      </c>
      <c r="H8" s="81" t="s">
        <v>250</v>
      </c>
      <c r="I8" s="82" t="s">
        <v>251</v>
      </c>
      <c r="J8" s="83">
        <v>200</v>
      </c>
      <c r="K8" s="83">
        <v>80000</v>
      </c>
    </row>
    <row r="9" spans="3:11" ht="15.75" thickBot="1">
      <c r="C9" s="64" t="s">
        <v>231</v>
      </c>
      <c r="D9" s="65">
        <v>1</v>
      </c>
      <c r="E9" s="66">
        <v>300</v>
      </c>
      <c r="F9" s="66">
        <v>300</v>
      </c>
      <c r="H9" s="81" t="s">
        <v>252</v>
      </c>
      <c r="I9" s="82" t="s">
        <v>253</v>
      </c>
      <c r="J9" s="83">
        <v>200</v>
      </c>
      <c r="K9" s="83">
        <v>120000</v>
      </c>
    </row>
    <row r="10" spans="3:11" ht="15.75" thickBot="1">
      <c r="C10" s="64" t="s">
        <v>232</v>
      </c>
      <c r="D10" s="65">
        <v>1</v>
      </c>
      <c r="E10" s="66">
        <v>380</v>
      </c>
      <c r="F10" s="66">
        <v>380</v>
      </c>
      <c r="H10" s="81" t="s">
        <v>254</v>
      </c>
      <c r="I10" s="82" t="s">
        <v>255</v>
      </c>
      <c r="J10" s="83">
        <v>350</v>
      </c>
      <c r="K10" s="83">
        <v>35000</v>
      </c>
    </row>
    <row r="11" spans="3:11" ht="15.75" thickBot="1">
      <c r="C11" s="64" t="s">
        <v>233</v>
      </c>
      <c r="D11" s="65">
        <v>1</v>
      </c>
      <c r="E11" s="66">
        <v>400</v>
      </c>
      <c r="F11" s="66">
        <v>400</v>
      </c>
      <c r="H11" s="81" t="s">
        <v>256</v>
      </c>
      <c r="I11" s="82" t="s">
        <v>257</v>
      </c>
      <c r="J11" s="83">
        <v>300</v>
      </c>
      <c r="K11" s="83">
        <v>600</v>
      </c>
    </row>
    <row r="12" spans="3:11" ht="15.75" thickBot="1">
      <c r="C12" s="64" t="s">
        <v>234</v>
      </c>
      <c r="D12" s="65">
        <v>1</v>
      </c>
      <c r="E12" s="66">
        <v>400</v>
      </c>
      <c r="F12" s="66">
        <v>400</v>
      </c>
      <c r="H12" s="295" t="s">
        <v>148</v>
      </c>
      <c r="I12" s="296"/>
      <c r="J12" s="84">
        <v>1250</v>
      </c>
      <c r="K12" s="84">
        <v>275600</v>
      </c>
    </row>
    <row r="13" spans="3:11" ht="15.75" thickBot="1">
      <c r="C13" s="64" t="s">
        <v>235</v>
      </c>
      <c r="D13" s="65">
        <v>1</v>
      </c>
      <c r="E13" s="66">
        <v>380</v>
      </c>
      <c r="F13" s="66">
        <v>380</v>
      </c>
      <c r="H13" s="297" t="s">
        <v>221</v>
      </c>
      <c r="I13" s="297"/>
      <c r="J13" s="297"/>
      <c r="K13" s="297"/>
    </row>
    <row r="14" spans="3:11" ht="15.75" thickBot="1">
      <c r="C14" s="64" t="s">
        <v>236</v>
      </c>
      <c r="D14" s="65">
        <v>8</v>
      </c>
      <c r="E14" s="66">
        <v>20</v>
      </c>
      <c r="F14" s="66">
        <v>160</v>
      </c>
    </row>
    <row r="15" spans="3:11" ht="15.75" thickBot="1">
      <c r="C15" s="64" t="s">
        <v>237</v>
      </c>
      <c r="D15" s="65">
        <v>1</v>
      </c>
      <c r="E15" s="66">
        <v>750</v>
      </c>
      <c r="F15" s="66">
        <v>750</v>
      </c>
    </row>
    <row r="16" spans="3:11" ht="15.75" thickBot="1">
      <c r="C16" s="64" t="s">
        <v>238</v>
      </c>
      <c r="D16" s="65">
        <v>2</v>
      </c>
      <c r="E16" s="66">
        <v>150</v>
      </c>
      <c r="F16" s="66">
        <v>300</v>
      </c>
    </row>
    <row r="17" spans="3:6" ht="15.75" thickBot="1">
      <c r="C17" s="64" t="s">
        <v>239</v>
      </c>
      <c r="D17" s="65">
        <v>2</v>
      </c>
      <c r="E17" s="66">
        <v>350</v>
      </c>
      <c r="F17" s="66">
        <v>700</v>
      </c>
    </row>
    <row r="18" spans="3:6" ht="15.75" thickBot="1">
      <c r="C18" s="67" t="s">
        <v>240</v>
      </c>
      <c r="D18" s="68">
        <v>2</v>
      </c>
      <c r="E18" s="69">
        <v>300</v>
      </c>
      <c r="F18" s="69">
        <v>600</v>
      </c>
    </row>
    <row r="19" spans="3:6" ht="15.75" thickBot="1">
      <c r="C19" s="289" t="s">
        <v>5</v>
      </c>
      <c r="D19" s="290"/>
      <c r="E19" s="291"/>
      <c r="F19" s="70">
        <v>5770</v>
      </c>
    </row>
    <row r="20" spans="3:6">
      <c r="C20" s="61" t="s">
        <v>221</v>
      </c>
      <c r="D20" s="36"/>
      <c r="E20" s="36"/>
      <c r="F20" s="36"/>
    </row>
  </sheetData>
  <mergeCells count="5">
    <mergeCell ref="C5:F5"/>
    <mergeCell ref="C19:E19"/>
    <mergeCell ref="H5:K5"/>
    <mergeCell ref="H12:I12"/>
    <mergeCell ref="H13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2:D12"/>
  <sheetViews>
    <sheetView workbookViewId="0">
      <selection activeCell="F14" sqref="F14"/>
    </sheetView>
  </sheetViews>
  <sheetFormatPr baseColWidth="10" defaultRowHeight="15"/>
  <cols>
    <col min="3" max="3" width="57.5703125" customWidth="1"/>
    <col min="4" max="4" width="10.28515625" customWidth="1"/>
  </cols>
  <sheetData>
    <row r="2" spans="3:4">
      <c r="C2" s="168" t="s">
        <v>223</v>
      </c>
      <c r="D2" s="168"/>
    </row>
    <row r="3" spans="3:4">
      <c r="C3" s="52" t="s">
        <v>7</v>
      </c>
      <c r="D3" s="53">
        <v>51930</v>
      </c>
    </row>
    <row r="4" spans="3:4">
      <c r="C4" s="52" t="s">
        <v>8</v>
      </c>
      <c r="D4" s="54">
        <v>0.3</v>
      </c>
    </row>
    <row r="5" spans="3:4">
      <c r="C5" s="52" t="s">
        <v>9</v>
      </c>
      <c r="D5" s="53">
        <v>3000000</v>
      </c>
    </row>
    <row r="6" spans="3:4">
      <c r="C6" s="52" t="s">
        <v>10</v>
      </c>
      <c r="D6" s="53">
        <v>14000000</v>
      </c>
    </row>
    <row r="7" spans="3:4">
      <c r="C7" s="52" t="s">
        <v>11</v>
      </c>
      <c r="D7" s="53" t="s">
        <v>24</v>
      </c>
    </row>
    <row r="8" spans="3:4">
      <c r="C8" s="52" t="s">
        <v>12</v>
      </c>
      <c r="D8" s="53">
        <v>9640</v>
      </c>
    </row>
    <row r="9" spans="3:4">
      <c r="C9" s="52" t="s">
        <v>13</v>
      </c>
      <c r="D9" s="53">
        <v>1639</v>
      </c>
    </row>
    <row r="10" spans="3:4" ht="24">
      <c r="C10" s="55" t="s">
        <v>14</v>
      </c>
      <c r="D10" s="54">
        <v>0.15</v>
      </c>
    </row>
    <row r="11" spans="3:4">
      <c r="C11" s="52" t="s">
        <v>15</v>
      </c>
      <c r="D11" s="53">
        <v>450000</v>
      </c>
    </row>
    <row r="12" spans="3:4">
      <c r="C12" s="56" t="s">
        <v>16</v>
      </c>
      <c r="D12" s="57"/>
    </row>
  </sheetData>
  <mergeCells count="1"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2:G14"/>
  <sheetViews>
    <sheetView workbookViewId="0">
      <selection activeCell="J12" sqref="J12"/>
    </sheetView>
  </sheetViews>
  <sheetFormatPr baseColWidth="10" defaultRowHeight="15"/>
  <cols>
    <col min="3" max="3" width="8.140625" customWidth="1"/>
    <col min="4" max="4" width="11.140625" customWidth="1"/>
    <col min="5" max="5" width="11.7109375" customWidth="1"/>
    <col min="6" max="6" width="18.42578125" customWidth="1"/>
    <col min="7" max="7" width="14.5703125" customWidth="1"/>
  </cols>
  <sheetData>
    <row r="2" spans="3:7">
      <c r="C2" s="169" t="s">
        <v>224</v>
      </c>
      <c r="D2" s="169"/>
      <c r="E2" s="169"/>
      <c r="F2" s="169"/>
      <c r="G2" s="169"/>
    </row>
    <row r="3" spans="3:7" ht="36">
      <c r="C3" s="58" t="s">
        <v>17</v>
      </c>
      <c r="D3" s="58" t="s">
        <v>18</v>
      </c>
      <c r="E3" s="58" t="s">
        <v>19</v>
      </c>
      <c r="F3" s="58" t="s">
        <v>20</v>
      </c>
      <c r="G3" s="58" t="s">
        <v>21</v>
      </c>
    </row>
    <row r="4" spans="3:7">
      <c r="C4" s="59">
        <v>2013</v>
      </c>
      <c r="D4" s="60">
        <v>450000</v>
      </c>
      <c r="E4" s="60">
        <f>+D4*0.35</f>
        <v>157500</v>
      </c>
      <c r="F4" s="60">
        <f>+E4*0.7</f>
        <v>110250</v>
      </c>
      <c r="G4" s="60">
        <f>+F4*12</f>
        <v>1323000</v>
      </c>
    </row>
    <row r="5" spans="3:7">
      <c r="C5" s="59">
        <v>2014</v>
      </c>
      <c r="D5" s="60">
        <f>D4*(1.08)</f>
        <v>486000.00000000006</v>
      </c>
      <c r="E5" s="60">
        <f t="shared" ref="E5:E8" si="0">+D5*0.35</f>
        <v>170100</v>
      </c>
      <c r="F5" s="60">
        <f t="shared" ref="F5:F6" si="1">+E5*0.7</f>
        <v>119069.99999999999</v>
      </c>
      <c r="G5" s="60">
        <f t="shared" ref="G5:G6" si="2">+F5*12</f>
        <v>1428839.9999999998</v>
      </c>
    </row>
    <row r="6" spans="3:7">
      <c r="C6" s="59">
        <v>2015</v>
      </c>
      <c r="D6" s="60">
        <f t="shared" ref="D6:D8" si="3">D5*(1.08)</f>
        <v>524880.00000000012</v>
      </c>
      <c r="E6" s="60">
        <f t="shared" si="0"/>
        <v>183708.00000000003</v>
      </c>
      <c r="F6" s="60">
        <f t="shared" si="1"/>
        <v>128595.6</v>
      </c>
      <c r="G6" s="60">
        <f t="shared" si="2"/>
        <v>1543147.2000000002</v>
      </c>
    </row>
    <row r="7" spans="3:7">
      <c r="C7" s="59">
        <v>2016</v>
      </c>
      <c r="D7" s="60">
        <f t="shared" si="3"/>
        <v>566870.40000000014</v>
      </c>
      <c r="E7" s="60">
        <f t="shared" si="0"/>
        <v>198404.64000000004</v>
      </c>
      <c r="F7" s="60">
        <f>+E7*0.7</f>
        <v>138883.24800000002</v>
      </c>
      <c r="G7" s="60">
        <f>+F7*12</f>
        <v>1666598.9760000003</v>
      </c>
    </row>
    <row r="8" spans="3:7">
      <c r="C8" s="59">
        <v>2017</v>
      </c>
      <c r="D8" s="60">
        <f t="shared" si="3"/>
        <v>612220.03200000024</v>
      </c>
      <c r="E8" s="60">
        <f t="shared" si="0"/>
        <v>214277.01120000007</v>
      </c>
      <c r="F8" s="60">
        <f>+E8*0.7</f>
        <v>149993.90784000003</v>
      </c>
      <c r="G8" s="60">
        <f>+F8*12</f>
        <v>1799926.8940800005</v>
      </c>
    </row>
    <row r="10" spans="3:7" ht="15.75">
      <c r="C10" s="1" t="s">
        <v>22</v>
      </c>
      <c r="D10" s="1"/>
      <c r="E10" s="1"/>
      <c r="F10" s="1"/>
    </row>
    <row r="11" spans="3:7" ht="15.75">
      <c r="C11" s="1" t="s">
        <v>25</v>
      </c>
      <c r="D11" s="1"/>
      <c r="E11" s="1"/>
      <c r="F11" s="1"/>
    </row>
    <row r="12" spans="3:7" ht="15.75">
      <c r="C12" s="1" t="s">
        <v>26</v>
      </c>
      <c r="D12" s="1"/>
      <c r="E12" s="1"/>
      <c r="F12" s="1"/>
    </row>
    <row r="13" spans="3:7" ht="15.75">
      <c r="C13" s="1" t="s">
        <v>23</v>
      </c>
      <c r="D13" s="1"/>
      <c r="E13" s="1"/>
      <c r="F13" s="1"/>
    </row>
    <row r="14" spans="3:7" ht="15.75">
      <c r="C14" s="6" t="s">
        <v>27</v>
      </c>
      <c r="D14" s="1"/>
      <c r="E14" s="1"/>
      <c r="F14" s="1"/>
    </row>
  </sheetData>
  <mergeCells count="1">
    <mergeCell ref="C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1:E9"/>
  <sheetViews>
    <sheetView workbookViewId="0">
      <selection activeCell="C2" sqref="C2:E3"/>
    </sheetView>
  </sheetViews>
  <sheetFormatPr baseColWidth="10" defaultRowHeight="15"/>
  <cols>
    <col min="5" max="5" width="15.28515625" customWidth="1"/>
  </cols>
  <sheetData>
    <row r="1" spans="3:5" ht="15.75" thickBot="1"/>
    <row r="2" spans="3:5" ht="15.75" thickBot="1">
      <c r="C2" s="172" t="s">
        <v>29</v>
      </c>
      <c r="D2" s="173"/>
      <c r="E2" s="174"/>
    </row>
    <row r="3" spans="3:5" ht="15.75" thickBot="1">
      <c r="C3" s="46" t="s">
        <v>28</v>
      </c>
      <c r="D3" s="47"/>
      <c r="E3" s="48" t="s">
        <v>30</v>
      </c>
    </row>
    <row r="4" spans="3:5">
      <c r="C4" s="175" t="s">
        <v>31</v>
      </c>
      <c r="D4" s="176"/>
      <c r="E4" s="9">
        <v>1.25</v>
      </c>
    </row>
    <row r="5" spans="3:5">
      <c r="C5" s="177" t="s">
        <v>32</v>
      </c>
      <c r="D5" s="178"/>
      <c r="E5" s="10">
        <v>1.85</v>
      </c>
    </row>
    <row r="6" spans="3:5">
      <c r="C6" s="177" t="s">
        <v>33</v>
      </c>
      <c r="D6" s="178"/>
      <c r="E6" s="10">
        <v>0.9</v>
      </c>
    </row>
    <row r="7" spans="3:5">
      <c r="C7" s="177" t="s">
        <v>34</v>
      </c>
      <c r="D7" s="178"/>
      <c r="E7" s="10">
        <v>1</v>
      </c>
    </row>
    <row r="8" spans="3:5">
      <c r="C8" s="177" t="s">
        <v>35</v>
      </c>
      <c r="D8" s="178"/>
      <c r="E8" s="10">
        <v>1.25</v>
      </c>
    </row>
    <row r="9" spans="3:5" ht="15.75" thickBot="1">
      <c r="C9" s="170" t="s">
        <v>36</v>
      </c>
      <c r="D9" s="171"/>
      <c r="E9" s="11">
        <v>0.95</v>
      </c>
    </row>
  </sheetData>
  <mergeCells count="7">
    <mergeCell ref="C9:D9"/>
    <mergeCell ref="C2:E2"/>
    <mergeCell ref="C4:D4"/>
    <mergeCell ref="C5:D5"/>
    <mergeCell ref="C6:D6"/>
    <mergeCell ref="C7:D7"/>
    <mergeCell ref="C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E11"/>
  <sheetViews>
    <sheetView workbookViewId="0">
      <selection activeCell="G15" sqref="G15"/>
    </sheetView>
  </sheetViews>
  <sheetFormatPr baseColWidth="10" defaultRowHeight="15"/>
  <cols>
    <col min="4" max="4" width="10.42578125" customWidth="1"/>
    <col min="5" max="5" width="16" customWidth="1"/>
  </cols>
  <sheetData>
    <row r="3" spans="2:5">
      <c r="B3" s="169" t="s">
        <v>258</v>
      </c>
      <c r="C3" s="169"/>
      <c r="D3" s="169"/>
      <c r="E3" s="169"/>
    </row>
    <row r="4" spans="2:5">
      <c r="B4" s="168" t="s">
        <v>42</v>
      </c>
      <c r="C4" s="168"/>
      <c r="D4" s="77" t="s">
        <v>43</v>
      </c>
      <c r="E4" s="77" t="s">
        <v>45</v>
      </c>
    </row>
    <row r="5" spans="2:5">
      <c r="B5" s="182" t="s">
        <v>37</v>
      </c>
      <c r="C5" s="182"/>
      <c r="D5" s="73">
        <v>0.95</v>
      </c>
      <c r="E5" s="73" t="s">
        <v>46</v>
      </c>
    </row>
    <row r="6" spans="2:5">
      <c r="B6" s="182" t="s">
        <v>38</v>
      </c>
      <c r="C6" s="182"/>
      <c r="D6" s="73">
        <v>0.19</v>
      </c>
      <c r="E6" s="73" t="s">
        <v>47</v>
      </c>
    </row>
    <row r="7" spans="2:5">
      <c r="B7" s="182" t="s">
        <v>39</v>
      </c>
      <c r="C7" s="182"/>
      <c r="D7" s="73">
        <v>30</v>
      </c>
      <c r="E7" s="73" t="s">
        <v>48</v>
      </c>
    </row>
    <row r="8" spans="2:5">
      <c r="B8" s="182" t="s">
        <v>40</v>
      </c>
      <c r="C8" s="182"/>
      <c r="D8" s="73">
        <v>0.65</v>
      </c>
      <c r="E8" s="73" t="s">
        <v>49</v>
      </c>
    </row>
    <row r="9" spans="2:5">
      <c r="B9" s="181" t="s">
        <v>41</v>
      </c>
      <c r="C9" s="181"/>
      <c r="D9" s="85">
        <v>7.4999999999999997E-2</v>
      </c>
      <c r="E9" s="85" t="s">
        <v>50</v>
      </c>
    </row>
    <row r="10" spans="2:5">
      <c r="B10" s="181" t="s">
        <v>44</v>
      </c>
      <c r="C10" s="181"/>
      <c r="D10" s="85">
        <v>0.03</v>
      </c>
      <c r="E10" s="85" t="s">
        <v>51</v>
      </c>
    </row>
    <row r="11" spans="2:5">
      <c r="B11" s="179" t="s">
        <v>221</v>
      </c>
      <c r="C11" s="180"/>
      <c r="D11" s="180"/>
      <c r="E11" s="180"/>
    </row>
  </sheetData>
  <mergeCells count="9">
    <mergeCell ref="B3:E3"/>
    <mergeCell ref="B11:E11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H13"/>
  <sheetViews>
    <sheetView workbookViewId="0">
      <selection activeCell="H8" sqref="H8"/>
    </sheetView>
  </sheetViews>
  <sheetFormatPr baseColWidth="10" defaultRowHeight="15"/>
  <cols>
    <col min="3" max="3" width="33.140625" customWidth="1"/>
  </cols>
  <sheetData>
    <row r="1" spans="2:8" ht="15.75" thickBot="1"/>
    <row r="2" spans="2:8" ht="15.75" thickBot="1">
      <c r="B2" s="185" t="s">
        <v>52</v>
      </c>
      <c r="C2" s="186"/>
      <c r="D2" s="186"/>
      <c r="E2" s="186"/>
      <c r="F2" s="186"/>
      <c r="G2" s="186"/>
      <c r="H2" s="187"/>
    </row>
    <row r="3" spans="2:8" ht="15.75" thickBot="1">
      <c r="B3" s="175" t="s">
        <v>53</v>
      </c>
      <c r="C3" s="176"/>
      <c r="D3" s="175" t="s">
        <v>45</v>
      </c>
      <c r="E3" s="176"/>
      <c r="F3" s="175" t="s">
        <v>54</v>
      </c>
      <c r="G3" s="176"/>
      <c r="H3" s="9" t="s">
        <v>55</v>
      </c>
    </row>
    <row r="4" spans="2:8">
      <c r="B4" s="188" t="s">
        <v>37</v>
      </c>
      <c r="C4" s="189"/>
      <c r="D4" s="20">
        <v>500</v>
      </c>
      <c r="E4" s="15" t="s">
        <v>62</v>
      </c>
      <c r="F4" s="12">
        <v>9.0000000000000006E-5</v>
      </c>
      <c r="G4" s="15" t="s">
        <v>49</v>
      </c>
      <c r="H4" s="18">
        <f>500*0.0006</f>
        <v>0.3</v>
      </c>
    </row>
    <row r="5" spans="2:8">
      <c r="B5" s="190" t="s">
        <v>38</v>
      </c>
      <c r="C5" s="191"/>
      <c r="D5" s="21">
        <v>0.5</v>
      </c>
      <c r="E5" s="16" t="s">
        <v>63</v>
      </c>
      <c r="F5" s="13">
        <v>1.9000000000000001E-4</v>
      </c>
      <c r="G5" s="16" t="s">
        <v>65</v>
      </c>
      <c r="H5" s="19">
        <v>0</v>
      </c>
    </row>
    <row r="6" spans="2:8">
      <c r="B6" s="190" t="s">
        <v>39</v>
      </c>
      <c r="C6" s="191"/>
      <c r="D6" s="21">
        <v>10</v>
      </c>
      <c r="E6" s="16" t="s">
        <v>62</v>
      </c>
      <c r="F6" s="13">
        <v>5.1E-5</v>
      </c>
      <c r="G6" s="16" t="s">
        <v>49</v>
      </c>
      <c r="H6" s="19">
        <v>0</v>
      </c>
    </row>
    <row r="7" spans="2:8" ht="15.75" thickBot="1">
      <c r="B7" s="190" t="s">
        <v>40</v>
      </c>
      <c r="C7" s="191"/>
      <c r="D7" s="22">
        <v>500</v>
      </c>
      <c r="E7" s="17" t="s">
        <v>64</v>
      </c>
      <c r="F7" s="14">
        <v>6.9999999999999999E-4</v>
      </c>
      <c r="G7" s="17" t="s">
        <v>66</v>
      </c>
      <c r="H7" s="19">
        <f>500*0.0006</f>
        <v>0.3</v>
      </c>
    </row>
    <row r="8" spans="2:8">
      <c r="B8" s="190" t="s">
        <v>56</v>
      </c>
      <c r="C8" s="191"/>
      <c r="H8" s="19">
        <f>H4+H7</f>
        <v>0.6</v>
      </c>
    </row>
    <row r="9" spans="2:8">
      <c r="B9" s="190" t="s">
        <v>59</v>
      </c>
      <c r="C9" s="191"/>
      <c r="H9" s="19">
        <f>H8*0.25</f>
        <v>0.15</v>
      </c>
    </row>
    <row r="10" spans="2:8">
      <c r="B10" s="190" t="s">
        <v>57</v>
      </c>
      <c r="C10" s="191"/>
      <c r="H10" s="19">
        <v>7.4999999999999997E-2</v>
      </c>
    </row>
    <row r="11" spans="2:8">
      <c r="B11" s="190" t="s">
        <v>58</v>
      </c>
      <c r="C11" s="191"/>
      <c r="H11" s="19">
        <v>0.03</v>
      </c>
    </row>
    <row r="12" spans="2:8">
      <c r="B12" s="192" t="s">
        <v>60</v>
      </c>
      <c r="C12" s="193"/>
      <c r="H12" s="23">
        <v>0.65</v>
      </c>
    </row>
    <row r="13" spans="2:8" ht="15.75" thickBot="1">
      <c r="B13" s="183" t="s">
        <v>61</v>
      </c>
      <c r="C13" s="184"/>
      <c r="H13" s="24">
        <v>0.18</v>
      </c>
    </row>
  </sheetData>
  <mergeCells count="14">
    <mergeCell ref="B13:C13"/>
    <mergeCell ref="D3:E3"/>
    <mergeCell ref="B2:H2"/>
    <mergeCell ref="B4:C4"/>
    <mergeCell ref="B5:C5"/>
    <mergeCell ref="B6:C6"/>
    <mergeCell ref="B7:C7"/>
    <mergeCell ref="B3:C3"/>
    <mergeCell ref="F3:G3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J89"/>
  <sheetViews>
    <sheetView workbookViewId="0">
      <selection activeCell="L90" sqref="L90"/>
    </sheetView>
  </sheetViews>
  <sheetFormatPr baseColWidth="10" defaultRowHeight="15"/>
  <cols>
    <col min="2" max="2" width="10.5703125" customWidth="1"/>
    <col min="3" max="3" width="6" customWidth="1"/>
    <col min="4" max="4" width="11.28515625" customWidth="1"/>
    <col min="5" max="5" width="12" bestFit="1" customWidth="1"/>
    <col min="6" max="6" width="2.5703125" customWidth="1"/>
    <col min="7" max="7" width="8.28515625" customWidth="1"/>
    <col min="8" max="9" width="7" customWidth="1"/>
    <col min="10" max="10" width="11" customWidth="1"/>
  </cols>
  <sheetData>
    <row r="3" spans="2:10" ht="12.75" customHeight="1">
      <c r="B3" s="201" t="s">
        <v>262</v>
      </c>
      <c r="C3" s="201"/>
      <c r="D3" s="201"/>
      <c r="E3" s="201"/>
      <c r="F3" s="201"/>
      <c r="G3" s="201"/>
      <c r="H3" s="201"/>
      <c r="I3" s="201"/>
      <c r="J3" s="201"/>
    </row>
    <row r="4" spans="2:10" ht="14.25" customHeight="1">
      <c r="B4" s="202" t="s">
        <v>67</v>
      </c>
      <c r="C4" s="202" t="s">
        <v>68</v>
      </c>
      <c r="D4" s="202" t="s">
        <v>69</v>
      </c>
      <c r="E4" s="202"/>
      <c r="F4" s="202"/>
      <c r="G4" s="101" t="s">
        <v>72</v>
      </c>
      <c r="H4" s="202" t="s">
        <v>74</v>
      </c>
      <c r="I4" s="202"/>
      <c r="J4" s="101" t="s">
        <v>74</v>
      </c>
    </row>
    <row r="5" spans="2:10" ht="12.75" customHeight="1">
      <c r="B5" s="202"/>
      <c r="C5" s="202"/>
      <c r="D5" s="102">
        <v>0.6</v>
      </c>
      <c r="E5" s="212">
        <v>0.4</v>
      </c>
      <c r="F5" s="212"/>
      <c r="G5" s="101" t="s">
        <v>73</v>
      </c>
      <c r="H5" s="101" t="s">
        <v>70</v>
      </c>
      <c r="I5" s="101" t="s">
        <v>71</v>
      </c>
      <c r="J5" s="202" t="s">
        <v>75</v>
      </c>
    </row>
    <row r="6" spans="2:10" ht="9.75" customHeight="1">
      <c r="B6" s="202"/>
      <c r="C6" s="202"/>
      <c r="D6" s="101" t="s">
        <v>70</v>
      </c>
      <c r="E6" s="202" t="s">
        <v>71</v>
      </c>
      <c r="F6" s="202"/>
      <c r="G6" s="101">
        <v>2017</v>
      </c>
      <c r="H6" s="101">
        <v>0.18</v>
      </c>
      <c r="I6" s="101">
        <v>0.65</v>
      </c>
      <c r="J6" s="202"/>
    </row>
    <row r="7" spans="2:10" hidden="1">
      <c r="B7" s="96" t="s">
        <v>76</v>
      </c>
      <c r="C7" s="96">
        <v>1</v>
      </c>
      <c r="D7" s="37">
        <f>(1323000*G7)*0.6</f>
        <v>79380</v>
      </c>
      <c r="E7" s="194">
        <f>(1323000*G7)*0.4</f>
        <v>52920</v>
      </c>
      <c r="F7" s="194"/>
      <c r="G7" s="37">
        <f>10%</f>
        <v>0.1</v>
      </c>
      <c r="H7" s="100">
        <f>D7*0.18</f>
        <v>14288.4</v>
      </c>
      <c r="I7" s="100">
        <f>E7*0.65</f>
        <v>34398</v>
      </c>
      <c r="J7" s="98">
        <f>H7+I7</f>
        <v>48686.400000000001</v>
      </c>
    </row>
    <row r="8" spans="2:10" hidden="1">
      <c r="B8" s="96" t="s">
        <v>77</v>
      </c>
      <c r="C8" s="96">
        <v>2</v>
      </c>
      <c r="D8" s="37">
        <f t="shared" ref="D8:D18" si="0">(1323000*G8)*$D$5</f>
        <v>79380</v>
      </c>
      <c r="E8" s="194">
        <f t="shared" ref="E8:E18" si="1">(1323000*G8)*$E$5</f>
        <v>52920</v>
      </c>
      <c r="F8" s="194"/>
      <c r="G8" s="37">
        <v>0.1</v>
      </c>
      <c r="H8" s="100">
        <f t="shared" ref="H8:H19" si="2">D8*0.18</f>
        <v>14288.4</v>
      </c>
      <c r="I8" s="100">
        <f t="shared" ref="I8:I19" si="3">E8*0.65</f>
        <v>34398</v>
      </c>
      <c r="J8" s="98">
        <f t="shared" ref="J8:J19" si="4">H8+I8</f>
        <v>48686.400000000001</v>
      </c>
    </row>
    <row r="9" spans="2:10" hidden="1">
      <c r="B9" s="96" t="s">
        <v>78</v>
      </c>
      <c r="C9" s="96">
        <v>3</v>
      </c>
      <c r="D9" s="37">
        <f t="shared" si="0"/>
        <v>79380</v>
      </c>
      <c r="E9" s="194">
        <f t="shared" si="1"/>
        <v>52920</v>
      </c>
      <c r="F9" s="194"/>
      <c r="G9" s="37">
        <v>0.1</v>
      </c>
      <c r="H9" s="100">
        <f t="shared" si="2"/>
        <v>14288.4</v>
      </c>
      <c r="I9" s="100">
        <f t="shared" si="3"/>
        <v>34398</v>
      </c>
      <c r="J9" s="98">
        <f t="shared" si="4"/>
        <v>48686.400000000001</v>
      </c>
    </row>
    <row r="10" spans="2:10" hidden="1">
      <c r="B10" s="96" t="s">
        <v>79</v>
      </c>
      <c r="C10" s="96">
        <v>4</v>
      </c>
      <c r="D10" s="37">
        <f t="shared" si="0"/>
        <v>47628</v>
      </c>
      <c r="E10" s="194">
        <f t="shared" si="1"/>
        <v>31752</v>
      </c>
      <c r="F10" s="194"/>
      <c r="G10" s="37">
        <v>0.06</v>
      </c>
      <c r="H10" s="100">
        <f t="shared" si="2"/>
        <v>8573.0399999999991</v>
      </c>
      <c r="I10" s="100">
        <f t="shared" si="3"/>
        <v>20638.8</v>
      </c>
      <c r="J10" s="98">
        <f t="shared" si="4"/>
        <v>29211.839999999997</v>
      </c>
    </row>
    <row r="11" spans="2:10" hidden="1">
      <c r="B11" s="96" t="s">
        <v>80</v>
      </c>
      <c r="C11" s="96">
        <v>5</v>
      </c>
      <c r="D11" s="37">
        <f t="shared" si="0"/>
        <v>47628</v>
      </c>
      <c r="E11" s="194">
        <f t="shared" si="1"/>
        <v>31752</v>
      </c>
      <c r="F11" s="194"/>
      <c r="G11" s="37">
        <v>0.06</v>
      </c>
      <c r="H11" s="100">
        <f t="shared" si="2"/>
        <v>8573.0399999999991</v>
      </c>
      <c r="I11" s="100">
        <f t="shared" si="3"/>
        <v>20638.8</v>
      </c>
      <c r="J11" s="98">
        <f t="shared" si="4"/>
        <v>29211.839999999997</v>
      </c>
    </row>
    <row r="12" spans="2:10" hidden="1">
      <c r="B12" s="96" t="s">
        <v>81</v>
      </c>
      <c r="C12" s="96">
        <v>6</v>
      </c>
      <c r="D12" s="37">
        <f t="shared" si="0"/>
        <v>47628</v>
      </c>
      <c r="E12" s="194">
        <f t="shared" si="1"/>
        <v>31752</v>
      </c>
      <c r="F12" s="194"/>
      <c r="G12" s="37">
        <v>0.06</v>
      </c>
      <c r="H12" s="100">
        <f t="shared" si="2"/>
        <v>8573.0399999999991</v>
      </c>
      <c r="I12" s="100">
        <f t="shared" si="3"/>
        <v>20638.8</v>
      </c>
      <c r="J12" s="98">
        <f t="shared" si="4"/>
        <v>29211.839999999997</v>
      </c>
    </row>
    <row r="13" spans="2:10" hidden="1">
      <c r="B13" s="96" t="s">
        <v>82</v>
      </c>
      <c r="C13" s="96">
        <v>7</v>
      </c>
      <c r="D13" s="37">
        <f t="shared" si="0"/>
        <v>63504</v>
      </c>
      <c r="E13" s="194">
        <f t="shared" si="1"/>
        <v>42336</v>
      </c>
      <c r="F13" s="194"/>
      <c r="G13" s="37">
        <v>0.08</v>
      </c>
      <c r="H13" s="100">
        <f t="shared" si="2"/>
        <v>11430.72</v>
      </c>
      <c r="I13" s="100">
        <f t="shared" si="3"/>
        <v>27518.400000000001</v>
      </c>
      <c r="J13" s="98">
        <f t="shared" si="4"/>
        <v>38949.120000000003</v>
      </c>
    </row>
    <row r="14" spans="2:10" hidden="1">
      <c r="B14" s="96" t="s">
        <v>83</v>
      </c>
      <c r="C14" s="96">
        <v>8</v>
      </c>
      <c r="D14" s="37">
        <f t="shared" si="0"/>
        <v>63504</v>
      </c>
      <c r="E14" s="194">
        <f t="shared" si="1"/>
        <v>42336</v>
      </c>
      <c r="F14" s="194"/>
      <c r="G14" s="37">
        <v>0.08</v>
      </c>
      <c r="H14" s="100">
        <f t="shared" si="2"/>
        <v>11430.72</v>
      </c>
      <c r="I14" s="100">
        <f t="shared" si="3"/>
        <v>27518.400000000001</v>
      </c>
      <c r="J14" s="98">
        <f t="shared" si="4"/>
        <v>38949.120000000003</v>
      </c>
    </row>
    <row r="15" spans="2:10" hidden="1">
      <c r="B15" s="96" t="s">
        <v>84</v>
      </c>
      <c r="C15" s="96">
        <v>9</v>
      </c>
      <c r="D15" s="37">
        <f t="shared" si="0"/>
        <v>63504</v>
      </c>
      <c r="E15" s="194">
        <f t="shared" si="1"/>
        <v>42336</v>
      </c>
      <c r="F15" s="194"/>
      <c r="G15" s="37">
        <v>0.08</v>
      </c>
      <c r="H15" s="100">
        <f t="shared" si="2"/>
        <v>11430.72</v>
      </c>
      <c r="I15" s="100">
        <f t="shared" si="3"/>
        <v>27518.400000000001</v>
      </c>
      <c r="J15" s="98">
        <f t="shared" si="4"/>
        <v>38949.120000000003</v>
      </c>
    </row>
    <row r="16" spans="2:10" hidden="1">
      <c r="B16" s="96" t="s">
        <v>85</v>
      </c>
      <c r="C16" s="96">
        <v>10</v>
      </c>
      <c r="D16" s="37">
        <f t="shared" si="0"/>
        <v>63504</v>
      </c>
      <c r="E16" s="194">
        <f t="shared" si="1"/>
        <v>42336</v>
      </c>
      <c r="F16" s="194"/>
      <c r="G16" s="37">
        <v>0.08</v>
      </c>
      <c r="H16" s="100">
        <f t="shared" si="2"/>
        <v>11430.72</v>
      </c>
      <c r="I16" s="100">
        <f t="shared" si="3"/>
        <v>27518.400000000001</v>
      </c>
      <c r="J16" s="98">
        <f t="shared" si="4"/>
        <v>38949.120000000003</v>
      </c>
    </row>
    <row r="17" spans="2:10" hidden="1">
      <c r="B17" s="96" t="s">
        <v>86</v>
      </c>
      <c r="C17" s="96">
        <v>11</v>
      </c>
      <c r="D17" s="37">
        <f t="shared" si="0"/>
        <v>79380</v>
      </c>
      <c r="E17" s="194">
        <f t="shared" si="1"/>
        <v>52920</v>
      </c>
      <c r="F17" s="194"/>
      <c r="G17" s="37">
        <v>0.1</v>
      </c>
      <c r="H17" s="100">
        <f t="shared" si="2"/>
        <v>14288.4</v>
      </c>
      <c r="I17" s="100">
        <f t="shared" si="3"/>
        <v>34398</v>
      </c>
      <c r="J17" s="98">
        <f t="shared" si="4"/>
        <v>48686.400000000001</v>
      </c>
    </row>
    <row r="18" spans="2:10" hidden="1">
      <c r="B18" s="96" t="s">
        <v>87</v>
      </c>
      <c r="C18" s="96">
        <v>12</v>
      </c>
      <c r="D18" s="37">
        <f t="shared" si="0"/>
        <v>79380</v>
      </c>
      <c r="E18" s="194">
        <f t="shared" si="1"/>
        <v>52920</v>
      </c>
      <c r="F18" s="194"/>
      <c r="G18" s="37">
        <v>0.1</v>
      </c>
      <c r="H18" s="100">
        <f t="shared" si="2"/>
        <v>14288.4</v>
      </c>
      <c r="I18" s="100">
        <f t="shared" si="3"/>
        <v>34398</v>
      </c>
      <c r="J18" s="98">
        <f t="shared" si="4"/>
        <v>48686.400000000001</v>
      </c>
    </row>
    <row r="19" spans="2:10" hidden="1">
      <c r="B19" s="96" t="s">
        <v>5</v>
      </c>
      <c r="C19" s="96"/>
      <c r="D19" s="37">
        <f>SUM(D7:D18)</f>
        <v>793800</v>
      </c>
      <c r="E19" s="194">
        <f>SUM(E7:F18)</f>
        <v>529200</v>
      </c>
      <c r="F19" s="194"/>
      <c r="G19" s="37">
        <f>SUM(G7:G18)</f>
        <v>0.99999999999999989</v>
      </c>
      <c r="H19" s="100">
        <f t="shared" si="2"/>
        <v>142884</v>
      </c>
      <c r="I19" s="100">
        <f t="shared" si="3"/>
        <v>343980</v>
      </c>
      <c r="J19" s="99">
        <f t="shared" si="4"/>
        <v>486864</v>
      </c>
    </row>
    <row r="20" spans="2:10" hidden="1">
      <c r="B20" s="96" t="s">
        <v>147</v>
      </c>
      <c r="C20" s="96"/>
      <c r="D20" s="202">
        <f>D19+E19</f>
        <v>1323000</v>
      </c>
      <c r="E20" s="202"/>
      <c r="F20" s="202"/>
      <c r="G20" s="37"/>
      <c r="H20" s="96"/>
      <c r="I20" s="96" t="s">
        <v>146</v>
      </c>
      <c r="J20" s="98"/>
    </row>
    <row r="21" spans="2:10" hidden="1">
      <c r="B21" s="207" t="s">
        <v>221</v>
      </c>
      <c r="C21" s="207"/>
      <c r="D21" s="207"/>
      <c r="E21" s="207"/>
      <c r="F21" s="207"/>
      <c r="G21" s="207"/>
      <c r="H21" s="207"/>
      <c r="I21" s="207"/>
      <c r="J21" s="207"/>
    </row>
    <row r="22" spans="2:10" hidden="1">
      <c r="B22" s="96"/>
      <c r="C22" s="96"/>
      <c r="D22" s="101"/>
      <c r="E22" s="101"/>
      <c r="F22" s="101"/>
      <c r="G22" s="37"/>
      <c r="H22" s="96"/>
      <c r="I22" s="96"/>
      <c r="J22" s="98"/>
    </row>
    <row r="23" spans="2:10" hidden="1">
      <c r="B23" s="202">
        <v>2014</v>
      </c>
      <c r="C23" s="202"/>
      <c r="D23" s="202"/>
      <c r="E23" s="202"/>
      <c r="F23" s="202"/>
      <c r="G23" s="202"/>
      <c r="H23" s="202"/>
      <c r="I23" s="202"/>
      <c r="J23" s="202"/>
    </row>
    <row r="24" spans="2:10" hidden="1">
      <c r="B24" s="96" t="s">
        <v>76</v>
      </c>
      <c r="C24" s="96">
        <v>1</v>
      </c>
      <c r="D24" s="104">
        <f>(1428840*G24)*$D$5</f>
        <v>85730.4</v>
      </c>
      <c r="E24" s="206">
        <f>(1428840*0.1)*$E$5</f>
        <v>57153.600000000006</v>
      </c>
      <c r="F24" s="206"/>
      <c r="G24" s="105">
        <v>0.1</v>
      </c>
      <c r="H24" s="97">
        <f>D24*$H$6</f>
        <v>15431.471999999998</v>
      </c>
      <c r="I24" s="97">
        <f>E24*$I$6</f>
        <v>37149.840000000004</v>
      </c>
      <c r="J24" s="98">
        <f>H24+I24</f>
        <v>52581.312000000005</v>
      </c>
    </row>
    <row r="25" spans="2:10" hidden="1">
      <c r="B25" s="96" t="s">
        <v>77</v>
      </c>
      <c r="C25" s="96">
        <v>2</v>
      </c>
      <c r="D25" s="104">
        <f>(1428840*G25)*$D$5</f>
        <v>85730.4</v>
      </c>
      <c r="E25" s="206">
        <f t="shared" ref="E25" si="5">(1428840*0.1)*$E$5</f>
        <v>57153.600000000006</v>
      </c>
      <c r="F25" s="206"/>
      <c r="G25" s="105">
        <v>0.1</v>
      </c>
      <c r="H25" s="97">
        <f t="shared" ref="H25:H36" si="6">D25*$H$6</f>
        <v>15431.471999999998</v>
      </c>
      <c r="I25" s="97">
        <f t="shared" ref="I25:I36" si="7">E25*$I$6</f>
        <v>37149.840000000004</v>
      </c>
      <c r="J25" s="98">
        <f t="shared" ref="J25:J36" si="8">H25+I25</f>
        <v>52581.312000000005</v>
      </c>
    </row>
    <row r="26" spans="2:10" hidden="1">
      <c r="B26" s="96" t="s">
        <v>78</v>
      </c>
      <c r="C26" s="96">
        <v>3</v>
      </c>
      <c r="D26" s="104">
        <f>(1428840*G26)*$D$5</f>
        <v>77157.359999999986</v>
      </c>
      <c r="E26" s="206">
        <f>(1428840*0.09)*$E$5</f>
        <v>51438.239999999998</v>
      </c>
      <c r="F26" s="206"/>
      <c r="G26" s="105">
        <v>0.09</v>
      </c>
      <c r="H26" s="97">
        <f t="shared" si="6"/>
        <v>13888.324799999997</v>
      </c>
      <c r="I26" s="97">
        <f t="shared" si="7"/>
        <v>33434.856</v>
      </c>
      <c r="J26" s="98">
        <f t="shared" si="8"/>
        <v>47323.180799999995</v>
      </c>
    </row>
    <row r="27" spans="2:10" hidden="1">
      <c r="B27" s="96" t="s">
        <v>79</v>
      </c>
      <c r="C27" s="96">
        <v>4</v>
      </c>
      <c r="D27" s="104">
        <f t="shared" ref="D27:D35" si="9">(1428840*G27)*$D$5</f>
        <v>77157.359999999986</v>
      </c>
      <c r="E27" s="206">
        <f t="shared" ref="E27:E28" si="10">(1428840*0.09)*$E$5</f>
        <v>51438.239999999998</v>
      </c>
      <c r="F27" s="206"/>
      <c r="G27" s="105">
        <v>0.09</v>
      </c>
      <c r="H27" s="97">
        <f t="shared" si="6"/>
        <v>13888.324799999997</v>
      </c>
      <c r="I27" s="97">
        <f t="shared" si="7"/>
        <v>33434.856</v>
      </c>
      <c r="J27" s="98">
        <f t="shared" si="8"/>
        <v>47323.180799999995</v>
      </c>
    </row>
    <row r="28" spans="2:10" hidden="1">
      <c r="B28" s="96" t="s">
        <v>80</v>
      </c>
      <c r="C28" s="96">
        <v>5</v>
      </c>
      <c r="D28" s="104">
        <f t="shared" si="9"/>
        <v>77157.359999999986</v>
      </c>
      <c r="E28" s="206">
        <f t="shared" si="10"/>
        <v>51438.239999999998</v>
      </c>
      <c r="F28" s="206"/>
      <c r="G28" s="105">
        <v>0.09</v>
      </c>
      <c r="H28" s="97">
        <f t="shared" si="6"/>
        <v>13888.324799999997</v>
      </c>
      <c r="I28" s="97">
        <f t="shared" si="7"/>
        <v>33434.856</v>
      </c>
      <c r="J28" s="98">
        <f t="shared" si="8"/>
        <v>47323.180799999995</v>
      </c>
    </row>
    <row r="29" spans="2:10" hidden="1">
      <c r="B29" s="96" t="s">
        <v>81</v>
      </c>
      <c r="C29" s="96">
        <v>6</v>
      </c>
      <c r="D29" s="104">
        <f t="shared" si="9"/>
        <v>68584.319999999992</v>
      </c>
      <c r="E29" s="206">
        <f>(1428840*G29)*$E$5</f>
        <v>45722.880000000005</v>
      </c>
      <c r="F29" s="206"/>
      <c r="G29" s="105">
        <v>0.08</v>
      </c>
      <c r="H29" s="97">
        <f t="shared" si="6"/>
        <v>12345.177599999999</v>
      </c>
      <c r="I29" s="97">
        <f t="shared" si="7"/>
        <v>29719.872000000003</v>
      </c>
      <c r="J29" s="98">
        <f t="shared" si="8"/>
        <v>42065.049599999998</v>
      </c>
    </row>
    <row r="30" spans="2:10" hidden="1">
      <c r="B30" s="96" t="s">
        <v>82</v>
      </c>
      <c r="C30" s="96">
        <v>7</v>
      </c>
      <c r="D30" s="104">
        <f t="shared" si="9"/>
        <v>68584.319999999992</v>
      </c>
      <c r="E30" s="206">
        <f>(1428840*G30)*$E$5</f>
        <v>45722.880000000005</v>
      </c>
      <c r="F30" s="206"/>
      <c r="G30" s="105">
        <v>0.08</v>
      </c>
      <c r="H30" s="97">
        <f t="shared" si="6"/>
        <v>12345.177599999999</v>
      </c>
      <c r="I30" s="97">
        <f t="shared" si="7"/>
        <v>29719.872000000003</v>
      </c>
      <c r="J30" s="98">
        <f t="shared" si="8"/>
        <v>42065.049599999998</v>
      </c>
    </row>
    <row r="31" spans="2:10" hidden="1">
      <c r="B31" s="96" t="s">
        <v>83</v>
      </c>
      <c r="C31" s="96">
        <v>8</v>
      </c>
      <c r="D31" s="104">
        <f t="shared" si="9"/>
        <v>60011.28</v>
      </c>
      <c r="E31" s="206">
        <f>(1428840*G31)*$E$5</f>
        <v>40007.520000000004</v>
      </c>
      <c r="F31" s="206"/>
      <c r="G31" s="105">
        <v>7.0000000000000007E-2</v>
      </c>
      <c r="H31" s="97">
        <f t="shared" si="6"/>
        <v>10802.0304</v>
      </c>
      <c r="I31" s="97">
        <f t="shared" si="7"/>
        <v>26004.888000000003</v>
      </c>
      <c r="J31" s="98">
        <f t="shared" si="8"/>
        <v>36806.918400000002</v>
      </c>
    </row>
    <row r="32" spans="2:10" hidden="1">
      <c r="B32" s="96" t="s">
        <v>84</v>
      </c>
      <c r="C32" s="96">
        <v>9</v>
      </c>
      <c r="D32" s="104">
        <f t="shared" si="9"/>
        <v>60011.28</v>
      </c>
      <c r="E32" s="206">
        <f t="shared" ref="E32:E35" si="11">(1428840*G32)*$E$5</f>
        <v>40007.520000000004</v>
      </c>
      <c r="F32" s="206"/>
      <c r="G32" s="105">
        <v>7.0000000000000007E-2</v>
      </c>
      <c r="H32" s="97">
        <f t="shared" si="6"/>
        <v>10802.0304</v>
      </c>
      <c r="I32" s="97">
        <f t="shared" si="7"/>
        <v>26004.888000000003</v>
      </c>
      <c r="J32" s="98">
        <f t="shared" si="8"/>
        <v>36806.918400000002</v>
      </c>
    </row>
    <row r="33" spans="2:10" hidden="1">
      <c r="B33" s="96" t="s">
        <v>85</v>
      </c>
      <c r="C33" s="96">
        <v>10</v>
      </c>
      <c r="D33" s="104">
        <f t="shared" si="9"/>
        <v>60011.28</v>
      </c>
      <c r="E33" s="206">
        <f t="shared" si="11"/>
        <v>40007.520000000004</v>
      </c>
      <c r="F33" s="206"/>
      <c r="G33" s="105">
        <v>7.0000000000000007E-2</v>
      </c>
      <c r="H33" s="97">
        <f t="shared" si="6"/>
        <v>10802.0304</v>
      </c>
      <c r="I33" s="97">
        <f t="shared" si="7"/>
        <v>26004.888000000003</v>
      </c>
      <c r="J33" s="98">
        <f t="shared" si="8"/>
        <v>36806.918400000002</v>
      </c>
    </row>
    <row r="34" spans="2:10" hidden="1">
      <c r="B34" s="96" t="s">
        <v>86</v>
      </c>
      <c r="C34" s="96">
        <v>11</v>
      </c>
      <c r="D34" s="104">
        <f t="shared" si="9"/>
        <v>68584.319999999992</v>
      </c>
      <c r="E34" s="206">
        <f>(1428840*G34)*$E$5</f>
        <v>45722.880000000005</v>
      </c>
      <c r="F34" s="206"/>
      <c r="G34" s="105">
        <v>0.08</v>
      </c>
      <c r="H34" s="97">
        <f t="shared" si="6"/>
        <v>12345.177599999999</v>
      </c>
      <c r="I34" s="97">
        <f t="shared" si="7"/>
        <v>29719.872000000003</v>
      </c>
      <c r="J34" s="98">
        <f t="shared" si="8"/>
        <v>42065.049599999998</v>
      </c>
    </row>
    <row r="35" spans="2:10" hidden="1">
      <c r="B35" s="96" t="s">
        <v>87</v>
      </c>
      <c r="C35" s="96">
        <v>12</v>
      </c>
      <c r="D35" s="104">
        <f t="shared" si="9"/>
        <v>68584.319999999992</v>
      </c>
      <c r="E35" s="206">
        <f t="shared" si="11"/>
        <v>45722.880000000005</v>
      </c>
      <c r="F35" s="206"/>
      <c r="G35" s="105">
        <v>0.08</v>
      </c>
      <c r="H35" s="97">
        <f t="shared" si="6"/>
        <v>12345.177599999999</v>
      </c>
      <c r="I35" s="97">
        <f t="shared" si="7"/>
        <v>29719.872000000003</v>
      </c>
      <c r="J35" s="98">
        <f t="shared" si="8"/>
        <v>42065.049599999998</v>
      </c>
    </row>
    <row r="36" spans="2:10" hidden="1">
      <c r="B36" s="96" t="s">
        <v>5</v>
      </c>
      <c r="C36" s="96"/>
      <c r="D36" s="104">
        <f>SUM(D24:D35)</f>
        <v>857303.99999999988</v>
      </c>
      <c r="E36" s="198">
        <f>SUM(E24:F35)</f>
        <v>571536.00000000012</v>
      </c>
      <c r="F36" s="198"/>
      <c r="G36" s="105">
        <f>SUM(G24:G35)</f>
        <v>1</v>
      </c>
      <c r="H36" s="97">
        <f t="shared" si="6"/>
        <v>154314.71999999997</v>
      </c>
      <c r="I36" s="97">
        <f t="shared" si="7"/>
        <v>371498.40000000008</v>
      </c>
      <c r="J36" s="99">
        <f t="shared" si="8"/>
        <v>525813.12000000011</v>
      </c>
    </row>
    <row r="37" spans="2:10" hidden="1">
      <c r="B37" s="194" t="s">
        <v>147</v>
      </c>
      <c r="C37" s="194"/>
      <c r="D37" s="195">
        <f>D36+E36</f>
        <v>1428840</v>
      </c>
      <c r="E37" s="195"/>
      <c r="F37" s="195"/>
      <c r="G37" s="105"/>
      <c r="H37" s="195">
        <f>J36</f>
        <v>525813.12000000011</v>
      </c>
      <c r="I37" s="195"/>
      <c r="J37" s="98"/>
    </row>
    <row r="38" spans="2:10" hidden="1">
      <c r="B38" s="199" t="s">
        <v>221</v>
      </c>
      <c r="C38" s="199"/>
      <c r="D38" s="199"/>
      <c r="E38" s="199"/>
      <c r="F38" s="199"/>
      <c r="G38" s="199"/>
      <c r="H38" s="199"/>
      <c r="I38" s="199"/>
      <c r="J38" s="199"/>
    </row>
    <row r="39" spans="2:10" hidden="1">
      <c r="B39" s="209">
        <v>2015</v>
      </c>
      <c r="C39" s="209"/>
      <c r="D39" s="209"/>
      <c r="E39" s="209"/>
      <c r="F39" s="209"/>
      <c r="G39" s="209"/>
      <c r="H39" s="209"/>
      <c r="I39" s="209"/>
      <c r="J39" s="209"/>
    </row>
    <row r="40" spans="2:10" hidden="1">
      <c r="B40" s="96" t="s">
        <v>76</v>
      </c>
      <c r="C40" s="96">
        <v>1</v>
      </c>
      <c r="D40" s="100">
        <f>(1543147*0.1)*0.6</f>
        <v>92588.82</v>
      </c>
      <c r="E40" s="198">
        <f>(1543147*G40)*0.4</f>
        <v>61725.880000000005</v>
      </c>
      <c r="F40" s="198"/>
      <c r="G40" s="105">
        <v>0.1</v>
      </c>
      <c r="H40" s="109">
        <f>D40*$H$6</f>
        <v>16665.9876</v>
      </c>
      <c r="I40" s="109">
        <f>E40*$I$6</f>
        <v>40121.822000000007</v>
      </c>
      <c r="J40" s="98">
        <f>H40+I40</f>
        <v>56787.809600000008</v>
      </c>
    </row>
    <row r="41" spans="2:10" hidden="1">
      <c r="B41" s="96" t="s">
        <v>77</v>
      </c>
      <c r="C41" s="96">
        <v>2</v>
      </c>
      <c r="D41" s="100">
        <f>(1543147*G41)*0.6</f>
        <v>92588.82</v>
      </c>
      <c r="E41" s="198">
        <f t="shared" ref="E41:E47" si="12">(1543147*G41)*$E$5</f>
        <v>61725.880000000005</v>
      </c>
      <c r="F41" s="198"/>
      <c r="G41" s="105">
        <v>0.1</v>
      </c>
      <c r="H41" s="109">
        <f t="shared" ref="H41:H52" si="13">D41*$H$6</f>
        <v>16665.9876</v>
      </c>
      <c r="I41" s="109">
        <f t="shared" ref="I41:I52" si="14">E41*$I$6</f>
        <v>40121.822000000007</v>
      </c>
      <c r="J41" s="98">
        <f t="shared" ref="J41:J52" si="15">H41+I41</f>
        <v>56787.809600000008</v>
      </c>
    </row>
    <row r="42" spans="2:10" hidden="1">
      <c r="B42" s="96" t="s">
        <v>78</v>
      </c>
      <c r="C42" s="96">
        <v>3</v>
      </c>
      <c r="D42" s="100">
        <f>(1543147*G42)*0.6</f>
        <v>83329.93799999998</v>
      </c>
      <c r="E42" s="198">
        <f t="shared" si="12"/>
        <v>55553.291999999994</v>
      </c>
      <c r="F42" s="198"/>
      <c r="G42" s="105">
        <v>0.09</v>
      </c>
      <c r="H42" s="109">
        <f t="shared" si="13"/>
        <v>14999.388839999996</v>
      </c>
      <c r="I42" s="109">
        <f t="shared" si="14"/>
        <v>36109.639799999997</v>
      </c>
      <c r="J42" s="98">
        <f t="shared" si="15"/>
        <v>51109.02863999999</v>
      </c>
    </row>
    <row r="43" spans="2:10" hidden="1">
      <c r="B43" s="96" t="s">
        <v>79</v>
      </c>
      <c r="C43" s="96">
        <v>4</v>
      </c>
      <c r="D43" s="100">
        <f>(1543147*G43)*0.6</f>
        <v>83329.93799999998</v>
      </c>
      <c r="E43" s="198">
        <f t="shared" si="12"/>
        <v>55553.291999999994</v>
      </c>
      <c r="F43" s="198"/>
      <c r="G43" s="105">
        <v>0.09</v>
      </c>
      <c r="H43" s="109">
        <f t="shared" si="13"/>
        <v>14999.388839999996</v>
      </c>
      <c r="I43" s="109">
        <f t="shared" si="14"/>
        <v>36109.639799999997</v>
      </c>
      <c r="J43" s="98">
        <f t="shared" si="15"/>
        <v>51109.02863999999</v>
      </c>
    </row>
    <row r="44" spans="2:10" hidden="1">
      <c r="B44" s="96" t="s">
        <v>80</v>
      </c>
      <c r="C44" s="96">
        <v>5</v>
      </c>
      <c r="D44" s="100">
        <f>(1543147*G44)*0.6</f>
        <v>83329.93799999998</v>
      </c>
      <c r="E44" s="198">
        <f t="shared" si="12"/>
        <v>55553.291999999994</v>
      </c>
      <c r="F44" s="198"/>
      <c r="G44" s="105">
        <v>0.09</v>
      </c>
      <c r="H44" s="109">
        <f t="shared" si="13"/>
        <v>14999.388839999996</v>
      </c>
      <c r="I44" s="109">
        <f t="shared" si="14"/>
        <v>36109.639799999997</v>
      </c>
      <c r="J44" s="98">
        <f t="shared" si="15"/>
        <v>51109.02863999999</v>
      </c>
    </row>
    <row r="45" spans="2:10" hidden="1">
      <c r="B45" s="96" t="s">
        <v>81</v>
      </c>
      <c r="C45" s="96">
        <v>6</v>
      </c>
      <c r="D45" s="100">
        <f>(1543147*G45)*$D$5</f>
        <v>74071.055999999997</v>
      </c>
      <c r="E45" s="198">
        <f t="shared" si="12"/>
        <v>49380.704000000005</v>
      </c>
      <c r="F45" s="198"/>
      <c r="G45" s="105">
        <v>0.08</v>
      </c>
      <c r="H45" s="109">
        <f t="shared" si="13"/>
        <v>13332.790079999999</v>
      </c>
      <c r="I45" s="109">
        <f t="shared" si="14"/>
        <v>32097.457600000005</v>
      </c>
      <c r="J45" s="98">
        <f t="shared" si="15"/>
        <v>45430.24768</v>
      </c>
    </row>
    <row r="46" spans="2:10" hidden="1">
      <c r="B46" s="96" t="s">
        <v>82</v>
      </c>
      <c r="C46" s="96">
        <v>7</v>
      </c>
      <c r="D46" s="100">
        <f t="shared" ref="D46:D51" si="16">(1543147*G46)*$D$5</f>
        <v>74071.055999999997</v>
      </c>
      <c r="E46" s="198">
        <f t="shared" si="12"/>
        <v>49380.704000000005</v>
      </c>
      <c r="F46" s="198"/>
      <c r="G46" s="105">
        <v>0.08</v>
      </c>
      <c r="H46" s="109">
        <f t="shared" si="13"/>
        <v>13332.790079999999</v>
      </c>
      <c r="I46" s="109">
        <f t="shared" si="14"/>
        <v>32097.457600000005</v>
      </c>
      <c r="J46" s="98">
        <f t="shared" si="15"/>
        <v>45430.24768</v>
      </c>
    </row>
    <row r="47" spans="2:10" hidden="1">
      <c r="B47" s="96" t="s">
        <v>83</v>
      </c>
      <c r="C47" s="96">
        <v>8</v>
      </c>
      <c r="D47" s="100">
        <f t="shared" si="16"/>
        <v>64812.173999999999</v>
      </c>
      <c r="E47" s="198">
        <f t="shared" si="12"/>
        <v>43208.116000000009</v>
      </c>
      <c r="F47" s="198"/>
      <c r="G47" s="105">
        <v>7.0000000000000007E-2</v>
      </c>
      <c r="H47" s="109">
        <f t="shared" si="13"/>
        <v>11666.19132</v>
      </c>
      <c r="I47" s="109">
        <f t="shared" si="14"/>
        <v>28085.275400000006</v>
      </c>
      <c r="J47" s="98">
        <f t="shared" si="15"/>
        <v>39751.466720000004</v>
      </c>
    </row>
    <row r="48" spans="2:10" hidden="1">
      <c r="B48" s="96" t="s">
        <v>84</v>
      </c>
      <c r="C48" s="96">
        <v>9</v>
      </c>
      <c r="D48" s="100">
        <f t="shared" si="16"/>
        <v>64812.173999999999</v>
      </c>
      <c r="E48" s="198">
        <f t="shared" ref="E48:E49" si="17">(1543147*G48)*$E$5</f>
        <v>43208.116000000009</v>
      </c>
      <c r="F48" s="198"/>
      <c r="G48" s="105">
        <v>7.0000000000000007E-2</v>
      </c>
      <c r="H48" s="109">
        <f t="shared" si="13"/>
        <v>11666.19132</v>
      </c>
      <c r="I48" s="109">
        <f t="shared" si="14"/>
        <v>28085.275400000006</v>
      </c>
      <c r="J48" s="98">
        <f t="shared" si="15"/>
        <v>39751.466720000004</v>
      </c>
    </row>
    <row r="49" spans="2:10" hidden="1">
      <c r="B49" s="96" t="s">
        <v>85</v>
      </c>
      <c r="C49" s="96">
        <v>10</v>
      </c>
      <c r="D49" s="100">
        <f t="shared" si="16"/>
        <v>64812.173999999999</v>
      </c>
      <c r="E49" s="198">
        <f t="shared" si="17"/>
        <v>43208.116000000009</v>
      </c>
      <c r="F49" s="198"/>
      <c r="G49" s="105">
        <v>7.0000000000000007E-2</v>
      </c>
      <c r="H49" s="109">
        <f t="shared" si="13"/>
        <v>11666.19132</v>
      </c>
      <c r="I49" s="109">
        <f t="shared" si="14"/>
        <v>28085.275400000006</v>
      </c>
      <c r="J49" s="98">
        <f t="shared" si="15"/>
        <v>39751.466720000004</v>
      </c>
    </row>
    <row r="50" spans="2:10" hidden="1">
      <c r="B50" s="96" t="s">
        <v>86</v>
      </c>
      <c r="C50" s="96">
        <v>11</v>
      </c>
      <c r="D50" s="100">
        <f t="shared" si="16"/>
        <v>74071.055999999997</v>
      </c>
      <c r="E50" s="198">
        <f>(1543147*G50)*$E$5</f>
        <v>49380.704000000005</v>
      </c>
      <c r="F50" s="198"/>
      <c r="G50" s="105">
        <v>0.08</v>
      </c>
      <c r="H50" s="109">
        <f t="shared" si="13"/>
        <v>13332.790079999999</v>
      </c>
      <c r="I50" s="109">
        <f t="shared" si="14"/>
        <v>32097.457600000005</v>
      </c>
      <c r="J50" s="98">
        <f t="shared" si="15"/>
        <v>45430.24768</v>
      </c>
    </row>
    <row r="51" spans="2:10" hidden="1">
      <c r="B51" s="96" t="s">
        <v>87</v>
      </c>
      <c r="C51" s="96">
        <v>12</v>
      </c>
      <c r="D51" s="100">
        <f t="shared" si="16"/>
        <v>74071.055999999997</v>
      </c>
      <c r="E51" s="198">
        <f>(1543147*G51)*$E$5</f>
        <v>49380.704000000005</v>
      </c>
      <c r="F51" s="198"/>
      <c r="G51" s="105">
        <v>0.08</v>
      </c>
      <c r="H51" s="109">
        <f t="shared" si="13"/>
        <v>13332.790079999999</v>
      </c>
      <c r="I51" s="109">
        <f t="shared" si="14"/>
        <v>32097.457600000005</v>
      </c>
      <c r="J51" s="98">
        <f t="shared" si="15"/>
        <v>45430.24768</v>
      </c>
    </row>
    <row r="52" spans="2:10" hidden="1">
      <c r="B52" s="96" t="s">
        <v>148</v>
      </c>
      <c r="C52" s="96"/>
      <c r="D52" s="100">
        <f>SUM(D40:D51)</f>
        <v>925888.19999999984</v>
      </c>
      <c r="E52" s="198">
        <f>SUM(E40:F51)</f>
        <v>617258.80000000016</v>
      </c>
      <c r="F52" s="198"/>
      <c r="G52" s="105">
        <f>SUM(G40:G51)</f>
        <v>1</v>
      </c>
      <c r="H52" s="109">
        <f t="shared" si="13"/>
        <v>166659.87599999996</v>
      </c>
      <c r="I52" s="109">
        <f t="shared" si="14"/>
        <v>401218.22000000015</v>
      </c>
      <c r="J52" s="99">
        <f t="shared" si="15"/>
        <v>567878.09600000014</v>
      </c>
    </row>
    <row r="53" spans="2:10" hidden="1">
      <c r="B53" s="194" t="s">
        <v>147</v>
      </c>
      <c r="C53" s="194"/>
      <c r="D53" s="195">
        <f>D52+E52</f>
        <v>1543147</v>
      </c>
      <c r="E53" s="195"/>
      <c r="F53" s="195"/>
      <c r="G53" s="105"/>
      <c r="H53" s="195">
        <f>J52</f>
        <v>567878.09600000014</v>
      </c>
      <c r="I53" s="195"/>
      <c r="J53" s="98"/>
    </row>
    <row r="54" spans="2:10" hidden="1">
      <c r="B54" s="199" t="s">
        <v>261</v>
      </c>
      <c r="C54" s="199"/>
      <c r="D54" s="199"/>
      <c r="E54" s="199"/>
      <c r="F54" s="199"/>
      <c r="G54" s="199"/>
      <c r="H54" s="199"/>
      <c r="I54" s="199"/>
      <c r="J54" s="199"/>
    </row>
    <row r="55" spans="2:10" hidden="1">
      <c r="B55" s="208">
        <v>2016</v>
      </c>
      <c r="C55" s="208"/>
      <c r="D55" s="208"/>
      <c r="E55" s="208"/>
      <c r="F55" s="208"/>
      <c r="G55" s="208"/>
      <c r="H55" s="208"/>
      <c r="I55" s="208"/>
      <c r="J55" s="208"/>
    </row>
    <row r="56" spans="2:10" hidden="1">
      <c r="B56" s="44" t="s">
        <v>76</v>
      </c>
      <c r="C56" s="44">
        <v>1</v>
      </c>
      <c r="D56" s="49">
        <f>(1666599*G56)*$D$5</f>
        <v>99995.940000000017</v>
      </c>
      <c r="E56" s="196">
        <f>(1666599*G56)*$E$5</f>
        <v>66663.960000000006</v>
      </c>
      <c r="F56" s="196"/>
      <c r="G56" s="45">
        <v>0.1</v>
      </c>
      <c r="H56" s="108">
        <f>D56*$H$6</f>
        <v>17999.269200000002</v>
      </c>
      <c r="I56" s="108">
        <f>E56*$I$6</f>
        <v>43331.574000000008</v>
      </c>
      <c r="J56" s="39">
        <f>H56+I56</f>
        <v>61330.84320000001</v>
      </c>
    </row>
    <row r="57" spans="2:10" hidden="1">
      <c r="B57" s="44" t="s">
        <v>77</v>
      </c>
      <c r="C57" s="44">
        <v>2</v>
      </c>
      <c r="D57" s="49">
        <f t="shared" ref="D57:D67" si="18">(1666599*G57)*$D$5</f>
        <v>99995.940000000017</v>
      </c>
      <c r="E57" s="196">
        <f>(1666599*G57)*$E$5</f>
        <v>66663.960000000006</v>
      </c>
      <c r="F57" s="196"/>
      <c r="G57" s="45">
        <v>0.1</v>
      </c>
      <c r="H57" s="108">
        <f t="shared" ref="H57:H68" si="19">D57*$H$6</f>
        <v>17999.269200000002</v>
      </c>
      <c r="I57" s="108">
        <f t="shared" ref="I57:I68" si="20">E57*$I$6</f>
        <v>43331.574000000008</v>
      </c>
      <c r="J57" s="39">
        <f t="shared" ref="J57:J67" si="21">H57+I57</f>
        <v>61330.84320000001</v>
      </c>
    </row>
    <row r="58" spans="2:10" hidden="1">
      <c r="B58" s="44" t="s">
        <v>78</v>
      </c>
      <c r="C58" s="44">
        <v>3</v>
      </c>
      <c r="D58" s="49">
        <f t="shared" si="18"/>
        <v>89996.346000000005</v>
      </c>
      <c r="E58" s="196">
        <f>(1666599*G58)*$E$5</f>
        <v>59997.564000000006</v>
      </c>
      <c r="F58" s="196"/>
      <c r="G58" s="45">
        <v>0.09</v>
      </c>
      <c r="H58" s="108">
        <f t="shared" si="19"/>
        <v>16199.342280000001</v>
      </c>
      <c r="I58" s="108">
        <f t="shared" si="20"/>
        <v>38998.416600000004</v>
      </c>
      <c r="J58" s="39">
        <f t="shared" si="21"/>
        <v>55197.758880000009</v>
      </c>
    </row>
    <row r="59" spans="2:10" hidden="1">
      <c r="B59" s="44" t="s">
        <v>79</v>
      </c>
      <c r="C59" s="44">
        <v>4</v>
      </c>
      <c r="D59" s="49">
        <f t="shared" si="18"/>
        <v>89996.346000000005</v>
      </c>
      <c r="E59" s="196">
        <f t="shared" ref="E59:E60" si="22">(1666599*G59)*$E$5</f>
        <v>59997.564000000006</v>
      </c>
      <c r="F59" s="196"/>
      <c r="G59" s="45">
        <v>0.09</v>
      </c>
      <c r="H59" s="108">
        <f t="shared" si="19"/>
        <v>16199.342280000001</v>
      </c>
      <c r="I59" s="108">
        <f t="shared" si="20"/>
        <v>38998.416600000004</v>
      </c>
      <c r="J59" s="39">
        <f t="shared" si="21"/>
        <v>55197.758880000009</v>
      </c>
    </row>
    <row r="60" spans="2:10" hidden="1">
      <c r="B60" s="44" t="s">
        <v>80</v>
      </c>
      <c r="C60" s="44">
        <v>5</v>
      </c>
      <c r="D60" s="49">
        <f t="shared" si="18"/>
        <v>89996.346000000005</v>
      </c>
      <c r="E60" s="196">
        <f t="shared" si="22"/>
        <v>59997.564000000006</v>
      </c>
      <c r="F60" s="196"/>
      <c r="G60" s="45">
        <v>0.09</v>
      </c>
      <c r="H60" s="108">
        <f t="shared" si="19"/>
        <v>16199.342280000001</v>
      </c>
      <c r="I60" s="108">
        <f t="shared" si="20"/>
        <v>38998.416600000004</v>
      </c>
      <c r="J60" s="39">
        <f t="shared" si="21"/>
        <v>55197.758880000009</v>
      </c>
    </row>
    <row r="61" spans="2:10" hidden="1">
      <c r="B61" s="44" t="s">
        <v>81</v>
      </c>
      <c r="C61" s="44">
        <v>6</v>
      </c>
      <c r="D61" s="49">
        <f t="shared" si="18"/>
        <v>79996.752000000008</v>
      </c>
      <c r="E61" s="196">
        <f t="shared" ref="E61" si="23">(1666599*G61)*$E$5</f>
        <v>53331.168000000005</v>
      </c>
      <c r="F61" s="196"/>
      <c r="G61" s="45">
        <v>0.08</v>
      </c>
      <c r="H61" s="108">
        <f t="shared" si="19"/>
        <v>14399.415360000001</v>
      </c>
      <c r="I61" s="108">
        <f t="shared" si="20"/>
        <v>34665.259200000008</v>
      </c>
      <c r="J61" s="39">
        <f t="shared" si="21"/>
        <v>49064.674560000007</v>
      </c>
    </row>
    <row r="62" spans="2:10" hidden="1">
      <c r="B62" s="44" t="s">
        <v>82</v>
      </c>
      <c r="C62" s="44">
        <v>7</v>
      </c>
      <c r="D62" s="49">
        <f t="shared" si="18"/>
        <v>79996.752000000008</v>
      </c>
      <c r="E62" s="196">
        <f>(1666599*G62)*$E$5</f>
        <v>53331.168000000005</v>
      </c>
      <c r="F62" s="196"/>
      <c r="G62" s="45">
        <v>0.08</v>
      </c>
      <c r="H62" s="108">
        <f t="shared" si="19"/>
        <v>14399.415360000001</v>
      </c>
      <c r="I62" s="108">
        <f t="shared" si="20"/>
        <v>34665.259200000008</v>
      </c>
      <c r="J62" s="39">
        <f t="shared" si="21"/>
        <v>49064.674560000007</v>
      </c>
    </row>
    <row r="63" spans="2:10" hidden="1">
      <c r="B63" s="44" t="s">
        <v>83</v>
      </c>
      <c r="C63" s="44">
        <v>8</v>
      </c>
      <c r="D63" s="49">
        <f t="shared" si="18"/>
        <v>69997.157999999996</v>
      </c>
      <c r="E63" s="196">
        <f t="shared" ref="E63:E67" si="24">(1666599*G63)*$E$5</f>
        <v>46664.772000000004</v>
      </c>
      <c r="F63" s="196"/>
      <c r="G63" s="45">
        <v>7.0000000000000007E-2</v>
      </c>
      <c r="H63" s="108">
        <f t="shared" si="19"/>
        <v>12599.488439999999</v>
      </c>
      <c r="I63" s="108">
        <f t="shared" si="20"/>
        <v>30332.101800000004</v>
      </c>
      <c r="J63" s="39">
        <f t="shared" si="21"/>
        <v>42931.590240000005</v>
      </c>
    </row>
    <row r="64" spans="2:10" hidden="1">
      <c r="B64" s="44" t="s">
        <v>84</v>
      </c>
      <c r="C64" s="44">
        <v>9</v>
      </c>
      <c r="D64" s="49">
        <f t="shared" si="18"/>
        <v>69997.157999999996</v>
      </c>
      <c r="E64" s="196">
        <f t="shared" si="24"/>
        <v>46664.772000000004</v>
      </c>
      <c r="F64" s="196"/>
      <c r="G64" s="45">
        <v>7.0000000000000007E-2</v>
      </c>
      <c r="H64" s="108">
        <f t="shared" si="19"/>
        <v>12599.488439999999</v>
      </c>
      <c r="I64" s="108">
        <f t="shared" si="20"/>
        <v>30332.101800000004</v>
      </c>
      <c r="J64" s="39">
        <f t="shared" si="21"/>
        <v>42931.590240000005</v>
      </c>
    </row>
    <row r="65" spans="2:10" hidden="1">
      <c r="B65" s="44" t="s">
        <v>85</v>
      </c>
      <c r="C65" s="44">
        <v>10</v>
      </c>
      <c r="D65" s="49">
        <f t="shared" si="18"/>
        <v>69997.157999999996</v>
      </c>
      <c r="E65" s="196">
        <f t="shared" si="24"/>
        <v>46664.772000000004</v>
      </c>
      <c r="F65" s="196"/>
      <c r="G65" s="45">
        <v>7.0000000000000007E-2</v>
      </c>
      <c r="H65" s="108">
        <f t="shared" si="19"/>
        <v>12599.488439999999</v>
      </c>
      <c r="I65" s="108">
        <f t="shared" si="20"/>
        <v>30332.101800000004</v>
      </c>
      <c r="J65" s="39">
        <f t="shared" si="21"/>
        <v>42931.590240000005</v>
      </c>
    </row>
    <row r="66" spans="2:10" hidden="1">
      <c r="B66" s="44" t="s">
        <v>86</v>
      </c>
      <c r="C66" s="44">
        <v>11</v>
      </c>
      <c r="D66" s="49">
        <f t="shared" si="18"/>
        <v>79996.752000000008</v>
      </c>
      <c r="E66" s="196">
        <f t="shared" si="24"/>
        <v>53331.168000000005</v>
      </c>
      <c r="F66" s="196"/>
      <c r="G66" s="45">
        <v>0.08</v>
      </c>
      <c r="H66" s="108">
        <f t="shared" si="19"/>
        <v>14399.415360000001</v>
      </c>
      <c r="I66" s="108">
        <f t="shared" si="20"/>
        <v>34665.259200000008</v>
      </c>
      <c r="J66" s="39">
        <f t="shared" si="21"/>
        <v>49064.674560000007</v>
      </c>
    </row>
    <row r="67" spans="2:10" hidden="1">
      <c r="B67" s="44" t="s">
        <v>87</v>
      </c>
      <c r="C67" s="44">
        <v>12</v>
      </c>
      <c r="D67" s="49">
        <f t="shared" si="18"/>
        <v>79996.752000000008</v>
      </c>
      <c r="E67" s="196">
        <f t="shared" si="24"/>
        <v>53331.168000000005</v>
      </c>
      <c r="F67" s="196"/>
      <c r="G67" s="45">
        <v>0.08</v>
      </c>
      <c r="H67" s="108">
        <f t="shared" si="19"/>
        <v>14399.415360000001</v>
      </c>
      <c r="I67" s="108">
        <f t="shared" si="20"/>
        <v>34665.259200000008</v>
      </c>
      <c r="J67" s="39">
        <f t="shared" si="21"/>
        <v>49064.674560000007</v>
      </c>
    </row>
    <row r="68" spans="2:10" hidden="1">
      <c r="B68" s="44" t="s">
        <v>5</v>
      </c>
      <c r="C68" s="44"/>
      <c r="D68" s="49">
        <f>SUM(D56:D67)</f>
        <v>999959.40000000014</v>
      </c>
      <c r="E68" s="196">
        <f>SUM(E56:F67)</f>
        <v>666639.60000000009</v>
      </c>
      <c r="F68" s="196"/>
      <c r="G68" s="45">
        <f>SUM(G56:G67)</f>
        <v>1</v>
      </c>
      <c r="H68" s="108">
        <f t="shared" si="19"/>
        <v>179992.69200000001</v>
      </c>
      <c r="I68" s="108">
        <f t="shared" si="20"/>
        <v>433315.74000000005</v>
      </c>
      <c r="J68" s="38">
        <f>SUM(J56:J67)</f>
        <v>613308.43200000003</v>
      </c>
    </row>
    <row r="69" spans="2:10" hidden="1">
      <c r="B69" s="44" t="s">
        <v>149</v>
      </c>
      <c r="C69" s="44"/>
      <c r="D69" s="197">
        <f>D68+E68</f>
        <v>1666599.0000000002</v>
      </c>
      <c r="E69" s="197"/>
      <c r="F69" s="197"/>
      <c r="G69" s="45"/>
      <c r="H69" s="197">
        <f>J68</f>
        <v>613308.43200000003</v>
      </c>
      <c r="I69" s="197"/>
      <c r="J69" s="39"/>
    </row>
    <row r="70" spans="2:10" hidden="1">
      <c r="B70" s="210" t="s">
        <v>221</v>
      </c>
      <c r="C70" s="210"/>
      <c r="D70" s="210"/>
      <c r="E70" s="210"/>
      <c r="F70" s="210"/>
      <c r="G70" s="210"/>
      <c r="H70" s="210"/>
      <c r="I70" s="210"/>
      <c r="J70" s="210"/>
    </row>
    <row r="71" spans="2:10" hidden="1">
      <c r="B71" s="205">
        <v>2017</v>
      </c>
      <c r="C71" s="205"/>
      <c r="D71" s="205"/>
      <c r="E71" s="205"/>
      <c r="F71" s="205"/>
      <c r="G71" s="205"/>
      <c r="H71" s="205"/>
      <c r="I71" s="205"/>
      <c r="J71" s="205"/>
    </row>
    <row r="72" spans="2:10">
      <c r="B72" s="44" t="s">
        <v>76</v>
      </c>
      <c r="C72" s="44">
        <v>1</v>
      </c>
      <c r="D72" s="103">
        <f>(1799927*G72)*$D$5</f>
        <v>107995.62000000001</v>
      </c>
      <c r="E72" s="196">
        <f>(1799927*G72)*$E$5</f>
        <v>71997.08</v>
      </c>
      <c r="F72" s="196"/>
      <c r="G72" s="45">
        <v>0.1</v>
      </c>
      <c r="H72" s="108">
        <f>D72*$H$6</f>
        <v>19439.211600000002</v>
      </c>
      <c r="I72" s="108">
        <f>E72*$I$6</f>
        <v>46798.102000000006</v>
      </c>
      <c r="J72" s="39">
        <f>H72+I72</f>
        <v>66237.313600000009</v>
      </c>
    </row>
    <row r="73" spans="2:10">
      <c r="B73" s="44" t="s">
        <v>77</v>
      </c>
      <c r="C73" s="44">
        <v>2</v>
      </c>
      <c r="D73" s="103">
        <f t="shared" ref="D73:D83" si="25">(1799927*G73)*$D$5</f>
        <v>107995.62000000001</v>
      </c>
      <c r="E73" s="196">
        <f t="shared" ref="E73:E83" si="26">(1799927*G73)*$E$5</f>
        <v>71997.08</v>
      </c>
      <c r="F73" s="196"/>
      <c r="G73" s="45">
        <v>0.1</v>
      </c>
      <c r="H73" s="108">
        <f t="shared" ref="H73:H84" si="27">D73*$H$6</f>
        <v>19439.211600000002</v>
      </c>
      <c r="I73" s="108">
        <f t="shared" ref="I73:I84" si="28">E73*$I$6</f>
        <v>46798.102000000006</v>
      </c>
      <c r="J73" s="39">
        <f t="shared" ref="J73:J83" si="29">H73+I73</f>
        <v>66237.313600000009</v>
      </c>
    </row>
    <row r="74" spans="2:10">
      <c r="B74" s="44" t="s">
        <v>78</v>
      </c>
      <c r="C74" s="44">
        <v>3</v>
      </c>
      <c r="D74" s="103">
        <f t="shared" si="25"/>
        <v>97196.05799999999</v>
      </c>
      <c r="E74" s="196">
        <f t="shared" si="26"/>
        <v>64797.372000000003</v>
      </c>
      <c r="F74" s="196"/>
      <c r="G74" s="45">
        <v>0.09</v>
      </c>
      <c r="H74" s="108">
        <f t="shared" si="27"/>
        <v>17495.290439999997</v>
      </c>
      <c r="I74" s="108">
        <f t="shared" si="28"/>
        <v>42118.291800000006</v>
      </c>
      <c r="J74" s="39">
        <f t="shared" si="29"/>
        <v>59613.582240000003</v>
      </c>
    </row>
    <row r="75" spans="2:10">
      <c r="B75" s="44" t="s">
        <v>79</v>
      </c>
      <c r="C75" s="44">
        <v>4</v>
      </c>
      <c r="D75" s="103">
        <f t="shared" si="25"/>
        <v>97196.05799999999</v>
      </c>
      <c r="E75" s="196">
        <f t="shared" si="26"/>
        <v>64797.372000000003</v>
      </c>
      <c r="F75" s="196"/>
      <c r="G75" s="45">
        <v>0.09</v>
      </c>
      <c r="H75" s="108">
        <f t="shared" si="27"/>
        <v>17495.290439999997</v>
      </c>
      <c r="I75" s="108">
        <f t="shared" si="28"/>
        <v>42118.291800000006</v>
      </c>
      <c r="J75" s="39">
        <f t="shared" si="29"/>
        <v>59613.582240000003</v>
      </c>
    </row>
    <row r="76" spans="2:10">
      <c r="B76" s="44" t="s">
        <v>80</v>
      </c>
      <c r="C76" s="44">
        <v>5</v>
      </c>
      <c r="D76" s="103">
        <f t="shared" si="25"/>
        <v>97196.05799999999</v>
      </c>
      <c r="E76" s="196">
        <f t="shared" si="26"/>
        <v>64797.372000000003</v>
      </c>
      <c r="F76" s="196"/>
      <c r="G76" s="45">
        <v>0.09</v>
      </c>
      <c r="H76" s="108">
        <f t="shared" si="27"/>
        <v>17495.290439999997</v>
      </c>
      <c r="I76" s="108">
        <f t="shared" si="28"/>
        <v>42118.291800000006</v>
      </c>
      <c r="J76" s="39">
        <f t="shared" si="29"/>
        <v>59613.582240000003</v>
      </c>
    </row>
    <row r="77" spans="2:10">
      <c r="B77" s="44" t="s">
        <v>81</v>
      </c>
      <c r="C77" s="44">
        <v>6</v>
      </c>
      <c r="D77" s="103">
        <f t="shared" si="25"/>
        <v>86396.495999999999</v>
      </c>
      <c r="E77" s="196">
        <f t="shared" si="26"/>
        <v>57597.664000000004</v>
      </c>
      <c r="F77" s="196"/>
      <c r="G77" s="45">
        <v>0.08</v>
      </c>
      <c r="H77" s="108">
        <f t="shared" si="27"/>
        <v>15551.369279999999</v>
      </c>
      <c r="I77" s="108">
        <f t="shared" si="28"/>
        <v>37438.481600000006</v>
      </c>
      <c r="J77" s="39">
        <f t="shared" si="29"/>
        <v>52989.850880000005</v>
      </c>
    </row>
    <row r="78" spans="2:10">
      <c r="B78" s="44" t="s">
        <v>82</v>
      </c>
      <c r="C78" s="44">
        <v>7</v>
      </c>
      <c r="D78" s="103">
        <f t="shared" si="25"/>
        <v>86396.495999999999</v>
      </c>
      <c r="E78" s="196">
        <f t="shared" si="26"/>
        <v>57597.664000000004</v>
      </c>
      <c r="F78" s="196"/>
      <c r="G78" s="45">
        <v>0.08</v>
      </c>
      <c r="H78" s="108">
        <f t="shared" si="27"/>
        <v>15551.369279999999</v>
      </c>
      <c r="I78" s="108">
        <f t="shared" si="28"/>
        <v>37438.481600000006</v>
      </c>
      <c r="J78" s="39">
        <f>H78+I78</f>
        <v>52989.850880000005</v>
      </c>
    </row>
    <row r="79" spans="2:10">
      <c r="B79" s="44" t="s">
        <v>83</v>
      </c>
      <c r="C79" s="44">
        <v>8</v>
      </c>
      <c r="D79" s="103">
        <f t="shared" si="25"/>
        <v>75596.934000000008</v>
      </c>
      <c r="E79" s="196">
        <f t="shared" si="26"/>
        <v>50397.956000000006</v>
      </c>
      <c r="F79" s="196"/>
      <c r="G79" s="45">
        <v>7.0000000000000007E-2</v>
      </c>
      <c r="H79" s="108">
        <f t="shared" si="27"/>
        <v>13607.448120000001</v>
      </c>
      <c r="I79" s="108">
        <f t="shared" si="28"/>
        <v>32758.671400000007</v>
      </c>
      <c r="J79" s="39">
        <f t="shared" si="29"/>
        <v>46366.119520000007</v>
      </c>
    </row>
    <row r="80" spans="2:10">
      <c r="B80" s="44" t="s">
        <v>84</v>
      </c>
      <c r="C80" s="44">
        <v>9</v>
      </c>
      <c r="D80" s="103">
        <f t="shared" si="25"/>
        <v>75596.934000000008</v>
      </c>
      <c r="E80" s="196">
        <f t="shared" si="26"/>
        <v>50397.956000000006</v>
      </c>
      <c r="F80" s="196"/>
      <c r="G80" s="45">
        <v>7.0000000000000007E-2</v>
      </c>
      <c r="H80" s="108">
        <f t="shared" si="27"/>
        <v>13607.448120000001</v>
      </c>
      <c r="I80" s="108">
        <f t="shared" si="28"/>
        <v>32758.671400000007</v>
      </c>
      <c r="J80" s="39">
        <f t="shared" si="29"/>
        <v>46366.119520000007</v>
      </c>
    </row>
    <row r="81" spans="2:10">
      <c r="B81" s="44" t="s">
        <v>85</v>
      </c>
      <c r="C81" s="44">
        <v>10</v>
      </c>
      <c r="D81" s="103">
        <f t="shared" si="25"/>
        <v>75596.934000000008</v>
      </c>
      <c r="E81" s="196">
        <f t="shared" si="26"/>
        <v>50397.956000000006</v>
      </c>
      <c r="F81" s="196"/>
      <c r="G81" s="45">
        <v>7.0000000000000007E-2</v>
      </c>
      <c r="H81" s="108">
        <f t="shared" si="27"/>
        <v>13607.448120000001</v>
      </c>
      <c r="I81" s="108">
        <f t="shared" si="28"/>
        <v>32758.671400000007</v>
      </c>
      <c r="J81" s="39">
        <f t="shared" si="29"/>
        <v>46366.119520000007</v>
      </c>
    </row>
    <row r="82" spans="2:10">
      <c r="B82" s="44" t="s">
        <v>86</v>
      </c>
      <c r="C82" s="44">
        <v>11</v>
      </c>
      <c r="D82" s="103">
        <f t="shared" si="25"/>
        <v>86396.495999999999</v>
      </c>
      <c r="E82" s="196">
        <f t="shared" si="26"/>
        <v>57597.664000000004</v>
      </c>
      <c r="F82" s="196"/>
      <c r="G82" s="45">
        <v>0.08</v>
      </c>
      <c r="H82" s="108">
        <f t="shared" si="27"/>
        <v>15551.369279999999</v>
      </c>
      <c r="I82" s="108">
        <f t="shared" si="28"/>
        <v>37438.481600000006</v>
      </c>
      <c r="J82" s="39">
        <f t="shared" si="29"/>
        <v>52989.850880000005</v>
      </c>
    </row>
    <row r="83" spans="2:10">
      <c r="B83" s="44" t="s">
        <v>87</v>
      </c>
      <c r="C83" s="44">
        <v>12</v>
      </c>
      <c r="D83" s="103">
        <f t="shared" si="25"/>
        <v>86396.495999999999</v>
      </c>
      <c r="E83" s="196">
        <f t="shared" si="26"/>
        <v>57597.664000000004</v>
      </c>
      <c r="F83" s="196"/>
      <c r="G83" s="45">
        <v>0.08</v>
      </c>
      <c r="H83" s="108">
        <f t="shared" si="27"/>
        <v>15551.369279999999</v>
      </c>
      <c r="I83" s="108">
        <f t="shared" si="28"/>
        <v>37438.481600000006</v>
      </c>
      <c r="J83" s="39">
        <f t="shared" si="29"/>
        <v>52989.850880000005</v>
      </c>
    </row>
    <row r="84" spans="2:10">
      <c r="B84" s="44" t="s">
        <v>5</v>
      </c>
      <c r="C84" s="44"/>
      <c r="D84" s="103">
        <f>SUM(D72:D83)</f>
        <v>1079956.2000000002</v>
      </c>
      <c r="E84" s="196">
        <f>SUM(E72:F83)</f>
        <v>719970.79999999993</v>
      </c>
      <c r="F84" s="196"/>
      <c r="G84" s="45">
        <f>SUM(G72:G83)</f>
        <v>1</v>
      </c>
      <c r="H84" s="108">
        <f t="shared" si="27"/>
        <v>194392.11600000004</v>
      </c>
      <c r="I84" s="108">
        <f t="shared" si="28"/>
        <v>467981.01999999996</v>
      </c>
      <c r="J84" s="38">
        <f>SUM(J72:J83)</f>
        <v>662373.13600000017</v>
      </c>
    </row>
    <row r="85" spans="2:10">
      <c r="B85" s="200" t="s">
        <v>150</v>
      </c>
      <c r="C85" s="200"/>
      <c r="D85" s="197">
        <f>D84+E84</f>
        <v>1799927</v>
      </c>
      <c r="E85" s="197"/>
      <c r="F85" s="197"/>
      <c r="G85" s="45"/>
      <c r="H85" s="197">
        <f>J84</f>
        <v>662373.13600000017</v>
      </c>
      <c r="I85" s="197"/>
      <c r="J85" s="39"/>
    </row>
    <row r="86" spans="2:10" hidden="1">
      <c r="B86" s="203"/>
      <c r="C86" s="204"/>
      <c r="D86" s="204"/>
      <c r="E86" s="204"/>
      <c r="F86" s="204"/>
      <c r="G86" s="204"/>
      <c r="H86" s="204"/>
      <c r="I86" s="204"/>
      <c r="J86" s="204"/>
    </row>
    <row r="87" spans="2:10">
      <c r="B87" s="211" t="s">
        <v>221</v>
      </c>
      <c r="C87" s="211"/>
      <c r="D87" s="211"/>
      <c r="E87" s="211"/>
      <c r="F87" s="211"/>
      <c r="G87" s="211"/>
      <c r="H87" s="211"/>
      <c r="I87" s="211"/>
      <c r="J87" s="211"/>
    </row>
    <row r="88" spans="2:10">
      <c r="E88" s="25"/>
    </row>
    <row r="89" spans="2:10">
      <c r="E89" s="25"/>
    </row>
  </sheetData>
  <mergeCells count="95">
    <mergeCell ref="B87:J87"/>
    <mergeCell ref="B4:B6"/>
    <mergeCell ref="C4:C6"/>
    <mergeCell ref="D4:F4"/>
    <mergeCell ref="E5:F5"/>
    <mergeCell ref="E6:F6"/>
    <mergeCell ref="E14:F14"/>
    <mergeCell ref="H4:I4"/>
    <mergeCell ref="J5:J6"/>
    <mergeCell ref="E7:F7"/>
    <mergeCell ref="E8:F8"/>
    <mergeCell ref="E9:F9"/>
    <mergeCell ref="E10:F10"/>
    <mergeCell ref="E11:F11"/>
    <mergeCell ref="E12:F12"/>
    <mergeCell ref="E13:F13"/>
    <mergeCell ref="E15:F15"/>
    <mergeCell ref="E16:F16"/>
    <mergeCell ref="E17:F17"/>
    <mergeCell ref="E18:F18"/>
    <mergeCell ref="B23:J23"/>
    <mergeCell ref="B21:J21"/>
    <mergeCell ref="E60:F60"/>
    <mergeCell ref="E45:F45"/>
    <mergeCell ref="B55:J55"/>
    <mergeCell ref="E24:F24"/>
    <mergeCell ref="E25:F25"/>
    <mergeCell ref="E26:F26"/>
    <mergeCell ref="E27:F27"/>
    <mergeCell ref="E28:F28"/>
    <mergeCell ref="E29:F29"/>
    <mergeCell ref="E30:F30"/>
    <mergeCell ref="E31:F31"/>
    <mergeCell ref="B39:J39"/>
    <mergeCell ref="E32:F32"/>
    <mergeCell ref="B86:J86"/>
    <mergeCell ref="B71:J71"/>
    <mergeCell ref="E82:F82"/>
    <mergeCell ref="E83:F83"/>
    <mergeCell ref="E33:F33"/>
    <mergeCell ref="E34:F34"/>
    <mergeCell ref="E35:F35"/>
    <mergeCell ref="E67:F67"/>
    <mergeCell ref="E41:F41"/>
    <mergeCell ref="E42:F42"/>
    <mergeCell ref="E43:F43"/>
    <mergeCell ref="E44:F44"/>
    <mergeCell ref="E61:F61"/>
    <mergeCell ref="E46:F46"/>
    <mergeCell ref="E47:F47"/>
    <mergeCell ref="E48:F48"/>
    <mergeCell ref="B3:J3"/>
    <mergeCell ref="E78:F78"/>
    <mergeCell ref="E79:F79"/>
    <mergeCell ref="E80:F80"/>
    <mergeCell ref="E81:F81"/>
    <mergeCell ref="E72:F72"/>
    <mergeCell ref="E73:F73"/>
    <mergeCell ref="E74:F74"/>
    <mergeCell ref="E75:F75"/>
    <mergeCell ref="E76:F76"/>
    <mergeCell ref="E77:F77"/>
    <mergeCell ref="E62:F62"/>
    <mergeCell ref="E36:F36"/>
    <mergeCell ref="D37:F37"/>
    <mergeCell ref="E19:F19"/>
    <mergeCell ref="D20:F20"/>
    <mergeCell ref="H85:I85"/>
    <mergeCell ref="H69:I69"/>
    <mergeCell ref="H53:I53"/>
    <mergeCell ref="B53:C53"/>
    <mergeCell ref="E84:F84"/>
    <mergeCell ref="B85:C85"/>
    <mergeCell ref="D85:F85"/>
    <mergeCell ref="E57:F57"/>
    <mergeCell ref="E58:F58"/>
    <mergeCell ref="E59:F59"/>
    <mergeCell ref="E56:F56"/>
    <mergeCell ref="B54:J54"/>
    <mergeCell ref="B70:J70"/>
    <mergeCell ref="B37:C37"/>
    <mergeCell ref="H37:I37"/>
    <mergeCell ref="D53:F53"/>
    <mergeCell ref="E68:F68"/>
    <mergeCell ref="D69:F69"/>
    <mergeCell ref="E63:F63"/>
    <mergeCell ref="E64:F64"/>
    <mergeCell ref="E65:F65"/>
    <mergeCell ref="E66:F66"/>
    <mergeCell ref="E52:F52"/>
    <mergeCell ref="E40:F40"/>
    <mergeCell ref="B38:J38"/>
    <mergeCell ref="E49:F49"/>
    <mergeCell ref="E50:F50"/>
    <mergeCell ref="E51:F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F15"/>
  <sheetViews>
    <sheetView workbookViewId="0">
      <selection activeCell="E20" sqref="E20"/>
    </sheetView>
  </sheetViews>
  <sheetFormatPr baseColWidth="10" defaultRowHeight="15"/>
  <cols>
    <col min="2" max="2" width="34.140625" customWidth="1"/>
    <col min="3" max="3" width="15.85546875" customWidth="1"/>
    <col min="4" max="4" width="9.85546875" customWidth="1"/>
    <col min="5" max="5" width="12.42578125" customWidth="1"/>
    <col min="6" max="6" width="11" customWidth="1"/>
  </cols>
  <sheetData>
    <row r="1" spans="2:6" ht="15.75" thickBot="1"/>
    <row r="2" spans="2:6" ht="15.75" thickBot="1">
      <c r="B2" s="213" t="s">
        <v>263</v>
      </c>
      <c r="C2" s="214"/>
      <c r="D2" s="214"/>
      <c r="E2" s="214"/>
      <c r="F2" s="215"/>
    </row>
    <row r="3" spans="2:6" ht="12.75" customHeight="1">
      <c r="B3" s="216" t="s">
        <v>88</v>
      </c>
      <c r="C3" s="217"/>
      <c r="D3" s="217"/>
      <c r="E3" s="217"/>
      <c r="F3" s="218"/>
    </row>
    <row r="4" spans="2:6">
      <c r="B4" s="76" t="s">
        <v>241</v>
      </c>
      <c r="C4" s="77" t="s">
        <v>89</v>
      </c>
      <c r="D4" s="77" t="s">
        <v>90</v>
      </c>
      <c r="E4" s="77" t="s">
        <v>242</v>
      </c>
      <c r="F4" s="78" t="s">
        <v>243</v>
      </c>
    </row>
    <row r="5" spans="2:6">
      <c r="B5" s="71" t="s">
        <v>91</v>
      </c>
      <c r="C5" s="72">
        <v>1200</v>
      </c>
      <c r="D5" s="73">
        <v>1</v>
      </c>
      <c r="E5" s="72">
        <f>C5*D5</f>
        <v>1200</v>
      </c>
      <c r="F5" s="74">
        <f>E5*12</f>
        <v>14400</v>
      </c>
    </row>
    <row r="6" spans="2:6">
      <c r="B6" s="71" t="s">
        <v>92</v>
      </c>
      <c r="C6" s="72">
        <v>1000</v>
      </c>
      <c r="D6" s="73">
        <v>1</v>
      </c>
      <c r="E6" s="72">
        <f t="shared" ref="E6:E13" si="0">C6*D6</f>
        <v>1000</v>
      </c>
      <c r="F6" s="74">
        <f t="shared" ref="F6:F14" si="1">E6*12</f>
        <v>12000</v>
      </c>
    </row>
    <row r="7" spans="2:6">
      <c r="B7" s="71" t="s">
        <v>93</v>
      </c>
      <c r="C7" s="72">
        <v>600</v>
      </c>
      <c r="D7" s="73">
        <v>1</v>
      </c>
      <c r="E7" s="72">
        <f t="shared" si="0"/>
        <v>600</v>
      </c>
      <c r="F7" s="74">
        <f t="shared" si="1"/>
        <v>7200</v>
      </c>
    </row>
    <row r="8" spans="2:6">
      <c r="B8" s="71" t="s">
        <v>94</v>
      </c>
      <c r="C8" s="72">
        <v>600</v>
      </c>
      <c r="D8" s="73">
        <v>1</v>
      </c>
      <c r="E8" s="72">
        <f t="shared" si="0"/>
        <v>600</v>
      </c>
      <c r="F8" s="74">
        <f t="shared" si="1"/>
        <v>7200</v>
      </c>
    </row>
    <row r="9" spans="2:6">
      <c r="B9" s="71" t="s">
        <v>95</v>
      </c>
      <c r="C9" s="72">
        <v>300</v>
      </c>
      <c r="D9" s="73">
        <v>1</v>
      </c>
      <c r="E9" s="72">
        <f t="shared" si="0"/>
        <v>300</v>
      </c>
      <c r="F9" s="74">
        <f t="shared" si="1"/>
        <v>3600</v>
      </c>
    </row>
    <row r="10" spans="2:6">
      <c r="B10" s="71" t="s">
        <v>96</v>
      </c>
      <c r="C10" s="72">
        <v>1000</v>
      </c>
      <c r="D10" s="73">
        <v>1</v>
      </c>
      <c r="E10" s="72">
        <f t="shared" si="0"/>
        <v>1000</v>
      </c>
      <c r="F10" s="74">
        <f t="shared" si="1"/>
        <v>12000</v>
      </c>
    </row>
    <row r="11" spans="2:6">
      <c r="B11" s="71" t="s">
        <v>97</v>
      </c>
      <c r="C11" s="72">
        <v>300</v>
      </c>
      <c r="D11" s="73">
        <v>1</v>
      </c>
      <c r="E11" s="72">
        <f t="shared" si="0"/>
        <v>300</v>
      </c>
      <c r="F11" s="74">
        <f t="shared" si="1"/>
        <v>3600</v>
      </c>
    </row>
    <row r="12" spans="2:6">
      <c r="B12" s="71" t="s">
        <v>98</v>
      </c>
      <c r="C12" s="72">
        <v>300</v>
      </c>
      <c r="D12" s="73">
        <v>1</v>
      </c>
      <c r="E12" s="72">
        <f t="shared" si="0"/>
        <v>300</v>
      </c>
      <c r="F12" s="74">
        <f t="shared" si="1"/>
        <v>3600</v>
      </c>
    </row>
    <row r="13" spans="2:6">
      <c r="B13" s="71" t="s">
        <v>99</v>
      </c>
      <c r="C13" s="72">
        <v>400</v>
      </c>
      <c r="D13" s="73">
        <v>8</v>
      </c>
      <c r="E13" s="72">
        <f t="shared" si="0"/>
        <v>3200</v>
      </c>
      <c r="F13" s="74">
        <f t="shared" si="1"/>
        <v>38400</v>
      </c>
    </row>
    <row r="14" spans="2:6">
      <c r="B14" s="168" t="s">
        <v>100</v>
      </c>
      <c r="C14" s="168"/>
      <c r="D14" s="168"/>
      <c r="E14" s="75">
        <f>SUM(E5:E13)</f>
        <v>8500</v>
      </c>
      <c r="F14" s="75">
        <f t="shared" si="1"/>
        <v>102000</v>
      </c>
    </row>
    <row r="15" spans="2:6">
      <c r="B15" s="219" t="s">
        <v>221</v>
      </c>
      <c r="C15" s="219"/>
      <c r="D15" s="219"/>
      <c r="E15" s="219"/>
      <c r="F15" s="219"/>
    </row>
  </sheetData>
  <mergeCells count="4">
    <mergeCell ref="B2:F2"/>
    <mergeCell ref="B3:F3"/>
    <mergeCell ref="B14:D14"/>
    <mergeCell ref="B15:F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C2:H13"/>
  <sheetViews>
    <sheetView workbookViewId="0">
      <selection activeCell="C19" sqref="C19"/>
    </sheetView>
  </sheetViews>
  <sheetFormatPr baseColWidth="10" defaultRowHeight="15"/>
  <cols>
    <col min="3" max="3" width="34.42578125" customWidth="1"/>
    <col min="5" max="5" width="7.28515625" customWidth="1"/>
    <col min="8" max="8" width="0.42578125" customWidth="1"/>
  </cols>
  <sheetData>
    <row r="2" spans="3:8">
      <c r="C2" s="168" t="s">
        <v>264</v>
      </c>
      <c r="D2" s="168"/>
      <c r="E2" s="168"/>
      <c r="F2" s="168"/>
      <c r="G2" s="168"/>
      <c r="H2" s="168"/>
    </row>
    <row r="3" spans="3:8">
      <c r="C3" s="77" t="s">
        <v>101</v>
      </c>
      <c r="D3" s="168" t="s">
        <v>102</v>
      </c>
      <c r="E3" s="168"/>
      <c r="F3" s="168" t="s">
        <v>103</v>
      </c>
      <c r="G3" s="168"/>
      <c r="H3" s="168"/>
    </row>
    <row r="4" spans="3:8">
      <c r="C4" s="52" t="s">
        <v>104</v>
      </c>
      <c r="D4" s="221">
        <v>1700</v>
      </c>
      <c r="E4" s="221"/>
      <c r="F4" s="221">
        <f>D4*12</f>
        <v>20400</v>
      </c>
      <c r="G4" s="221"/>
      <c r="H4" s="221"/>
    </row>
    <row r="5" spans="3:8">
      <c r="C5" s="52" t="s">
        <v>105</v>
      </c>
      <c r="D5" s="221">
        <v>150</v>
      </c>
      <c r="E5" s="221"/>
      <c r="F5" s="221">
        <f t="shared" ref="F5:F11" si="0">D5*12</f>
        <v>1800</v>
      </c>
      <c r="G5" s="221"/>
      <c r="H5" s="221"/>
    </row>
    <row r="6" spans="3:8">
      <c r="C6" s="52" t="s">
        <v>106</v>
      </c>
      <c r="D6" s="221">
        <v>120</v>
      </c>
      <c r="E6" s="221"/>
      <c r="F6" s="221">
        <f t="shared" si="0"/>
        <v>1440</v>
      </c>
      <c r="G6" s="221"/>
      <c r="H6" s="221"/>
    </row>
    <row r="7" spans="3:8">
      <c r="C7" s="52" t="s">
        <v>107</v>
      </c>
      <c r="D7" s="221">
        <v>250</v>
      </c>
      <c r="E7" s="221"/>
      <c r="F7" s="221">
        <f t="shared" si="0"/>
        <v>3000</v>
      </c>
      <c r="G7" s="221"/>
      <c r="H7" s="221"/>
    </row>
    <row r="8" spans="3:8">
      <c r="C8" s="52" t="s">
        <v>108</v>
      </c>
      <c r="D8" s="221">
        <v>300</v>
      </c>
      <c r="E8" s="221"/>
      <c r="F8" s="221">
        <f t="shared" si="0"/>
        <v>3600</v>
      </c>
      <c r="G8" s="221"/>
      <c r="H8" s="221"/>
    </row>
    <row r="9" spans="3:8">
      <c r="C9" s="52" t="s">
        <v>109</v>
      </c>
      <c r="D9" s="221">
        <v>500</v>
      </c>
      <c r="E9" s="221"/>
      <c r="F9" s="221">
        <f t="shared" si="0"/>
        <v>6000</v>
      </c>
      <c r="G9" s="221"/>
      <c r="H9" s="221"/>
    </row>
    <row r="10" spans="3:8">
      <c r="C10" s="52" t="s">
        <v>110</v>
      </c>
      <c r="D10" s="221">
        <v>2500</v>
      </c>
      <c r="E10" s="221"/>
      <c r="F10" s="221">
        <f t="shared" si="0"/>
        <v>30000</v>
      </c>
      <c r="G10" s="221"/>
      <c r="H10" s="221"/>
    </row>
    <row r="11" spans="3:8">
      <c r="C11" s="52" t="s">
        <v>111</v>
      </c>
      <c r="D11" s="221">
        <v>300</v>
      </c>
      <c r="E11" s="221"/>
      <c r="F11" s="221">
        <f t="shared" si="0"/>
        <v>3600</v>
      </c>
      <c r="G11" s="221"/>
      <c r="H11" s="221"/>
    </row>
    <row r="12" spans="3:8">
      <c r="C12" s="77" t="s">
        <v>5</v>
      </c>
      <c r="D12" s="220">
        <f>SUM(D4:E11)</f>
        <v>5820</v>
      </c>
      <c r="E12" s="220"/>
      <c r="F12" s="220">
        <f>SUM(F4:H11)</f>
        <v>69840</v>
      </c>
      <c r="G12" s="220"/>
      <c r="H12" s="220"/>
    </row>
    <row r="13" spans="3:8">
      <c r="C13" s="222" t="s">
        <v>221</v>
      </c>
      <c r="D13" s="222"/>
      <c r="E13" s="222"/>
      <c r="F13" s="222"/>
      <c r="G13" s="222"/>
    </row>
  </sheetData>
  <mergeCells count="22">
    <mergeCell ref="C13:G13"/>
    <mergeCell ref="D6:E6"/>
    <mergeCell ref="F3:H3"/>
    <mergeCell ref="D3:E3"/>
    <mergeCell ref="C2:H2"/>
    <mergeCell ref="D4:E4"/>
    <mergeCell ref="D5:E5"/>
    <mergeCell ref="F4:H4"/>
    <mergeCell ref="F5:H5"/>
    <mergeCell ref="F6:H6"/>
    <mergeCell ref="F7:H7"/>
    <mergeCell ref="F8:H8"/>
    <mergeCell ref="D7:E7"/>
    <mergeCell ref="D8:E8"/>
    <mergeCell ref="D9:E9"/>
    <mergeCell ref="D12:E12"/>
    <mergeCell ref="F12:H12"/>
    <mergeCell ref="D10:E10"/>
    <mergeCell ref="D11:E11"/>
    <mergeCell ref="F9:H9"/>
    <mergeCell ref="F10:H10"/>
    <mergeCell ref="F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CUADRO 1</vt:lpstr>
      <vt:lpstr>CUADRO 2</vt:lpstr>
      <vt:lpstr>CUADRO 3</vt:lpstr>
      <vt:lpstr>competidores directos</vt:lpstr>
      <vt:lpstr>PRECIO DE MATERIA PRIMA</vt:lpstr>
      <vt:lpstr>COMPOSICION DE 1 LITRO</vt:lpstr>
      <vt:lpstr> COSTO VARIABLE</vt:lpstr>
      <vt:lpstr>COSTOS FIJOS ADMINISTRATIVOS</vt:lpstr>
      <vt:lpstr>COSTOS FIJOS SERVICIOS BASICOS</vt:lpstr>
      <vt:lpstr>INGRESOS DEL PROYECTO</vt:lpstr>
      <vt:lpstr>CALCULOS DE INGRESOS MENSUALES</vt:lpstr>
      <vt:lpstr>CAPITAL DE TRABAJO</vt:lpstr>
      <vt:lpstr>PROYECCION ANUAL DE LOS COSTOS </vt:lpstr>
      <vt:lpstr>ANALISIS DE COSTO VOLUMEN UTILI</vt:lpstr>
      <vt:lpstr>VALOR DE DESECHO</vt:lpstr>
      <vt:lpstr>TASA DE DESCUENTO</vt:lpstr>
      <vt:lpstr>FLUJO DE CAJA</vt:lpstr>
      <vt:lpstr>INVERSION INICIAL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</dc:creator>
  <cp:lastModifiedBy>Inter09</cp:lastModifiedBy>
  <cp:lastPrinted>2012-04-13T21:02:29Z</cp:lastPrinted>
  <dcterms:created xsi:type="dcterms:W3CDTF">2012-03-28T14:08:46Z</dcterms:created>
  <dcterms:modified xsi:type="dcterms:W3CDTF">2012-04-18T19:50:47Z</dcterms:modified>
</cp:coreProperties>
</file>