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8915" windowHeight="7455" tabRatio="874" activeTab="1"/>
  </bookViews>
  <sheets>
    <sheet name="PROCESO IMPORT" sheetId="14" r:id="rId1"/>
    <sheet name="anexo2" sheetId="15" r:id="rId2"/>
    <sheet name="CALENDARIO DE REINVERSIONES" sheetId="13" r:id="rId3"/>
    <sheet name="ESTIMACION DEMANDA" sheetId="1" r:id="rId4"/>
    <sheet name="COSTOS ADMINISTRATIVOS" sheetId="2" r:id="rId5"/>
    <sheet name="COSTOS FIJOS" sheetId="3" r:id="rId6"/>
    <sheet name="COSTOS VARIABLES" sheetId="4" r:id="rId7"/>
    <sheet name="FLUJO DE CAJA" sheetId="5" r:id="rId8"/>
    <sheet name="PRECIOS" sheetId="6" r:id="rId9"/>
    <sheet name="INGRESOS" sheetId="7" r:id="rId10"/>
    <sheet name="CAPITAL DE TRABAJO " sheetId="8" r:id="rId11"/>
    <sheet name="AMORTIZACION DE CAPITAL " sheetId="12" r:id="rId12"/>
    <sheet name="PROYECCION DE DEMANDA" sheetId="9" r:id="rId13"/>
    <sheet name="PAYBACK" sheetId="10" r:id="rId14"/>
  </sheets>
  <externalReferences>
    <externalReference r:id="rId15"/>
  </externalReferences>
  <definedNames>
    <definedName name="_xlnm.Print_Area" localSheetId="11">'AMORTIZACION DE CAPITAL '!$B$1:$F$24</definedName>
    <definedName name="_xlnm.Print_Area" localSheetId="1">anexo2!$A$3:$G$31</definedName>
    <definedName name="_xlnm.Print_Area" localSheetId="2">'CALENDARIO DE REINVERSIONES'!$A$2:$F$20</definedName>
    <definedName name="_xlnm.Print_Area" localSheetId="10">'CAPITAL DE TRABAJO '!$B$1:$O$19</definedName>
    <definedName name="_xlnm.Print_Area" localSheetId="4">'COSTOS ADMINISTRATIVOS'!$A$1:$O$101</definedName>
    <definedName name="_xlnm.Print_Area" localSheetId="5">'COSTOS FIJOS'!$A$1:$J$98</definedName>
    <definedName name="_xlnm.Print_Area" localSheetId="6">'COSTOS VARIABLES'!$A$1:$G$17</definedName>
    <definedName name="_xlnm.Print_Area" localSheetId="3">'ESTIMACION DEMANDA'!$A$2:$N$16</definedName>
    <definedName name="_xlnm.Print_Area" localSheetId="7">'FLUJO DE CAJA'!$B$1:$H$28</definedName>
    <definedName name="_xlnm.Print_Area" localSheetId="9">INGRESOS!$B$1:$H$21</definedName>
    <definedName name="_xlnm.Print_Area" localSheetId="13">PAYBACK!$A$1:$G$29</definedName>
    <definedName name="_xlnm.Print_Area" localSheetId="8">PRECIOS!$A$1:$C$6</definedName>
    <definedName name="_xlnm.Print_Area" localSheetId="0">'PROCESO IMPORT'!$A$1:$H$25</definedName>
    <definedName name="_xlnm.Print_Area" localSheetId="12">'PROYECCION DE DEMANDA'!$B$2:$H$92</definedName>
    <definedName name="i">[1]CB!$B$4</definedName>
  </definedNames>
  <calcPr calcId="125725"/>
</workbook>
</file>

<file path=xl/calcChain.xml><?xml version="1.0" encoding="utf-8"?>
<calcChain xmlns="http://schemas.openxmlformats.org/spreadsheetml/2006/main">
  <c r="F23" i="10"/>
  <c r="F25" s="1"/>
  <c r="C28" s="1"/>
  <c r="E13" i="8"/>
  <c r="F13"/>
  <c r="G13"/>
  <c r="H13"/>
  <c r="I13"/>
  <c r="J13"/>
  <c r="K13"/>
  <c r="L13"/>
  <c r="M13"/>
  <c r="N13"/>
  <c r="K53" i="13"/>
  <c r="J53"/>
  <c r="G53"/>
  <c r="F53"/>
  <c r="D53"/>
  <c r="C5" i="10" l="1"/>
  <c r="D7" s="1"/>
  <c r="C29"/>
  <c r="D13" i="12"/>
  <c r="C5"/>
  <c r="C8" s="1"/>
  <c r="C24" s="1"/>
  <c r="H7" i="5"/>
  <c r="E7"/>
  <c r="F7"/>
  <c r="G7"/>
  <c r="F12" i="1"/>
  <c r="G12" s="1"/>
  <c r="H12" s="1"/>
  <c r="I12" s="1"/>
  <c r="D7" i="5"/>
  <c r="E13"/>
  <c r="F13"/>
  <c r="G13"/>
  <c r="H13"/>
  <c r="D13"/>
  <c r="D15" s="1"/>
  <c r="H15"/>
  <c r="G15"/>
  <c r="F15"/>
  <c r="E15"/>
  <c r="B8" i="4"/>
  <c r="E7" i="10"/>
  <c r="B8" s="1"/>
  <c r="D8" s="1"/>
  <c r="E11" i="4"/>
  <c r="F11"/>
  <c r="G11"/>
  <c r="D11"/>
  <c r="C11"/>
  <c r="D90" i="9"/>
  <c r="D14" i="4" l="1"/>
  <c r="D16" i="5"/>
  <c r="G16"/>
  <c r="G17" s="1"/>
  <c r="G18" s="1"/>
  <c r="F16"/>
  <c r="E16"/>
  <c r="E17" s="1"/>
  <c r="E18" s="1"/>
  <c r="H16"/>
  <c r="C13" i="12"/>
  <c r="E13" s="1"/>
  <c r="F13" s="1"/>
  <c r="C14"/>
  <c r="C15"/>
  <c r="C16"/>
  <c r="C17"/>
  <c r="C18"/>
  <c r="C19"/>
  <c r="C20"/>
  <c r="C21"/>
  <c r="C22"/>
  <c r="C23"/>
  <c r="D17" i="5"/>
  <c r="D18" s="1"/>
  <c r="E14" i="4"/>
  <c r="G14"/>
  <c r="E32" i="9" s="1"/>
  <c r="D68" s="1"/>
  <c r="C14" i="4"/>
  <c r="E31" i="9" s="1"/>
  <c r="D52" s="1"/>
  <c r="F14" i="4"/>
  <c r="F17" i="5"/>
  <c r="F18" s="1"/>
  <c r="E8" i="10"/>
  <c r="B9" s="1"/>
  <c r="D9" s="1"/>
  <c r="F90" i="9"/>
  <c r="E90"/>
  <c r="D84" l="1"/>
  <c r="E33"/>
  <c r="F19" i="5"/>
  <c r="F20"/>
  <c r="E19"/>
  <c r="E20" s="1"/>
  <c r="E28" s="1"/>
  <c r="G19"/>
  <c r="G20" s="1"/>
  <c r="G28" s="1"/>
  <c r="D19"/>
  <c r="D20" s="1"/>
  <c r="D28" s="1"/>
  <c r="D14" i="12"/>
  <c r="E14" s="1"/>
  <c r="F14" s="1"/>
  <c r="H17" i="5"/>
  <c r="F28"/>
  <c r="E9" i="10"/>
  <c r="B10" s="1"/>
  <c r="G90" i="9"/>
  <c r="D10" i="10" l="1"/>
  <c r="E10" s="1"/>
  <c r="B11" s="1"/>
  <c r="D11" s="1"/>
  <c r="E11" s="1"/>
  <c r="H18" i="5"/>
  <c r="D15" i="12"/>
  <c r="E15" s="1"/>
  <c r="F15" s="1"/>
  <c r="H90" i="9"/>
  <c r="H19" i="5" l="1"/>
  <c r="H20" s="1"/>
  <c r="D16" i="12"/>
  <c r="E16" s="1"/>
  <c r="F16" s="1"/>
  <c r="D17" l="1"/>
  <c r="E17" s="1"/>
  <c r="F17" s="1"/>
  <c r="D18" l="1"/>
  <c r="E18" s="1"/>
  <c r="F18" s="1"/>
  <c r="D19" l="1"/>
  <c r="E19" s="1"/>
  <c r="F19" s="1"/>
  <c r="D20" l="1"/>
  <c r="E20" s="1"/>
  <c r="F20" s="1"/>
  <c r="D21" l="1"/>
  <c r="E21" s="1"/>
  <c r="F21" s="1"/>
  <c r="D22" l="1"/>
  <c r="E22" s="1"/>
  <c r="F22" s="1"/>
  <c r="D23" l="1"/>
  <c r="E23" s="1"/>
  <c r="F23" s="1"/>
  <c r="D24" l="1"/>
  <c r="E24" s="1"/>
  <c r="F24" s="1"/>
  <c r="F16" i="4"/>
  <c r="D16"/>
  <c r="C16"/>
  <c r="C27" i="9"/>
  <c r="F19"/>
  <c r="D17" i="7"/>
  <c r="C21" s="1"/>
  <c r="D74" i="9"/>
  <c r="D58"/>
  <c r="D49"/>
  <c r="E49" s="1"/>
  <c r="F49" s="1"/>
  <c r="G49" s="1"/>
  <c r="H49" s="1"/>
  <c r="D8" i="7"/>
  <c r="D9" s="1"/>
  <c r="E8"/>
  <c r="E9" s="1"/>
  <c r="F8"/>
  <c r="F9" s="1"/>
  <c r="G8"/>
  <c r="G9" s="1"/>
  <c r="H8"/>
  <c r="H9" s="1"/>
  <c r="C8"/>
  <c r="C9" s="1"/>
  <c r="D97" i="2"/>
  <c r="D96"/>
  <c r="D95"/>
  <c r="D94"/>
  <c r="D93"/>
  <c r="D92"/>
  <c r="D91"/>
  <c r="D90"/>
  <c r="D89"/>
  <c r="D88"/>
  <c r="D87"/>
  <c r="D86"/>
  <c r="D98" s="1"/>
  <c r="D80"/>
  <c r="D79"/>
  <c r="D78"/>
  <c r="D77"/>
  <c r="D76"/>
  <c r="D75"/>
  <c r="D74"/>
  <c r="D73"/>
  <c r="D72"/>
  <c r="D71"/>
  <c r="D70"/>
  <c r="D69"/>
  <c r="D81" s="1"/>
  <c r="D63"/>
  <c r="D62"/>
  <c r="D61"/>
  <c r="D60"/>
  <c r="D59"/>
  <c r="D58"/>
  <c r="D57"/>
  <c r="D56"/>
  <c r="D55"/>
  <c r="D54"/>
  <c r="D53"/>
  <c r="D52"/>
  <c r="D64" s="1"/>
  <c r="D47"/>
  <c r="D46"/>
  <c r="D45"/>
  <c r="D44"/>
  <c r="D43"/>
  <c r="D42"/>
  <c r="D41"/>
  <c r="D40"/>
  <c r="D39"/>
  <c r="D38"/>
  <c r="D37"/>
  <c r="D36"/>
  <c r="D48" s="1"/>
  <c r="D21"/>
  <c r="D22"/>
  <c r="D23"/>
  <c r="D24"/>
  <c r="D25"/>
  <c r="D26"/>
  <c r="D27"/>
  <c r="D28"/>
  <c r="D29"/>
  <c r="D30"/>
  <c r="D31"/>
  <c r="D20"/>
  <c r="D32" s="1"/>
  <c r="D6"/>
  <c r="E6" s="1"/>
  <c r="C6"/>
  <c r="E17" i="7"/>
  <c r="F17"/>
  <c r="D82" i="9" s="1"/>
  <c r="G17" i="7"/>
  <c r="H17"/>
  <c r="D66" i="9" s="1"/>
  <c r="B20" i="1"/>
  <c r="I78" i="3"/>
  <c r="I79" s="1"/>
  <c r="I80" s="1"/>
  <c r="I81" s="1"/>
  <c r="I82" s="1"/>
  <c r="I83" s="1"/>
  <c r="I84" s="1"/>
  <c r="I85" s="1"/>
  <c r="I86" s="1"/>
  <c r="I87" s="1"/>
  <c r="I88" s="1"/>
  <c r="I89" s="1"/>
  <c r="H78"/>
  <c r="H79" s="1"/>
  <c r="H80" s="1"/>
  <c r="H81" s="1"/>
  <c r="H82" s="1"/>
  <c r="H83" s="1"/>
  <c r="H84" s="1"/>
  <c r="H85" s="1"/>
  <c r="H86" s="1"/>
  <c r="H87" s="1"/>
  <c r="H88" s="1"/>
  <c r="H89" s="1"/>
  <c r="E78"/>
  <c r="E79" s="1"/>
  <c r="E80" s="1"/>
  <c r="E81" s="1"/>
  <c r="E82" s="1"/>
  <c r="E83" s="1"/>
  <c r="E84" s="1"/>
  <c r="E85" s="1"/>
  <c r="E86" s="1"/>
  <c r="E87" s="1"/>
  <c r="E88" s="1"/>
  <c r="E89" s="1"/>
  <c r="D78"/>
  <c r="D79" s="1"/>
  <c r="D80" s="1"/>
  <c r="D81" s="1"/>
  <c r="D82" s="1"/>
  <c r="D83" s="1"/>
  <c r="D84" s="1"/>
  <c r="D85" s="1"/>
  <c r="D86" s="1"/>
  <c r="D87" s="1"/>
  <c r="D88" s="1"/>
  <c r="D89" s="1"/>
  <c r="C78"/>
  <c r="C79" s="1"/>
  <c r="C80" s="1"/>
  <c r="C81" s="1"/>
  <c r="C82" s="1"/>
  <c r="C83" s="1"/>
  <c r="C84" s="1"/>
  <c r="C85" s="1"/>
  <c r="C86" s="1"/>
  <c r="C87" s="1"/>
  <c r="C88" s="1"/>
  <c r="C89" s="1"/>
  <c r="B78"/>
  <c r="I63"/>
  <c r="I64" s="1"/>
  <c r="I65" s="1"/>
  <c r="I66" s="1"/>
  <c r="I67" s="1"/>
  <c r="I68" s="1"/>
  <c r="I69" s="1"/>
  <c r="I70" s="1"/>
  <c r="I71" s="1"/>
  <c r="I72" s="1"/>
  <c r="I73" s="1"/>
  <c r="I74" s="1"/>
  <c r="H63"/>
  <c r="H64" s="1"/>
  <c r="H65" s="1"/>
  <c r="H66" s="1"/>
  <c r="H67" s="1"/>
  <c r="H68" s="1"/>
  <c r="H69" s="1"/>
  <c r="H70" s="1"/>
  <c r="H71" s="1"/>
  <c r="H72" s="1"/>
  <c r="H73" s="1"/>
  <c r="H74" s="1"/>
  <c r="E63"/>
  <c r="E64" s="1"/>
  <c r="E65" s="1"/>
  <c r="E66" s="1"/>
  <c r="E67" s="1"/>
  <c r="E68" s="1"/>
  <c r="E69" s="1"/>
  <c r="E70" s="1"/>
  <c r="E71" s="1"/>
  <c r="E72" s="1"/>
  <c r="E73" s="1"/>
  <c r="E74" s="1"/>
  <c r="D63"/>
  <c r="D64" s="1"/>
  <c r="D65" s="1"/>
  <c r="D66" s="1"/>
  <c r="D67" s="1"/>
  <c r="D68" s="1"/>
  <c r="D69" s="1"/>
  <c r="D70" s="1"/>
  <c r="D71" s="1"/>
  <c r="D72" s="1"/>
  <c r="D73" s="1"/>
  <c r="D74" s="1"/>
  <c r="C63"/>
  <c r="C64" s="1"/>
  <c r="C65" s="1"/>
  <c r="C66" s="1"/>
  <c r="C67" s="1"/>
  <c r="C68" s="1"/>
  <c r="C69" s="1"/>
  <c r="C70" s="1"/>
  <c r="C71" s="1"/>
  <c r="C72" s="1"/>
  <c r="C73" s="1"/>
  <c r="C74" s="1"/>
  <c r="B63"/>
  <c r="B64" s="1"/>
  <c r="I48"/>
  <c r="I49" s="1"/>
  <c r="I50" s="1"/>
  <c r="I51" s="1"/>
  <c r="I52" s="1"/>
  <c r="I53" s="1"/>
  <c r="I54" s="1"/>
  <c r="I55" s="1"/>
  <c r="I56" s="1"/>
  <c r="I57" s="1"/>
  <c r="I58" s="1"/>
  <c r="I59" s="1"/>
  <c r="H48"/>
  <c r="H49" s="1"/>
  <c r="H50" s="1"/>
  <c r="H51" s="1"/>
  <c r="H52" s="1"/>
  <c r="H53" s="1"/>
  <c r="H54" s="1"/>
  <c r="H55" s="1"/>
  <c r="H56" s="1"/>
  <c r="H57" s="1"/>
  <c r="H58" s="1"/>
  <c r="H59" s="1"/>
  <c r="E48"/>
  <c r="E49" s="1"/>
  <c r="E50" s="1"/>
  <c r="E51" s="1"/>
  <c r="E52" s="1"/>
  <c r="E53" s="1"/>
  <c r="E54" s="1"/>
  <c r="E55" s="1"/>
  <c r="E56" s="1"/>
  <c r="E57" s="1"/>
  <c r="E58" s="1"/>
  <c r="E59" s="1"/>
  <c r="D48"/>
  <c r="D49" s="1"/>
  <c r="D50" s="1"/>
  <c r="D51" s="1"/>
  <c r="D52" s="1"/>
  <c r="D53" s="1"/>
  <c r="D54" s="1"/>
  <c r="D55" s="1"/>
  <c r="D56" s="1"/>
  <c r="D57" s="1"/>
  <c r="D58" s="1"/>
  <c r="D59" s="1"/>
  <c r="C48"/>
  <c r="C49" s="1"/>
  <c r="C50" s="1"/>
  <c r="C51" s="1"/>
  <c r="C52" s="1"/>
  <c r="C53" s="1"/>
  <c r="C54" s="1"/>
  <c r="C55" s="1"/>
  <c r="C56" s="1"/>
  <c r="C57" s="1"/>
  <c r="C58" s="1"/>
  <c r="C59" s="1"/>
  <c r="B48"/>
  <c r="I33"/>
  <c r="I34" s="1"/>
  <c r="I35" s="1"/>
  <c r="I36" s="1"/>
  <c r="I37" s="1"/>
  <c r="I38" s="1"/>
  <c r="I39" s="1"/>
  <c r="I40" s="1"/>
  <c r="I41" s="1"/>
  <c r="I42" s="1"/>
  <c r="I43" s="1"/>
  <c r="I44" s="1"/>
  <c r="H33"/>
  <c r="H34" s="1"/>
  <c r="H35" s="1"/>
  <c r="H36" s="1"/>
  <c r="H37" s="1"/>
  <c r="H38" s="1"/>
  <c r="H39" s="1"/>
  <c r="H40" s="1"/>
  <c r="H41" s="1"/>
  <c r="H42" s="1"/>
  <c r="H43" s="1"/>
  <c r="H44" s="1"/>
  <c r="E33"/>
  <c r="E34" s="1"/>
  <c r="E35" s="1"/>
  <c r="E36" s="1"/>
  <c r="E37" s="1"/>
  <c r="E38" s="1"/>
  <c r="E39" s="1"/>
  <c r="E40" s="1"/>
  <c r="E41" s="1"/>
  <c r="E42" s="1"/>
  <c r="E43" s="1"/>
  <c r="E44" s="1"/>
  <c r="D33"/>
  <c r="D34" s="1"/>
  <c r="D35" s="1"/>
  <c r="D36" s="1"/>
  <c r="D37" s="1"/>
  <c r="D38" s="1"/>
  <c r="D39" s="1"/>
  <c r="D40" s="1"/>
  <c r="D41" s="1"/>
  <c r="D42" s="1"/>
  <c r="D43" s="1"/>
  <c r="D44" s="1"/>
  <c r="C33"/>
  <c r="C34" s="1"/>
  <c r="C35" s="1"/>
  <c r="C36" s="1"/>
  <c r="C37" s="1"/>
  <c r="C38" s="1"/>
  <c r="C39" s="1"/>
  <c r="C40" s="1"/>
  <c r="C41" s="1"/>
  <c r="C42" s="1"/>
  <c r="C43" s="1"/>
  <c r="C44" s="1"/>
  <c r="B33"/>
  <c r="B34" s="1"/>
  <c r="I18"/>
  <c r="I19" s="1"/>
  <c r="I20" s="1"/>
  <c r="I21" s="1"/>
  <c r="I22" s="1"/>
  <c r="I23" s="1"/>
  <c r="I24" s="1"/>
  <c r="I25" s="1"/>
  <c r="I26" s="1"/>
  <c r="I27" s="1"/>
  <c r="I28" s="1"/>
  <c r="I29" s="1"/>
  <c r="H18"/>
  <c r="H19" s="1"/>
  <c r="H20" s="1"/>
  <c r="H21" s="1"/>
  <c r="H22" s="1"/>
  <c r="H23" s="1"/>
  <c r="H24" s="1"/>
  <c r="H25" s="1"/>
  <c r="H26" s="1"/>
  <c r="H27" s="1"/>
  <c r="H28" s="1"/>
  <c r="H29" s="1"/>
  <c r="E18"/>
  <c r="E19" s="1"/>
  <c r="E20" s="1"/>
  <c r="E21" s="1"/>
  <c r="E22" s="1"/>
  <c r="E23" s="1"/>
  <c r="E24" s="1"/>
  <c r="E25" s="1"/>
  <c r="E26" s="1"/>
  <c r="E27" s="1"/>
  <c r="E28" s="1"/>
  <c r="E29" s="1"/>
  <c r="D18"/>
  <c r="D19" s="1"/>
  <c r="D20" s="1"/>
  <c r="D21" s="1"/>
  <c r="D22" s="1"/>
  <c r="D23" s="1"/>
  <c r="D24" s="1"/>
  <c r="D25" s="1"/>
  <c r="D26" s="1"/>
  <c r="D27" s="1"/>
  <c r="D28" s="1"/>
  <c r="D29" s="1"/>
  <c r="C18"/>
  <c r="C19" s="1"/>
  <c r="C20" s="1"/>
  <c r="C21" s="1"/>
  <c r="C22" s="1"/>
  <c r="C23" s="1"/>
  <c r="C24" s="1"/>
  <c r="C25" s="1"/>
  <c r="C26" s="1"/>
  <c r="C27" s="1"/>
  <c r="C28" s="1"/>
  <c r="C29" s="1"/>
  <c r="B18"/>
  <c r="C11"/>
  <c r="C10"/>
  <c r="C9"/>
  <c r="G63" s="1"/>
  <c r="B8"/>
  <c r="F78" s="1"/>
  <c r="C7"/>
  <c r="C6"/>
  <c r="C5"/>
  <c r="C4"/>
  <c r="J98" i="2"/>
  <c r="I98"/>
  <c r="G98"/>
  <c r="F98"/>
  <c r="E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C98" s="1"/>
  <c r="B86"/>
  <c r="B98" s="1"/>
  <c r="J81"/>
  <c r="I81"/>
  <c r="G81"/>
  <c r="F81"/>
  <c r="E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C81" s="1"/>
  <c r="B69"/>
  <c r="B81" s="1"/>
  <c r="J64"/>
  <c r="I64"/>
  <c r="G64"/>
  <c r="F64"/>
  <c r="E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C64" s="1"/>
  <c r="B52"/>
  <c r="B64" s="1"/>
  <c r="J48"/>
  <c r="I48"/>
  <c r="G48"/>
  <c r="F48"/>
  <c r="E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B48" s="1"/>
  <c r="J32"/>
  <c r="I32"/>
  <c r="G32"/>
  <c r="F32"/>
  <c r="E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C32" s="1"/>
  <c r="B20"/>
  <c r="B32" s="1"/>
  <c r="B12"/>
  <c r="D12" s="1"/>
  <c r="E12" s="1"/>
  <c r="B11"/>
  <c r="D11" s="1"/>
  <c r="E11" s="1"/>
  <c r="D10"/>
  <c r="E10" s="1"/>
  <c r="C10"/>
  <c r="B9"/>
  <c r="H97" s="1"/>
  <c r="D8"/>
  <c r="E8" s="1"/>
  <c r="C8"/>
  <c r="D7"/>
  <c r="E7" s="1"/>
  <c r="C7"/>
  <c r="D5"/>
  <c r="E5" s="1"/>
  <c r="C5"/>
  <c r="D4"/>
  <c r="E4" s="1"/>
  <c r="C4"/>
  <c r="D12" i="1"/>
  <c r="E13" s="1"/>
  <c r="C48" i="2" l="1"/>
  <c r="C11" i="8"/>
  <c r="D11"/>
  <c r="D7"/>
  <c r="D8" s="1"/>
  <c r="E7"/>
  <c r="E8" s="1"/>
  <c r="E14" s="1"/>
  <c r="G7"/>
  <c r="G8" s="1"/>
  <c r="G14" s="1"/>
  <c r="I7"/>
  <c r="I8" s="1"/>
  <c r="I14" s="1"/>
  <c r="K7"/>
  <c r="K8" s="1"/>
  <c r="K14" s="1"/>
  <c r="M7"/>
  <c r="M8" s="1"/>
  <c r="M14" s="1"/>
  <c r="F7"/>
  <c r="F8" s="1"/>
  <c r="F14" s="1"/>
  <c r="H7"/>
  <c r="H8" s="1"/>
  <c r="H14" s="1"/>
  <c r="J7"/>
  <c r="J8" s="1"/>
  <c r="J14" s="1"/>
  <c r="L7"/>
  <c r="L8" s="1"/>
  <c r="L14" s="1"/>
  <c r="N7"/>
  <c r="N8" s="1"/>
  <c r="N14" s="1"/>
  <c r="G16" i="4"/>
  <c r="E16"/>
  <c r="C17" i="7"/>
  <c r="E11" i="1"/>
  <c r="J11" s="1"/>
  <c r="E9"/>
  <c r="J9" s="1"/>
  <c r="E7"/>
  <c r="J7" s="1"/>
  <c r="E10"/>
  <c r="J10" s="1"/>
  <c r="E8"/>
  <c r="J8" s="1"/>
  <c r="E6"/>
  <c r="J6" s="1"/>
  <c r="E40" i="9"/>
  <c r="C91" s="1"/>
  <c r="C92" s="1"/>
  <c r="C12" i="2"/>
  <c r="C11"/>
  <c r="B35" i="3"/>
  <c r="B65"/>
  <c r="G18"/>
  <c r="B19"/>
  <c r="F19"/>
  <c r="F20"/>
  <c r="F21"/>
  <c r="F22"/>
  <c r="F23"/>
  <c r="F24"/>
  <c r="F25"/>
  <c r="F26"/>
  <c r="F27"/>
  <c r="F28"/>
  <c r="F29"/>
  <c r="F33"/>
  <c r="G48"/>
  <c r="B49"/>
  <c r="F49"/>
  <c r="F50"/>
  <c r="F51"/>
  <c r="F52"/>
  <c r="F53"/>
  <c r="F54"/>
  <c r="F55"/>
  <c r="F56"/>
  <c r="F57"/>
  <c r="F58"/>
  <c r="F59"/>
  <c r="F63"/>
  <c r="J63" s="1"/>
  <c r="G78"/>
  <c r="J78" s="1"/>
  <c r="B79"/>
  <c r="F79"/>
  <c r="F80"/>
  <c r="F81"/>
  <c r="F82"/>
  <c r="F83"/>
  <c r="F84"/>
  <c r="F85"/>
  <c r="F86"/>
  <c r="F87"/>
  <c r="F88"/>
  <c r="F89"/>
  <c r="C8"/>
  <c r="C12" s="1"/>
  <c r="F18"/>
  <c r="J18" s="1"/>
  <c r="G33"/>
  <c r="J33" s="1"/>
  <c r="F34"/>
  <c r="J34" s="1"/>
  <c r="F35"/>
  <c r="F36"/>
  <c r="F37"/>
  <c r="F38"/>
  <c r="F39"/>
  <c r="F40"/>
  <c r="F41"/>
  <c r="F42"/>
  <c r="F43"/>
  <c r="F44"/>
  <c r="F48"/>
  <c r="J48" s="1"/>
  <c r="F64"/>
  <c r="J64" s="1"/>
  <c r="F65"/>
  <c r="F66"/>
  <c r="F67"/>
  <c r="F68"/>
  <c r="F69"/>
  <c r="F70"/>
  <c r="F71"/>
  <c r="F72"/>
  <c r="F73"/>
  <c r="F74"/>
  <c r="K97" i="2"/>
  <c r="C9"/>
  <c r="H36"/>
  <c r="K36" s="1"/>
  <c r="H37"/>
  <c r="K37" s="1"/>
  <c r="H38"/>
  <c r="K38" s="1"/>
  <c r="H39"/>
  <c r="K39" s="1"/>
  <c r="H40"/>
  <c r="K40" s="1"/>
  <c r="H41"/>
  <c r="K41" s="1"/>
  <c r="H42"/>
  <c r="K42" s="1"/>
  <c r="H43"/>
  <c r="K43" s="1"/>
  <c r="H44"/>
  <c r="K44" s="1"/>
  <c r="H45"/>
  <c r="K45" s="1"/>
  <c r="H46"/>
  <c r="K46" s="1"/>
  <c r="H47"/>
  <c r="K47" s="1"/>
  <c r="H69"/>
  <c r="K69" s="1"/>
  <c r="H70"/>
  <c r="K70" s="1"/>
  <c r="H71"/>
  <c r="K71" s="1"/>
  <c r="H72"/>
  <c r="K72" s="1"/>
  <c r="H73"/>
  <c r="K73" s="1"/>
  <c r="H74"/>
  <c r="K74" s="1"/>
  <c r="H75"/>
  <c r="K75" s="1"/>
  <c r="H76"/>
  <c r="K76" s="1"/>
  <c r="H77"/>
  <c r="K77" s="1"/>
  <c r="H78"/>
  <c r="K78" s="1"/>
  <c r="H79"/>
  <c r="K79" s="1"/>
  <c r="H80"/>
  <c r="K80" s="1"/>
  <c r="D9"/>
  <c r="E9" s="1"/>
  <c r="H20"/>
  <c r="H21"/>
  <c r="K21" s="1"/>
  <c r="H22"/>
  <c r="K22" s="1"/>
  <c r="H23"/>
  <c r="K23" s="1"/>
  <c r="H24"/>
  <c r="K24" s="1"/>
  <c r="H25"/>
  <c r="K25" s="1"/>
  <c r="H26"/>
  <c r="K26" s="1"/>
  <c r="H27"/>
  <c r="K27" s="1"/>
  <c r="H28"/>
  <c r="K28" s="1"/>
  <c r="H29"/>
  <c r="K29" s="1"/>
  <c r="H30"/>
  <c r="K30" s="1"/>
  <c r="H31"/>
  <c r="K31" s="1"/>
  <c r="H52"/>
  <c r="H53"/>
  <c r="K53" s="1"/>
  <c r="H54"/>
  <c r="K54" s="1"/>
  <c r="H55"/>
  <c r="K55" s="1"/>
  <c r="H56"/>
  <c r="K56" s="1"/>
  <c r="H57"/>
  <c r="K57" s="1"/>
  <c r="H58"/>
  <c r="K58" s="1"/>
  <c r="H59"/>
  <c r="K59" s="1"/>
  <c r="H60"/>
  <c r="K60" s="1"/>
  <c r="H61"/>
  <c r="K61" s="1"/>
  <c r="H62"/>
  <c r="K62" s="1"/>
  <c r="H63"/>
  <c r="K63" s="1"/>
  <c r="H86"/>
  <c r="H87"/>
  <c r="K87" s="1"/>
  <c r="H88"/>
  <c r="K88" s="1"/>
  <c r="H89"/>
  <c r="K89" s="1"/>
  <c r="H90"/>
  <c r="K90" s="1"/>
  <c r="H91"/>
  <c r="K91" s="1"/>
  <c r="H92"/>
  <c r="K92" s="1"/>
  <c r="H93"/>
  <c r="K93" s="1"/>
  <c r="H94"/>
  <c r="K94" s="1"/>
  <c r="H95"/>
  <c r="K95" s="1"/>
  <c r="H96"/>
  <c r="K96" s="1"/>
  <c r="G13" i="1"/>
  <c r="G11" s="1"/>
  <c r="L11" s="1"/>
  <c r="F13"/>
  <c r="F9" s="1"/>
  <c r="K9" s="1"/>
  <c r="O8" i="8" l="1"/>
  <c r="C14" i="2"/>
  <c r="F10" i="1"/>
  <c r="K10" s="1"/>
  <c r="F8"/>
  <c r="K8" s="1"/>
  <c r="G6"/>
  <c r="L6" s="1"/>
  <c r="G9"/>
  <c r="L9" s="1"/>
  <c r="G7"/>
  <c r="L7" s="1"/>
  <c r="G10"/>
  <c r="L10" s="1"/>
  <c r="G8"/>
  <c r="L8" s="1"/>
  <c r="F7"/>
  <c r="K7" s="1"/>
  <c r="F11"/>
  <c r="K11" s="1"/>
  <c r="J12"/>
  <c r="F32" i="9"/>
  <c r="C75"/>
  <c r="C76" s="1"/>
  <c r="F33"/>
  <c r="F31"/>
  <c r="C59"/>
  <c r="C60" s="1"/>
  <c r="E74"/>
  <c r="E58"/>
  <c r="C18" i="7"/>
  <c r="J79" i="3"/>
  <c r="B80"/>
  <c r="J19"/>
  <c r="B20"/>
  <c r="B66"/>
  <c r="J65"/>
  <c r="B36"/>
  <c r="J35"/>
  <c r="J49"/>
  <c r="B50"/>
  <c r="N91" i="2"/>
  <c r="L91"/>
  <c r="M91"/>
  <c r="N96"/>
  <c r="L96"/>
  <c r="M96"/>
  <c r="N94"/>
  <c r="L94"/>
  <c r="M94"/>
  <c r="N92"/>
  <c r="L92"/>
  <c r="M92"/>
  <c r="N90"/>
  <c r="L90"/>
  <c r="M90"/>
  <c r="N88"/>
  <c r="L88"/>
  <c r="M88"/>
  <c r="N62"/>
  <c r="L62"/>
  <c r="M62"/>
  <c r="N60"/>
  <c r="L60"/>
  <c r="M60"/>
  <c r="N58"/>
  <c r="L58"/>
  <c r="M58"/>
  <c r="N56"/>
  <c r="L56"/>
  <c r="M56"/>
  <c r="N54"/>
  <c r="L54"/>
  <c r="M54"/>
  <c r="N31"/>
  <c r="L31"/>
  <c r="M31"/>
  <c r="N29"/>
  <c r="L29"/>
  <c r="M29"/>
  <c r="N27"/>
  <c r="L27"/>
  <c r="M27"/>
  <c r="N25"/>
  <c r="L25"/>
  <c r="M25"/>
  <c r="N23"/>
  <c r="L23"/>
  <c r="M23"/>
  <c r="N21"/>
  <c r="L21"/>
  <c r="M21"/>
  <c r="M79"/>
  <c r="N79"/>
  <c r="L79"/>
  <c r="O79" s="1"/>
  <c r="M77"/>
  <c r="N77"/>
  <c r="L77"/>
  <c r="M75"/>
  <c r="N75"/>
  <c r="L75"/>
  <c r="O75" s="1"/>
  <c r="M73"/>
  <c r="N73"/>
  <c r="L73"/>
  <c r="M71"/>
  <c r="N71"/>
  <c r="L71"/>
  <c r="O71" s="1"/>
  <c r="M69"/>
  <c r="M81" s="1"/>
  <c r="N69"/>
  <c r="N81" s="1"/>
  <c r="L69"/>
  <c r="M46"/>
  <c r="N46"/>
  <c r="L46"/>
  <c r="O46" s="1"/>
  <c r="M44"/>
  <c r="N44"/>
  <c r="L44"/>
  <c r="M42"/>
  <c r="N42"/>
  <c r="L42"/>
  <c r="O42" s="1"/>
  <c r="M40"/>
  <c r="N40"/>
  <c r="L40"/>
  <c r="M38"/>
  <c r="N38"/>
  <c r="L38"/>
  <c r="O38" s="1"/>
  <c r="N95"/>
  <c r="L95"/>
  <c r="M95"/>
  <c r="N93"/>
  <c r="L93"/>
  <c r="M93"/>
  <c r="N89"/>
  <c r="L89"/>
  <c r="M89"/>
  <c r="N87"/>
  <c r="L87"/>
  <c r="M87"/>
  <c r="N63"/>
  <c r="L63"/>
  <c r="M63"/>
  <c r="N61"/>
  <c r="L61"/>
  <c r="M61"/>
  <c r="N59"/>
  <c r="L59"/>
  <c r="M59"/>
  <c r="N57"/>
  <c r="L57"/>
  <c r="M57"/>
  <c r="N55"/>
  <c r="L55"/>
  <c r="M55"/>
  <c r="N53"/>
  <c r="L53"/>
  <c r="M53"/>
  <c r="N30"/>
  <c r="L30"/>
  <c r="M30"/>
  <c r="N28"/>
  <c r="L28"/>
  <c r="M28"/>
  <c r="N26"/>
  <c r="L26"/>
  <c r="M26"/>
  <c r="N24"/>
  <c r="L24"/>
  <c r="M24"/>
  <c r="N22"/>
  <c r="L22"/>
  <c r="M22"/>
  <c r="M80"/>
  <c r="N80"/>
  <c r="L80"/>
  <c r="O80" s="1"/>
  <c r="M78"/>
  <c r="N78"/>
  <c r="L78"/>
  <c r="M76"/>
  <c r="N76"/>
  <c r="L76"/>
  <c r="O76" s="1"/>
  <c r="M74"/>
  <c r="N74"/>
  <c r="L74"/>
  <c r="M72"/>
  <c r="N72"/>
  <c r="L72"/>
  <c r="O72" s="1"/>
  <c r="M70"/>
  <c r="N70"/>
  <c r="L70"/>
  <c r="M47"/>
  <c r="N47"/>
  <c r="L47"/>
  <c r="O47" s="1"/>
  <c r="M45"/>
  <c r="N45"/>
  <c r="L45"/>
  <c r="M43"/>
  <c r="N43"/>
  <c r="L43"/>
  <c r="O43" s="1"/>
  <c r="M41"/>
  <c r="N41"/>
  <c r="L41"/>
  <c r="M39"/>
  <c r="N39"/>
  <c r="L39"/>
  <c r="O39" s="1"/>
  <c r="M37"/>
  <c r="N37"/>
  <c r="L37"/>
  <c r="N97"/>
  <c r="L97"/>
  <c r="M97"/>
  <c r="H64"/>
  <c r="K64" s="1"/>
  <c r="K52"/>
  <c r="H48"/>
  <c r="K48" s="1"/>
  <c r="M36"/>
  <c r="M48" s="1"/>
  <c r="N36"/>
  <c r="N48" s="1"/>
  <c r="L36"/>
  <c r="H98"/>
  <c r="K98" s="1"/>
  <c r="H32"/>
  <c r="K32" s="1"/>
  <c r="K86"/>
  <c r="H81"/>
  <c r="K81" s="1"/>
  <c r="K20"/>
  <c r="F6" i="1"/>
  <c r="K6" s="1"/>
  <c r="K12" s="1"/>
  <c r="H13"/>
  <c r="I13"/>
  <c r="O55" i="2" l="1"/>
  <c r="O59"/>
  <c r="O89"/>
  <c r="O95"/>
  <c r="O91"/>
  <c r="L12" i="1"/>
  <c r="K14"/>
  <c r="K16"/>
  <c r="J14"/>
  <c r="J16"/>
  <c r="F58" i="9"/>
  <c r="F74"/>
  <c r="C10" i="7"/>
  <c r="O56" i="2"/>
  <c r="O60"/>
  <c r="O88"/>
  <c r="O92"/>
  <c r="O69"/>
  <c r="O63"/>
  <c r="O27"/>
  <c r="O22"/>
  <c r="O26"/>
  <c r="O30"/>
  <c r="O31"/>
  <c r="O21"/>
  <c r="O25"/>
  <c r="O29"/>
  <c r="O54"/>
  <c r="O58"/>
  <c r="O62"/>
  <c r="O90"/>
  <c r="O94"/>
  <c r="O97"/>
  <c r="O37"/>
  <c r="O41"/>
  <c r="O45"/>
  <c r="O70"/>
  <c r="O74"/>
  <c r="O78"/>
  <c r="O24"/>
  <c r="O28"/>
  <c r="O53"/>
  <c r="O57"/>
  <c r="O61"/>
  <c r="O87"/>
  <c r="O93"/>
  <c r="O40"/>
  <c r="O44"/>
  <c r="O73"/>
  <c r="O77"/>
  <c r="O23"/>
  <c r="O96"/>
  <c r="B37" i="3"/>
  <c r="J36"/>
  <c r="B67"/>
  <c r="J66"/>
  <c r="J50"/>
  <c r="B51"/>
  <c r="J20"/>
  <c r="B21"/>
  <c r="J80"/>
  <c r="B81"/>
  <c r="L81" i="2"/>
  <c r="O81" s="1"/>
  <c r="E102" s="1"/>
  <c r="L32"/>
  <c r="L48"/>
  <c r="O48" s="1"/>
  <c r="C102" s="1"/>
  <c r="L64"/>
  <c r="N20"/>
  <c r="N32" s="1"/>
  <c r="L20"/>
  <c r="M20"/>
  <c r="M32" s="1"/>
  <c r="N86"/>
  <c r="N98" s="1"/>
  <c r="L86"/>
  <c r="M86"/>
  <c r="M98" s="1"/>
  <c r="L98"/>
  <c r="N52"/>
  <c r="N64" s="1"/>
  <c r="L52"/>
  <c r="M52"/>
  <c r="M64" s="1"/>
  <c r="O36"/>
  <c r="H10" i="1"/>
  <c r="M10" s="1"/>
  <c r="H6"/>
  <c r="M6" s="1"/>
  <c r="H9"/>
  <c r="M9" s="1"/>
  <c r="H8"/>
  <c r="M8" s="1"/>
  <c r="H11"/>
  <c r="M11" s="1"/>
  <c r="H7"/>
  <c r="M7" s="1"/>
  <c r="I10"/>
  <c r="N10" s="1"/>
  <c r="I6"/>
  <c r="N6" s="1"/>
  <c r="I9"/>
  <c r="N9" s="1"/>
  <c r="I8"/>
  <c r="N8" s="1"/>
  <c r="I11"/>
  <c r="N11" s="1"/>
  <c r="I7"/>
  <c r="N7" s="1"/>
  <c r="L16" l="1"/>
  <c r="C33" i="9"/>
  <c r="O98" i="2"/>
  <c r="F102" s="1"/>
  <c r="L14" i="1"/>
  <c r="M12"/>
  <c r="N12"/>
  <c r="G74" i="9"/>
  <c r="G58"/>
  <c r="O86" i="2"/>
  <c r="O52"/>
  <c r="O32"/>
  <c r="B102" s="1"/>
  <c r="B104" s="1"/>
  <c r="O20"/>
  <c r="O64"/>
  <c r="D102" s="1"/>
  <c r="B68" i="3"/>
  <c r="J67"/>
  <c r="B38"/>
  <c r="J37"/>
  <c r="J81"/>
  <c r="B82"/>
  <c r="J21"/>
  <c r="B22"/>
  <c r="J51"/>
  <c r="B52"/>
  <c r="C10" i="8" l="1"/>
  <c r="D10"/>
  <c r="M14" i="1"/>
  <c r="M16"/>
  <c r="N16"/>
  <c r="N14"/>
  <c r="H58" i="9"/>
  <c r="H74"/>
  <c r="J52" i="3"/>
  <c r="B53"/>
  <c r="J22"/>
  <c r="B23"/>
  <c r="B39"/>
  <c r="J38"/>
  <c r="B69"/>
  <c r="J68"/>
  <c r="J82"/>
  <c r="B83"/>
  <c r="J23" l="1"/>
  <c r="B24"/>
  <c r="J53"/>
  <c r="B54"/>
  <c r="J83"/>
  <c r="B84"/>
  <c r="B70"/>
  <c r="J69"/>
  <c r="B40"/>
  <c r="J39"/>
  <c r="J84" l="1"/>
  <c r="B85"/>
  <c r="J54"/>
  <c r="B55"/>
  <c r="J24"/>
  <c r="B25"/>
  <c r="B41"/>
  <c r="J40"/>
  <c r="B71"/>
  <c r="J70"/>
  <c r="B72" l="1"/>
  <c r="J71"/>
  <c r="B42"/>
  <c r="J41"/>
  <c r="J25"/>
  <c r="B26"/>
  <c r="J55"/>
  <c r="B56"/>
  <c r="J85"/>
  <c r="B86"/>
  <c r="J86" l="1"/>
  <c r="B87"/>
  <c r="J56"/>
  <c r="B57"/>
  <c r="J26"/>
  <c r="B27"/>
  <c r="B43"/>
  <c r="J42"/>
  <c r="B73"/>
  <c r="J72"/>
  <c r="J27" l="1"/>
  <c r="B28"/>
  <c r="J57"/>
  <c r="B58"/>
  <c r="J87"/>
  <c r="B88"/>
  <c r="B74"/>
  <c r="J74" s="1"/>
  <c r="J73"/>
  <c r="B44"/>
  <c r="J44" s="1"/>
  <c r="J43"/>
  <c r="J88" l="1"/>
  <c r="B89"/>
  <c r="J89" s="1"/>
  <c r="F94" s="1"/>
  <c r="J28"/>
  <c r="B29"/>
  <c r="J29" s="1"/>
  <c r="B94" s="1"/>
  <c r="C94"/>
  <c r="E94"/>
  <c r="J58"/>
  <c r="B59"/>
  <c r="J59" s="1"/>
  <c r="D94" s="1"/>
  <c r="D95" l="1"/>
  <c r="D33" i="9" s="1"/>
  <c r="D98" i="3"/>
  <c r="E95"/>
  <c r="E98"/>
  <c r="C95"/>
  <c r="C98"/>
  <c r="B95"/>
  <c r="D31" i="9" s="1"/>
  <c r="B98" i="3"/>
  <c r="F95"/>
  <c r="D32" i="9" s="1"/>
  <c r="F98" i="3"/>
  <c r="C12" i="8" l="1"/>
  <c r="C13" s="1"/>
  <c r="D12"/>
  <c r="D13" s="1"/>
  <c r="D14" s="1"/>
  <c r="D51" i="9"/>
  <c r="D54" s="1"/>
  <c r="E83"/>
  <c r="E86" s="1"/>
  <c r="E87" s="1"/>
  <c r="E88" s="1"/>
  <c r="E89" s="1"/>
  <c r="E92" s="1"/>
  <c r="G83"/>
  <c r="G86" s="1"/>
  <c r="F83"/>
  <c r="F86" s="1"/>
  <c r="H83"/>
  <c r="H86" s="1"/>
  <c r="D83"/>
  <c r="D86" s="1"/>
  <c r="E51"/>
  <c r="E54" s="1"/>
  <c r="E55" s="1"/>
  <c r="E56" s="1"/>
  <c r="E57" s="1"/>
  <c r="E60" s="1"/>
  <c r="G51"/>
  <c r="G54" s="1"/>
  <c r="E67"/>
  <c r="E70" s="1"/>
  <c r="E71" s="1"/>
  <c r="E72" s="1"/>
  <c r="E73" s="1"/>
  <c r="E76" s="1"/>
  <c r="G67"/>
  <c r="G70" s="1"/>
  <c r="F51"/>
  <c r="F54" s="1"/>
  <c r="H51"/>
  <c r="H54" s="1"/>
  <c r="H55" s="1"/>
  <c r="H56" s="1"/>
  <c r="H57" s="1"/>
  <c r="H60" s="1"/>
  <c r="D67"/>
  <c r="D70" s="1"/>
  <c r="F67"/>
  <c r="F70" s="1"/>
  <c r="H67"/>
  <c r="H70" s="1"/>
  <c r="H71" s="1"/>
  <c r="H72" s="1"/>
  <c r="H73" s="1"/>
  <c r="H76" s="1"/>
  <c r="F71" l="1"/>
  <c r="F72" s="1"/>
  <c r="F73" s="1"/>
  <c r="F76" s="1"/>
  <c r="D71"/>
  <c r="D72" s="1"/>
  <c r="D73" s="1"/>
  <c r="D76" s="1"/>
  <c r="F55"/>
  <c r="F56" s="1"/>
  <c r="F57" s="1"/>
  <c r="F60" s="1"/>
  <c r="G71"/>
  <c r="G72" s="1"/>
  <c r="G73" s="1"/>
  <c r="G76" s="1"/>
  <c r="G55"/>
  <c r="G56" s="1"/>
  <c r="G57" s="1"/>
  <c r="G60" s="1"/>
  <c r="D87"/>
  <c r="D88" s="1"/>
  <c r="H87"/>
  <c r="H88" s="1"/>
  <c r="F87"/>
  <c r="F88" s="1"/>
  <c r="G87"/>
  <c r="G88" s="1"/>
  <c r="D55"/>
  <c r="D56" s="1"/>
  <c r="D57" s="1"/>
  <c r="D60" s="1"/>
  <c r="O13" i="8"/>
  <c r="O15" s="1"/>
  <c r="C14"/>
  <c r="G89" i="9" l="1"/>
  <c r="G92" s="1"/>
  <c r="F89"/>
  <c r="F92" s="1"/>
  <c r="H89"/>
  <c r="H92" s="1"/>
  <c r="D89"/>
  <c r="D92" s="1"/>
  <c r="C15" i="8"/>
  <c r="O14"/>
  <c r="C19" l="1"/>
  <c r="D15"/>
  <c r="E15" s="1"/>
  <c r="F15" s="1"/>
  <c r="G15" s="1"/>
  <c r="H15" s="1"/>
  <c r="I15" s="1"/>
  <c r="J15" s="1"/>
  <c r="K15" s="1"/>
  <c r="L15" s="1"/>
  <c r="M15" s="1"/>
  <c r="N15" s="1"/>
  <c r="C25" i="5" s="1"/>
  <c r="C28" l="1"/>
  <c r="H25"/>
  <c r="H28" s="1"/>
</calcChain>
</file>

<file path=xl/sharedStrings.xml><?xml version="1.0" encoding="utf-8"?>
<sst xmlns="http://schemas.openxmlformats.org/spreadsheetml/2006/main" count="682" uniqueCount="300">
  <si>
    <t>COSTOS ADMINISTRATIVOS</t>
  </si>
  <si>
    <t>TOTAL</t>
  </si>
  <si>
    <t>Recepcionista</t>
  </si>
  <si>
    <t>Gerente General y Administrativo</t>
  </si>
  <si>
    <t>PROYECCION DE COSTOS ADMINISTRATIVOS</t>
  </si>
  <si>
    <t>AÑO 1</t>
  </si>
  <si>
    <t>AÑO 2</t>
  </si>
  <si>
    <t>AÑO 3</t>
  </si>
  <si>
    <t>AÑO 4</t>
  </si>
  <si>
    <t>AÑO 5</t>
  </si>
  <si>
    <t>PARTICIPACION DEL MERCADO</t>
  </si>
  <si>
    <t xml:space="preserve">DEMANDA ANNUAL </t>
  </si>
  <si>
    <t>Agricultura,Ganadería,Caza y Silvicultura</t>
  </si>
  <si>
    <t>Pesca</t>
  </si>
  <si>
    <t>Explotación de Minas y Canteras</t>
  </si>
  <si>
    <t>Industrias Manufactureras</t>
  </si>
  <si>
    <t>Suministros de Electricidad, Gas y Agua</t>
  </si>
  <si>
    <t>Construcción</t>
  </si>
  <si>
    <t>NUMERO DE EMPRESAS</t>
  </si>
  <si>
    <t>CRITERIOS DE CRECIMIENTO ANNUAL</t>
  </si>
  <si>
    <t>2 VENDEDORES</t>
  </si>
  <si>
    <t>6 EMPRESAS INICIALMENTE</t>
  </si>
  <si>
    <t>CREMIENTO ANNUAL DEL 50%</t>
  </si>
  <si>
    <t>MENSUAL</t>
  </si>
  <si>
    <t>ANUAL</t>
  </si>
  <si>
    <t>IESS</t>
  </si>
  <si>
    <t>NETO A RECIBIR</t>
  </si>
  <si>
    <t>Responsable de Logísitica</t>
  </si>
  <si>
    <t>Responsable de Compras</t>
  </si>
  <si>
    <t>Encargado de Ventas</t>
  </si>
  <si>
    <t>Vendedores (2)</t>
  </si>
  <si>
    <t xml:space="preserve">Personal de limpieza </t>
  </si>
  <si>
    <t>Personal operativo (2)</t>
  </si>
  <si>
    <t xml:space="preserve"> </t>
  </si>
  <si>
    <t>TOTAL COSTOS ADMINISTRATIVOS</t>
  </si>
  <si>
    <t>Periodo</t>
  </si>
  <si>
    <t>Responsable de Logisitca</t>
  </si>
  <si>
    <t>Gte. General y Adm.</t>
  </si>
  <si>
    <t>Aporte al IESS</t>
  </si>
  <si>
    <t>Décimo 3ero</t>
  </si>
  <si>
    <t>Décimo 4to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</si>
  <si>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</si>
  <si>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</si>
  <si>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</si>
  <si>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</si>
  <si>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</si>
  <si>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</si>
  <si>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</si>
  <si>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</si>
  <si>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</si>
  <si>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</si>
  <si>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</si>
  <si>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</si>
  <si>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GASTO ANUAL </t>
  </si>
  <si>
    <t xml:space="preserve">TOTAL </t>
  </si>
  <si>
    <t>Costos Fijos Administrativos</t>
  </si>
  <si>
    <t>OTROS COSTOS FIJOS</t>
  </si>
  <si>
    <t xml:space="preserve">ARRIENDO </t>
  </si>
  <si>
    <t>AGUA POTABLE</t>
  </si>
  <si>
    <t>ENERGÍA ELÉCTRICA</t>
  </si>
  <si>
    <t>SERVICIO TELEFÓNICO</t>
  </si>
  <si>
    <t>SERVICIO DE INTERNET</t>
  </si>
  <si>
    <t>HOSTING DE INTERNET ANUAL</t>
  </si>
  <si>
    <t>-</t>
  </si>
  <si>
    <t>SUMINISTROS OFICINA</t>
  </si>
  <si>
    <t xml:space="preserve">TELEMERCADEO </t>
  </si>
  <si>
    <t>COSTOS FIJOS ANUALES</t>
  </si>
  <si>
    <t>PROYECCION DE COSTOS FIJOS</t>
  </si>
  <si>
    <t>PUBLICIDAD</t>
  </si>
  <si>
    <t>Otros Costos Fijos</t>
  </si>
  <si>
    <t>Costos Fijos Totales</t>
  </si>
  <si>
    <t xml:space="preserve">CAPITAL DE TRABAJO POR METODO DEL DEFICIT ACUMULADO MAXIMO  </t>
  </si>
  <si>
    <t>INGRESOS</t>
  </si>
  <si>
    <t>ENERO</t>
  </si>
  <si>
    <t>FEBRERO</t>
  </si>
  <si>
    <t xml:space="preserve">MARZO </t>
  </si>
  <si>
    <t>ABRIL</t>
  </si>
  <si>
    <t>MAYO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</si>
  <si>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</si>
  <si>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</si>
  <si>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</si>
  <si>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</si>
  <si>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</si>
  <si>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</si>
  <si>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</si>
  <si>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>TOTAL INGRESOS</t>
  </si>
  <si>
    <t>EGRESOS</t>
  </si>
  <si>
    <t>Costos Administrativos</t>
  </si>
  <si>
    <t>TOTAL EGRESOS</t>
  </si>
  <si>
    <t xml:space="preserve">SALDO MENSUAL </t>
  </si>
  <si>
    <t xml:space="preserve">SALDO ACUMULADO </t>
  </si>
  <si>
    <t xml:space="preserve">Negocio Propio </t>
  </si>
  <si>
    <t xml:space="preserve">INGRESOS ANUALES NETOS POR LA VENTA DEL SERVICIO </t>
  </si>
  <si>
    <t>HONORARIOS PROFESIONALES</t>
  </si>
  <si>
    <t xml:space="preserve">AÑO 0 </t>
  </si>
  <si>
    <t>B</t>
  </si>
  <si>
    <t>NUMERO DE IMPORTACIONES AL AÑO</t>
  </si>
  <si>
    <t xml:space="preserve">DEMANDA PROYECTADA POR EMPRESAS </t>
  </si>
  <si>
    <t>DEMANDA PROYECTADA POR IMPORTACIONES</t>
  </si>
  <si>
    <t>Asistente de logistica (2)</t>
  </si>
  <si>
    <t>Asistente de Logística</t>
  </si>
  <si>
    <t>Ingreso mensual del 1er año</t>
  </si>
  <si>
    <t>DESPACHADOR DE ADUANAS</t>
  </si>
  <si>
    <t>EMBARCADOR</t>
  </si>
  <si>
    <t xml:space="preserve">AGENTE INTERNACIONAL </t>
  </si>
  <si>
    <t xml:space="preserve">POR IMPORTACION </t>
  </si>
  <si>
    <t>Capital de Trabajo</t>
  </si>
  <si>
    <t>Gestión Operacional</t>
  </si>
  <si>
    <t>Asesoría</t>
  </si>
  <si>
    <t>ESTIMACIÓN DEMANDA PROYECTADA A 5 AÑOS</t>
  </si>
  <si>
    <t>DEMANDA ANUAL</t>
  </si>
  <si>
    <t>DEMANDA INICIAL:</t>
  </si>
  <si>
    <t>del Total anual</t>
  </si>
  <si>
    <t>Por lo tanto el costo variable sería:</t>
  </si>
  <si>
    <t>Opción tecnológica</t>
  </si>
  <si>
    <t>Capacidad producción</t>
  </si>
  <si>
    <t>Costo fijo anual *</t>
  </si>
  <si>
    <t>Costo variable***</t>
  </si>
  <si>
    <t>Inversión**</t>
  </si>
  <si>
    <t>A</t>
  </si>
  <si>
    <t>C</t>
  </si>
  <si>
    <t>* Arriendo, servicios básicos y sueldos personal administrativo</t>
  </si>
  <si>
    <t xml:space="preserve">**Inversión Inicial </t>
  </si>
  <si>
    <t>Máquinas y equipos</t>
  </si>
  <si>
    <t>Gastos de Constitución</t>
  </si>
  <si>
    <t>Total I.I.</t>
  </si>
  <si>
    <t>*Ingresos:</t>
  </si>
  <si>
    <t>Estudio de los ingresos en base a la investigación de mercados</t>
  </si>
  <si>
    <t>Años</t>
  </si>
  <si>
    <t>Producción</t>
  </si>
  <si>
    <t>Ingresos</t>
  </si>
  <si>
    <t>Costos Fijos (-)</t>
  </si>
  <si>
    <t>Costos Variables (-)</t>
  </si>
  <si>
    <t>Depreciación (-)</t>
  </si>
  <si>
    <t>UAI</t>
  </si>
  <si>
    <t>Participación Trabajadores (15%)</t>
  </si>
  <si>
    <t>Impuestos 25% (-)</t>
  </si>
  <si>
    <t>UDI</t>
  </si>
  <si>
    <t>Depreciación (+)</t>
  </si>
  <si>
    <t>Inversión (-)</t>
  </si>
  <si>
    <t>Flujo Anual</t>
  </si>
  <si>
    <t>Ingresos*</t>
  </si>
  <si>
    <t xml:space="preserve">INGRESO ANUAL </t>
  </si>
  <si>
    <t>ESTIMACIÓN DEMANDA :</t>
  </si>
  <si>
    <t>En base al experiencia del mercado exterior y  a los baja arancelaria en apoyo a la producción nacional esta se espera un crecimiento del:</t>
  </si>
  <si>
    <t xml:space="preserve">Los costos variables representados por los costos de pagos a nuestros proveedores tales como: </t>
  </si>
  <si>
    <t>importaciones año 2</t>
  </si>
  <si>
    <t>Gastos de Puesta en Marcha</t>
  </si>
  <si>
    <t>ALTERNATIVA A: Importación de 576</t>
  </si>
  <si>
    <t>Importaciones</t>
  </si>
  <si>
    <t xml:space="preserve">ESTIMADO MENSUAL </t>
  </si>
  <si>
    <t xml:space="preserve">COSTOS VARIABLES DE LA OPERACION </t>
  </si>
  <si>
    <t>COSTOS VARIABLES</t>
  </si>
  <si>
    <t>ESTIMADO SEMANAL</t>
  </si>
  <si>
    <t xml:space="preserve">ESTIMADO DIARIO </t>
  </si>
  <si>
    <t>FLUJO CAJA PROYECTADO</t>
  </si>
  <si>
    <t>INVERSION INICIAL</t>
  </si>
  <si>
    <t>Año 1</t>
  </si>
  <si>
    <t>Año 2</t>
  </si>
  <si>
    <t>Año 3</t>
  </si>
  <si>
    <t>Año 4</t>
  </si>
  <si>
    <t>Año 5</t>
  </si>
  <si>
    <t xml:space="preserve">INGRESOS </t>
  </si>
  <si>
    <t xml:space="preserve">   VENTAS AL CONTADO</t>
  </si>
  <si>
    <t xml:space="preserve">TOTAL INGRESOS </t>
  </si>
  <si>
    <t xml:space="preserve">EGRESOS </t>
  </si>
  <si>
    <t>GASTOS ADMINISTRATIVOS</t>
  </si>
  <si>
    <t>OTROS GASTOS FIJOS</t>
  </si>
  <si>
    <t>Gastos Financieros</t>
  </si>
  <si>
    <t xml:space="preserve">Depreciacion </t>
  </si>
  <si>
    <t xml:space="preserve">TOTAL EGRESOS </t>
  </si>
  <si>
    <t>PARTICIPACION DE LOS TRABAJADORES (15%)</t>
  </si>
  <si>
    <t>IMPUESTOS (25%)</t>
  </si>
  <si>
    <t>UTILIDAD NETA</t>
  </si>
  <si>
    <t>DEPRECIACION</t>
  </si>
  <si>
    <t>AMORTIZACIÓN DE CAPITAL</t>
  </si>
  <si>
    <t>COMPRA DE ACTIVOS FIJOS</t>
  </si>
  <si>
    <t>CAPITAL DE TRABAJO</t>
  </si>
  <si>
    <t>PRESTAMO</t>
  </si>
  <si>
    <t>VALOR DE DESECHO</t>
  </si>
  <si>
    <t>FLUJO DE CAJA</t>
  </si>
  <si>
    <t>PRECIO POR SERVICIO</t>
  </si>
  <si>
    <t>INGRESOS ANUALES NETOS POR LA VENTA DEL SERVICIO POR NUMERO DE COMPAÑIAS</t>
  </si>
  <si>
    <t>INGRESOS ANUALES NETOS POR LA VENTA DEL SERVICIO POR NUMERO DE IMPORTACIONES</t>
  </si>
  <si>
    <t>$21.890,00</t>
  </si>
  <si>
    <t xml:space="preserve">PAYBACK DEL PROYECTO </t>
  </si>
  <si>
    <t xml:space="preserve">PERIODO </t>
  </si>
  <si>
    <t xml:space="preserve">SALDO DE INVERSION </t>
  </si>
  <si>
    <t>RENTABILIDAD EXIGIDA</t>
  </si>
  <si>
    <t xml:space="preserve">RECUPERACION DE LA INVERSION </t>
  </si>
  <si>
    <t>TIR</t>
  </si>
  <si>
    <t>GASTOS VARIABLES</t>
  </si>
  <si>
    <t>ALTERNATIVA B: Importación de 843</t>
  </si>
  <si>
    <t>ALTERNATIVA C: Importación de 697</t>
  </si>
  <si>
    <t>PERIODO</t>
  </si>
  <si>
    <t>COSTOS MENSUALES 1ER ANO</t>
  </si>
  <si>
    <t xml:space="preserve">PRESTAMO DE IVERSION </t>
  </si>
  <si>
    <t>CUOTAS</t>
  </si>
  <si>
    <t xml:space="preserve">TASA ACTUAL </t>
  </si>
  <si>
    <t>CUOTA</t>
  </si>
  <si>
    <t>INTERES</t>
  </si>
  <si>
    <t xml:space="preserve">AMORTIZACION </t>
  </si>
  <si>
    <t>SALDO</t>
  </si>
  <si>
    <t xml:space="preserve">AMORTIZACION DE CAPITAL </t>
  </si>
  <si>
    <t>SECTOR DE LA INDUSTRIA</t>
  </si>
  <si>
    <t>BALANCE DE MAQUINARIA Y EQUIPOS</t>
  </si>
  <si>
    <t>MAQUINAS / EQUIPOS</t>
  </si>
  <si>
    <t>CANTIDAD</t>
  </si>
  <si>
    <t>COSTO UNITARIO</t>
  </si>
  <si>
    <t>COSTO TOTAL</t>
  </si>
  <si>
    <t>VITAL UTIL</t>
  </si>
  <si>
    <t>Montacargas</t>
  </si>
  <si>
    <t>$17.500,00</t>
  </si>
  <si>
    <t>$0,00</t>
  </si>
  <si>
    <t>Escritorios</t>
  </si>
  <si>
    <t>$230,00</t>
  </si>
  <si>
    <t>$920,00</t>
  </si>
  <si>
    <t>Sillas</t>
  </si>
  <si>
    <t>$40,00</t>
  </si>
  <si>
    <t>$160,00</t>
  </si>
  <si>
    <t>Computadoras</t>
  </si>
  <si>
    <t>$550,00</t>
  </si>
  <si>
    <t>$1.100,00</t>
  </si>
  <si>
    <t>Scanner</t>
  </si>
  <si>
    <t>$250,00</t>
  </si>
  <si>
    <t>Fax</t>
  </si>
  <si>
    <t>$200,00</t>
  </si>
  <si>
    <t>Acondicionador de Aire</t>
  </si>
  <si>
    <t>$320,00</t>
  </si>
  <si>
    <t>Fotocopiadora</t>
  </si>
  <si>
    <t>$300,00</t>
  </si>
  <si>
    <t>Estantes</t>
  </si>
  <si>
    <t>$100,00</t>
  </si>
  <si>
    <t>Archivadores</t>
  </si>
  <si>
    <t>$120,00</t>
  </si>
  <si>
    <t>$360,00</t>
  </si>
  <si>
    <t>Radios</t>
  </si>
  <si>
    <t>Perchas</t>
  </si>
  <si>
    <t>$80,00</t>
  </si>
  <si>
    <t>$240,00</t>
  </si>
  <si>
    <t>Equipos de Seguridad</t>
  </si>
  <si>
    <t>$20,00</t>
  </si>
  <si>
    <t>Inversión Inicial para Maquinarias y Equipos</t>
  </si>
  <si>
    <t>CALENDARIO DE REINVERSIONES (VALORES UNITARIOS)</t>
  </si>
  <si>
    <t>MAQUINARIAS / EQUIPOS</t>
  </si>
  <si>
    <t>Crecimiento de Demanda     576x 10% =</t>
  </si>
  <si>
    <t>IMPOR MENSUALES</t>
  </si>
  <si>
    <t>IMPOR ANUALES</t>
  </si>
  <si>
    <t>PROYECCION DE LA DEMANDA</t>
  </si>
  <si>
    <t>PASO 1</t>
  </si>
  <si>
    <t>El importador solicita cotización de un producto "X" a un proveedor en el extranjero.</t>
  </si>
  <si>
    <t>PASO 2</t>
  </si>
  <si>
    <t>El importador acepta la cotización y hace el pedido a su proveedor, por mail, fax o de la manera como su proveedor se lo acepte.</t>
  </si>
  <si>
    <t>PASO 3</t>
  </si>
  <si>
    <t>Procede a efectuar el pago en US$ no importando el país de que se trate, este pago puede hacerlo enviando giro bancario o depositando en la cuenta de banco que el proveedor el indique. Le informa a su proveedor que ya efectuó el pago.</t>
  </si>
  <si>
    <t>PASO 4</t>
  </si>
  <si>
    <t>PASO 5</t>
  </si>
  <si>
    <t>El proveedor confirma de recibido el pago y la preparación del pedido y a su vez contacta la agencia de carga para entregarle el pedido.</t>
  </si>
  <si>
    <t>PASO 6</t>
  </si>
  <si>
    <t>PASO 7</t>
  </si>
  <si>
    <t>PASO 8</t>
  </si>
  <si>
    <t>El importador emite el cheque por el pago de los impuestos y el pago del flete, normalmente son facturas por separado. La agencia de carga le hace entrega de su mercadería en bodegas del importador o bien el importador contrata servicio de flete local o lleva su propio vehículo para retirar la mercadería de aduana.</t>
  </si>
  <si>
    <t>Flujo simplificado proceso de importación</t>
  </si>
  <si>
    <t>FUENTE: UNIVERSIDAD DE CONCEPCIÓN, FACULTAD DE CIENCIAS SOCIALES, DEPARTAMENTO DE COMUNICACIÓN SOCIAL, CHILE</t>
  </si>
  <si>
    <t>El importador elige una agencia de carga en el puerto de origen y le informa a su proveedor el nombre de la empresa que va a transportar la carga y viceversa, a la empresa de carga le proporciona el dato del proveedor y le indica que tiene una carga que necesita traer a Guayaquil</t>
  </si>
  <si>
    <t>Cuando la mercadería ingresa a Guayaquil, la agencia de carga le informa al importador, ésta le debe indicar el monto de los impuestos a cancelar para el retiro de la mercadería de aduana. Normalmente la agencia de carga tiene su propio tramitador de aduanas quien es el encargado de realizar el trámite y elaborar la póliza de importación.</t>
  </si>
  <si>
    <t>La agencia de carga recoge el pedido y lo mueve para Guayaquil por la vía conveniente y previamente pactada.</t>
  </si>
  <si>
    <t>ANEXO 1</t>
  </si>
  <si>
    <t>ANEXO 2</t>
  </si>
  <si>
    <t xml:space="preserve">GRAFICO RESUMIDO DE IMPORTACION </t>
  </si>
  <si>
    <t>ANEXO 3</t>
  </si>
  <si>
    <t>ANEXO 5</t>
  </si>
  <si>
    <t>ANEXO 4</t>
  </si>
  <si>
    <t>ANEXO 6</t>
  </si>
  <si>
    <t>ANEXO 7</t>
  </si>
  <si>
    <t>ANEXO 8</t>
  </si>
  <si>
    <t>ANEXO 9</t>
  </si>
  <si>
    <t>ANEXO 10</t>
  </si>
  <si>
    <t>ANEXO 11</t>
  </si>
  <si>
    <t>ANEXO 12</t>
  </si>
  <si>
    <t>ANEXO 13</t>
  </si>
  <si>
    <t>ANEXO 14</t>
  </si>
  <si>
    <t xml:space="preserve">VALOR DE DESECHO DEL PROYECTO </t>
  </si>
  <si>
    <t>BASE IMPONIBLE</t>
  </si>
  <si>
    <t>COSTOS FIJOS MENSUALES</t>
  </si>
  <si>
    <t>Tasa de Descuento (CAPM)</t>
  </si>
  <si>
    <t>BETA DE LA INDUSTRIA</t>
  </si>
  <si>
    <t>Prima por Riesgo</t>
  </si>
  <si>
    <t>CAPM</t>
  </si>
  <si>
    <t>Ke = rf + β (rm – rf )</t>
  </si>
  <si>
    <t>RIESGO PAIS*</t>
  </si>
  <si>
    <t>* Banco Central del Ecuador (16 de Febrero del 2010)</t>
  </si>
  <si>
    <t>RF**</t>
  </si>
  <si>
    <t xml:space="preserve">** Al 20 de Febrero del 2010 </t>
  </si>
  <si>
    <t>VAN</t>
  </si>
  <si>
    <t xml:space="preserve">TIR Y VAN DEL PROYECTO </t>
  </si>
  <si>
    <t xml:space="preserve">TOTAL ANUAL </t>
  </si>
  <si>
    <t>La demanda esperada para nuestro proyecto aumentará un 10% a partir del primer año operativo:</t>
  </si>
  <si>
    <t>DEPRECIACION ANUAL</t>
  </si>
  <si>
    <t>DEPRECIACION ACUMULADO</t>
  </si>
</sst>
</file>

<file path=xl/styles.xml><?xml version="1.0" encoding="utf-8"?>
<styleSheet xmlns="http://schemas.openxmlformats.org/spreadsheetml/2006/main">
  <numFmts count="8">
    <numFmt numFmtId="164" formatCode="_(&quot;TT$&quot;* #,##0.00_);_(&quot;TT$&quot;* \(#,##0.00\);_(&quot;TT$&quot;* &quot;-&quot;??_);_(@_)"/>
    <numFmt numFmtId="165" formatCode="_(* #,##0.00_);_(* \(#,##0.00\);_(* &quot;-&quot;??_);_(@_)"/>
    <numFmt numFmtId="166" formatCode="[$$-409]#,##0.00"/>
    <numFmt numFmtId="167" formatCode="0.0%"/>
    <numFmt numFmtId="168" formatCode="_ [$$-2C0A]\ * #,##0.00_ ;_ [$$-2C0A]\ * \-#,##0.00_ ;_ [$$-2C0A]\ * &quot;-&quot;??_ ;_ @_ "/>
    <numFmt numFmtId="169" formatCode="[$$-540A]#,##0.00"/>
    <numFmt numFmtId="170" formatCode="[$$-540A]#,##0.00_);[Red]\([$$-540A]#,##0.00\)"/>
    <numFmt numFmtId="171" formatCode="0.00_ ;\-0.0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indexed="8"/>
      <name val="Calibri"/>
      <family val="2"/>
    </font>
    <font>
      <b/>
      <sz val="9"/>
      <color theme="4" tint="-0.499984740745262"/>
      <name val="Calibri"/>
      <family val="2"/>
      <scheme val="minor"/>
    </font>
    <font>
      <sz val="8"/>
      <color indexed="8"/>
      <name val="Calibri"/>
      <family val="2"/>
    </font>
    <font>
      <sz val="8"/>
      <color indexed="12"/>
      <name val="Calibri"/>
      <family val="2"/>
    </font>
    <font>
      <sz val="10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36">
    <xf numFmtId="0" fontId="0" fillId="0" borderId="0" xfId="0"/>
    <xf numFmtId="0" fontId="2" fillId="0" borderId="0" xfId="0" applyFont="1"/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justify"/>
    </xf>
    <xf numFmtId="168" fontId="0" fillId="0" borderId="12" xfId="2" applyNumberFormat="1" applyFont="1" applyBorder="1" applyAlignment="1">
      <alignment horizontal="center"/>
    </xf>
    <xf numFmtId="168" fontId="0" fillId="0" borderId="12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justify"/>
    </xf>
    <xf numFmtId="0" fontId="10" fillId="0" borderId="0" xfId="0" applyFont="1" applyAlignment="1">
      <alignment horizontal="justify"/>
    </xf>
    <xf numFmtId="168" fontId="0" fillId="0" borderId="0" xfId="2" applyNumberFormat="1" applyFont="1" applyBorder="1"/>
    <xf numFmtId="168" fontId="0" fillId="0" borderId="0" xfId="2" applyNumberFormat="1" applyFont="1" applyBorder="1" applyAlignment="1">
      <alignment horizontal="center"/>
    </xf>
    <xf numFmtId="0" fontId="8" fillId="0" borderId="0" xfId="0" applyFont="1" applyBorder="1"/>
    <xf numFmtId="0" fontId="8" fillId="4" borderId="0" xfId="0" applyFont="1" applyFill="1"/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 applyAlignment="1">
      <alignment horizontal="center" vertical="center"/>
    </xf>
    <xf numFmtId="0" fontId="8" fillId="5" borderId="16" xfId="0" applyFont="1" applyFill="1" applyBorder="1"/>
    <xf numFmtId="168" fontId="8" fillId="5" borderId="0" xfId="2" applyNumberFormat="1" applyFont="1" applyFill="1" applyBorder="1" applyAlignment="1">
      <alignment horizontal="center"/>
    </xf>
    <xf numFmtId="4" fontId="8" fillId="5" borderId="0" xfId="0" applyNumberFormat="1" applyFont="1" applyFill="1" applyBorder="1" applyAlignment="1">
      <alignment horizontal="center" vertical="center"/>
    </xf>
    <xf numFmtId="168" fontId="0" fillId="0" borderId="0" xfId="2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/>
    <xf numFmtId="168" fontId="8" fillId="0" borderId="0" xfId="2" applyNumberFormat="1" applyFont="1" applyBorder="1"/>
    <xf numFmtId="1" fontId="4" fillId="0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3" fontId="14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Border="1" applyAlignment="1">
      <alignment vertical="center"/>
    </xf>
    <xf numFmtId="10" fontId="0" fillId="0" borderId="0" xfId="0" applyNumberFormat="1"/>
    <xf numFmtId="4" fontId="0" fillId="0" borderId="12" xfId="0" applyNumberForma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8" fillId="13" borderId="12" xfId="0" applyFont="1" applyFill="1" applyBorder="1" applyAlignment="1">
      <alignment horizontal="center"/>
    </xf>
    <xf numFmtId="0" fontId="8" fillId="13" borderId="13" xfId="0" applyFont="1" applyFill="1" applyBorder="1"/>
    <xf numFmtId="168" fontId="8" fillId="13" borderId="14" xfId="2" applyNumberFormat="1" applyFont="1" applyFill="1" applyBorder="1"/>
    <xf numFmtId="168" fontId="8" fillId="13" borderId="15" xfId="2" applyNumberFormat="1" applyFont="1" applyFill="1" applyBorder="1"/>
    <xf numFmtId="0" fontId="8" fillId="13" borderId="12" xfId="0" applyFont="1" applyFill="1" applyBorder="1" applyAlignment="1">
      <alignment horizontal="center" vertical="center"/>
    </xf>
    <xf numFmtId="169" fontId="2" fillId="0" borderId="12" xfId="0" applyNumberFormat="1" applyFont="1" applyBorder="1" applyAlignment="1">
      <alignment horizontal="center" vertical="center"/>
    </xf>
    <xf numFmtId="4" fontId="0" fillId="0" borderId="12" xfId="2" applyNumberFormat="1" applyFont="1" applyBorder="1" applyAlignment="1">
      <alignment horizontal="center"/>
    </xf>
    <xf numFmtId="4" fontId="0" fillId="0" borderId="12" xfId="2" applyNumberFormat="1" applyFont="1" applyFill="1" applyBorder="1" applyAlignment="1">
      <alignment horizontal="center"/>
    </xf>
    <xf numFmtId="0" fontId="16" fillId="0" borderId="17" xfId="0" applyFont="1" applyBorder="1"/>
    <xf numFmtId="169" fontId="16" fillId="0" borderId="4" xfId="0" applyNumberFormat="1" applyFont="1" applyBorder="1" applyAlignment="1">
      <alignment horizontal="center"/>
    </xf>
    <xf numFmtId="169" fontId="16" fillId="0" borderId="10" xfId="0" applyNumberFormat="1" applyFont="1" applyBorder="1" applyAlignment="1">
      <alignment horizontal="center"/>
    </xf>
    <xf numFmtId="4" fontId="16" fillId="0" borderId="42" xfId="0" applyNumberFormat="1" applyFont="1" applyBorder="1" applyAlignment="1">
      <alignment horizontal="center"/>
    </xf>
    <xf numFmtId="3" fontId="14" fillId="0" borderId="23" xfId="0" applyNumberFormat="1" applyFont="1" applyFill="1" applyBorder="1" applyAlignment="1">
      <alignment horizontal="left" vertical="center"/>
    </xf>
    <xf numFmtId="3" fontId="14" fillId="0" borderId="27" xfId="0" applyNumberFormat="1" applyFont="1" applyFill="1" applyBorder="1" applyAlignment="1">
      <alignment horizontal="center" vertical="center"/>
    </xf>
    <xf numFmtId="3" fontId="14" fillId="0" borderId="28" xfId="0" applyNumberFormat="1" applyFont="1" applyFill="1" applyBorder="1" applyAlignment="1">
      <alignment horizontal="center" vertical="center"/>
    </xf>
    <xf numFmtId="3" fontId="6" fillId="19" borderId="24" xfId="0" applyNumberFormat="1" applyFont="1" applyFill="1" applyBorder="1" applyAlignment="1">
      <alignment horizontal="center" vertical="center"/>
    </xf>
    <xf numFmtId="3" fontId="6" fillId="19" borderId="25" xfId="0" applyNumberFormat="1" applyFont="1" applyFill="1" applyBorder="1" applyAlignment="1">
      <alignment horizontal="center" vertical="center"/>
    </xf>
    <xf numFmtId="3" fontId="6" fillId="19" borderId="26" xfId="0" applyNumberFormat="1" applyFont="1" applyFill="1" applyBorder="1" applyAlignment="1">
      <alignment horizontal="center" vertical="center"/>
    </xf>
    <xf numFmtId="3" fontId="6" fillId="19" borderId="8" xfId="0" applyNumberFormat="1" applyFont="1" applyFill="1" applyBorder="1" applyAlignment="1">
      <alignment horizontal="left" vertical="center"/>
    </xf>
    <xf numFmtId="4" fontId="16" fillId="0" borderId="49" xfId="0" applyNumberFormat="1" applyFont="1" applyBorder="1" applyAlignment="1">
      <alignment horizontal="center"/>
    </xf>
    <xf numFmtId="1" fontId="16" fillId="0" borderId="0" xfId="0" applyNumberFormat="1" applyFont="1"/>
    <xf numFmtId="0" fontId="23" fillId="0" borderId="0" xfId="0" applyFont="1"/>
    <xf numFmtId="0" fontId="12" fillId="0" borderId="3" xfId="0" applyFont="1" applyBorder="1"/>
    <xf numFmtId="0" fontId="23" fillId="0" borderId="8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top" wrapText="1"/>
    </xf>
    <xf numFmtId="2" fontId="13" fillId="0" borderId="49" xfId="0" applyNumberFormat="1" applyFont="1" applyBorder="1"/>
    <xf numFmtId="4" fontId="12" fillId="0" borderId="49" xfId="0" applyNumberFormat="1" applyFont="1" applyBorder="1" applyAlignment="1">
      <alignment horizontal="center"/>
    </xf>
    <xf numFmtId="4" fontId="12" fillId="0" borderId="42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top" wrapText="1"/>
    </xf>
    <xf numFmtId="2" fontId="13" fillId="0" borderId="48" xfId="0" applyNumberFormat="1" applyFont="1" applyBorder="1"/>
    <xf numFmtId="4" fontId="12" fillId="0" borderId="48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2" fontId="13" fillId="0" borderId="48" xfId="0" applyNumberFormat="1" applyFont="1" applyFill="1" applyBorder="1"/>
    <xf numFmtId="2" fontId="13" fillId="0" borderId="6" xfId="0" applyNumberFormat="1" applyFont="1" applyFill="1" applyBorder="1"/>
    <xf numFmtId="4" fontId="12" fillId="0" borderId="52" xfId="0" applyNumberFormat="1" applyFont="1" applyFill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2" fontId="23" fillId="8" borderId="1" xfId="0" applyNumberFormat="1" applyFont="1" applyFill="1" applyBorder="1"/>
    <xf numFmtId="4" fontId="23" fillId="8" borderId="8" xfId="0" applyNumberFormat="1" applyFont="1" applyFill="1" applyBorder="1" applyAlignment="1">
      <alignment horizontal="center"/>
    </xf>
    <xf numFmtId="4" fontId="23" fillId="8" borderId="9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12" xfId="0" applyFont="1" applyBorder="1"/>
    <xf numFmtId="2" fontId="12" fillId="0" borderId="12" xfId="0" applyNumberFormat="1" applyFont="1" applyBorder="1" applyAlignment="1">
      <alignment horizontal="center"/>
    </xf>
    <xf numFmtId="2" fontId="12" fillId="0" borderId="12" xfId="0" applyNumberFormat="1" applyFont="1" applyBorder="1" applyAlignment="1">
      <alignment horizontal="center" vertical="center"/>
    </xf>
    <xf numFmtId="0" fontId="23" fillId="15" borderId="8" xfId="0" applyFont="1" applyFill="1" applyBorder="1" applyAlignment="1">
      <alignment horizontal="center"/>
    </xf>
    <xf numFmtId="0" fontId="23" fillId="15" borderId="2" xfId="0" applyFont="1" applyFill="1" applyBorder="1" applyAlignment="1">
      <alignment horizontal="center"/>
    </xf>
    <xf numFmtId="0" fontId="23" fillId="0" borderId="18" xfId="0" applyFont="1" applyBorder="1"/>
    <xf numFmtId="169" fontId="12" fillId="0" borderId="42" xfId="0" applyNumberFormat="1" applyFont="1" applyBorder="1" applyAlignment="1">
      <alignment horizontal="center" vertical="center"/>
    </xf>
    <xf numFmtId="169" fontId="12" fillId="0" borderId="15" xfId="0" applyNumberFormat="1" applyFont="1" applyBorder="1" applyAlignment="1">
      <alignment horizontal="center" vertical="center"/>
    </xf>
    <xf numFmtId="0" fontId="23" fillId="0" borderId="19" xfId="0" applyFont="1" applyBorder="1"/>
    <xf numFmtId="169" fontId="12" fillId="0" borderId="20" xfId="0" applyNumberFormat="1" applyFont="1" applyBorder="1" applyAlignment="1">
      <alignment horizontal="center"/>
    </xf>
    <xf numFmtId="169" fontId="12" fillId="0" borderId="43" xfId="0" applyNumberFormat="1" applyFont="1" applyBorder="1" applyAlignment="1">
      <alignment horizontal="center"/>
    </xf>
    <xf numFmtId="0" fontId="23" fillId="15" borderId="7" xfId="0" applyFont="1" applyFill="1" applyBorder="1"/>
    <xf numFmtId="169" fontId="27" fillId="15" borderId="6" xfId="0" applyNumberFormat="1" applyFont="1" applyFill="1" applyBorder="1" applyAlignment="1">
      <alignment horizontal="center"/>
    </xf>
    <xf numFmtId="169" fontId="27" fillId="15" borderId="3" xfId="0" applyNumberFormat="1" applyFont="1" applyFill="1" applyBorder="1" applyAlignment="1">
      <alignment horizontal="center"/>
    </xf>
    <xf numFmtId="1" fontId="12" fillId="0" borderId="0" xfId="0" applyNumberFormat="1" applyFont="1" applyBorder="1"/>
    <xf numFmtId="1" fontId="12" fillId="0" borderId="0" xfId="0" applyNumberFormat="1" applyFont="1"/>
    <xf numFmtId="0" fontId="16" fillId="0" borderId="0" xfId="0" applyFont="1" applyFill="1"/>
    <xf numFmtId="0" fontId="20" fillId="0" borderId="0" xfId="0" applyFont="1"/>
    <xf numFmtId="0" fontId="20" fillId="11" borderId="10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16" fillId="0" borderId="23" xfId="0" applyFont="1" applyBorder="1"/>
    <xf numFmtId="1" fontId="16" fillId="0" borderId="10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7" xfId="0" applyFont="1" applyBorder="1"/>
    <xf numFmtId="169" fontId="16" fillId="0" borderId="6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8" fillId="10" borderId="0" xfId="0" applyFont="1" applyFill="1" applyAlignment="1">
      <alignment horizontal="center"/>
    </xf>
    <xf numFmtId="169" fontId="20" fillId="10" borderId="8" xfId="0" applyNumberFormat="1" applyFont="1" applyFill="1" applyBorder="1" applyAlignment="1">
      <alignment horizontal="center"/>
    </xf>
    <xf numFmtId="0" fontId="29" fillId="0" borderId="0" xfId="0" applyFont="1"/>
    <xf numFmtId="0" fontId="20" fillId="0" borderId="0" xfId="0" applyFont="1" applyAlignment="1">
      <alignment horizontal="center"/>
    </xf>
    <xf numFmtId="169" fontId="16" fillId="0" borderId="8" xfId="0" applyNumberFormat="1" applyFont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 applyFill="1" applyBorder="1"/>
    <xf numFmtId="0" fontId="12" fillId="0" borderId="1" xfId="0" applyFont="1" applyBorder="1"/>
    <xf numFmtId="0" fontId="27" fillId="12" borderId="29" xfId="0" applyFont="1" applyFill="1" applyBorder="1" applyAlignment="1">
      <alignment horizontal="center"/>
    </xf>
    <xf numFmtId="0" fontId="27" fillId="12" borderId="42" xfId="0" applyFont="1" applyFill="1" applyBorder="1" applyAlignment="1">
      <alignment horizontal="center"/>
    </xf>
    <xf numFmtId="0" fontId="27" fillId="12" borderId="44" xfId="0" applyFont="1" applyFill="1" applyBorder="1" applyAlignment="1">
      <alignment horizontal="center"/>
    </xf>
    <xf numFmtId="0" fontId="30" fillId="0" borderId="17" xfId="0" applyFont="1" applyBorder="1"/>
    <xf numFmtId="169" fontId="12" fillId="0" borderId="0" xfId="0" applyNumberFormat="1" applyFont="1" applyBorder="1"/>
    <xf numFmtId="0" fontId="12" fillId="0" borderId="17" xfId="0" applyFont="1" applyBorder="1"/>
    <xf numFmtId="0" fontId="27" fillId="12" borderId="1" xfId="0" applyFont="1" applyFill="1" applyBorder="1"/>
    <xf numFmtId="0" fontId="27" fillId="0" borderId="17" xfId="0" applyFont="1" applyBorder="1"/>
    <xf numFmtId="0" fontId="27" fillId="12" borderId="19" xfId="0" applyFont="1" applyFill="1" applyBorder="1"/>
    <xf numFmtId="9" fontId="12" fillId="0" borderId="0" xfId="3" applyFont="1"/>
    <xf numFmtId="169" fontId="12" fillId="0" borderId="0" xfId="0" applyNumberFormat="1" applyFont="1"/>
    <xf numFmtId="4" fontId="12" fillId="0" borderId="4" xfId="0" applyNumberFormat="1" applyFont="1" applyBorder="1"/>
    <xf numFmtId="4" fontId="12" fillId="0" borderId="0" xfId="0" applyNumberFormat="1" applyFont="1" applyBorder="1"/>
    <xf numFmtId="4" fontId="12" fillId="0" borderId="5" xfId="0" applyNumberFormat="1" applyFont="1" applyBorder="1"/>
    <xf numFmtId="4" fontId="12" fillId="12" borderId="8" xfId="0" applyNumberFormat="1" applyFont="1" applyFill="1" applyBorder="1"/>
    <xf numFmtId="4" fontId="12" fillId="0" borderId="17" xfId="0" applyNumberFormat="1" applyFont="1" applyBorder="1"/>
    <xf numFmtId="4" fontId="12" fillId="12" borderId="9" xfId="0" applyNumberFormat="1" applyFont="1" applyFill="1" applyBorder="1"/>
    <xf numFmtId="4" fontId="12" fillId="0" borderId="4" xfId="0" applyNumberFormat="1" applyFont="1" applyBorder="1" applyAlignment="1">
      <alignment horizontal="right"/>
    </xf>
    <xf numFmtId="4" fontId="12" fillId="0" borderId="10" xfId="0" applyNumberFormat="1" applyFont="1" applyBorder="1"/>
    <xf numFmtId="4" fontId="27" fillId="12" borderId="20" xfId="0" applyNumberFormat="1" applyFont="1" applyFill="1" applyBorder="1"/>
    <xf numFmtId="0" fontId="16" fillId="0" borderId="0" xfId="0" applyFont="1" applyAlignment="1">
      <alignment horizontal="center"/>
    </xf>
    <xf numFmtId="166" fontId="17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0" fontId="22" fillId="18" borderId="8" xfId="0" applyFont="1" applyFill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37" fontId="17" fillId="0" borderId="4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6" fontId="17" fillId="0" borderId="8" xfId="0" applyNumberFormat="1" applyFont="1" applyBorder="1" applyAlignment="1">
      <alignment horizontal="center"/>
    </xf>
    <xf numFmtId="166" fontId="22" fillId="18" borderId="8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37" fontId="17" fillId="0" borderId="8" xfId="0" applyNumberFormat="1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166" fontId="17" fillId="0" borderId="10" xfId="0" applyNumberFormat="1" applyFont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166" fontId="22" fillId="18" borderId="9" xfId="0" applyNumberFormat="1" applyFont="1" applyFill="1" applyBorder="1"/>
    <xf numFmtId="37" fontId="17" fillId="0" borderId="0" xfId="0" applyNumberFormat="1" applyFont="1"/>
    <xf numFmtId="169" fontId="2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0" applyFont="1"/>
    <xf numFmtId="169" fontId="12" fillId="0" borderId="4" xfId="0" applyNumberFormat="1" applyFont="1" applyBorder="1" applyAlignment="1">
      <alignment horizontal="center"/>
    </xf>
    <xf numFmtId="169" fontId="12" fillId="0" borderId="5" xfId="0" applyNumberFormat="1" applyFont="1" applyBorder="1" applyAlignment="1">
      <alignment horizontal="center"/>
    </xf>
    <xf numFmtId="169" fontId="12" fillId="0" borderId="6" xfId="0" applyNumberFormat="1" applyFont="1" applyBorder="1" applyAlignment="1">
      <alignment horizontal="center"/>
    </xf>
    <xf numFmtId="169" fontId="31" fillId="0" borderId="0" xfId="0" applyNumberFormat="1" applyFont="1" applyFill="1" applyBorder="1" applyAlignment="1">
      <alignment horizontal="center"/>
    </xf>
    <xf numFmtId="10" fontId="16" fillId="0" borderId="0" xfId="0" applyNumberFormat="1" applyFont="1"/>
    <xf numFmtId="0" fontId="16" fillId="0" borderId="12" xfId="0" applyFont="1" applyBorder="1" applyAlignment="1">
      <alignment horizontal="center"/>
    </xf>
    <xf numFmtId="4" fontId="21" fillId="0" borderId="0" xfId="0" applyNumberFormat="1" applyFont="1" applyFill="1" applyBorder="1"/>
    <xf numFmtId="0" fontId="32" fillId="0" borderId="0" xfId="0" applyFont="1" applyFill="1" applyBorder="1"/>
    <xf numFmtId="9" fontId="12" fillId="0" borderId="0" xfId="0" applyNumberFormat="1" applyFont="1"/>
    <xf numFmtId="10" fontId="12" fillId="0" borderId="0" xfId="0" applyNumberFormat="1" applyFont="1"/>
    <xf numFmtId="169" fontId="12" fillId="0" borderId="29" xfId="0" applyNumberFormat="1" applyFont="1" applyBorder="1"/>
    <xf numFmtId="4" fontId="12" fillId="0" borderId="0" xfId="0" applyNumberFormat="1" applyFont="1"/>
    <xf numFmtId="0" fontId="2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169" fontId="12" fillId="0" borderId="12" xfId="0" applyNumberFormat="1" applyFont="1" applyBorder="1" applyAlignment="1">
      <alignment horizontal="center"/>
    </xf>
    <xf numFmtId="37" fontId="12" fillId="0" borderId="1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9" fontId="12" fillId="0" borderId="31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 applyFill="1" applyBorder="1"/>
    <xf numFmtId="0" fontId="34" fillId="0" borderId="0" xfId="0" applyFont="1"/>
    <xf numFmtId="0" fontId="23" fillId="0" borderId="8" xfId="0" applyFont="1" applyBorder="1"/>
    <xf numFmtId="4" fontId="12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169" fontId="27" fillId="0" borderId="49" xfId="0" applyNumberFormat="1" applyFont="1" applyBorder="1" applyAlignment="1">
      <alignment horizontal="center"/>
    </xf>
    <xf numFmtId="0" fontId="23" fillId="0" borderId="45" xfId="0" applyFont="1" applyBorder="1"/>
    <xf numFmtId="169" fontId="12" fillId="0" borderId="48" xfId="0" applyNumberFormat="1" applyFont="1" applyBorder="1" applyAlignment="1">
      <alignment horizontal="center"/>
    </xf>
    <xf numFmtId="169" fontId="12" fillId="0" borderId="51" xfId="0" applyNumberFormat="1" applyFont="1" applyBorder="1" applyAlignment="1">
      <alignment horizontal="center"/>
    </xf>
    <xf numFmtId="169" fontId="27" fillId="0" borderId="44" xfId="0" applyNumberFormat="1" applyFont="1" applyBorder="1" applyAlignment="1">
      <alignment horizontal="center"/>
    </xf>
    <xf numFmtId="169" fontId="23" fillId="0" borderId="6" xfId="0" applyNumberFormat="1" applyFont="1" applyBorder="1" applyAlignment="1">
      <alignment horizontal="center"/>
    </xf>
    <xf numFmtId="169" fontId="23" fillId="0" borderId="3" xfId="0" applyNumberFormat="1" applyFont="1" applyBorder="1" applyAlignment="1">
      <alignment horizontal="center"/>
    </xf>
    <xf numFmtId="0" fontId="23" fillId="0" borderId="0" xfId="0" applyFont="1" applyBorder="1"/>
    <xf numFmtId="4" fontId="23" fillId="0" borderId="0" xfId="0" applyNumberFormat="1" applyFont="1" applyBorder="1"/>
    <xf numFmtId="0" fontId="12" fillId="0" borderId="0" xfId="0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5" fillId="0" borderId="0" xfId="4" applyFont="1" applyAlignment="1" applyProtection="1"/>
    <xf numFmtId="0" fontId="12" fillId="0" borderId="0" xfId="0" applyFont="1" applyBorder="1"/>
    <xf numFmtId="0" fontId="27" fillId="0" borderId="0" xfId="0" applyFont="1" applyFill="1" applyBorder="1" applyAlignment="1">
      <alignment horizontal="center"/>
    </xf>
    <xf numFmtId="2" fontId="12" fillId="0" borderId="0" xfId="0" applyNumberFormat="1" applyFont="1" applyBorder="1"/>
    <xf numFmtId="0" fontId="12" fillId="0" borderId="0" xfId="0" applyFont="1" applyAlignment="1">
      <alignment horizontal="left" indent="1"/>
    </xf>
    <xf numFmtId="1" fontId="12" fillId="0" borderId="32" xfId="0" applyNumberFormat="1" applyFont="1" applyBorder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69" fontId="27" fillId="0" borderId="42" xfId="0" applyNumberFormat="1" applyFont="1" applyBorder="1" applyAlignment="1">
      <alignment horizontal="center"/>
    </xf>
    <xf numFmtId="169" fontId="27" fillId="0" borderId="50" xfId="0" applyNumberFormat="1" applyFont="1" applyBorder="1" applyAlignment="1">
      <alignment horizontal="center"/>
    </xf>
    <xf numFmtId="0" fontId="20" fillId="0" borderId="8" xfId="0" applyFont="1" applyBorder="1"/>
    <xf numFmtId="0" fontId="16" fillId="0" borderId="42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9" fontId="20" fillId="0" borderId="9" xfId="0" applyNumberFormat="1" applyFont="1" applyBorder="1" applyAlignment="1">
      <alignment horizontal="center"/>
    </xf>
    <xf numFmtId="4" fontId="2" fillId="0" borderId="0" xfId="0" applyNumberFormat="1" applyFont="1" applyFill="1" applyBorder="1"/>
    <xf numFmtId="170" fontId="0" fillId="0" borderId="0" xfId="0" applyNumberFormat="1"/>
    <xf numFmtId="0" fontId="2" fillId="6" borderId="8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10" fontId="36" fillId="0" borderId="8" xfId="0" applyNumberFormat="1" applyFont="1" applyBorder="1" applyAlignment="1">
      <alignment horizontal="center"/>
    </xf>
    <xf numFmtId="1" fontId="36" fillId="0" borderId="8" xfId="0" applyNumberFormat="1" applyFont="1" applyBorder="1" applyAlignment="1">
      <alignment horizontal="center"/>
    </xf>
    <xf numFmtId="1" fontId="20" fillId="17" borderId="1" xfId="0" applyNumberFormat="1" applyFont="1" applyFill="1" applyBorder="1" applyAlignment="1">
      <alignment horizontal="center"/>
    </xf>
    <xf numFmtId="37" fontId="20" fillId="17" borderId="8" xfId="0" applyNumberFormat="1" applyFont="1" applyFill="1" applyBorder="1" applyAlignment="1">
      <alignment horizontal="center"/>
    </xf>
    <xf numFmtId="37" fontId="20" fillId="17" borderId="9" xfId="0" applyNumberFormat="1" applyFont="1" applyFill="1" applyBorder="1" applyAlignment="1">
      <alignment horizontal="center"/>
    </xf>
    <xf numFmtId="37" fontId="20" fillId="7" borderId="8" xfId="0" applyNumberFormat="1" applyFont="1" applyFill="1" applyBorder="1" applyAlignment="1">
      <alignment horizontal="center"/>
    </xf>
    <xf numFmtId="167" fontId="29" fillId="0" borderId="0" xfId="0" applyNumberFormat="1" applyFont="1" applyAlignment="1">
      <alignment horizontal="center"/>
    </xf>
    <xf numFmtId="1" fontId="20" fillId="0" borderId="8" xfId="0" applyNumberFormat="1" applyFont="1" applyBorder="1" applyAlignment="1">
      <alignment horizontal="center"/>
    </xf>
    <xf numFmtId="165" fontId="16" fillId="0" borderId="0" xfId="1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20" fillId="0" borderId="9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top" wrapText="1"/>
    </xf>
    <xf numFmtId="4" fontId="16" fillId="0" borderId="33" xfId="0" applyNumberFormat="1" applyFont="1" applyBorder="1" applyAlignment="1">
      <alignment horizontal="center" vertical="top" wrapText="1"/>
    </xf>
    <xf numFmtId="4" fontId="16" fillId="0" borderId="34" xfId="0" applyNumberFormat="1" applyFont="1" applyBorder="1" applyAlignment="1">
      <alignment horizontal="center" vertical="top" wrapText="1"/>
    </xf>
    <xf numFmtId="4" fontId="16" fillId="0" borderId="35" xfId="0" applyNumberFormat="1" applyFont="1" applyBorder="1" applyAlignment="1">
      <alignment horizontal="center" vertical="top" wrapText="1"/>
    </xf>
    <xf numFmtId="4" fontId="16" fillId="0" borderId="12" xfId="0" applyNumberFormat="1" applyFont="1" applyBorder="1" applyAlignment="1">
      <alignment horizontal="center" vertical="top" wrapText="1"/>
    </xf>
    <xf numFmtId="4" fontId="16" fillId="0" borderId="36" xfId="0" applyNumberFormat="1" applyFont="1" applyBorder="1" applyAlignment="1">
      <alignment horizontal="center" vertical="top" wrapText="1"/>
    </xf>
    <xf numFmtId="4" fontId="16" fillId="0" borderId="12" xfId="0" applyNumberFormat="1" applyFont="1" applyBorder="1" applyAlignment="1">
      <alignment horizontal="center" wrapText="1"/>
    </xf>
    <xf numFmtId="4" fontId="16" fillId="0" borderId="36" xfId="0" applyNumberFormat="1" applyFont="1" applyBorder="1" applyAlignment="1">
      <alignment horizontal="center" wrapText="1"/>
    </xf>
    <xf numFmtId="4" fontId="16" fillId="0" borderId="40" xfId="0" applyNumberFormat="1" applyFont="1" applyBorder="1" applyAlignment="1">
      <alignment horizontal="center" vertical="top" wrapText="1"/>
    </xf>
    <xf numFmtId="4" fontId="16" fillId="0" borderId="37" xfId="0" applyNumberFormat="1" applyFont="1" applyBorder="1" applyAlignment="1">
      <alignment horizontal="center" wrapText="1"/>
    </xf>
    <xf numFmtId="4" fontId="16" fillId="0" borderId="39" xfId="0" applyNumberFormat="1" applyFont="1" applyBorder="1" applyAlignment="1">
      <alignment horizontal="center" wrapText="1"/>
    </xf>
    <xf numFmtId="4" fontId="20" fillId="9" borderId="3" xfId="0" applyNumberFormat="1" applyFont="1" applyFill="1" applyBorder="1" applyAlignment="1">
      <alignment horizontal="center"/>
    </xf>
    <xf numFmtId="4" fontId="20" fillId="9" borderId="3" xfId="0" applyNumberFormat="1" applyFont="1" applyFill="1" applyBorder="1"/>
    <xf numFmtId="4" fontId="20" fillId="9" borderId="9" xfId="0" applyNumberFormat="1" applyFont="1" applyFill="1" applyBorder="1" applyAlignment="1">
      <alignment horizontal="center"/>
    </xf>
    <xf numFmtId="0" fontId="0" fillId="0" borderId="0" xfId="0" applyFont="1" applyFill="1"/>
    <xf numFmtId="169" fontId="27" fillId="0" borderId="10" xfId="0" applyNumberFormat="1" applyFont="1" applyBorder="1" applyAlignment="1">
      <alignment horizontal="center"/>
    </xf>
    <xf numFmtId="1" fontId="12" fillId="0" borderId="50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4" fontId="27" fillId="0" borderId="8" xfId="0" applyNumberFormat="1" applyFont="1" applyBorder="1" applyAlignment="1">
      <alignment horizontal="center" wrapText="1"/>
    </xf>
    <xf numFmtId="4" fontId="12" fillId="0" borderId="32" xfId="0" applyNumberFormat="1" applyFont="1" applyBorder="1" applyAlignment="1">
      <alignment horizontal="center" vertical="top" wrapText="1"/>
    </xf>
    <xf numFmtId="4" fontId="12" fillId="0" borderId="35" xfId="0" applyNumberFormat="1" applyFont="1" applyBorder="1" applyAlignment="1">
      <alignment horizontal="center" vertical="top" wrapText="1"/>
    </xf>
    <xf numFmtId="4" fontId="12" fillId="0" borderId="40" xfId="0" applyNumberFormat="1" applyFont="1" applyBorder="1" applyAlignment="1">
      <alignment horizontal="center" vertical="top" wrapText="1"/>
    </xf>
    <xf numFmtId="4" fontId="27" fillId="9" borderId="6" xfId="0" applyNumberFormat="1" applyFont="1" applyFill="1" applyBorder="1" applyAlignment="1">
      <alignment horizontal="center"/>
    </xf>
    <xf numFmtId="4" fontId="27" fillId="9" borderId="2" xfId="0" applyNumberFormat="1" applyFont="1" applyFill="1" applyBorder="1" applyAlignment="1"/>
    <xf numFmtId="4" fontId="27" fillId="9" borderId="8" xfId="0" applyNumberFormat="1" applyFont="1" applyFill="1" applyBorder="1" applyAlignment="1"/>
    <xf numFmtId="4" fontId="27" fillId="9" borderId="8" xfId="0" applyNumberFormat="1" applyFont="1" applyFill="1" applyBorder="1" applyAlignment="1">
      <alignment vertical="top" wrapText="1"/>
    </xf>
    <xf numFmtId="4" fontId="27" fillId="9" borderId="2" xfId="0" applyNumberFormat="1" applyFont="1" applyFill="1" applyBorder="1" applyAlignment="1">
      <alignment vertical="top" wrapText="1"/>
    </xf>
    <xf numFmtId="4" fontId="27" fillId="9" borderId="6" xfId="0" applyNumberFormat="1" applyFont="1" applyFill="1" applyBorder="1"/>
    <xf numFmtId="4" fontId="37" fillId="0" borderId="33" xfId="0" applyNumberFormat="1" applyFont="1" applyBorder="1" applyAlignment="1">
      <alignment horizontal="center" vertical="top" wrapText="1"/>
    </xf>
    <xf numFmtId="4" fontId="37" fillId="0" borderId="56" xfId="0" applyNumberFormat="1" applyFont="1" applyBorder="1" applyAlignment="1">
      <alignment horizontal="center" vertical="top" wrapText="1"/>
    </xf>
    <xf numFmtId="4" fontId="37" fillId="0" borderId="42" xfId="0" applyNumberFormat="1" applyFont="1" applyBorder="1" applyAlignment="1">
      <alignment horizontal="center" vertical="top" wrapText="1"/>
    </xf>
    <xf numFmtId="4" fontId="37" fillId="0" borderId="58" xfId="0" applyNumberFormat="1" applyFont="1" applyBorder="1" applyAlignment="1">
      <alignment horizontal="center" vertical="top" wrapText="1"/>
    </xf>
    <xf numFmtId="4" fontId="37" fillId="0" borderId="46" xfId="0" applyNumberFormat="1" applyFont="1" applyBorder="1" applyAlignment="1">
      <alignment horizontal="center" vertical="top" wrapText="1"/>
    </xf>
    <xf numFmtId="4" fontId="37" fillId="0" borderId="12" xfId="0" applyNumberFormat="1" applyFont="1" applyBorder="1" applyAlignment="1">
      <alignment horizontal="center" vertical="top" wrapText="1"/>
    </xf>
    <xf numFmtId="4" fontId="37" fillId="0" borderId="13" xfId="0" applyNumberFormat="1" applyFont="1" applyBorder="1" applyAlignment="1">
      <alignment horizontal="center" vertical="top" wrapText="1"/>
    </xf>
    <xf numFmtId="4" fontId="37" fillId="0" borderId="48" xfId="0" applyNumberFormat="1" applyFont="1" applyBorder="1" applyAlignment="1">
      <alignment horizontal="center" vertical="top" wrapText="1"/>
    </xf>
    <xf numFmtId="4" fontId="37" fillId="0" borderId="14" xfId="0" applyNumberFormat="1" applyFont="1" applyBorder="1" applyAlignment="1">
      <alignment horizontal="center" vertical="top" wrapText="1"/>
    </xf>
    <xf numFmtId="4" fontId="37" fillId="0" borderId="15" xfId="0" applyNumberFormat="1" applyFont="1" applyBorder="1" applyAlignment="1">
      <alignment horizontal="center" vertical="top" wrapText="1"/>
    </xf>
    <xf numFmtId="4" fontId="37" fillId="0" borderId="13" xfId="0" applyNumberFormat="1" applyFont="1" applyBorder="1" applyAlignment="1">
      <alignment horizontal="center" wrapText="1"/>
    </xf>
    <xf numFmtId="4" fontId="37" fillId="0" borderId="48" xfId="0" applyNumberFormat="1" applyFont="1" applyBorder="1" applyAlignment="1">
      <alignment horizontal="center" wrapText="1"/>
    </xf>
    <xf numFmtId="4" fontId="37" fillId="0" borderId="14" xfId="0" applyNumberFormat="1" applyFont="1" applyBorder="1" applyAlignment="1">
      <alignment horizontal="center" wrapText="1"/>
    </xf>
    <xf numFmtId="4" fontId="37" fillId="0" borderId="37" xfId="0" applyNumberFormat="1" applyFont="1" applyBorder="1" applyAlignment="1">
      <alignment horizontal="center" wrapText="1"/>
    </xf>
    <xf numFmtId="4" fontId="37" fillId="0" borderId="57" xfId="0" applyNumberFormat="1" applyFont="1" applyBorder="1" applyAlignment="1">
      <alignment horizontal="center" wrapText="1"/>
    </xf>
    <xf numFmtId="4" fontId="37" fillId="0" borderId="20" xfId="0" applyNumberFormat="1" applyFont="1" applyBorder="1" applyAlignment="1">
      <alignment horizontal="center" wrapText="1"/>
    </xf>
    <xf numFmtId="4" fontId="37" fillId="0" borderId="21" xfId="0" applyNumberFormat="1" applyFont="1" applyBorder="1" applyAlignment="1">
      <alignment horizontal="center" wrapText="1"/>
    </xf>
    <xf numFmtId="4" fontId="37" fillId="0" borderId="20" xfId="0" applyNumberFormat="1" applyFont="1" applyBorder="1" applyAlignment="1">
      <alignment horizontal="center" vertical="top" wrapText="1"/>
    </xf>
    <xf numFmtId="4" fontId="37" fillId="0" borderId="47" xfId="0" applyNumberFormat="1" applyFont="1" applyBorder="1" applyAlignment="1">
      <alignment horizontal="center" wrapText="1"/>
    </xf>
    <xf numFmtId="4" fontId="12" fillId="0" borderId="6" xfId="0" applyNumberFormat="1" applyFont="1" applyBorder="1"/>
    <xf numFmtId="0" fontId="39" fillId="0" borderId="10" xfId="0" applyFont="1" applyBorder="1"/>
    <xf numFmtId="169" fontId="39" fillId="0" borderId="10" xfId="0" applyNumberFormat="1" applyFont="1" applyBorder="1" applyAlignment="1">
      <alignment horizontal="center"/>
    </xf>
    <xf numFmtId="0" fontId="39" fillId="0" borderId="4" xfId="0" applyFont="1" applyBorder="1"/>
    <xf numFmtId="169" fontId="39" fillId="0" borderId="4" xfId="0" applyNumberFormat="1" applyFont="1" applyBorder="1" applyAlignment="1">
      <alignment horizontal="center"/>
    </xf>
    <xf numFmtId="0" fontId="38" fillId="0" borderId="8" xfId="0" applyFont="1" applyBorder="1"/>
    <xf numFmtId="169" fontId="38" fillId="0" borderId="8" xfId="0" applyNumberFormat="1" applyFont="1" applyBorder="1" applyAlignment="1">
      <alignment horizontal="center"/>
    </xf>
    <xf numFmtId="0" fontId="40" fillId="0" borderId="0" xfId="0" applyFont="1"/>
    <xf numFmtId="0" fontId="0" fillId="0" borderId="0" xfId="0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40" xfId="0" applyBorder="1"/>
    <xf numFmtId="0" fontId="30" fillId="0" borderId="0" xfId="0" applyFont="1"/>
    <xf numFmtId="0" fontId="20" fillId="0" borderId="0" xfId="0" applyFont="1" applyAlignment="1"/>
    <xf numFmtId="0" fontId="45" fillId="0" borderId="6" xfId="0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wrapText="1"/>
    </xf>
    <xf numFmtId="0" fontId="45" fillId="0" borderId="4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wrapText="1"/>
    </xf>
    <xf numFmtId="0" fontId="45" fillId="0" borderId="5" xfId="0" applyFont="1" applyBorder="1" applyAlignment="1">
      <alignment horizontal="center" vertical="top" wrapText="1"/>
    </xf>
    <xf numFmtId="169" fontId="27" fillId="0" borderId="0" xfId="0" applyNumberFormat="1" applyFont="1"/>
    <xf numFmtId="169" fontId="12" fillId="0" borderId="0" xfId="0" applyNumberFormat="1" applyFont="1" applyAlignment="1">
      <alignment horizontal="center"/>
    </xf>
    <xf numFmtId="4" fontId="16" fillId="0" borderId="0" xfId="0" applyNumberFormat="1" applyFont="1"/>
    <xf numFmtId="0" fontId="17" fillId="0" borderId="0" xfId="0" applyFont="1" applyBorder="1" applyAlignment="1"/>
    <xf numFmtId="9" fontId="17" fillId="0" borderId="0" xfId="0" applyNumberFormat="1" applyFont="1" applyBorder="1"/>
    <xf numFmtId="4" fontId="17" fillId="0" borderId="0" xfId="0" applyNumberFormat="1" applyFont="1" applyBorder="1"/>
    <xf numFmtId="10" fontId="17" fillId="0" borderId="0" xfId="0" applyNumberFormat="1" applyFont="1" applyBorder="1"/>
    <xf numFmtId="10" fontId="17" fillId="0" borderId="0" xfId="0" applyNumberFormat="1" applyFont="1" applyFill="1" applyBorder="1"/>
    <xf numFmtId="0" fontId="33" fillId="0" borderId="0" xfId="0" applyFont="1" applyFill="1" applyBorder="1"/>
    <xf numFmtId="0" fontId="17" fillId="0" borderId="0" xfId="0" applyFont="1" applyFill="1" applyBorder="1"/>
    <xf numFmtId="171" fontId="6" fillId="0" borderId="0" xfId="0" applyNumberFormat="1" applyFont="1" applyFill="1" applyBorder="1"/>
    <xf numFmtId="9" fontId="48" fillId="0" borderId="0" xfId="3" applyNumberFormat="1" applyFont="1" applyFill="1" applyBorder="1" applyAlignment="1">
      <alignment horizontal="center"/>
    </xf>
    <xf numFmtId="10" fontId="48" fillId="0" borderId="0" xfId="3" applyNumberFormat="1" applyFont="1" applyFill="1" applyBorder="1" applyAlignment="1">
      <alignment horizontal="center"/>
    </xf>
    <xf numFmtId="2" fontId="48" fillId="0" borderId="0" xfId="3" applyNumberFormat="1" applyFont="1" applyFill="1" applyBorder="1" applyAlignment="1">
      <alignment horizontal="center"/>
    </xf>
    <xf numFmtId="10" fontId="47" fillId="0" borderId="0" xfId="3" applyNumberFormat="1" applyFont="1" applyFill="1" applyBorder="1" applyAlignment="1">
      <alignment horizontal="center"/>
    </xf>
    <xf numFmtId="171" fontId="6" fillId="3" borderId="32" xfId="0" applyNumberFormat="1" applyFont="1" applyFill="1" applyBorder="1"/>
    <xf numFmtId="171" fontId="6" fillId="3" borderId="35" xfId="0" applyNumberFormat="1" applyFont="1" applyFill="1" applyBorder="1"/>
    <xf numFmtId="2" fontId="48" fillId="3" borderId="36" xfId="3" applyNumberFormat="1" applyFont="1" applyFill="1" applyBorder="1" applyAlignment="1">
      <alignment horizontal="center"/>
    </xf>
    <xf numFmtId="9" fontId="48" fillId="3" borderId="36" xfId="3" applyNumberFormat="1" applyFont="1" applyFill="1" applyBorder="1" applyAlignment="1">
      <alignment horizontal="center"/>
    </xf>
    <xf numFmtId="10" fontId="48" fillId="3" borderId="36" xfId="3" applyNumberFormat="1" applyFont="1" applyFill="1" applyBorder="1" applyAlignment="1">
      <alignment horizontal="center"/>
    </xf>
    <xf numFmtId="171" fontId="6" fillId="21" borderId="40" xfId="0" applyNumberFormat="1" applyFont="1" applyFill="1" applyBorder="1"/>
    <xf numFmtId="10" fontId="47" fillId="21" borderId="39" xfId="3" applyNumberFormat="1" applyFont="1" applyFill="1" applyBorder="1" applyAlignment="1">
      <alignment horizontal="center"/>
    </xf>
    <xf numFmtId="10" fontId="48" fillId="3" borderId="34" xfId="3" applyNumberFormat="1" applyFont="1" applyFill="1" applyBorder="1" applyAlignment="1">
      <alignment horizontal="center"/>
    </xf>
    <xf numFmtId="0" fontId="12" fillId="0" borderId="0" xfId="0" applyFont="1" applyFill="1"/>
    <xf numFmtId="0" fontId="21" fillId="0" borderId="0" xfId="0" applyFont="1" applyFill="1" applyBorder="1"/>
    <xf numFmtId="171" fontId="6" fillId="15" borderId="24" xfId="0" applyNumberFormat="1" applyFont="1" applyFill="1" applyBorder="1"/>
    <xf numFmtId="10" fontId="16" fillId="15" borderId="9" xfId="0" applyNumberFormat="1" applyFont="1" applyFill="1" applyBorder="1"/>
    <xf numFmtId="0" fontId="16" fillId="15" borderId="20" xfId="0" applyFont="1" applyFill="1" applyBorder="1" applyAlignment="1">
      <alignment horizontal="center"/>
    </xf>
    <xf numFmtId="4" fontId="16" fillId="15" borderId="20" xfId="0" applyNumberFormat="1" applyFont="1" applyFill="1" applyBorder="1" applyAlignment="1">
      <alignment horizontal="center"/>
    </xf>
    <xf numFmtId="4" fontId="16" fillId="15" borderId="6" xfId="0" applyNumberFormat="1" applyFont="1" applyFill="1" applyBorder="1" applyAlignment="1">
      <alignment horizontal="center"/>
    </xf>
    <xf numFmtId="4" fontId="16" fillId="15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0" fontId="16" fillId="0" borderId="0" xfId="0" applyFont="1" applyBorder="1"/>
    <xf numFmtId="0" fontId="3" fillId="16" borderId="8" xfId="0" applyFont="1" applyFill="1" applyBorder="1"/>
    <xf numFmtId="0" fontId="3" fillId="16" borderId="8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4" fillId="0" borderId="4" xfId="0" applyFont="1" applyBorder="1"/>
    <xf numFmtId="169" fontId="4" fillId="0" borderId="0" xfId="0" applyNumberFormat="1" applyFont="1" applyBorder="1" applyAlignment="1">
      <alignment horizontal="center"/>
    </xf>
    <xf numFmtId="169" fontId="4" fillId="0" borderId="4" xfId="0" applyNumberFormat="1" applyFont="1" applyBorder="1" applyAlignment="1">
      <alignment horizontal="center"/>
    </xf>
    <xf numFmtId="169" fontId="3" fillId="16" borderId="8" xfId="0" applyNumberFormat="1" applyFont="1" applyFill="1" applyBorder="1" applyAlignment="1">
      <alignment horizontal="center"/>
    </xf>
    <xf numFmtId="0" fontId="4" fillId="0" borderId="10" xfId="0" applyFont="1" applyBorder="1"/>
    <xf numFmtId="169" fontId="4" fillId="0" borderId="10" xfId="0" applyNumberFormat="1" applyFont="1" applyBorder="1" applyAlignment="1">
      <alignment horizontal="center"/>
    </xf>
    <xf numFmtId="169" fontId="4" fillId="0" borderId="22" xfId="0" applyNumberFormat="1" applyFont="1" applyBorder="1" applyAlignment="1">
      <alignment horizontal="center"/>
    </xf>
    <xf numFmtId="169" fontId="4" fillId="0" borderId="5" xfId="0" applyNumberFormat="1" applyFont="1" applyBorder="1" applyAlignment="1">
      <alignment horizontal="center"/>
    </xf>
    <xf numFmtId="169" fontId="4" fillId="0" borderId="6" xfId="0" applyNumberFormat="1" applyFont="1" applyBorder="1" applyAlignment="1">
      <alignment horizontal="center"/>
    </xf>
    <xf numFmtId="0" fontId="3" fillId="16" borderId="6" xfId="0" applyFont="1" applyFill="1" applyBorder="1"/>
    <xf numFmtId="169" fontId="3" fillId="16" borderId="6" xfId="0" applyNumberFormat="1" applyFont="1" applyFill="1" applyBorder="1" applyAlignment="1">
      <alignment horizontal="center"/>
    </xf>
    <xf numFmtId="169" fontId="3" fillId="16" borderId="3" xfId="0" applyNumberFormat="1" applyFont="1" applyFill="1" applyBorder="1" applyAlignment="1">
      <alignment horizontal="center"/>
    </xf>
    <xf numFmtId="0" fontId="44" fillId="0" borderId="8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3" fontId="16" fillId="0" borderId="33" xfId="0" applyNumberFormat="1" applyFont="1" applyBorder="1" applyAlignment="1">
      <alignment horizontal="center" vertical="top" wrapText="1"/>
    </xf>
    <xf numFmtId="3" fontId="16" fillId="0" borderId="12" xfId="0" applyNumberFormat="1" applyFont="1" applyBorder="1" applyAlignment="1">
      <alignment horizontal="center" vertical="top" wrapText="1"/>
    </xf>
    <xf numFmtId="3" fontId="16" fillId="0" borderId="37" xfId="0" applyNumberFormat="1" applyFont="1" applyBorder="1" applyAlignment="1">
      <alignment horizontal="center" wrapText="1"/>
    </xf>
    <xf numFmtId="3" fontId="16" fillId="0" borderId="12" xfId="0" applyNumberFormat="1" applyFont="1" applyBorder="1" applyAlignment="1">
      <alignment horizontal="center" wrapText="1"/>
    </xf>
    <xf numFmtId="3" fontId="27" fillId="0" borderId="9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wrapText="1"/>
    </xf>
    <xf numFmtId="3" fontId="27" fillId="0" borderId="55" xfId="0" applyNumberFormat="1" applyFont="1" applyBorder="1" applyAlignment="1">
      <alignment horizontal="center" wrapText="1"/>
    </xf>
    <xf numFmtId="0" fontId="46" fillId="20" borderId="9" xfId="0" applyFont="1" applyFill="1" applyBorder="1" applyAlignment="1">
      <alignment horizontal="center" vertical="center" wrapText="1"/>
    </xf>
    <xf numFmtId="0" fontId="51" fillId="12" borderId="42" xfId="0" applyFont="1" applyFill="1" applyBorder="1" applyAlignment="1">
      <alignment horizontal="center" vertical="center" wrapText="1"/>
    </xf>
    <xf numFmtId="0" fontId="38" fillId="0" borderId="0" xfId="0" applyFont="1" applyAlignment="1"/>
    <xf numFmtId="0" fontId="46" fillId="20" borderId="9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41" fillId="0" borderId="0" xfId="0" applyFont="1" applyAlignment="1">
      <alignment horizontal="center"/>
    </xf>
    <xf numFmtId="0" fontId="43" fillId="0" borderId="31" xfId="0" applyFont="1" applyBorder="1" applyAlignment="1">
      <alignment horizontal="center"/>
    </xf>
    <xf numFmtId="0" fontId="50" fillId="20" borderId="2" xfId="0" applyFont="1" applyFill="1" applyBorder="1" applyAlignment="1">
      <alignment horizontal="center" vertical="center" wrapText="1"/>
    </xf>
    <xf numFmtId="0" fontId="50" fillId="20" borderId="9" xfId="0" applyFont="1" applyFill="1" applyBorder="1" applyAlignment="1">
      <alignment horizontal="center" vertical="center" wrapText="1"/>
    </xf>
    <xf numFmtId="4" fontId="20" fillId="0" borderId="31" xfId="0" applyNumberFormat="1" applyFont="1" applyFill="1" applyBorder="1" applyAlignment="1">
      <alignment horizontal="center" vertical="top" wrapText="1"/>
    </xf>
    <xf numFmtId="4" fontId="20" fillId="9" borderId="1" xfId="0" applyNumberFormat="1" applyFont="1" applyFill="1" applyBorder="1" applyAlignment="1">
      <alignment horizontal="center" vertical="top" wrapText="1"/>
    </xf>
    <xf numFmtId="4" fontId="20" fillId="9" borderId="2" xfId="0" applyNumberFormat="1" applyFont="1" applyFill="1" applyBorder="1" applyAlignment="1">
      <alignment horizontal="center" vertical="top" wrapText="1"/>
    </xf>
    <xf numFmtId="4" fontId="20" fillId="9" borderId="54" xfId="0" applyNumberFormat="1" applyFont="1" applyFill="1" applyBorder="1" applyAlignment="1">
      <alignment horizontal="center" vertical="top" wrapText="1"/>
    </xf>
    <xf numFmtId="0" fontId="24" fillId="0" borderId="31" xfId="0" applyFont="1" applyFill="1" applyBorder="1" applyAlignment="1">
      <alignment horizontal="center" vertical="top" wrapText="1"/>
    </xf>
    <xf numFmtId="4" fontId="27" fillId="9" borderId="1" xfId="0" applyNumberFormat="1" applyFont="1" applyFill="1" applyBorder="1" applyAlignment="1">
      <alignment horizontal="center" vertical="top" wrapText="1"/>
    </xf>
    <xf numFmtId="4" fontId="27" fillId="9" borderId="2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textRotation="90" wrapText="1"/>
    </xf>
    <xf numFmtId="0" fontId="19" fillId="2" borderId="6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19" borderId="1" xfId="0" applyFont="1" applyFill="1" applyBorder="1" applyAlignment="1">
      <alignment horizontal="center"/>
    </xf>
    <xf numFmtId="0" fontId="23" fillId="19" borderId="2" xfId="0" applyFont="1" applyFill="1" applyBorder="1" applyAlignment="1">
      <alignment horizontal="center"/>
    </xf>
    <xf numFmtId="0" fontId="23" fillId="19" borderId="9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/>
    </xf>
    <xf numFmtId="0" fontId="23" fillId="14" borderId="2" xfId="0" applyFont="1" applyFill="1" applyBorder="1" applyAlignment="1">
      <alignment horizontal="center"/>
    </xf>
    <xf numFmtId="0" fontId="23" fillId="14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49" fillId="0" borderId="0" xfId="0" applyFont="1" applyAlignment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ual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7</xdr:row>
      <xdr:rowOff>142356</xdr:rowOff>
    </xdr:from>
    <xdr:to>
      <xdr:col>6</xdr:col>
      <xdr:colOff>514351</xdr:colOff>
      <xdr:row>30</xdr:row>
      <xdr:rowOff>133350</xdr:rowOff>
    </xdr:to>
    <xdr:pic>
      <xdr:nvPicPr>
        <xdr:cNvPr id="2" name="Picture 1" descr="http://www.infomipyme.com/Docs/GT/Offline/importar/images/img00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1580631"/>
          <a:ext cx="5010150" cy="437249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18</xdr:row>
      <xdr:rowOff>95250</xdr:rowOff>
    </xdr:from>
    <xdr:to>
      <xdr:col>6</xdr:col>
      <xdr:colOff>342900</xdr:colOff>
      <xdr:row>18</xdr:row>
      <xdr:rowOff>104776</xdr:rowOff>
    </xdr:to>
    <xdr:cxnSp macro="">
      <xdr:nvCxnSpPr>
        <xdr:cNvPr id="9" name="8 Conector recto de flecha"/>
        <xdr:cNvCxnSpPr/>
      </xdr:nvCxnSpPr>
      <xdr:spPr>
        <a:xfrm flipV="1">
          <a:off x="5648325" y="2552700"/>
          <a:ext cx="323850" cy="95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CONFIG~1/Temp/ESTUDIO.FINANCIE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q.xCont. (2)"/>
      <sheetName val="Dim.Maquina"/>
      <sheetName val="Maq.xCont."/>
      <sheetName val="EQUIPOS"/>
      <sheetName val="PERSONAL"/>
      <sheetName val="Tamaño Bodega"/>
      <sheetName val="Localiz.Bodega"/>
      <sheetName val="Inver.inicial"/>
      <sheetName val="Equipamiento"/>
      <sheetName val="Sueldos"/>
      <sheetName val="Gstosoper"/>
      <sheetName val="Alquiler"/>
      <sheetName val="Publi"/>
      <sheetName val="Depr"/>
      <sheetName val="Demanda real"/>
      <sheetName val="Dem.Maq.Mens."/>
      <sheetName val="Cap_Trab"/>
      <sheetName val="Dem.NP2"/>
      <sheetName val="Dem.NP"/>
      <sheetName val="Demproy"/>
      <sheetName val="Dem.Maq.Anual"/>
      <sheetName val="FLUJO CAJA"/>
      <sheetName val="Payback"/>
      <sheetName val="CB"/>
      <sheetName val="REPORTC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B4">
            <v>0.3029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sqref="A1:H1"/>
    </sheetView>
  </sheetViews>
  <sheetFormatPr baseColWidth="10" defaultRowHeight="15"/>
  <cols>
    <col min="1" max="1" width="8.42578125" customWidth="1"/>
  </cols>
  <sheetData>
    <row r="1" spans="1:8" ht="23.25">
      <c r="A1" s="383" t="s">
        <v>267</v>
      </c>
      <c r="B1" s="383"/>
      <c r="C1" s="383"/>
      <c r="D1" s="383"/>
      <c r="E1" s="383"/>
      <c r="F1" s="383"/>
      <c r="G1" s="383"/>
      <c r="H1" s="383"/>
    </row>
    <row r="2" spans="1:8" ht="24" thickBot="1">
      <c r="A2" s="383" t="s">
        <v>262</v>
      </c>
      <c r="B2" s="383"/>
      <c r="C2" s="383"/>
      <c r="D2" s="383"/>
      <c r="E2" s="383"/>
      <c r="F2" s="383"/>
      <c r="G2" s="383"/>
      <c r="H2" s="383"/>
    </row>
    <row r="3" spans="1:8">
      <c r="A3" s="307" t="s">
        <v>249</v>
      </c>
      <c r="B3" s="308" t="s">
        <v>250</v>
      </c>
      <c r="C3" s="308"/>
      <c r="D3" s="308"/>
      <c r="E3" s="308"/>
      <c r="F3" s="308"/>
      <c r="G3" s="308"/>
      <c r="H3" s="309"/>
    </row>
    <row r="4" spans="1:8">
      <c r="A4" s="310" t="s">
        <v>251</v>
      </c>
      <c r="B4" s="385" t="s">
        <v>252</v>
      </c>
      <c r="C4" s="385"/>
      <c r="D4" s="385"/>
      <c r="E4" s="385"/>
      <c r="F4" s="385"/>
      <c r="G4" s="385"/>
      <c r="H4" s="386"/>
    </row>
    <row r="5" spans="1:8">
      <c r="A5" s="310"/>
      <c r="B5" s="385"/>
      <c r="C5" s="385"/>
      <c r="D5" s="385"/>
      <c r="E5" s="385"/>
      <c r="F5" s="385"/>
      <c r="G5" s="385"/>
      <c r="H5" s="386"/>
    </row>
    <row r="6" spans="1:8" ht="15" customHeight="1">
      <c r="A6" s="310" t="s">
        <v>253</v>
      </c>
      <c r="B6" s="385" t="s">
        <v>254</v>
      </c>
      <c r="C6" s="385"/>
      <c r="D6" s="385"/>
      <c r="E6" s="385"/>
      <c r="F6" s="385"/>
      <c r="G6" s="385"/>
      <c r="H6" s="386"/>
    </row>
    <row r="7" spans="1:8">
      <c r="A7" s="310"/>
      <c r="B7" s="385"/>
      <c r="C7" s="385"/>
      <c r="D7" s="385"/>
      <c r="E7" s="385"/>
      <c r="F7" s="385"/>
      <c r="G7" s="385"/>
      <c r="H7" s="386"/>
    </row>
    <row r="8" spans="1:8">
      <c r="A8" s="310"/>
      <c r="B8" s="385"/>
      <c r="C8" s="385"/>
      <c r="D8" s="385"/>
      <c r="E8" s="385"/>
      <c r="F8" s="385"/>
      <c r="G8" s="385"/>
      <c r="H8" s="386"/>
    </row>
    <row r="9" spans="1:8" ht="15" customHeight="1">
      <c r="A9" s="310"/>
      <c r="B9" s="385" t="s">
        <v>264</v>
      </c>
      <c r="C9" s="385"/>
      <c r="D9" s="385"/>
      <c r="E9" s="385"/>
      <c r="F9" s="385"/>
      <c r="G9" s="385"/>
      <c r="H9" s="386"/>
    </row>
    <row r="10" spans="1:8">
      <c r="A10" s="310" t="s">
        <v>255</v>
      </c>
      <c r="B10" s="385"/>
      <c r="C10" s="385"/>
      <c r="D10" s="385"/>
      <c r="E10" s="385"/>
      <c r="F10" s="385"/>
      <c r="G10" s="385"/>
      <c r="H10" s="386"/>
    </row>
    <row r="11" spans="1:8">
      <c r="A11" s="310"/>
      <c r="B11" s="385"/>
      <c r="C11" s="385"/>
      <c r="D11" s="385"/>
      <c r="E11" s="385"/>
      <c r="F11" s="385"/>
      <c r="G11" s="385"/>
      <c r="H11" s="386"/>
    </row>
    <row r="12" spans="1:8">
      <c r="A12" s="310"/>
      <c r="B12" s="385"/>
      <c r="C12" s="385"/>
      <c r="D12" s="385"/>
      <c r="E12" s="385"/>
      <c r="F12" s="385"/>
      <c r="G12" s="385"/>
      <c r="H12" s="386"/>
    </row>
    <row r="13" spans="1:8">
      <c r="A13" s="310" t="s">
        <v>256</v>
      </c>
      <c r="B13" s="385" t="s">
        <v>257</v>
      </c>
      <c r="C13" s="385"/>
      <c r="D13" s="385"/>
      <c r="E13" s="385"/>
      <c r="F13" s="385"/>
      <c r="G13" s="385"/>
      <c r="H13" s="386"/>
    </row>
    <row r="14" spans="1:8">
      <c r="A14" s="310"/>
      <c r="B14" s="385"/>
      <c r="C14" s="385"/>
      <c r="D14" s="385"/>
      <c r="E14" s="385"/>
      <c r="F14" s="385"/>
      <c r="G14" s="385"/>
      <c r="H14" s="386"/>
    </row>
    <row r="15" spans="1:8">
      <c r="A15" s="310" t="s">
        <v>258</v>
      </c>
      <c r="B15" s="385" t="s">
        <v>266</v>
      </c>
      <c r="C15" s="385"/>
      <c r="D15" s="385"/>
      <c r="E15" s="385"/>
      <c r="F15" s="385"/>
      <c r="G15" s="385"/>
      <c r="H15" s="386"/>
    </row>
    <row r="16" spans="1:8">
      <c r="A16" s="310"/>
      <c r="B16" s="385"/>
      <c r="C16" s="385"/>
      <c r="D16" s="385"/>
      <c r="E16" s="385"/>
      <c r="F16" s="385"/>
      <c r="G16" s="385"/>
      <c r="H16" s="386"/>
    </row>
    <row r="17" spans="1:8" ht="15" customHeight="1">
      <c r="A17" s="310"/>
      <c r="B17" s="385" t="s">
        <v>265</v>
      </c>
      <c r="C17" s="385"/>
      <c r="D17" s="385"/>
      <c r="E17" s="385"/>
      <c r="F17" s="385"/>
      <c r="G17" s="385"/>
      <c r="H17" s="386"/>
    </row>
    <row r="18" spans="1:8">
      <c r="A18" s="310" t="s">
        <v>259</v>
      </c>
      <c r="B18" s="385"/>
      <c r="C18" s="385"/>
      <c r="D18" s="385"/>
      <c r="E18" s="385"/>
      <c r="F18" s="385"/>
      <c r="G18" s="385"/>
      <c r="H18" s="386"/>
    </row>
    <row r="19" spans="1:8">
      <c r="A19" s="310"/>
      <c r="B19" s="385"/>
      <c r="C19" s="385"/>
      <c r="D19" s="385"/>
      <c r="E19" s="385"/>
      <c r="F19" s="385"/>
      <c r="G19" s="385"/>
      <c r="H19" s="386"/>
    </row>
    <row r="20" spans="1:8">
      <c r="A20" s="310"/>
      <c r="B20" s="385"/>
      <c r="C20" s="385"/>
      <c r="D20" s="385"/>
      <c r="E20" s="385"/>
      <c r="F20" s="385"/>
      <c r="G20" s="385"/>
      <c r="H20" s="386"/>
    </row>
    <row r="21" spans="1:8" ht="15" customHeight="1">
      <c r="A21" s="310"/>
      <c r="B21" s="385" t="s">
        <v>261</v>
      </c>
      <c r="C21" s="385"/>
      <c r="D21" s="385"/>
      <c r="E21" s="385"/>
      <c r="F21" s="385"/>
      <c r="G21" s="385"/>
      <c r="H21" s="386"/>
    </row>
    <row r="22" spans="1:8">
      <c r="A22" s="310" t="s">
        <v>260</v>
      </c>
      <c r="B22" s="385"/>
      <c r="C22" s="385"/>
      <c r="D22" s="385"/>
      <c r="E22" s="385"/>
      <c r="F22" s="385"/>
      <c r="G22" s="385"/>
      <c r="H22" s="386"/>
    </row>
    <row r="23" spans="1:8">
      <c r="A23" s="310"/>
      <c r="B23" s="385"/>
      <c r="C23" s="385"/>
      <c r="D23" s="385"/>
      <c r="E23" s="385"/>
      <c r="F23" s="385"/>
      <c r="G23" s="385"/>
      <c r="H23" s="386"/>
    </row>
    <row r="24" spans="1:8" ht="15.75" thickBot="1">
      <c r="A24" s="311"/>
      <c r="B24" s="387"/>
      <c r="C24" s="387"/>
      <c r="D24" s="387"/>
      <c r="E24" s="387"/>
      <c r="F24" s="387"/>
      <c r="G24" s="387"/>
      <c r="H24" s="388"/>
    </row>
    <row r="25" spans="1:8">
      <c r="A25" s="312" t="s">
        <v>263</v>
      </c>
    </row>
    <row r="27" spans="1:8">
      <c r="B27" s="305"/>
    </row>
    <row r="28" spans="1:8">
      <c r="B28" s="306"/>
    </row>
    <row r="29" spans="1:8">
      <c r="B29" s="306"/>
    </row>
    <row r="30" spans="1:8">
      <c r="B30" s="306"/>
    </row>
    <row r="31" spans="1:8">
      <c r="B31" s="306"/>
    </row>
    <row r="32" spans="1:8">
      <c r="B32" s="306"/>
    </row>
    <row r="33" spans="2:2">
      <c r="B33" s="306"/>
    </row>
    <row r="34" spans="2:2">
      <c r="B34" s="306"/>
    </row>
    <row r="35" spans="2:2">
      <c r="B35" s="306"/>
    </row>
    <row r="36" spans="2:2">
      <c r="B36" s="306"/>
    </row>
    <row r="37" spans="2:2">
      <c r="B37" s="306"/>
    </row>
    <row r="38" spans="2:2">
      <c r="B38" s="306"/>
    </row>
    <row r="39" spans="2:2">
      <c r="B39" s="306"/>
    </row>
    <row r="40" spans="2:2">
      <c r="B40" s="306"/>
    </row>
    <row r="41" spans="2:2">
      <c r="B41" s="306"/>
    </row>
    <row r="42" spans="2:2">
      <c r="B42" s="306"/>
    </row>
    <row r="49" spans="2:2">
      <c r="B49" s="306"/>
    </row>
    <row r="50" spans="2:2">
      <c r="B50" s="306"/>
    </row>
    <row r="51" spans="2:2">
      <c r="B51" s="306"/>
    </row>
    <row r="52" spans="2:2">
      <c r="B52" s="306"/>
    </row>
    <row r="53" spans="2:2">
      <c r="B53" s="306"/>
    </row>
  </sheetData>
  <mergeCells count="9">
    <mergeCell ref="A1:H1"/>
    <mergeCell ref="A2:H2"/>
    <mergeCell ref="B21:H24"/>
    <mergeCell ref="B6:H8"/>
    <mergeCell ref="B9:H12"/>
    <mergeCell ref="B17:H20"/>
    <mergeCell ref="B4:H5"/>
    <mergeCell ref="B13:H14"/>
    <mergeCell ref="B15:H16"/>
  </mergeCells>
  <pageMargins left="0.7" right="0.7" top="1.3149999999999999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24"/>
  <sheetViews>
    <sheetView workbookViewId="0">
      <selection activeCell="B1" sqref="B1:H1"/>
    </sheetView>
  </sheetViews>
  <sheetFormatPr baseColWidth="10" defaultRowHeight="12"/>
  <cols>
    <col min="1" max="1" width="11.42578125" style="43"/>
    <col min="2" max="2" width="35.140625" style="150" bestFit="1" customWidth="1"/>
    <col min="3" max="3" width="10.85546875" style="43" bestFit="1" customWidth="1"/>
    <col min="4" max="8" width="9.5703125" style="43" bestFit="1" customWidth="1"/>
    <col min="9" max="16384" width="11.42578125" style="43"/>
  </cols>
  <sheetData>
    <row r="1" spans="2:8" ht="26.25">
      <c r="B1" s="389" t="s">
        <v>277</v>
      </c>
      <c r="C1" s="389"/>
      <c r="D1" s="389"/>
      <c r="E1" s="389"/>
      <c r="F1" s="389"/>
      <c r="G1" s="389"/>
      <c r="H1" s="389"/>
    </row>
    <row r="2" spans="2:8">
      <c r="B2" s="423" t="s">
        <v>92</v>
      </c>
      <c r="C2" s="423"/>
      <c r="D2" s="423"/>
      <c r="E2" s="423"/>
      <c r="F2" s="423"/>
      <c r="G2" s="423"/>
      <c r="H2" s="423"/>
    </row>
    <row r="3" spans="2:8">
      <c r="B3" s="422" t="s">
        <v>93</v>
      </c>
      <c r="C3" s="422"/>
      <c r="D3" s="149">
        <v>800</v>
      </c>
    </row>
    <row r="4" spans="2:8">
      <c r="B4" s="423" t="s">
        <v>182</v>
      </c>
      <c r="C4" s="423"/>
      <c r="D4" s="423"/>
      <c r="E4" s="423"/>
      <c r="F4" s="423"/>
      <c r="G4" s="423"/>
      <c r="H4" s="423"/>
    </row>
    <row r="5" spans="2:8" ht="12.75" thickBot="1"/>
    <row r="6" spans="2:8" ht="12.75" thickBot="1">
      <c r="C6" s="152" t="s">
        <v>94</v>
      </c>
      <c r="D6" s="152" t="s">
        <v>5</v>
      </c>
      <c r="E6" s="152" t="s">
        <v>6</v>
      </c>
      <c r="F6" s="152" t="s">
        <v>7</v>
      </c>
      <c r="G6" s="152" t="s">
        <v>8</v>
      </c>
      <c r="H6" s="152" t="s">
        <v>9</v>
      </c>
    </row>
    <row r="7" spans="2:8" ht="12.75" thickBot="1">
      <c r="B7" s="153" t="s">
        <v>97</v>
      </c>
      <c r="C7" s="154">
        <v>0</v>
      </c>
      <c r="D7" s="155">
        <v>11.076923076923077</v>
      </c>
      <c r="E7" s="156">
        <v>12.738461538461538</v>
      </c>
      <c r="F7" s="156">
        <v>15.923076923076923</v>
      </c>
      <c r="G7" s="156">
        <v>19.903846153846153</v>
      </c>
      <c r="H7" s="156">
        <v>24.879807692307686</v>
      </c>
    </row>
    <row r="8" spans="2:8" ht="12.75" thickBot="1">
      <c r="B8" s="157" t="s">
        <v>93</v>
      </c>
      <c r="C8" s="158">
        <f>$D$3*C15</f>
        <v>0</v>
      </c>
      <c r="D8" s="158">
        <f t="shared" ref="D8:H8" si="0">$D$3*D15</f>
        <v>460800</v>
      </c>
      <c r="E8" s="158">
        <f t="shared" si="0"/>
        <v>506880.00000000012</v>
      </c>
      <c r="F8" s="158">
        <f t="shared" si="0"/>
        <v>557568.00000000012</v>
      </c>
      <c r="G8" s="158">
        <f t="shared" si="0"/>
        <v>613324.80000000016</v>
      </c>
      <c r="H8" s="158">
        <f t="shared" si="0"/>
        <v>674657.28000000026</v>
      </c>
    </row>
    <row r="9" spans="2:8" ht="12.75" thickBot="1">
      <c r="B9" s="157" t="s">
        <v>142</v>
      </c>
      <c r="C9" s="158">
        <f>C8</f>
        <v>0</v>
      </c>
      <c r="D9" s="158">
        <f t="shared" ref="D9:H9" si="1">D8</f>
        <v>460800</v>
      </c>
      <c r="E9" s="158">
        <f t="shared" si="1"/>
        <v>506880.00000000012</v>
      </c>
      <c r="F9" s="158">
        <f t="shared" si="1"/>
        <v>557568.00000000012</v>
      </c>
      <c r="G9" s="158">
        <f t="shared" si="1"/>
        <v>613324.80000000016</v>
      </c>
      <c r="H9" s="158">
        <f t="shared" si="1"/>
        <v>674657.28000000026</v>
      </c>
    </row>
    <row r="10" spans="2:8" ht="12.75" thickBot="1">
      <c r="B10" s="152" t="s">
        <v>85</v>
      </c>
      <c r="C10" s="159">
        <f>D9+E9+F9+G9+H9</f>
        <v>2813230.0800000005</v>
      </c>
      <c r="D10" s="160"/>
      <c r="E10" s="160"/>
      <c r="F10" s="160"/>
      <c r="G10" s="160"/>
      <c r="H10" s="160"/>
    </row>
    <row r="12" spans="2:8">
      <c r="B12" s="423" t="s">
        <v>183</v>
      </c>
      <c r="C12" s="423"/>
      <c r="D12" s="423"/>
      <c r="E12" s="423"/>
      <c r="F12" s="423"/>
      <c r="G12" s="423"/>
      <c r="H12" s="423"/>
    </row>
    <row r="13" spans="2:8" ht="12.75" thickBot="1"/>
    <row r="14" spans="2:8" ht="12.75" thickBot="1">
      <c r="C14" s="152" t="s">
        <v>94</v>
      </c>
      <c r="D14" s="152" t="s">
        <v>5</v>
      </c>
      <c r="E14" s="152" t="s">
        <v>6</v>
      </c>
      <c r="F14" s="152" t="s">
        <v>7</v>
      </c>
      <c r="G14" s="152" t="s">
        <v>8</v>
      </c>
      <c r="H14" s="152" t="s">
        <v>9</v>
      </c>
    </row>
    <row r="15" spans="2:8" ht="12.75" thickBot="1">
      <c r="B15" s="161" t="s">
        <v>98</v>
      </c>
      <c r="C15" s="154">
        <v>0</v>
      </c>
      <c r="D15" s="162">
        <v>576</v>
      </c>
      <c r="E15" s="162">
        <v>633.60000000000014</v>
      </c>
      <c r="F15" s="162">
        <v>696.96000000000015</v>
      </c>
      <c r="G15" s="162">
        <v>766.65600000000018</v>
      </c>
      <c r="H15" s="162">
        <v>843.32160000000033</v>
      </c>
    </row>
    <row r="16" spans="2:8" ht="12.75" thickBot="1">
      <c r="B16" s="163" t="s">
        <v>93</v>
      </c>
      <c r="C16" s="158">
        <v>800</v>
      </c>
      <c r="D16" s="164"/>
      <c r="E16" s="165"/>
      <c r="F16" s="165"/>
      <c r="G16" s="165"/>
      <c r="H16" s="165"/>
    </row>
    <row r="17" spans="2:8" ht="12.75" thickBot="1">
      <c r="B17" s="166" t="s">
        <v>142</v>
      </c>
      <c r="C17" s="167">
        <f>C15*$C$8</f>
        <v>0</v>
      </c>
      <c r="D17" s="158">
        <f>D15*$C$16</f>
        <v>460800</v>
      </c>
      <c r="E17" s="158">
        <f t="shared" ref="E17:H17" si="2">E15*$C$16</f>
        <v>506880.00000000012</v>
      </c>
      <c r="F17" s="158">
        <f t="shared" si="2"/>
        <v>557568.00000000012</v>
      </c>
      <c r="G17" s="158">
        <f t="shared" si="2"/>
        <v>613324.80000000016</v>
      </c>
      <c r="H17" s="158">
        <f t="shared" si="2"/>
        <v>674657.28000000026</v>
      </c>
    </row>
    <row r="18" spans="2:8" ht="12.75" thickBot="1">
      <c r="B18" s="168" t="s">
        <v>85</v>
      </c>
      <c r="C18" s="159">
        <f>D17+E17+F17+G17+H17</f>
        <v>2813230.0800000005</v>
      </c>
      <c r="D18" s="160"/>
      <c r="E18" s="160"/>
      <c r="F18" s="160"/>
      <c r="G18" s="160"/>
      <c r="H18" s="160"/>
    </row>
    <row r="20" spans="2:8" ht="12.75" thickBot="1"/>
    <row r="21" spans="2:8" ht="12.75" thickBot="1">
      <c r="B21" s="152" t="s">
        <v>101</v>
      </c>
      <c r="C21" s="169">
        <f>D17/12</f>
        <v>38400</v>
      </c>
    </row>
    <row r="24" spans="2:8">
      <c r="D24" s="170"/>
      <c r="E24" s="170"/>
      <c r="F24" s="170"/>
      <c r="G24" s="170"/>
      <c r="H24" s="170"/>
    </row>
  </sheetData>
  <mergeCells count="5">
    <mergeCell ref="B1:H1"/>
    <mergeCell ref="B3:C3"/>
    <mergeCell ref="B2:H2"/>
    <mergeCell ref="B4:H4"/>
    <mergeCell ref="B12:H12"/>
  </mergeCells>
  <printOptions horizontalCentered="1"/>
  <pageMargins left="1.5748031496062993" right="0.70866141732283472" top="1.3130314960629921" bottom="0.74803149606299213" header="0.31496062992125984" footer="0.31496062992125984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9"/>
  <sheetViews>
    <sheetView topLeftCell="B1" workbookViewId="0">
      <selection activeCell="B1" sqref="B1:O19"/>
    </sheetView>
  </sheetViews>
  <sheetFormatPr baseColWidth="10" defaultRowHeight="11.25"/>
  <cols>
    <col min="1" max="1" width="8.7109375" style="31" hidden="1" customWidth="1"/>
    <col min="2" max="2" width="21.5703125" style="31" customWidth="1"/>
    <col min="3" max="14" width="13.140625" style="172" customWidth="1"/>
    <col min="15" max="15" width="15.7109375" style="172" customWidth="1"/>
    <col min="16" max="16384" width="11.42578125" style="31"/>
  </cols>
  <sheetData>
    <row r="1" spans="2:16" ht="26.25">
      <c r="B1" s="389" t="s">
        <v>278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4" spans="2:16" ht="12.75">
      <c r="B4" s="400" t="s">
        <v>71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</row>
    <row r="5" spans="2:16" ht="12" thickBot="1"/>
    <row r="6" spans="2:16" s="173" customFormat="1" ht="13.5" thickBot="1">
      <c r="B6" s="354" t="s">
        <v>72</v>
      </c>
      <c r="C6" s="355" t="s">
        <v>73</v>
      </c>
      <c r="D6" s="356" t="s">
        <v>74</v>
      </c>
      <c r="E6" s="355" t="s">
        <v>75</v>
      </c>
      <c r="F6" s="355" t="s">
        <v>76</v>
      </c>
      <c r="G6" s="355" t="s">
        <v>77</v>
      </c>
      <c r="H6" s="355" t="s">
        <v>78</v>
      </c>
      <c r="I6" s="355" t="s">
        <v>79</v>
      </c>
      <c r="J6" s="355" t="s">
        <v>80</v>
      </c>
      <c r="K6" s="355" t="s">
        <v>81</v>
      </c>
      <c r="L6" s="355" t="s">
        <v>82</v>
      </c>
      <c r="M6" s="355" t="s">
        <v>83</v>
      </c>
      <c r="N6" s="355" t="s">
        <v>84</v>
      </c>
      <c r="O6" s="355" t="s">
        <v>296</v>
      </c>
    </row>
    <row r="7" spans="2:16" ht="13.5" thickBot="1">
      <c r="B7" s="357" t="s">
        <v>91</v>
      </c>
      <c r="C7" s="358"/>
      <c r="D7" s="358">
        <f>INGRESOS!$C$21</f>
        <v>38400</v>
      </c>
      <c r="E7" s="358">
        <f>INGRESOS!$C$21</f>
        <v>38400</v>
      </c>
      <c r="F7" s="358">
        <f>INGRESOS!$C$21</f>
        <v>38400</v>
      </c>
      <c r="G7" s="358">
        <f>INGRESOS!$C$21</f>
        <v>38400</v>
      </c>
      <c r="H7" s="358">
        <f>INGRESOS!$C$21</f>
        <v>38400</v>
      </c>
      <c r="I7" s="358">
        <f>INGRESOS!$C$21</f>
        <v>38400</v>
      </c>
      <c r="J7" s="358">
        <f>INGRESOS!$C$21</f>
        <v>38400</v>
      </c>
      <c r="K7" s="358">
        <f>INGRESOS!$C$21</f>
        <v>38400</v>
      </c>
      <c r="L7" s="358">
        <f>INGRESOS!$C$21</f>
        <v>38400</v>
      </c>
      <c r="M7" s="358">
        <f>INGRESOS!$C$21</f>
        <v>38400</v>
      </c>
      <c r="N7" s="358">
        <f>INGRESOS!$C$21</f>
        <v>38400</v>
      </c>
      <c r="O7" s="359"/>
    </row>
    <row r="8" spans="2:16" s="173" customFormat="1" ht="13.5" thickBot="1">
      <c r="B8" s="354" t="s">
        <v>85</v>
      </c>
      <c r="C8" s="360"/>
      <c r="D8" s="360">
        <f t="shared" ref="D8:N8" si="0">D7</f>
        <v>38400</v>
      </c>
      <c r="E8" s="360">
        <f t="shared" si="0"/>
        <v>38400</v>
      </c>
      <c r="F8" s="360">
        <f t="shared" si="0"/>
        <v>38400</v>
      </c>
      <c r="G8" s="360">
        <f t="shared" si="0"/>
        <v>38400</v>
      </c>
      <c r="H8" s="360">
        <f t="shared" si="0"/>
        <v>38400</v>
      </c>
      <c r="I8" s="360">
        <f t="shared" si="0"/>
        <v>38400</v>
      </c>
      <c r="J8" s="360">
        <f t="shared" si="0"/>
        <v>38400</v>
      </c>
      <c r="K8" s="360">
        <f t="shared" si="0"/>
        <v>38400</v>
      </c>
      <c r="L8" s="360">
        <f t="shared" si="0"/>
        <v>38400</v>
      </c>
      <c r="M8" s="360">
        <f t="shared" si="0"/>
        <v>38400</v>
      </c>
      <c r="N8" s="360">
        <f t="shared" si="0"/>
        <v>38400</v>
      </c>
      <c r="O8" s="360">
        <f>SUM(D8:N8)</f>
        <v>422400</v>
      </c>
      <c r="P8" s="320"/>
    </row>
    <row r="9" spans="2:16" ht="12.75">
      <c r="B9" s="361" t="s">
        <v>86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3"/>
    </row>
    <row r="10" spans="2:16" ht="12.75">
      <c r="B10" s="357" t="s">
        <v>87</v>
      </c>
      <c r="C10" s="359">
        <f>+'COSTOS ADMINISTRATIVOS'!B104</f>
        <v>6215.3720000000003</v>
      </c>
      <c r="D10" s="359">
        <f>+'COSTOS ADMINISTRATIVOS'!B104</f>
        <v>6215.3720000000003</v>
      </c>
      <c r="E10" s="359">
        <v>6215.3720000000003</v>
      </c>
      <c r="F10" s="359">
        <v>6215.3720000000003</v>
      </c>
      <c r="G10" s="359">
        <v>6215.3720000000003</v>
      </c>
      <c r="H10" s="359">
        <v>6215.3720000000003</v>
      </c>
      <c r="I10" s="359">
        <v>6215.3720000000003</v>
      </c>
      <c r="J10" s="359">
        <v>6215.3720000000003</v>
      </c>
      <c r="K10" s="359">
        <v>6215.3720000000003</v>
      </c>
      <c r="L10" s="359">
        <v>6215.3720000000003</v>
      </c>
      <c r="M10" s="359">
        <v>6215.3720000000003</v>
      </c>
      <c r="N10" s="359">
        <v>6215.3720000000003</v>
      </c>
      <c r="O10" s="364"/>
    </row>
    <row r="11" spans="2:16" ht="12.75">
      <c r="B11" s="357" t="s">
        <v>152</v>
      </c>
      <c r="C11" s="359">
        <f>+'COSTOS VARIABLES'!C16</f>
        <v>29625.600000000002</v>
      </c>
      <c r="D11" s="359">
        <f>+'COSTOS VARIABLES'!C16</f>
        <v>29625.600000000002</v>
      </c>
      <c r="E11" s="359">
        <v>29625.600000000002</v>
      </c>
      <c r="F11" s="359">
        <v>29625.600000000002</v>
      </c>
      <c r="G11" s="359">
        <v>29625.600000000002</v>
      </c>
      <c r="H11" s="359">
        <v>29625.600000000002</v>
      </c>
      <c r="I11" s="359">
        <v>29625.600000000002</v>
      </c>
      <c r="J11" s="359">
        <v>29625.600000000002</v>
      </c>
      <c r="K11" s="359">
        <v>29625.600000000002</v>
      </c>
      <c r="L11" s="359">
        <v>29625.600000000002</v>
      </c>
      <c r="M11" s="359">
        <v>29625.600000000002</v>
      </c>
      <c r="N11" s="359">
        <v>29625.600000000002</v>
      </c>
      <c r="O11" s="364"/>
    </row>
    <row r="12" spans="2:16" ht="13.5" thickBot="1">
      <c r="B12" s="357" t="s">
        <v>69</v>
      </c>
      <c r="C12" s="365">
        <f>+'COSTOS FIJOS'!B98</f>
        <v>1435.722133333333</v>
      </c>
      <c r="D12" s="365">
        <f>+'COSTOS FIJOS'!B98</f>
        <v>1435.722133333333</v>
      </c>
      <c r="E12" s="365">
        <v>1435.722133333333</v>
      </c>
      <c r="F12" s="365">
        <v>1435.722133333333</v>
      </c>
      <c r="G12" s="365">
        <v>1435.722133333333</v>
      </c>
      <c r="H12" s="365">
        <v>1435.722133333333</v>
      </c>
      <c r="I12" s="365">
        <v>1435.722133333333</v>
      </c>
      <c r="J12" s="365">
        <v>1435.722133333333</v>
      </c>
      <c r="K12" s="365">
        <v>1435.722133333333</v>
      </c>
      <c r="L12" s="365">
        <v>1435.722133333333</v>
      </c>
      <c r="M12" s="365">
        <v>1435.722133333333</v>
      </c>
      <c r="N12" s="365">
        <v>1435.722133333333</v>
      </c>
      <c r="O12" s="364"/>
    </row>
    <row r="13" spans="2:16" s="173" customFormat="1" ht="13.5" thickBot="1">
      <c r="B13" s="354" t="s">
        <v>88</v>
      </c>
      <c r="C13" s="360">
        <f t="shared" ref="C13" si="1">SUM(C10:C12)</f>
        <v>37276.694133333338</v>
      </c>
      <c r="D13" s="360">
        <f>SUM(D10:D12)</f>
        <v>37276.694133333338</v>
      </c>
      <c r="E13" s="360">
        <f t="shared" ref="E13:N13" si="2">SUM(E10:E12)</f>
        <v>37276.694133333338</v>
      </c>
      <c r="F13" s="360">
        <f t="shared" si="2"/>
        <v>37276.694133333338</v>
      </c>
      <c r="G13" s="360">
        <f t="shared" si="2"/>
        <v>37276.694133333338</v>
      </c>
      <c r="H13" s="360">
        <f t="shared" si="2"/>
        <v>37276.694133333338</v>
      </c>
      <c r="I13" s="360">
        <f t="shared" si="2"/>
        <v>37276.694133333338</v>
      </c>
      <c r="J13" s="360">
        <f t="shared" si="2"/>
        <v>37276.694133333338</v>
      </c>
      <c r="K13" s="360">
        <f t="shared" si="2"/>
        <v>37276.694133333338</v>
      </c>
      <c r="L13" s="360">
        <f t="shared" si="2"/>
        <v>37276.694133333338</v>
      </c>
      <c r="M13" s="360">
        <f t="shared" si="2"/>
        <v>37276.694133333338</v>
      </c>
      <c r="N13" s="360">
        <f t="shared" si="2"/>
        <v>37276.694133333338</v>
      </c>
      <c r="O13" s="360">
        <f>SUM(C13:N13)</f>
        <v>447320.32960000006</v>
      </c>
    </row>
    <row r="14" spans="2:16" s="173" customFormat="1" ht="13.5" thickBot="1">
      <c r="B14" s="354" t="s">
        <v>89</v>
      </c>
      <c r="C14" s="360">
        <f t="shared" ref="C14:N14" si="3">C8-C13</f>
        <v>-37276.694133333338</v>
      </c>
      <c r="D14" s="360">
        <f t="shared" si="3"/>
        <v>1123.305866666662</v>
      </c>
      <c r="E14" s="360">
        <f t="shared" si="3"/>
        <v>1123.305866666662</v>
      </c>
      <c r="F14" s="360">
        <f t="shared" si="3"/>
        <v>1123.305866666662</v>
      </c>
      <c r="G14" s="360">
        <f t="shared" si="3"/>
        <v>1123.305866666662</v>
      </c>
      <c r="H14" s="360">
        <f t="shared" si="3"/>
        <v>1123.305866666662</v>
      </c>
      <c r="I14" s="360">
        <f t="shared" si="3"/>
        <v>1123.305866666662</v>
      </c>
      <c r="J14" s="360">
        <f t="shared" si="3"/>
        <v>1123.305866666662</v>
      </c>
      <c r="K14" s="360">
        <f t="shared" si="3"/>
        <v>1123.305866666662</v>
      </c>
      <c r="L14" s="360">
        <f t="shared" si="3"/>
        <v>1123.305866666662</v>
      </c>
      <c r="M14" s="360">
        <f t="shared" si="3"/>
        <v>1123.305866666662</v>
      </c>
      <c r="N14" s="360">
        <f t="shared" si="3"/>
        <v>1123.305866666662</v>
      </c>
      <c r="O14" s="360">
        <f>SUM(C14:N14)</f>
        <v>-24920.329600000056</v>
      </c>
    </row>
    <row r="15" spans="2:16" s="173" customFormat="1" ht="13.5" thickBot="1">
      <c r="B15" s="366" t="s">
        <v>90</v>
      </c>
      <c r="C15" s="367">
        <f>C14</f>
        <v>-37276.694133333338</v>
      </c>
      <c r="D15" s="367">
        <f>C15+D14</f>
        <v>-36153.388266666676</v>
      </c>
      <c r="E15" s="367">
        <f>D15+E14</f>
        <v>-35030.082400000014</v>
      </c>
      <c r="F15" s="367">
        <f t="shared" ref="F15:N15" si="4">E15+F14</f>
        <v>-33906.776533333352</v>
      </c>
      <c r="G15" s="367">
        <f t="shared" si="4"/>
        <v>-32783.47066666669</v>
      </c>
      <c r="H15" s="367">
        <f t="shared" si="4"/>
        <v>-31660.164800000028</v>
      </c>
      <c r="I15" s="367">
        <f t="shared" si="4"/>
        <v>-30536.858933333366</v>
      </c>
      <c r="J15" s="367">
        <f t="shared" si="4"/>
        <v>-29413.553066666704</v>
      </c>
      <c r="K15" s="367">
        <f t="shared" si="4"/>
        <v>-28290.247200000042</v>
      </c>
      <c r="L15" s="367">
        <f t="shared" si="4"/>
        <v>-27166.94133333338</v>
      </c>
      <c r="M15" s="367">
        <f t="shared" si="4"/>
        <v>-26043.635466666718</v>
      </c>
      <c r="N15" s="367">
        <f t="shared" si="4"/>
        <v>-24920.329600000056</v>
      </c>
      <c r="O15" s="368">
        <f>+O8-O13</f>
        <v>-24920.329600000056</v>
      </c>
    </row>
    <row r="18" spans="2:15">
      <c r="C18" s="177"/>
    </row>
    <row r="19" spans="2:15" ht="12.75">
      <c r="B19" s="106" t="s">
        <v>106</v>
      </c>
      <c r="C19" s="171">
        <f>+C15</f>
        <v>-37276.694133333338</v>
      </c>
      <c r="O19" s="321"/>
    </row>
  </sheetData>
  <mergeCells count="2">
    <mergeCell ref="B4:O4"/>
    <mergeCell ref="B1:O1"/>
  </mergeCells>
  <printOptions horizontalCentered="1" verticalCentered="1"/>
  <pageMargins left="0.84" right="0.25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24"/>
  <sheetViews>
    <sheetView workbookViewId="0">
      <selection activeCell="I16" sqref="I16"/>
    </sheetView>
  </sheetViews>
  <sheetFormatPr baseColWidth="10" defaultRowHeight="15"/>
  <cols>
    <col min="2" max="2" width="23" bestFit="1" customWidth="1"/>
    <col min="3" max="3" width="12.5703125" bestFit="1" customWidth="1"/>
    <col min="4" max="4" width="11.5703125" bestFit="1" customWidth="1"/>
    <col min="5" max="5" width="15.7109375" bestFit="1" customWidth="1"/>
    <col min="6" max="6" width="12.28515625" bestFit="1" customWidth="1"/>
  </cols>
  <sheetData>
    <row r="1" spans="2:7" ht="26.25">
      <c r="B1" s="389" t="s">
        <v>279</v>
      </c>
      <c r="C1" s="389"/>
      <c r="D1" s="389"/>
      <c r="E1" s="389"/>
      <c r="F1" s="389"/>
    </row>
    <row r="3" spans="2:7">
      <c r="B3" s="384" t="s">
        <v>203</v>
      </c>
      <c r="C3" s="384"/>
      <c r="D3" s="384"/>
      <c r="E3" s="384"/>
      <c r="F3" s="384"/>
    </row>
    <row r="5" spans="2:7">
      <c r="B5" s="1" t="s">
        <v>196</v>
      </c>
      <c r="C5">
        <f>-29890/2</f>
        <v>-14945</v>
      </c>
      <c r="E5" s="226"/>
      <c r="F5" s="8"/>
      <c r="G5" s="8"/>
    </row>
    <row r="6" spans="2:7">
      <c r="B6" s="1" t="s">
        <v>197</v>
      </c>
      <c r="C6">
        <v>12</v>
      </c>
    </row>
    <row r="7" spans="2:7">
      <c r="B7" s="1" t="s">
        <v>198</v>
      </c>
      <c r="C7" s="37">
        <v>9.0999999999999998E-2</v>
      </c>
    </row>
    <row r="8" spans="2:7">
      <c r="B8" s="1" t="s">
        <v>199</v>
      </c>
      <c r="C8" s="227">
        <f>PMT(C7,C6,C5)</f>
        <v>2097.6047552181826</v>
      </c>
    </row>
    <row r="10" spans="2:7" ht="15.75" thickBot="1"/>
    <row r="11" spans="2:7" ht="15.75" thickBot="1">
      <c r="B11" s="228" t="s">
        <v>186</v>
      </c>
      <c r="C11" s="228" t="s">
        <v>199</v>
      </c>
      <c r="D11" s="228" t="s">
        <v>200</v>
      </c>
      <c r="E11" s="228" t="s">
        <v>201</v>
      </c>
      <c r="F11" s="228" t="s">
        <v>202</v>
      </c>
    </row>
    <row r="12" spans="2:7">
      <c r="B12" s="229">
        <v>0</v>
      </c>
      <c r="C12" s="232"/>
      <c r="D12" s="232"/>
      <c r="E12" s="232"/>
      <c r="F12" s="233">
        <v>14945</v>
      </c>
    </row>
    <row r="13" spans="2:7">
      <c r="B13" s="230">
        <v>1</v>
      </c>
      <c r="C13" s="38">
        <f>$C$8</f>
        <v>2097.6047552181826</v>
      </c>
      <c r="D13" s="38">
        <f>$C$7*F12</f>
        <v>1359.9949999999999</v>
      </c>
      <c r="E13" s="38">
        <f>C13-D13</f>
        <v>737.60975521818273</v>
      </c>
      <c r="F13" s="234">
        <f>F12-E13</f>
        <v>14207.390244781818</v>
      </c>
    </row>
    <row r="14" spans="2:7">
      <c r="B14" s="230">
        <v>2</v>
      </c>
      <c r="C14" s="38">
        <f t="shared" ref="C14:C24" si="0">$C$8</f>
        <v>2097.6047552181826</v>
      </c>
      <c r="D14" s="38">
        <f t="shared" ref="D14:D24" si="1">$C$7*F13</f>
        <v>1292.8725122751455</v>
      </c>
      <c r="E14" s="38">
        <f t="shared" ref="E14:E24" si="2">C14-D14</f>
        <v>804.73224294303714</v>
      </c>
      <c r="F14" s="234">
        <f t="shared" ref="F14:F24" si="3">F13-E14</f>
        <v>13402.658001838781</v>
      </c>
    </row>
    <row r="15" spans="2:7">
      <c r="B15" s="230">
        <v>3</v>
      </c>
      <c r="C15" s="38">
        <f t="shared" si="0"/>
        <v>2097.6047552181826</v>
      </c>
      <c r="D15" s="38">
        <f t="shared" si="1"/>
        <v>1219.641878167329</v>
      </c>
      <c r="E15" s="38">
        <f t="shared" si="2"/>
        <v>877.96287705085365</v>
      </c>
      <c r="F15" s="234">
        <f t="shared" si="3"/>
        <v>12524.695124787928</v>
      </c>
    </row>
    <row r="16" spans="2:7">
      <c r="B16" s="230">
        <v>4</v>
      </c>
      <c r="C16" s="38">
        <f t="shared" si="0"/>
        <v>2097.6047552181826</v>
      </c>
      <c r="D16" s="38">
        <f t="shared" si="1"/>
        <v>1139.7472563557014</v>
      </c>
      <c r="E16" s="38">
        <f t="shared" si="2"/>
        <v>957.85749886248118</v>
      </c>
      <c r="F16" s="234">
        <f t="shared" si="3"/>
        <v>11566.837625925447</v>
      </c>
    </row>
    <row r="17" spans="2:6">
      <c r="B17" s="230">
        <v>5</v>
      </c>
      <c r="C17" s="38">
        <f t="shared" si="0"/>
        <v>2097.6047552181826</v>
      </c>
      <c r="D17" s="38">
        <f t="shared" si="1"/>
        <v>1052.5822239592158</v>
      </c>
      <c r="E17" s="38">
        <f t="shared" si="2"/>
        <v>1045.0225312589669</v>
      </c>
      <c r="F17" s="234">
        <f t="shared" si="3"/>
        <v>10521.815094666481</v>
      </c>
    </row>
    <row r="18" spans="2:6">
      <c r="B18" s="230">
        <v>6</v>
      </c>
      <c r="C18" s="38">
        <f t="shared" si="0"/>
        <v>2097.6047552181826</v>
      </c>
      <c r="D18" s="38">
        <f t="shared" si="1"/>
        <v>957.48517361464974</v>
      </c>
      <c r="E18" s="38">
        <f t="shared" si="2"/>
        <v>1140.1195816035329</v>
      </c>
      <c r="F18" s="234">
        <f t="shared" si="3"/>
        <v>9381.6955130629485</v>
      </c>
    </row>
    <row r="19" spans="2:6">
      <c r="B19" s="230">
        <v>7</v>
      </c>
      <c r="C19" s="38">
        <f t="shared" si="0"/>
        <v>2097.6047552181826</v>
      </c>
      <c r="D19" s="38">
        <f t="shared" si="1"/>
        <v>853.73429168872826</v>
      </c>
      <c r="E19" s="38">
        <f t="shared" si="2"/>
        <v>1243.8704635294544</v>
      </c>
      <c r="F19" s="234">
        <f t="shared" si="3"/>
        <v>8137.8250495334942</v>
      </c>
    </row>
    <row r="20" spans="2:6">
      <c r="B20" s="230">
        <v>8</v>
      </c>
      <c r="C20" s="38">
        <f t="shared" si="0"/>
        <v>2097.6047552181826</v>
      </c>
      <c r="D20" s="38">
        <f t="shared" si="1"/>
        <v>740.5420795075479</v>
      </c>
      <c r="E20" s="38">
        <f t="shared" si="2"/>
        <v>1357.0626757106347</v>
      </c>
      <c r="F20" s="234">
        <f t="shared" si="3"/>
        <v>6780.7623738228594</v>
      </c>
    </row>
    <row r="21" spans="2:6">
      <c r="B21" s="230">
        <v>9</v>
      </c>
      <c r="C21" s="38">
        <f t="shared" si="0"/>
        <v>2097.6047552181826</v>
      </c>
      <c r="D21" s="38">
        <f t="shared" si="1"/>
        <v>617.04937601788015</v>
      </c>
      <c r="E21" s="38">
        <f t="shared" si="2"/>
        <v>1480.5553792003025</v>
      </c>
      <c r="F21" s="234">
        <f t="shared" si="3"/>
        <v>5300.2069946225565</v>
      </c>
    </row>
    <row r="22" spans="2:6">
      <c r="B22" s="230">
        <v>10</v>
      </c>
      <c r="C22" s="38">
        <f t="shared" si="0"/>
        <v>2097.6047552181826</v>
      </c>
      <c r="D22" s="38">
        <f t="shared" si="1"/>
        <v>482.31883651065266</v>
      </c>
      <c r="E22" s="38">
        <f t="shared" si="2"/>
        <v>1615.2859187075301</v>
      </c>
      <c r="F22" s="234">
        <f t="shared" si="3"/>
        <v>3684.9210759150264</v>
      </c>
    </row>
    <row r="23" spans="2:6">
      <c r="B23" s="230">
        <v>11</v>
      </c>
      <c r="C23" s="38">
        <f t="shared" si="0"/>
        <v>2097.6047552181826</v>
      </c>
      <c r="D23" s="38">
        <f t="shared" si="1"/>
        <v>335.32781790826738</v>
      </c>
      <c r="E23" s="38">
        <f t="shared" si="2"/>
        <v>1762.2769373099152</v>
      </c>
      <c r="F23" s="234">
        <f t="shared" si="3"/>
        <v>1922.6441386051113</v>
      </c>
    </row>
    <row r="24" spans="2:6" ht="15.75" thickBot="1">
      <c r="B24" s="231">
        <v>12</v>
      </c>
      <c r="C24" s="235">
        <f t="shared" si="0"/>
        <v>2097.6047552181826</v>
      </c>
      <c r="D24" s="235">
        <f t="shared" si="1"/>
        <v>174.96061661306513</v>
      </c>
      <c r="E24" s="235">
        <f t="shared" si="2"/>
        <v>1922.6441386051174</v>
      </c>
      <c r="F24" s="236">
        <f t="shared" si="3"/>
        <v>-6.1390892369672656E-12</v>
      </c>
    </row>
  </sheetData>
  <mergeCells count="2">
    <mergeCell ref="B3:F3"/>
    <mergeCell ref="B1:F1"/>
  </mergeCells>
  <pageMargins left="0.7" right="0.7" top="1.3149999999999999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41"/>
  <sheetViews>
    <sheetView workbookViewId="0">
      <selection activeCell="H14" sqref="H14"/>
    </sheetView>
  </sheetViews>
  <sheetFormatPr baseColWidth="10" defaultRowHeight="11.25"/>
  <cols>
    <col min="1" max="1" width="7.28515625" style="31" customWidth="1"/>
    <col min="2" max="2" width="25.140625" style="31" customWidth="1"/>
    <col min="3" max="3" width="19.42578125" style="31" customWidth="1"/>
    <col min="4" max="4" width="12" style="31" bestFit="1" customWidth="1"/>
    <col min="5" max="5" width="9.5703125" style="31" bestFit="1" customWidth="1"/>
    <col min="6" max="6" width="11" style="31" bestFit="1" customWidth="1"/>
    <col min="7" max="9" width="13.85546875" style="31" customWidth="1"/>
    <col min="10" max="16384" width="11.42578125" style="31"/>
  </cols>
  <sheetData>
    <row r="2" spans="2:8" ht="26.25">
      <c r="B2" s="389" t="s">
        <v>280</v>
      </c>
      <c r="C2" s="389"/>
      <c r="D2" s="389"/>
      <c r="E2" s="389"/>
      <c r="F2" s="389"/>
      <c r="G2" s="389"/>
      <c r="H2" s="389"/>
    </row>
    <row r="4" spans="2:8">
      <c r="C4" s="430" t="s">
        <v>109</v>
      </c>
      <c r="D4" s="430"/>
      <c r="E4" s="430"/>
      <c r="F4" s="430"/>
      <c r="G4" s="430"/>
      <c r="H4" s="430"/>
    </row>
    <row r="5" spans="2:8" ht="12" thickBot="1">
      <c r="B5" s="35"/>
      <c r="C5" s="36"/>
      <c r="D5" s="36"/>
      <c r="E5" s="36"/>
      <c r="F5" s="36"/>
      <c r="G5" s="36"/>
    </row>
    <row r="6" spans="2:8" ht="12" thickBot="1">
      <c r="C6" s="56"/>
      <c r="D6" s="59" t="s">
        <v>5</v>
      </c>
      <c r="E6" s="60" t="s">
        <v>6</v>
      </c>
      <c r="F6" s="60" t="s">
        <v>7</v>
      </c>
      <c r="G6" s="60" t="s">
        <v>8</v>
      </c>
      <c r="H6" s="61" t="s">
        <v>9</v>
      </c>
    </row>
    <row r="7" spans="2:8" ht="12" thickBot="1">
      <c r="C7" s="62" t="s">
        <v>110</v>
      </c>
      <c r="D7" s="57">
        <v>576</v>
      </c>
      <c r="E7" s="58">
        <v>633.60000000000014</v>
      </c>
      <c r="F7" s="58">
        <v>696.96000000000015</v>
      </c>
      <c r="G7" s="58">
        <v>766.65600000000018</v>
      </c>
      <c r="H7" s="58">
        <v>843.32160000000033</v>
      </c>
    </row>
    <row r="10" spans="2:8">
      <c r="B10" s="31" t="s">
        <v>111</v>
      </c>
      <c r="D10" s="31">
        <v>576</v>
      </c>
    </row>
    <row r="11" spans="2:8">
      <c r="B11" s="31" t="s">
        <v>143</v>
      </c>
      <c r="D11" s="182">
        <v>0.1</v>
      </c>
    </row>
    <row r="13" spans="2:8">
      <c r="B13" s="31" t="s">
        <v>144</v>
      </c>
    </row>
    <row r="15" spans="2:8">
      <c r="E15" s="137">
        <v>0.1</v>
      </c>
      <c r="F15" s="31" t="s">
        <v>112</v>
      </c>
    </row>
    <row r="16" spans="2:8">
      <c r="E16" s="183"/>
    </row>
    <row r="17" spans="2:8">
      <c r="B17" s="31" t="s">
        <v>297</v>
      </c>
      <c r="E17" s="183"/>
    </row>
    <row r="18" spans="2:8">
      <c r="E18" s="183"/>
    </row>
    <row r="19" spans="2:8" ht="12.75">
      <c r="C19" s="31" t="s">
        <v>245</v>
      </c>
      <c r="E19" s="183"/>
      <c r="F19" s="31">
        <f>E15*D7</f>
        <v>57.6</v>
      </c>
      <c r="G19" s="42">
        <v>634</v>
      </c>
      <c r="H19" s="31" t="s">
        <v>146</v>
      </c>
    </row>
    <row r="20" spans="2:8">
      <c r="E20" s="183"/>
    </row>
    <row r="21" spans="2:8">
      <c r="E21" s="183"/>
    </row>
    <row r="22" spans="2:8">
      <c r="B22" s="31" t="s">
        <v>145</v>
      </c>
      <c r="E22" s="183"/>
    </row>
    <row r="23" spans="2:8">
      <c r="E23" s="183"/>
    </row>
    <row r="24" spans="2:8">
      <c r="B24" s="31" t="s">
        <v>103</v>
      </c>
      <c r="C24" s="132">
        <v>168.00000000000003</v>
      </c>
      <c r="E24" s="183"/>
    </row>
    <row r="25" spans="2:8">
      <c r="B25" s="31" t="s">
        <v>104</v>
      </c>
      <c r="C25" s="132">
        <v>150</v>
      </c>
      <c r="E25" s="183"/>
    </row>
    <row r="26" spans="2:8">
      <c r="B26" s="31" t="s">
        <v>102</v>
      </c>
      <c r="C26" s="184">
        <v>67.2</v>
      </c>
      <c r="E26" s="183"/>
    </row>
    <row r="27" spans="2:8">
      <c r="B27" s="31" t="s">
        <v>113</v>
      </c>
      <c r="C27" s="138">
        <f>SUM(C24:C26)</f>
        <v>385.2</v>
      </c>
      <c r="E27" s="183"/>
    </row>
    <row r="28" spans="2:8">
      <c r="E28" s="185"/>
    </row>
    <row r="30" spans="2:8" ht="22.5">
      <c r="B30" s="186" t="s">
        <v>114</v>
      </c>
      <c r="C30" s="186" t="s">
        <v>115</v>
      </c>
      <c r="D30" s="186" t="s">
        <v>116</v>
      </c>
      <c r="E30" s="186" t="s">
        <v>117</v>
      </c>
      <c r="F30" s="186" t="s">
        <v>118</v>
      </c>
    </row>
    <row r="31" spans="2:8">
      <c r="B31" s="187" t="s">
        <v>119</v>
      </c>
      <c r="C31" s="187">
        <v>576</v>
      </c>
      <c r="D31" s="188">
        <f>'COSTOS FIJOS'!B95</f>
        <v>91813.1296</v>
      </c>
      <c r="E31" s="188">
        <f>'COSTOS VARIABLES'!C14</f>
        <v>355507.20000000001</v>
      </c>
      <c r="F31" s="188">
        <f>$E$40</f>
        <v>29890</v>
      </c>
    </row>
    <row r="32" spans="2:8">
      <c r="B32" s="187" t="s">
        <v>95</v>
      </c>
      <c r="C32" s="187">
        <v>843</v>
      </c>
      <c r="D32" s="188">
        <f>'COSTOS FIJOS'!F95</f>
        <v>91813.1296</v>
      </c>
      <c r="E32" s="188">
        <f>'COSTOS VARIABLES'!G14</f>
        <v>520498.09152000025</v>
      </c>
      <c r="F32" s="188">
        <f t="shared" ref="F32:F33" si="0">$E$40</f>
        <v>29890</v>
      </c>
    </row>
    <row r="33" spans="2:9">
      <c r="B33" s="187" t="s">
        <v>120</v>
      </c>
      <c r="C33" s="189">
        <f>'ESTIMACION DEMANDA'!L12</f>
        <v>696.96000000000015</v>
      </c>
      <c r="D33" s="188">
        <f>'COSTOS FIJOS'!D95</f>
        <v>91813.1296</v>
      </c>
      <c r="E33" s="188">
        <f>'COSTOS VARIABLES'!E14</f>
        <v>430163.71200000012</v>
      </c>
      <c r="F33" s="188">
        <f t="shared" si="0"/>
        <v>29890</v>
      </c>
    </row>
    <row r="34" spans="2:9">
      <c r="B34" s="190" t="s">
        <v>121</v>
      </c>
    </row>
    <row r="36" spans="2:9">
      <c r="B36" s="31" t="s">
        <v>122</v>
      </c>
      <c r="H36" s="73"/>
      <c r="I36" s="73"/>
    </row>
    <row r="37" spans="2:9">
      <c r="C37" s="31" t="s">
        <v>123</v>
      </c>
      <c r="E37" s="138">
        <v>21890</v>
      </c>
      <c r="H37" s="73"/>
      <c r="I37" s="73"/>
    </row>
    <row r="38" spans="2:9">
      <c r="C38" s="31" t="s">
        <v>147</v>
      </c>
      <c r="E38" s="138">
        <v>6000</v>
      </c>
      <c r="H38" s="73"/>
      <c r="I38" s="73"/>
    </row>
    <row r="39" spans="2:9" ht="12" thickBot="1">
      <c r="C39" s="31" t="s">
        <v>124</v>
      </c>
      <c r="E39" s="191">
        <v>2000</v>
      </c>
      <c r="H39" s="68"/>
      <c r="I39" s="68"/>
    </row>
    <row r="40" spans="2:9">
      <c r="C40" s="192" t="s">
        <v>125</v>
      </c>
      <c r="E40" s="138">
        <f>SUM(E37:E39)</f>
        <v>29890</v>
      </c>
      <c r="H40" s="193"/>
      <c r="I40" s="193"/>
    </row>
    <row r="42" spans="2:9">
      <c r="B42" s="194" t="s">
        <v>126</v>
      </c>
      <c r="C42" s="31" t="s">
        <v>127</v>
      </c>
    </row>
    <row r="43" spans="2:9">
      <c r="B43" s="194"/>
    </row>
    <row r="44" spans="2:9">
      <c r="B44" s="194"/>
    </row>
    <row r="45" spans="2:9">
      <c r="B45" s="194"/>
    </row>
    <row r="46" spans="2:9" ht="12" thickBot="1">
      <c r="B46" s="194"/>
    </row>
    <row r="47" spans="2:9" ht="12" thickBot="1">
      <c r="B47" s="424" t="s">
        <v>148</v>
      </c>
      <c r="C47" s="425"/>
      <c r="D47" s="425"/>
      <c r="E47" s="425"/>
      <c r="F47" s="425"/>
      <c r="G47" s="425"/>
      <c r="H47" s="426"/>
    </row>
    <row r="48" spans="2:9" ht="12" thickBot="1">
      <c r="B48" s="195" t="s">
        <v>128</v>
      </c>
      <c r="C48" s="67">
        <v>0</v>
      </c>
      <c r="D48" s="67">
        <v>1</v>
      </c>
      <c r="E48" s="67">
        <v>2</v>
      </c>
      <c r="F48" s="67">
        <v>3</v>
      </c>
      <c r="G48" s="67">
        <v>4</v>
      </c>
      <c r="H48" s="67">
        <v>5</v>
      </c>
    </row>
    <row r="49" spans="2:8" ht="12" thickBot="1">
      <c r="B49" s="195" t="s">
        <v>149</v>
      </c>
      <c r="C49" s="196"/>
      <c r="D49" s="197">
        <f>C31</f>
        <v>576</v>
      </c>
      <c r="E49" s="197">
        <f>D49</f>
        <v>576</v>
      </c>
      <c r="F49" s="197">
        <f>E49</f>
        <v>576</v>
      </c>
      <c r="G49" s="197">
        <f>F49</f>
        <v>576</v>
      </c>
      <c r="H49" s="197">
        <f>G49</f>
        <v>576</v>
      </c>
    </row>
    <row r="50" spans="2:8">
      <c r="B50" s="94" t="s">
        <v>130</v>
      </c>
      <c r="C50" s="198"/>
      <c r="D50" s="266">
        <v>460800</v>
      </c>
      <c r="E50" s="266">
        <v>460800</v>
      </c>
      <c r="F50" s="266">
        <v>460800</v>
      </c>
      <c r="G50" s="266">
        <v>460800</v>
      </c>
      <c r="H50" s="266">
        <v>460800</v>
      </c>
    </row>
    <row r="51" spans="2:8">
      <c r="B51" s="199" t="s">
        <v>131</v>
      </c>
      <c r="C51" s="200"/>
      <c r="D51" s="174">
        <f>$D$31</f>
        <v>91813.1296</v>
      </c>
      <c r="E51" s="174">
        <f>$D$31</f>
        <v>91813.1296</v>
      </c>
      <c r="F51" s="174">
        <f>$D$31</f>
        <v>91813.1296</v>
      </c>
      <c r="G51" s="174">
        <f>$D$31</f>
        <v>91813.1296</v>
      </c>
      <c r="H51" s="174">
        <f>$D$31</f>
        <v>91813.1296</v>
      </c>
    </row>
    <row r="52" spans="2:8">
      <c r="B52" s="199" t="s">
        <v>132</v>
      </c>
      <c r="C52" s="200"/>
      <c r="D52" s="174">
        <f>E31</f>
        <v>355507.20000000001</v>
      </c>
      <c r="E52" s="174">
        <v>355507.20000000001</v>
      </c>
      <c r="F52" s="174">
        <v>355507.20000000001</v>
      </c>
      <c r="G52" s="174">
        <v>355507.20000000001</v>
      </c>
      <c r="H52" s="174">
        <v>355507.20000000001</v>
      </c>
    </row>
    <row r="53" spans="2:8" ht="12" thickBot="1">
      <c r="B53" s="199" t="s">
        <v>133</v>
      </c>
      <c r="C53" s="98"/>
      <c r="D53" s="176">
        <v>4417.3333333333339</v>
      </c>
      <c r="E53" s="176">
        <v>4417.3333333333339</v>
      </c>
      <c r="F53" s="176">
        <v>4417.3333333333339</v>
      </c>
      <c r="G53" s="176">
        <v>4417.3333333333339</v>
      </c>
      <c r="H53" s="176">
        <v>4417.3333333333339</v>
      </c>
    </row>
    <row r="54" spans="2:8">
      <c r="B54" s="199" t="s">
        <v>134</v>
      </c>
      <c r="C54" s="198"/>
      <c r="D54" s="198">
        <f>D50-D51-D52-D53</f>
        <v>9062.3370666666688</v>
      </c>
      <c r="E54" s="198">
        <f>E50-E51-E52-E53</f>
        <v>9062.3370666666688</v>
      </c>
      <c r="F54" s="198">
        <f>F50-F51-F52-F53</f>
        <v>9062.3370666666688</v>
      </c>
      <c r="G54" s="198">
        <f>G50-G51-G52-G53</f>
        <v>9062.3370666666688</v>
      </c>
      <c r="H54" s="266">
        <f>H50-H51-H52-H53</f>
        <v>9062.3370666666688</v>
      </c>
    </row>
    <row r="55" spans="2:8">
      <c r="B55" s="199" t="s">
        <v>135</v>
      </c>
      <c r="C55" s="174"/>
      <c r="D55" s="174">
        <f>D54*0.15</f>
        <v>1359.3505600000003</v>
      </c>
      <c r="E55" s="174">
        <f>E54*0.15</f>
        <v>1359.3505600000003</v>
      </c>
      <c r="F55" s="174">
        <f>F54*0.15</f>
        <v>1359.3505600000003</v>
      </c>
      <c r="G55" s="174">
        <f>G54*0.15</f>
        <v>1359.3505600000003</v>
      </c>
      <c r="H55" s="174">
        <f>H54*0.15</f>
        <v>1359.3505600000003</v>
      </c>
    </row>
    <row r="56" spans="2:8" ht="12" thickBot="1">
      <c r="B56" s="199" t="s">
        <v>136</v>
      </c>
      <c r="C56" s="98"/>
      <c r="D56" s="98">
        <f>(D54-D55)*0.25</f>
        <v>1925.746626666667</v>
      </c>
      <c r="E56" s="98">
        <f>(E54-E55)*0.25</f>
        <v>1925.746626666667</v>
      </c>
      <c r="F56" s="98">
        <f>(F54-F55)*0.25</f>
        <v>1925.746626666667</v>
      </c>
      <c r="G56" s="98">
        <f>(G54-G55)*0.25</f>
        <v>1925.746626666667</v>
      </c>
      <c r="H56" s="176">
        <f>(H54-H55)*0.25</f>
        <v>1925.746626666667</v>
      </c>
    </row>
    <row r="57" spans="2:8">
      <c r="B57" s="199" t="s">
        <v>137</v>
      </c>
      <c r="C57" s="198"/>
      <c r="D57" s="198">
        <f>D54-D55-D56</f>
        <v>5777.239880000001</v>
      </c>
      <c r="E57" s="198">
        <f>E54-E55-E56</f>
        <v>5777.239880000001</v>
      </c>
      <c r="F57" s="198">
        <f>F54-F55-F56</f>
        <v>5777.239880000001</v>
      </c>
      <c r="G57" s="198">
        <f>G54-G55-G56</f>
        <v>5777.239880000001</v>
      </c>
      <c r="H57" s="266">
        <f>H54-H55-H56</f>
        <v>5777.239880000001</v>
      </c>
    </row>
    <row r="58" spans="2:8">
      <c r="B58" s="199" t="s">
        <v>138</v>
      </c>
      <c r="C58" s="200"/>
      <c r="D58" s="200">
        <f>D53</f>
        <v>4417.3333333333339</v>
      </c>
      <c r="E58" s="200">
        <f>E53</f>
        <v>4417.3333333333339</v>
      </c>
      <c r="F58" s="200">
        <f>F53</f>
        <v>4417.3333333333339</v>
      </c>
      <c r="G58" s="200">
        <f>G53</f>
        <v>4417.3333333333339</v>
      </c>
      <c r="H58" s="174">
        <f>H53</f>
        <v>4417.3333333333339</v>
      </c>
    </row>
    <row r="59" spans="2:8" ht="12" thickBot="1">
      <c r="B59" s="199" t="s">
        <v>139</v>
      </c>
      <c r="C59" s="98">
        <f>E40</f>
        <v>29890</v>
      </c>
      <c r="D59" s="98"/>
      <c r="E59" s="98"/>
      <c r="F59" s="98">
        <v>1550</v>
      </c>
      <c r="G59" s="98"/>
      <c r="H59" s="176"/>
    </row>
    <row r="60" spans="2:8" ht="12" thickBot="1">
      <c r="B60" s="97" t="s">
        <v>140</v>
      </c>
      <c r="C60" s="203">
        <f t="shared" ref="C60:H60" si="1">C57+C58-C59</f>
        <v>-29890</v>
      </c>
      <c r="D60" s="203">
        <f t="shared" si="1"/>
        <v>10194.573213333335</v>
      </c>
      <c r="E60" s="203">
        <f t="shared" si="1"/>
        <v>10194.573213333335</v>
      </c>
      <c r="F60" s="203">
        <f>F57+F58-F59</f>
        <v>8644.5732133333349</v>
      </c>
      <c r="G60" s="203">
        <f t="shared" si="1"/>
        <v>10194.573213333335</v>
      </c>
      <c r="H60" s="204">
        <f t="shared" si="1"/>
        <v>10194.573213333335</v>
      </c>
    </row>
    <row r="61" spans="2:8">
      <c r="B61" s="205"/>
      <c r="C61" s="206"/>
      <c r="D61" s="206"/>
      <c r="E61" s="206"/>
      <c r="F61" s="206"/>
      <c r="G61" s="206"/>
      <c r="H61" s="206"/>
    </row>
    <row r="62" spans="2:8" ht="12" thickBot="1">
      <c r="B62" s="207"/>
      <c r="C62" s="209"/>
      <c r="D62" s="209"/>
      <c r="E62" s="209"/>
      <c r="F62" s="209"/>
      <c r="G62" s="209"/>
      <c r="H62" s="209"/>
    </row>
    <row r="63" spans="2:8" ht="12" thickBot="1">
      <c r="B63" s="427" t="s">
        <v>192</v>
      </c>
      <c r="C63" s="428"/>
      <c r="D63" s="428"/>
      <c r="E63" s="428"/>
      <c r="F63" s="428"/>
      <c r="G63" s="428"/>
      <c r="H63" s="429"/>
    </row>
    <row r="64" spans="2:8" ht="12" thickBot="1">
      <c r="B64" s="195" t="s">
        <v>128</v>
      </c>
      <c r="C64" s="67">
        <v>0</v>
      </c>
      <c r="D64" s="67">
        <v>1</v>
      </c>
      <c r="E64" s="67">
        <v>2</v>
      </c>
      <c r="F64" s="67">
        <v>3</v>
      </c>
      <c r="G64" s="67">
        <v>4</v>
      </c>
      <c r="H64" s="67">
        <v>5</v>
      </c>
    </row>
    <row r="65" spans="2:8" ht="12" thickBot="1">
      <c r="B65" s="195" t="s">
        <v>129</v>
      </c>
      <c r="C65" s="196"/>
      <c r="D65" s="268">
        <v>843</v>
      </c>
      <c r="E65" s="268">
        <v>843</v>
      </c>
      <c r="F65" s="268">
        <v>843</v>
      </c>
      <c r="G65" s="268">
        <v>843</v>
      </c>
      <c r="H65" s="267">
        <v>843</v>
      </c>
    </row>
    <row r="66" spans="2:8">
      <c r="B66" s="94" t="s">
        <v>141</v>
      </c>
      <c r="C66" s="198"/>
      <c r="D66" s="198">
        <f>INGRESOS!H17</f>
        <v>674657.28000000026</v>
      </c>
      <c r="E66" s="198">
        <v>674657.28000000026</v>
      </c>
      <c r="F66" s="198">
        <v>674657.28000000026</v>
      </c>
      <c r="G66" s="198">
        <v>674657.28000000026</v>
      </c>
      <c r="H66" s="198">
        <v>674657.28000000026</v>
      </c>
    </row>
    <row r="67" spans="2:8">
      <c r="B67" s="199" t="s">
        <v>131</v>
      </c>
      <c r="C67" s="200"/>
      <c r="D67" s="200">
        <f>$D$31</f>
        <v>91813.1296</v>
      </c>
      <c r="E67" s="200">
        <f>$D$31</f>
        <v>91813.1296</v>
      </c>
      <c r="F67" s="200">
        <f>$D$31</f>
        <v>91813.1296</v>
      </c>
      <c r="G67" s="200">
        <f>$D$31</f>
        <v>91813.1296</v>
      </c>
      <c r="H67" s="201">
        <f>$D$31</f>
        <v>91813.1296</v>
      </c>
    </row>
    <row r="68" spans="2:8">
      <c r="B68" s="199" t="s">
        <v>132</v>
      </c>
      <c r="C68" s="200"/>
      <c r="D68" s="200">
        <f>E32</f>
        <v>520498.09152000025</v>
      </c>
      <c r="E68" s="200">
        <v>520498.09152000025</v>
      </c>
      <c r="F68" s="200">
        <v>520498.09152000025</v>
      </c>
      <c r="G68" s="200">
        <v>520498.09152000025</v>
      </c>
      <c r="H68" s="200">
        <v>520498.09152000025</v>
      </c>
    </row>
    <row r="69" spans="2:8" ht="12" thickBot="1">
      <c r="B69" s="199" t="s">
        <v>133</v>
      </c>
      <c r="C69" s="98"/>
      <c r="D69" s="98">
        <v>4417.3333333333339</v>
      </c>
      <c r="E69" s="98">
        <v>4417.3333333333339</v>
      </c>
      <c r="F69" s="98">
        <v>4417.3333333333339</v>
      </c>
      <c r="G69" s="98">
        <v>4417.3333333333339</v>
      </c>
      <c r="H69" s="99">
        <v>4417.3333333333339</v>
      </c>
    </row>
    <row r="70" spans="2:8">
      <c r="B70" s="199" t="s">
        <v>134</v>
      </c>
      <c r="C70" s="198"/>
      <c r="D70" s="198">
        <f>D66-D67-D68-D69</f>
        <v>57928.72554666669</v>
      </c>
      <c r="E70" s="198">
        <f>E66-E67-E68-E69</f>
        <v>57928.72554666669</v>
      </c>
      <c r="F70" s="198">
        <f>F66-F67-F68-F69</f>
        <v>57928.72554666669</v>
      </c>
      <c r="G70" s="198">
        <f>G66-G67-G68-G69</f>
        <v>57928.72554666669</v>
      </c>
      <c r="H70" s="202">
        <f>H66-H67-H68-H69</f>
        <v>57928.72554666669</v>
      </c>
    </row>
    <row r="71" spans="2:8">
      <c r="B71" s="199" t="s">
        <v>135</v>
      </c>
      <c r="C71" s="174"/>
      <c r="D71" s="174">
        <f>D70*0.15</f>
        <v>8689.3088320000024</v>
      </c>
      <c r="E71" s="174">
        <f>E70*0.15</f>
        <v>8689.3088320000024</v>
      </c>
      <c r="F71" s="174">
        <f>F70*0.15</f>
        <v>8689.3088320000024</v>
      </c>
      <c r="G71" s="174">
        <f>G70*0.15</f>
        <v>8689.3088320000024</v>
      </c>
      <c r="H71" s="175">
        <f>H70*0.15</f>
        <v>8689.3088320000024</v>
      </c>
    </row>
    <row r="72" spans="2:8" ht="12" thickBot="1">
      <c r="B72" s="199" t="s">
        <v>136</v>
      </c>
      <c r="C72" s="98"/>
      <c r="D72" s="98">
        <f>(D70-D71)*0.25</f>
        <v>12309.854178666672</v>
      </c>
      <c r="E72" s="98">
        <f>(E70-E71)*0.25</f>
        <v>12309.854178666672</v>
      </c>
      <c r="F72" s="98">
        <f>(F70-F71)*0.25</f>
        <v>12309.854178666672</v>
      </c>
      <c r="G72" s="98">
        <f>(G70-G71)*0.25</f>
        <v>12309.854178666672</v>
      </c>
      <c r="H72" s="99">
        <f>(H70-H71)*0.25</f>
        <v>12309.854178666672</v>
      </c>
    </row>
    <row r="73" spans="2:8">
      <c r="B73" s="199" t="s">
        <v>137</v>
      </c>
      <c r="C73" s="198"/>
      <c r="D73" s="198">
        <f>D70-D71-D72</f>
        <v>36929.562536000012</v>
      </c>
      <c r="E73" s="198">
        <f>E70-E71-E72</f>
        <v>36929.562536000012</v>
      </c>
      <c r="F73" s="198">
        <f>F70-F71-F72</f>
        <v>36929.562536000012</v>
      </c>
      <c r="G73" s="198">
        <f>G70-G71-G72</f>
        <v>36929.562536000012</v>
      </c>
      <c r="H73" s="202">
        <f>H70-H71-H72</f>
        <v>36929.562536000012</v>
      </c>
    </row>
    <row r="74" spans="2:8">
      <c r="B74" s="199" t="s">
        <v>138</v>
      </c>
      <c r="C74" s="200"/>
      <c r="D74" s="200">
        <f>D69</f>
        <v>4417.3333333333339</v>
      </c>
      <c r="E74" s="200">
        <f>E69</f>
        <v>4417.3333333333339</v>
      </c>
      <c r="F74" s="200">
        <f>F69</f>
        <v>4417.3333333333339</v>
      </c>
      <c r="G74" s="200">
        <f>G69</f>
        <v>4417.3333333333339</v>
      </c>
      <c r="H74" s="201">
        <f>H69</f>
        <v>4417.3333333333339</v>
      </c>
    </row>
    <row r="75" spans="2:8" ht="12" thickBot="1">
      <c r="B75" s="199" t="s">
        <v>139</v>
      </c>
      <c r="C75" s="98">
        <f>E40</f>
        <v>29890</v>
      </c>
      <c r="D75" s="98"/>
      <c r="E75" s="98"/>
      <c r="F75" s="98">
        <v>1550</v>
      </c>
      <c r="G75" s="98"/>
      <c r="H75" s="99"/>
    </row>
    <row r="76" spans="2:8" ht="12" thickBot="1">
      <c r="B76" s="97" t="s">
        <v>140</v>
      </c>
      <c r="C76" s="203">
        <f t="shared" ref="C76:H76" si="2">C73+C74-C75</f>
        <v>-29890</v>
      </c>
      <c r="D76" s="203">
        <f t="shared" si="2"/>
        <v>41346.895869333348</v>
      </c>
      <c r="E76" s="203">
        <f t="shared" si="2"/>
        <v>41346.895869333348</v>
      </c>
      <c r="F76" s="203">
        <f t="shared" si="2"/>
        <v>39796.895869333348</v>
      </c>
      <c r="G76" s="203">
        <f t="shared" si="2"/>
        <v>41346.895869333348</v>
      </c>
      <c r="H76" s="204">
        <f t="shared" si="2"/>
        <v>41346.895869333348</v>
      </c>
    </row>
    <row r="77" spans="2:8">
      <c r="B77" s="205"/>
      <c r="C77" s="206"/>
      <c r="D77" s="206"/>
      <c r="E77" s="206"/>
      <c r="F77" s="206"/>
      <c r="G77" s="206"/>
      <c r="H77" s="206"/>
    </row>
    <row r="78" spans="2:8" ht="12" thickBot="1">
      <c r="B78" s="207"/>
      <c r="C78" s="209"/>
      <c r="D78" s="209"/>
      <c r="E78" s="209"/>
      <c r="F78" s="209"/>
      <c r="G78" s="209"/>
      <c r="H78" s="209"/>
    </row>
    <row r="79" spans="2:8" ht="12" thickBot="1">
      <c r="B79" s="431" t="s">
        <v>193</v>
      </c>
      <c r="C79" s="432"/>
      <c r="D79" s="432"/>
      <c r="E79" s="432"/>
      <c r="F79" s="432"/>
      <c r="G79" s="432"/>
      <c r="H79" s="433"/>
    </row>
    <row r="80" spans="2:8" ht="12" thickBot="1">
      <c r="B80" s="195" t="s">
        <v>128</v>
      </c>
      <c r="C80" s="67">
        <v>0</v>
      </c>
      <c r="D80" s="67">
        <v>1</v>
      </c>
      <c r="E80" s="67">
        <v>2</v>
      </c>
      <c r="F80" s="67">
        <v>3</v>
      </c>
      <c r="G80" s="67">
        <v>4</v>
      </c>
      <c r="H80" s="67">
        <v>5</v>
      </c>
    </row>
    <row r="81" spans="2:8" ht="12" thickBot="1">
      <c r="B81" s="195" t="s">
        <v>129</v>
      </c>
      <c r="C81" s="196"/>
      <c r="D81" s="215">
        <v>697</v>
      </c>
      <c r="E81" s="216">
        <v>697</v>
      </c>
      <c r="F81" s="216">
        <v>697</v>
      </c>
      <c r="G81" s="216">
        <v>697</v>
      </c>
      <c r="H81" s="217">
        <v>697</v>
      </c>
    </row>
    <row r="82" spans="2:8">
      <c r="B82" s="94" t="s">
        <v>141</v>
      </c>
      <c r="C82" s="198"/>
      <c r="D82" s="198">
        <f>INGRESOS!F17</f>
        <v>557568.00000000012</v>
      </c>
      <c r="E82" s="198">
        <v>557568.00000000012</v>
      </c>
      <c r="F82" s="198">
        <v>557568.00000000012</v>
      </c>
      <c r="G82" s="198">
        <v>557568.00000000012</v>
      </c>
      <c r="H82" s="198">
        <v>557568.00000000012</v>
      </c>
    </row>
    <row r="83" spans="2:8">
      <c r="B83" s="199" t="s">
        <v>131</v>
      </c>
      <c r="C83" s="200"/>
      <c r="D83" s="200">
        <f>$D$31</f>
        <v>91813.1296</v>
      </c>
      <c r="E83" s="200">
        <f>$D$31</f>
        <v>91813.1296</v>
      </c>
      <c r="F83" s="200">
        <f>$D$31</f>
        <v>91813.1296</v>
      </c>
      <c r="G83" s="200">
        <f>$D$31</f>
        <v>91813.1296</v>
      </c>
      <c r="H83" s="201">
        <f>$D$31</f>
        <v>91813.1296</v>
      </c>
    </row>
    <row r="84" spans="2:8">
      <c r="B84" s="199" t="s">
        <v>132</v>
      </c>
      <c r="C84" s="200"/>
      <c r="D84" s="200">
        <f>'COSTOS VARIABLES'!E14</f>
        <v>430163.71200000012</v>
      </c>
      <c r="E84" s="200">
        <v>430163.71200000012</v>
      </c>
      <c r="F84" s="200">
        <v>430163.71200000012</v>
      </c>
      <c r="G84" s="200">
        <v>430163.71200000012</v>
      </c>
      <c r="H84" s="200">
        <v>430163.71200000012</v>
      </c>
    </row>
    <row r="85" spans="2:8" ht="12" thickBot="1">
      <c r="B85" s="199" t="s">
        <v>133</v>
      </c>
      <c r="C85" s="98"/>
      <c r="D85" s="98">
        <v>4417.3333333333339</v>
      </c>
      <c r="E85" s="98">
        <v>4417.3333333333339</v>
      </c>
      <c r="F85" s="98">
        <v>4417.3333333333339</v>
      </c>
      <c r="G85" s="98">
        <v>4417.3333333333339</v>
      </c>
      <c r="H85" s="98">
        <v>4417.3333333333339</v>
      </c>
    </row>
    <row r="86" spans="2:8">
      <c r="B86" s="199" t="s">
        <v>134</v>
      </c>
      <c r="C86" s="198"/>
      <c r="D86" s="218">
        <f>D82-D83-D84-D85</f>
        <v>31173.825066666679</v>
      </c>
      <c r="E86" s="218">
        <f>E82-E83-E84-E85</f>
        <v>31173.825066666679</v>
      </c>
      <c r="F86" s="218">
        <f>F82-F83-F84-F85</f>
        <v>31173.825066666679</v>
      </c>
      <c r="G86" s="218">
        <f>G82-G83-G84-G85</f>
        <v>31173.825066666679</v>
      </c>
      <c r="H86" s="219">
        <f>H82-H83-H84-H85</f>
        <v>31173.825066666679</v>
      </c>
    </row>
    <row r="87" spans="2:8">
      <c r="B87" s="199" t="s">
        <v>135</v>
      </c>
      <c r="C87" s="174"/>
      <c r="D87" s="174">
        <f>D86*0.15</f>
        <v>4676.073760000002</v>
      </c>
      <c r="E87" s="174">
        <f>E86*0.15</f>
        <v>4676.073760000002</v>
      </c>
      <c r="F87" s="174">
        <f>F86*0.15</f>
        <v>4676.073760000002</v>
      </c>
      <c r="G87" s="174">
        <f>G86*0.15</f>
        <v>4676.073760000002</v>
      </c>
      <c r="H87" s="175">
        <f>H86*0.15</f>
        <v>4676.073760000002</v>
      </c>
    </row>
    <row r="88" spans="2:8" ht="12" thickBot="1">
      <c r="B88" s="199" t="s">
        <v>136</v>
      </c>
      <c r="C88" s="98"/>
      <c r="D88" s="98">
        <f>(D86-D87)*0.25</f>
        <v>6624.437826666669</v>
      </c>
      <c r="E88" s="98">
        <f>(E86-E87)*0.25</f>
        <v>6624.437826666669</v>
      </c>
      <c r="F88" s="98">
        <f>(F86-F87)*0.25</f>
        <v>6624.437826666669</v>
      </c>
      <c r="G88" s="98">
        <f>(G86-G87)*0.25</f>
        <v>6624.437826666669</v>
      </c>
      <c r="H88" s="99">
        <f>(H86-H87)*0.25</f>
        <v>6624.437826666669</v>
      </c>
    </row>
    <row r="89" spans="2:8">
      <c r="B89" s="199" t="s">
        <v>137</v>
      </c>
      <c r="C89" s="198"/>
      <c r="D89" s="198">
        <f>D86-D87-D88</f>
        <v>19873.313480000008</v>
      </c>
      <c r="E89" s="198">
        <f>E86-E87-E88</f>
        <v>19873.313480000008</v>
      </c>
      <c r="F89" s="198">
        <f>F86-F87-F88</f>
        <v>19873.313480000008</v>
      </c>
      <c r="G89" s="198">
        <f>G86-G87-G88</f>
        <v>19873.313480000008</v>
      </c>
      <c r="H89" s="202">
        <f>H86-H87-H88</f>
        <v>19873.313480000008</v>
      </c>
    </row>
    <row r="90" spans="2:8">
      <c r="B90" s="199" t="s">
        <v>138</v>
      </c>
      <c r="C90" s="200"/>
      <c r="D90" s="200">
        <f>D85</f>
        <v>4417.3333333333339</v>
      </c>
      <c r="E90" s="200">
        <f>E85</f>
        <v>4417.3333333333339</v>
      </c>
      <c r="F90" s="200">
        <f>F85</f>
        <v>4417.3333333333339</v>
      </c>
      <c r="G90" s="200">
        <f>G85</f>
        <v>4417.3333333333339</v>
      </c>
      <c r="H90" s="201">
        <f>H85</f>
        <v>4417.3333333333339</v>
      </c>
    </row>
    <row r="91" spans="2:8" ht="12" thickBot="1">
      <c r="B91" s="199" t="s">
        <v>139</v>
      </c>
      <c r="C91" s="98">
        <f>E40</f>
        <v>29890</v>
      </c>
      <c r="D91" s="98"/>
      <c r="E91" s="98"/>
      <c r="F91" s="98">
        <v>1550</v>
      </c>
      <c r="G91" s="98"/>
      <c r="H91" s="99"/>
    </row>
    <row r="92" spans="2:8" ht="12" thickBot="1">
      <c r="B92" s="97" t="s">
        <v>140</v>
      </c>
      <c r="C92" s="203">
        <f t="shared" ref="C92:H92" si="3">C89+C90-C91</f>
        <v>-29890</v>
      </c>
      <c r="D92" s="203">
        <f t="shared" si="3"/>
        <v>24290.64681333334</v>
      </c>
      <c r="E92" s="203">
        <f t="shared" si="3"/>
        <v>24290.64681333334</v>
      </c>
      <c r="F92" s="203">
        <f t="shared" si="3"/>
        <v>22740.64681333334</v>
      </c>
      <c r="G92" s="203">
        <f t="shared" si="3"/>
        <v>24290.64681333334</v>
      </c>
      <c r="H92" s="204">
        <f t="shared" si="3"/>
        <v>24290.64681333334</v>
      </c>
    </row>
    <row r="93" spans="2:8">
      <c r="B93" s="207"/>
      <c r="C93" s="209"/>
      <c r="D93" s="209"/>
      <c r="E93" s="209"/>
      <c r="F93" s="209"/>
      <c r="G93" s="209"/>
      <c r="H93" s="209"/>
    </row>
    <row r="94" spans="2:8">
      <c r="B94" s="207"/>
      <c r="C94" s="208"/>
      <c r="D94" s="209"/>
      <c r="E94" s="209"/>
      <c r="F94" s="209"/>
      <c r="G94" s="209"/>
      <c r="H94" s="209"/>
    </row>
    <row r="95" spans="2:8">
      <c r="B95" s="205"/>
      <c r="C95" s="206"/>
    </row>
    <row r="98" spans="3:11" ht="12">
      <c r="E98" s="323"/>
      <c r="G98" s="193"/>
      <c r="H98" s="193"/>
      <c r="I98" s="193"/>
      <c r="J98" s="211"/>
    </row>
    <row r="99" spans="3:11" ht="12">
      <c r="E99" s="324"/>
      <c r="G99" s="193"/>
      <c r="H99" s="193"/>
      <c r="I99" s="193"/>
      <c r="J99" s="211"/>
    </row>
    <row r="100" spans="3:11" ht="12.75">
      <c r="E100" s="324"/>
      <c r="G100" s="330"/>
      <c r="H100" s="331"/>
      <c r="I100" s="332"/>
      <c r="J100" s="211"/>
    </row>
    <row r="101" spans="3:11" ht="12.75">
      <c r="E101" s="324"/>
      <c r="G101" s="330"/>
      <c r="H101" s="333"/>
      <c r="I101" s="333"/>
      <c r="J101" s="211"/>
    </row>
    <row r="102" spans="3:11" ht="12.75" customHeight="1">
      <c r="E102" s="151"/>
      <c r="G102" s="330"/>
      <c r="H102" s="331"/>
      <c r="I102" s="331"/>
      <c r="J102" s="211"/>
    </row>
    <row r="103" spans="3:11" ht="12.75" customHeight="1">
      <c r="E103" s="325"/>
      <c r="G103" s="330"/>
      <c r="H103" s="332"/>
      <c r="I103" s="332"/>
      <c r="J103" s="211"/>
    </row>
    <row r="104" spans="3:11" ht="12.75">
      <c r="E104" s="326"/>
      <c r="G104" s="330"/>
      <c r="H104" s="332"/>
      <c r="I104" s="332"/>
      <c r="J104" s="211"/>
    </row>
    <row r="105" spans="3:11" ht="12.75">
      <c r="E105" s="327"/>
      <c r="G105" s="330"/>
      <c r="H105" s="334"/>
      <c r="I105" s="334"/>
      <c r="J105" s="211"/>
    </row>
    <row r="106" spans="3:11" ht="12">
      <c r="E106" s="327"/>
      <c r="G106" s="193"/>
      <c r="H106" s="193"/>
      <c r="I106" s="193"/>
      <c r="J106" s="211"/>
    </row>
    <row r="107" spans="3:11" ht="12">
      <c r="E107" s="327"/>
      <c r="G107" s="193"/>
      <c r="H107" s="193"/>
      <c r="I107" s="193"/>
      <c r="J107" s="211"/>
    </row>
    <row r="108" spans="3:11" ht="12">
      <c r="E108" s="327"/>
    </row>
    <row r="109" spans="3:11" ht="12">
      <c r="C109" s="328"/>
      <c r="D109" s="329"/>
      <c r="E109" s="329"/>
    </row>
    <row r="110" spans="3:11">
      <c r="C110" s="210"/>
    </row>
    <row r="112" spans="3:11">
      <c r="F112" s="211"/>
      <c r="G112" s="212"/>
      <c r="H112" s="212"/>
      <c r="I112" s="212"/>
      <c r="J112" s="212"/>
      <c r="K112" s="212"/>
    </row>
    <row r="113" spans="2:11" ht="12">
      <c r="B113" s="344"/>
      <c r="C113" s="180"/>
      <c r="D113" s="43"/>
      <c r="F113" s="211"/>
      <c r="G113" s="211"/>
      <c r="H113" s="211"/>
      <c r="I113" s="211"/>
      <c r="J113" s="211"/>
      <c r="K113" s="211"/>
    </row>
    <row r="114" spans="2:11" ht="12">
      <c r="B114" s="344"/>
      <c r="C114" s="180"/>
      <c r="D114" s="43"/>
    </row>
    <row r="115" spans="2:11" ht="12">
      <c r="B115" s="344"/>
      <c r="C115" s="180"/>
      <c r="D115" s="43"/>
    </row>
    <row r="116" spans="2:11" ht="12">
      <c r="B116" s="43"/>
      <c r="C116" s="43"/>
      <c r="D116" s="43"/>
      <c r="H116" s="209"/>
      <c r="I116" s="213"/>
    </row>
    <row r="117" spans="2:11" ht="12">
      <c r="B117" s="181"/>
      <c r="C117" s="43"/>
      <c r="D117" s="43"/>
      <c r="H117" s="212"/>
      <c r="I117" s="213"/>
    </row>
    <row r="118" spans="2:11" ht="12">
      <c r="B118" s="43"/>
      <c r="C118" s="43"/>
      <c r="D118" s="43"/>
      <c r="H118" s="212"/>
      <c r="I118" s="213"/>
    </row>
    <row r="119" spans="2:11">
      <c r="H119" s="212"/>
      <c r="I119" s="213"/>
    </row>
    <row r="120" spans="2:11">
      <c r="H120" s="212"/>
      <c r="I120" s="213"/>
    </row>
    <row r="121" spans="2:11">
      <c r="C121" s="183"/>
      <c r="H121" s="212"/>
      <c r="I121" s="213"/>
    </row>
    <row r="122" spans="2:11">
      <c r="H122" s="211"/>
      <c r="I122" s="211"/>
    </row>
    <row r="141" spans="3:3">
      <c r="C141" s="214"/>
    </row>
  </sheetData>
  <mergeCells count="5">
    <mergeCell ref="B47:H47"/>
    <mergeCell ref="B63:H63"/>
    <mergeCell ref="C4:H4"/>
    <mergeCell ref="B79:H79"/>
    <mergeCell ref="B2:H2"/>
  </mergeCells>
  <pageMargins left="1.5748031496062993" right="0.70866141732283472" top="0.74803149606299213" bottom="0.74803149606299213" header="0.31496062992125984" footer="0.31496062992125984"/>
  <pageSetup paperSize="9" scale="94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J13" sqref="J13"/>
    </sheetView>
  </sheetViews>
  <sheetFormatPr baseColWidth="10" defaultRowHeight="12.75"/>
  <cols>
    <col min="1" max="1" width="8.42578125" style="42" bestFit="1" customWidth="1"/>
    <col min="2" max="2" width="20.42578125" style="42" customWidth="1"/>
    <col min="3" max="3" width="17.42578125" style="42" customWidth="1"/>
    <col min="4" max="4" width="19" style="42" bestFit="1" customWidth="1"/>
    <col min="5" max="5" width="27.7109375" style="42" bestFit="1" customWidth="1"/>
    <col min="6" max="6" width="12.5703125" style="42" bestFit="1" customWidth="1"/>
    <col min="7" max="16384" width="11.42578125" style="42"/>
  </cols>
  <sheetData>
    <row r="1" spans="1:6" ht="26.25">
      <c r="A1" s="389" t="s">
        <v>281</v>
      </c>
      <c r="B1" s="389"/>
      <c r="C1" s="389"/>
      <c r="D1" s="389"/>
      <c r="E1" s="389"/>
    </row>
    <row r="3" spans="1:6">
      <c r="A3" s="400" t="s">
        <v>185</v>
      </c>
      <c r="B3" s="400"/>
      <c r="C3" s="400"/>
      <c r="D3" s="400"/>
      <c r="E3" s="400"/>
    </row>
    <row r="4" spans="1:6" ht="13.5" thickBot="1"/>
    <row r="5" spans="1:6" ht="13.5" thickBot="1">
      <c r="A5" s="345" t="s">
        <v>285</v>
      </c>
      <c r="B5" s="346"/>
      <c r="C5" s="178">
        <f>+F25</f>
        <v>0.1943</v>
      </c>
    </row>
    <row r="6" spans="1:6" ht="13.5" thickBot="1">
      <c r="A6" s="220" t="s">
        <v>186</v>
      </c>
      <c r="B6" s="117" t="s">
        <v>187</v>
      </c>
      <c r="C6" s="220" t="s">
        <v>180</v>
      </c>
      <c r="D6" s="220" t="s">
        <v>188</v>
      </c>
      <c r="E6" s="220" t="s">
        <v>189</v>
      </c>
    </row>
    <row r="7" spans="1:6" ht="13.5" thickBot="1">
      <c r="A7" s="221">
        <v>1</v>
      </c>
      <c r="B7" s="55">
        <v>29890</v>
      </c>
      <c r="C7" s="55">
        <v>12538.134672292501</v>
      </c>
      <c r="D7" s="55">
        <f>B7*$C$5</f>
        <v>5807.6270000000004</v>
      </c>
      <c r="E7" s="55">
        <f>C7-D7</f>
        <v>6730.5076722925005</v>
      </c>
    </row>
    <row r="8" spans="1:6" ht="13.5" thickBot="1">
      <c r="A8" s="222">
        <v>2</v>
      </c>
      <c r="B8" s="63">
        <f>B7-E7</f>
        <v>23159.492327707499</v>
      </c>
      <c r="C8" s="63">
        <v>12451.543561511113</v>
      </c>
      <c r="D8" s="55">
        <f t="shared" ref="D8:D11" si="0">B8*$C$5</f>
        <v>4499.8893592735676</v>
      </c>
      <c r="E8" s="63">
        <f t="shared" ref="E8:E11" si="1">C8-D8</f>
        <v>7951.6542022375452</v>
      </c>
    </row>
    <row r="9" spans="1:6" ht="13.5" thickBot="1">
      <c r="A9" s="222">
        <v>3</v>
      </c>
      <c r="B9" s="63">
        <f t="shared" ref="B9:B11" si="2">B8-E8</f>
        <v>15207.838125469954</v>
      </c>
      <c r="C9" s="63">
        <v>17586.534927435277</v>
      </c>
      <c r="D9" s="55">
        <f t="shared" si="0"/>
        <v>2954.8829477788122</v>
      </c>
      <c r="E9" s="63">
        <f t="shared" si="1"/>
        <v>14631.651979656464</v>
      </c>
    </row>
    <row r="10" spans="1:6" ht="13.5" thickBot="1">
      <c r="A10" s="222">
        <v>4</v>
      </c>
      <c r="B10" s="63">
        <f t="shared" si="2"/>
        <v>576.18614581348993</v>
      </c>
      <c r="C10" s="63">
        <v>26492.404430858478</v>
      </c>
      <c r="D10" s="55">
        <f t="shared" si="0"/>
        <v>111.95296813156109</v>
      </c>
      <c r="E10" s="63">
        <f t="shared" si="1"/>
        <v>26380.451462726916</v>
      </c>
    </row>
    <row r="11" spans="1:6" ht="13.5" thickBot="1">
      <c r="A11" s="347">
        <v>5</v>
      </c>
      <c r="B11" s="348">
        <f t="shared" si="2"/>
        <v>-25804.265316913428</v>
      </c>
      <c r="C11" s="348">
        <v>67987.456374613306</v>
      </c>
      <c r="D11" s="350">
        <f t="shared" si="0"/>
        <v>-5013.7687510762789</v>
      </c>
      <c r="E11" s="349">
        <f t="shared" si="1"/>
        <v>73001.225125689583</v>
      </c>
    </row>
    <row r="16" spans="1:6" ht="18.75">
      <c r="B16" s="384" t="s">
        <v>295</v>
      </c>
      <c r="C16" s="384"/>
      <c r="E16" s="435" t="s">
        <v>288</v>
      </c>
      <c r="F16" s="435"/>
    </row>
    <row r="18" spans="2:7" ht="15">
      <c r="B18" s="122" t="s">
        <v>194</v>
      </c>
      <c r="C18" s="122" t="s">
        <v>180</v>
      </c>
      <c r="E18" s="384" t="s">
        <v>289</v>
      </c>
      <c r="F18" s="384"/>
      <c r="G18" s="31"/>
    </row>
    <row r="19" spans="2:7" ht="13.5" thickBot="1">
      <c r="B19" s="179">
        <v>0</v>
      </c>
      <c r="C19" s="223">
        <v>-52221.694133333338</v>
      </c>
      <c r="E19" s="31"/>
      <c r="F19" s="31"/>
      <c r="G19" s="343"/>
    </row>
    <row r="20" spans="2:7">
      <c r="B20" s="224">
        <v>1</v>
      </c>
      <c r="C20" s="223">
        <v>6665.0988464591492</v>
      </c>
      <c r="E20" s="335" t="s">
        <v>292</v>
      </c>
      <c r="F20" s="342">
        <v>4.6100000000000002E-2</v>
      </c>
      <c r="G20" s="332"/>
    </row>
    <row r="21" spans="2:7">
      <c r="B21" s="224">
        <v>2</v>
      </c>
      <c r="C21" s="223">
        <v>13135.229389011114</v>
      </c>
      <c r="E21" s="336" t="s">
        <v>286</v>
      </c>
      <c r="F21" s="337">
        <v>0.83</v>
      </c>
      <c r="G21" s="333"/>
    </row>
    <row r="22" spans="2:7">
      <c r="B22" s="224">
        <v>3</v>
      </c>
      <c r="C22" s="223">
        <v>18704.553554935279</v>
      </c>
      <c r="E22" s="336" t="s">
        <v>287</v>
      </c>
      <c r="F22" s="338">
        <v>0.08</v>
      </c>
      <c r="G22" s="331"/>
    </row>
    <row r="23" spans="2:7">
      <c r="B23" s="224">
        <v>4</v>
      </c>
      <c r="C23" s="223">
        <v>28088.189138358473</v>
      </c>
      <c r="E23" s="336" t="s">
        <v>288</v>
      </c>
      <c r="F23" s="339">
        <f>F20+F21*(F22)</f>
        <v>0.1125</v>
      </c>
      <c r="G23" s="332"/>
    </row>
    <row r="24" spans="2:7">
      <c r="B24" s="224">
        <v>5</v>
      </c>
      <c r="C24" s="223">
        <v>70108.78377011331</v>
      </c>
      <c r="E24" s="336" t="s">
        <v>290</v>
      </c>
      <c r="F24" s="339">
        <v>8.1799999999999998E-2</v>
      </c>
      <c r="G24" s="332"/>
    </row>
    <row r="25" spans="2:7" ht="13.5" thickBot="1">
      <c r="E25" s="340" t="s">
        <v>285</v>
      </c>
      <c r="F25" s="341">
        <f>F23+F24</f>
        <v>0.1943</v>
      </c>
      <c r="G25" s="334"/>
    </row>
    <row r="26" spans="2:7">
      <c r="E26" s="31"/>
      <c r="F26" s="31"/>
      <c r="G26" s="343"/>
    </row>
    <row r="27" spans="2:7" ht="13.5" thickBot="1">
      <c r="E27" s="31" t="s">
        <v>291</v>
      </c>
      <c r="F27" s="31"/>
      <c r="G27" s="31"/>
    </row>
    <row r="28" spans="2:7" ht="15.75" thickBot="1">
      <c r="B28" s="351" t="s">
        <v>190</v>
      </c>
      <c r="C28" s="225">
        <f>IRR(C19:C24,PAYBACK!F25)</f>
        <v>0.28532358362826576</v>
      </c>
      <c r="E28" s="31" t="s">
        <v>293</v>
      </c>
      <c r="F28" s="434"/>
      <c r="G28" s="434"/>
    </row>
    <row r="29" spans="2:7" ht="13.5" thickBot="1">
      <c r="B29" s="117" t="s">
        <v>294</v>
      </c>
      <c r="C29" s="352">
        <f>NPV(F25,C19,C20,C21,C22,C23,C24)</f>
        <v>13571.267635110144</v>
      </c>
      <c r="E29" s="353"/>
      <c r="F29" s="353"/>
    </row>
    <row r="30" spans="2:7">
      <c r="E30" s="353"/>
      <c r="F30" s="353"/>
    </row>
    <row r="31" spans="2:7">
      <c r="E31" s="353"/>
      <c r="F31" s="353"/>
    </row>
  </sheetData>
  <mergeCells count="6">
    <mergeCell ref="F28:G28"/>
    <mergeCell ref="E16:F16"/>
    <mergeCell ref="A3:E3"/>
    <mergeCell ref="B16:C16"/>
    <mergeCell ref="A1:E1"/>
    <mergeCell ref="E18:F18"/>
  </mergeCells>
  <printOptions horizontalCentered="1"/>
  <pageMargins left="1.2736614173228347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A3" sqref="A3:G31"/>
    </sheetView>
  </sheetViews>
  <sheetFormatPr baseColWidth="10" defaultRowHeight="15"/>
  <sheetData>
    <row r="2" spans="1:8">
      <c r="B2" s="306"/>
    </row>
    <row r="3" spans="1:8" ht="23.25">
      <c r="A3" s="383" t="s">
        <v>268</v>
      </c>
      <c r="B3" s="383"/>
      <c r="C3" s="383"/>
      <c r="D3" s="383"/>
      <c r="E3" s="383"/>
      <c r="F3" s="383"/>
      <c r="G3" s="383"/>
      <c r="H3" s="381"/>
    </row>
    <row r="4" spans="1:8">
      <c r="B4" s="306"/>
    </row>
    <row r="5" spans="1:8">
      <c r="B5" s="384" t="s">
        <v>269</v>
      </c>
      <c r="C5" s="384"/>
      <c r="D5" s="384"/>
      <c r="E5" s="384"/>
      <c r="F5" s="384"/>
      <c r="G5" s="384"/>
    </row>
    <row r="6" spans="1:8">
      <c r="B6" s="306"/>
    </row>
    <row r="7" spans="1:8">
      <c r="B7" s="306"/>
    </row>
  </sheetData>
  <mergeCells count="2">
    <mergeCell ref="B5:G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K91"/>
  <sheetViews>
    <sheetView workbookViewId="0">
      <selection activeCell="A2" sqref="A2:F20"/>
    </sheetView>
  </sheetViews>
  <sheetFormatPr baseColWidth="10" defaultRowHeight="15"/>
  <cols>
    <col min="1" max="1" width="19.5703125" style="4" bestFit="1" customWidth="1"/>
    <col min="2" max="2" width="9.28515625" style="4" customWidth="1"/>
    <col min="3" max="3" width="11" style="4" customWidth="1"/>
    <col min="4" max="4" width="9.85546875" style="4" bestFit="1" customWidth="1"/>
    <col min="5" max="5" width="9.140625" style="4" bestFit="1" customWidth="1"/>
    <col min="6" max="6" width="12" style="4" customWidth="1"/>
    <col min="7" max="7" width="13.5703125" style="4" customWidth="1"/>
    <col min="8" max="8" width="8.5703125" style="4" customWidth="1"/>
    <col min="9" max="9" width="8.85546875" style="4" customWidth="1"/>
    <col min="10" max="10" width="7.85546875" style="4" customWidth="1"/>
    <col min="11" max="11" width="9.28515625" style="4" customWidth="1"/>
    <col min="12" max="16384" width="11.42578125" style="4"/>
  </cols>
  <sheetData>
    <row r="2" spans="1:6" ht="26.25">
      <c r="B2" s="389" t="s">
        <v>270</v>
      </c>
      <c r="C2" s="389"/>
      <c r="D2" s="389"/>
    </row>
    <row r="5" spans="1:6" ht="21.75" customHeight="1" thickBot="1">
      <c r="A5" s="393" t="s">
        <v>205</v>
      </c>
      <c r="B5" s="393"/>
      <c r="C5" s="393"/>
      <c r="D5" s="393"/>
      <c r="E5" s="393"/>
      <c r="F5" s="393"/>
    </row>
    <row r="6" spans="1:6" s="148" customFormat="1" ht="26.25" thickBot="1">
      <c r="A6" s="371" t="s">
        <v>206</v>
      </c>
      <c r="B6" s="250" t="s">
        <v>207</v>
      </c>
      <c r="C6" s="250" t="s">
        <v>208</v>
      </c>
      <c r="D6" s="250" t="s">
        <v>209</v>
      </c>
      <c r="E6" s="250" t="s">
        <v>210</v>
      </c>
      <c r="F6" s="250" t="s">
        <v>179</v>
      </c>
    </row>
    <row r="7" spans="1:6">
      <c r="A7" s="251" t="s">
        <v>211</v>
      </c>
      <c r="B7" s="372">
        <v>1</v>
      </c>
      <c r="C7" s="252" t="s">
        <v>212</v>
      </c>
      <c r="D7" s="252" t="s">
        <v>212</v>
      </c>
      <c r="E7" s="372">
        <v>5</v>
      </c>
      <c r="F7" s="253" t="s">
        <v>213</v>
      </c>
    </row>
    <row r="8" spans="1:6">
      <c r="A8" s="254" t="s">
        <v>214</v>
      </c>
      <c r="B8" s="373">
        <v>4</v>
      </c>
      <c r="C8" s="255" t="s">
        <v>215</v>
      </c>
      <c r="D8" s="255" t="s">
        <v>216</v>
      </c>
      <c r="E8" s="373">
        <v>10</v>
      </c>
      <c r="F8" s="256" t="s">
        <v>213</v>
      </c>
    </row>
    <row r="9" spans="1:6">
      <c r="A9" s="254" t="s">
        <v>217</v>
      </c>
      <c r="B9" s="373">
        <v>4</v>
      </c>
      <c r="C9" s="255" t="s">
        <v>218</v>
      </c>
      <c r="D9" s="255" t="s">
        <v>219</v>
      </c>
      <c r="E9" s="373">
        <v>10</v>
      </c>
      <c r="F9" s="256" t="s">
        <v>213</v>
      </c>
    </row>
    <row r="10" spans="1:6">
      <c r="A10" s="254" t="s">
        <v>220</v>
      </c>
      <c r="B10" s="373">
        <v>2</v>
      </c>
      <c r="C10" s="255" t="s">
        <v>221</v>
      </c>
      <c r="D10" s="255" t="s">
        <v>222</v>
      </c>
      <c r="E10" s="373">
        <v>3</v>
      </c>
      <c r="F10" s="256" t="s">
        <v>213</v>
      </c>
    </row>
    <row r="11" spans="1:6">
      <c r="A11" s="254" t="s">
        <v>223</v>
      </c>
      <c r="B11" s="373">
        <v>1</v>
      </c>
      <c r="C11" s="255" t="s">
        <v>224</v>
      </c>
      <c r="D11" s="255" t="s">
        <v>224</v>
      </c>
      <c r="E11" s="373">
        <v>3</v>
      </c>
      <c r="F11" s="256" t="s">
        <v>213</v>
      </c>
    </row>
    <row r="12" spans="1:6">
      <c r="A12" s="254" t="s">
        <v>225</v>
      </c>
      <c r="B12" s="373">
        <v>1</v>
      </c>
      <c r="C12" s="255" t="s">
        <v>226</v>
      </c>
      <c r="D12" s="255" t="s">
        <v>226</v>
      </c>
      <c r="E12" s="373">
        <v>3</v>
      </c>
      <c r="F12" s="256" t="s">
        <v>213</v>
      </c>
    </row>
    <row r="13" spans="1:6">
      <c r="A13" s="254" t="s">
        <v>227</v>
      </c>
      <c r="B13" s="373">
        <v>1</v>
      </c>
      <c r="C13" s="257" t="s">
        <v>228</v>
      </c>
      <c r="D13" s="257" t="s">
        <v>228</v>
      </c>
      <c r="E13" s="375">
        <v>10</v>
      </c>
      <c r="F13" s="258" t="s">
        <v>213</v>
      </c>
    </row>
    <row r="14" spans="1:6">
      <c r="A14" s="254" t="s">
        <v>229</v>
      </c>
      <c r="B14" s="373">
        <v>1</v>
      </c>
      <c r="C14" s="255" t="s">
        <v>230</v>
      </c>
      <c r="D14" s="255" t="s">
        <v>230</v>
      </c>
      <c r="E14" s="373">
        <v>3</v>
      </c>
      <c r="F14" s="256" t="s">
        <v>213</v>
      </c>
    </row>
    <row r="15" spans="1:6">
      <c r="A15" s="254" t="s">
        <v>231</v>
      </c>
      <c r="B15" s="373">
        <v>3</v>
      </c>
      <c r="C15" s="255" t="s">
        <v>232</v>
      </c>
      <c r="D15" s="255" t="s">
        <v>230</v>
      </c>
      <c r="E15" s="373">
        <v>10</v>
      </c>
      <c r="F15" s="256" t="s">
        <v>213</v>
      </c>
    </row>
    <row r="16" spans="1:6">
      <c r="A16" s="254" t="s">
        <v>233</v>
      </c>
      <c r="B16" s="373">
        <v>3</v>
      </c>
      <c r="C16" s="255" t="s">
        <v>234</v>
      </c>
      <c r="D16" s="255" t="s">
        <v>235</v>
      </c>
      <c r="E16" s="373">
        <v>10</v>
      </c>
      <c r="F16" s="256" t="s">
        <v>213</v>
      </c>
    </row>
    <row r="17" spans="1:6">
      <c r="A17" s="254" t="s">
        <v>236</v>
      </c>
      <c r="B17" s="373">
        <v>2</v>
      </c>
      <c r="C17" s="255" t="s">
        <v>232</v>
      </c>
      <c r="D17" s="255" t="s">
        <v>226</v>
      </c>
      <c r="E17" s="373">
        <v>3</v>
      </c>
      <c r="F17" s="256" t="s">
        <v>213</v>
      </c>
    </row>
    <row r="18" spans="1:6">
      <c r="A18" s="254" t="s">
        <v>237</v>
      </c>
      <c r="B18" s="373">
        <v>3</v>
      </c>
      <c r="C18" s="255" t="s">
        <v>238</v>
      </c>
      <c r="D18" s="255" t="s">
        <v>239</v>
      </c>
      <c r="E18" s="373">
        <v>10</v>
      </c>
      <c r="F18" s="256" t="s">
        <v>213</v>
      </c>
    </row>
    <row r="19" spans="1:6" ht="15.75" thickBot="1">
      <c r="A19" s="259" t="s">
        <v>240</v>
      </c>
      <c r="B19" s="374">
        <v>2</v>
      </c>
      <c r="C19" s="260" t="s">
        <v>241</v>
      </c>
      <c r="D19" s="260" t="s">
        <v>218</v>
      </c>
      <c r="E19" s="374">
        <v>10</v>
      </c>
      <c r="F19" s="261" t="s">
        <v>213</v>
      </c>
    </row>
    <row r="20" spans="1:6" ht="15.75" thickBot="1">
      <c r="A20" s="394" t="s">
        <v>242</v>
      </c>
      <c r="B20" s="395"/>
      <c r="C20" s="396"/>
      <c r="D20" s="262" t="s">
        <v>184</v>
      </c>
      <c r="E20" s="263"/>
      <c r="F20" s="264" t="s">
        <v>213</v>
      </c>
    </row>
    <row r="38" spans="1:11" s="265" customFormat="1" ht="15.75" thickBot="1">
      <c r="A38" s="397" t="s">
        <v>243</v>
      </c>
      <c r="B38" s="397"/>
      <c r="C38" s="397"/>
      <c r="D38" s="397"/>
      <c r="E38" s="397"/>
      <c r="F38" s="397"/>
      <c r="G38" s="397"/>
      <c r="H38" s="397"/>
      <c r="I38" s="397"/>
      <c r="J38" s="397"/>
      <c r="K38" s="397"/>
    </row>
    <row r="39" spans="1:11" s="1" customFormat="1" ht="15.75" thickBot="1">
      <c r="A39" s="269" t="s">
        <v>244</v>
      </c>
      <c r="B39" s="376">
        <v>1</v>
      </c>
      <c r="C39" s="377">
        <v>2</v>
      </c>
      <c r="D39" s="377">
        <v>3</v>
      </c>
      <c r="E39" s="376">
        <v>4</v>
      </c>
      <c r="F39" s="378">
        <v>5</v>
      </c>
      <c r="G39" s="377">
        <v>6</v>
      </c>
      <c r="H39" s="376">
        <v>7</v>
      </c>
      <c r="I39" s="377">
        <v>8</v>
      </c>
      <c r="J39" s="377">
        <v>9</v>
      </c>
      <c r="K39" s="376">
        <v>10</v>
      </c>
    </row>
    <row r="40" spans="1:11">
      <c r="A40" s="270" t="s">
        <v>211</v>
      </c>
      <c r="B40" s="279"/>
      <c r="C40" s="280"/>
      <c r="D40" s="281"/>
      <c r="E40" s="282"/>
      <c r="F40" s="281">
        <v>17500</v>
      </c>
      <c r="G40" s="281"/>
      <c r="H40" s="283"/>
      <c r="I40" s="280"/>
      <c r="J40" s="281"/>
      <c r="K40" s="281">
        <v>17500</v>
      </c>
    </row>
    <row r="41" spans="1:11">
      <c r="A41" s="271" t="s">
        <v>214</v>
      </c>
      <c r="B41" s="284"/>
      <c r="C41" s="285"/>
      <c r="D41" s="286"/>
      <c r="E41" s="287"/>
      <c r="F41" s="286"/>
      <c r="G41" s="286"/>
      <c r="H41" s="288"/>
      <c r="I41" s="285"/>
      <c r="J41" s="286"/>
      <c r="K41" s="286">
        <v>920</v>
      </c>
    </row>
    <row r="42" spans="1:11">
      <c r="A42" s="271" t="s">
        <v>217</v>
      </c>
      <c r="B42" s="284"/>
      <c r="C42" s="285"/>
      <c r="D42" s="286"/>
      <c r="E42" s="287"/>
      <c r="F42" s="286"/>
      <c r="G42" s="286"/>
      <c r="H42" s="288"/>
      <c r="I42" s="285"/>
      <c r="J42" s="286"/>
      <c r="K42" s="286">
        <v>160</v>
      </c>
    </row>
    <row r="43" spans="1:11">
      <c r="A43" s="271" t="s">
        <v>220</v>
      </c>
      <c r="B43" s="284"/>
      <c r="C43" s="285"/>
      <c r="D43" s="286">
        <v>1100</v>
      </c>
      <c r="E43" s="287"/>
      <c r="F43" s="286"/>
      <c r="G43" s="286">
        <v>1100</v>
      </c>
      <c r="H43" s="288"/>
      <c r="I43" s="285"/>
      <c r="J43" s="286">
        <v>1100</v>
      </c>
      <c r="K43" s="286"/>
    </row>
    <row r="44" spans="1:11">
      <c r="A44" s="271" t="s">
        <v>223</v>
      </c>
      <c r="B44" s="284"/>
      <c r="C44" s="285"/>
      <c r="D44" s="286">
        <v>250</v>
      </c>
      <c r="E44" s="287"/>
      <c r="F44" s="286"/>
      <c r="G44" s="286">
        <v>250</v>
      </c>
      <c r="H44" s="288"/>
      <c r="I44" s="285"/>
      <c r="J44" s="286">
        <v>250</v>
      </c>
      <c r="K44" s="286"/>
    </row>
    <row r="45" spans="1:11">
      <c r="A45" s="271" t="s">
        <v>225</v>
      </c>
      <c r="B45" s="284"/>
      <c r="C45" s="285"/>
      <c r="D45" s="286">
        <v>200</v>
      </c>
      <c r="E45" s="287"/>
      <c r="F45" s="286"/>
      <c r="G45" s="286">
        <v>200</v>
      </c>
      <c r="H45" s="288"/>
      <c r="I45" s="285"/>
      <c r="J45" s="286">
        <v>200</v>
      </c>
      <c r="K45" s="286"/>
    </row>
    <row r="46" spans="1:11">
      <c r="A46" s="271" t="s">
        <v>227</v>
      </c>
      <c r="B46" s="284"/>
      <c r="C46" s="289"/>
      <c r="D46" s="290"/>
      <c r="E46" s="291"/>
      <c r="F46" s="290"/>
      <c r="G46" s="286"/>
      <c r="H46" s="288"/>
      <c r="I46" s="289"/>
      <c r="J46" s="290"/>
      <c r="K46" s="290">
        <v>320</v>
      </c>
    </row>
    <row r="47" spans="1:11">
      <c r="A47" s="271" t="s">
        <v>229</v>
      </c>
      <c r="B47" s="284"/>
      <c r="C47" s="285"/>
      <c r="D47" s="286"/>
      <c r="E47" s="287"/>
      <c r="F47" s="286"/>
      <c r="G47" s="286"/>
      <c r="H47" s="288"/>
      <c r="I47" s="285"/>
      <c r="J47" s="286"/>
      <c r="K47" s="286">
        <v>200</v>
      </c>
    </row>
    <row r="48" spans="1:11">
      <c r="A48" s="271" t="s">
        <v>231</v>
      </c>
      <c r="B48" s="284"/>
      <c r="C48" s="285"/>
      <c r="D48" s="286"/>
      <c r="E48" s="287"/>
      <c r="F48" s="286"/>
      <c r="G48" s="286"/>
      <c r="H48" s="288"/>
      <c r="I48" s="285"/>
      <c r="J48" s="286"/>
      <c r="K48" s="286">
        <v>200</v>
      </c>
    </row>
    <row r="49" spans="1:11">
      <c r="A49" s="271" t="s">
        <v>233</v>
      </c>
      <c r="B49" s="284"/>
      <c r="C49" s="285"/>
      <c r="D49" s="286"/>
      <c r="E49" s="287"/>
      <c r="F49" s="286"/>
      <c r="G49" s="286"/>
      <c r="H49" s="288"/>
      <c r="I49" s="285"/>
      <c r="J49" s="286"/>
      <c r="K49" s="286">
        <v>260</v>
      </c>
    </row>
    <row r="50" spans="1:11">
      <c r="A50" s="271" t="s">
        <v>236</v>
      </c>
      <c r="B50" s="284"/>
      <c r="C50" s="285"/>
      <c r="D50" s="286"/>
      <c r="E50" s="287"/>
      <c r="F50" s="286"/>
      <c r="G50" s="286"/>
      <c r="H50" s="288"/>
      <c r="I50" s="285"/>
      <c r="J50" s="286"/>
      <c r="K50" s="286">
        <v>200</v>
      </c>
    </row>
    <row r="51" spans="1:11">
      <c r="A51" s="271" t="s">
        <v>237</v>
      </c>
      <c r="B51" s="284"/>
      <c r="C51" s="285"/>
      <c r="D51" s="286"/>
      <c r="E51" s="287"/>
      <c r="F51" s="286"/>
      <c r="G51" s="286"/>
      <c r="H51" s="288"/>
      <c r="I51" s="285"/>
      <c r="J51" s="286"/>
      <c r="K51" s="286">
        <v>240</v>
      </c>
    </row>
    <row r="52" spans="1:11" ht="15.75" thickBot="1">
      <c r="A52" s="272" t="s">
        <v>240</v>
      </c>
      <c r="B52" s="292"/>
      <c r="C52" s="293"/>
      <c r="D52" s="294"/>
      <c r="E52" s="295"/>
      <c r="F52" s="294"/>
      <c r="G52" s="296"/>
      <c r="H52" s="297"/>
      <c r="I52" s="293"/>
      <c r="J52" s="294"/>
      <c r="K52" s="294">
        <v>40</v>
      </c>
    </row>
    <row r="53" spans="1:11" ht="15.75" thickBot="1">
      <c r="A53" s="398"/>
      <c r="B53" s="399"/>
      <c r="C53" s="399"/>
      <c r="D53" s="273">
        <f>SUM(D43:D52)</f>
        <v>1550</v>
      </c>
      <c r="E53" s="274"/>
      <c r="F53" s="275">
        <f>SUM(F40:F52)</f>
        <v>17500</v>
      </c>
      <c r="G53" s="276">
        <f>SUM(G43:G52)</f>
        <v>1550</v>
      </c>
      <c r="H53" s="277"/>
      <c r="I53" s="277"/>
      <c r="J53" s="273">
        <f>SUM(J43:J52)</f>
        <v>1550</v>
      </c>
      <c r="K53" s="278">
        <f>SUM(K40:K52)</f>
        <v>20040</v>
      </c>
    </row>
    <row r="76" spans="1:8" ht="15.75" thickBot="1">
      <c r="A76" s="390" t="s">
        <v>282</v>
      </c>
      <c r="B76" s="390"/>
      <c r="C76" s="390"/>
      <c r="D76" s="390"/>
      <c r="E76" s="390"/>
      <c r="F76" s="390"/>
      <c r="G76" s="390"/>
      <c r="H76" s="390"/>
    </row>
    <row r="77" spans="1:8" ht="39.75" customHeight="1" thickBot="1">
      <c r="A77" s="369" t="s">
        <v>206</v>
      </c>
      <c r="B77" s="370" t="s">
        <v>207</v>
      </c>
      <c r="C77" s="370" t="s">
        <v>208</v>
      </c>
      <c r="D77" s="370" t="s">
        <v>209</v>
      </c>
      <c r="E77" s="370" t="s">
        <v>210</v>
      </c>
      <c r="F77" s="370" t="s">
        <v>298</v>
      </c>
      <c r="G77" s="370" t="s">
        <v>299</v>
      </c>
      <c r="H77" s="370" t="s">
        <v>179</v>
      </c>
    </row>
    <row r="78" spans="1:8" ht="15.75" thickBot="1">
      <c r="A78" s="314" t="s">
        <v>211</v>
      </c>
      <c r="B78" s="315">
        <v>1</v>
      </c>
      <c r="C78" s="315">
        <v>17500</v>
      </c>
      <c r="D78" s="315">
        <v>17500</v>
      </c>
      <c r="E78" s="315">
        <v>5</v>
      </c>
      <c r="F78" s="315">
        <v>3500</v>
      </c>
      <c r="G78" s="315">
        <v>17500</v>
      </c>
      <c r="H78" s="315">
        <v>0</v>
      </c>
    </row>
    <row r="79" spans="1:8" ht="15.75" thickBot="1">
      <c r="A79" s="314" t="s">
        <v>214</v>
      </c>
      <c r="B79" s="315">
        <v>4</v>
      </c>
      <c r="C79" s="315">
        <v>230</v>
      </c>
      <c r="D79" s="315">
        <v>920</v>
      </c>
      <c r="E79" s="315">
        <v>10</v>
      </c>
      <c r="F79" s="315">
        <v>92</v>
      </c>
      <c r="G79" s="315">
        <v>920</v>
      </c>
      <c r="H79" s="315">
        <v>0</v>
      </c>
    </row>
    <row r="80" spans="1:8" ht="15.75" thickBot="1">
      <c r="A80" s="314" t="s">
        <v>217</v>
      </c>
      <c r="B80" s="315">
        <v>4</v>
      </c>
      <c r="C80" s="315">
        <v>40</v>
      </c>
      <c r="D80" s="315">
        <v>160</v>
      </c>
      <c r="E80" s="315">
        <v>10</v>
      </c>
      <c r="F80" s="315">
        <v>16</v>
      </c>
      <c r="G80" s="315">
        <v>160</v>
      </c>
      <c r="H80" s="315">
        <v>0</v>
      </c>
    </row>
    <row r="81" spans="1:8" ht="15.75" thickBot="1">
      <c r="A81" s="314" t="s">
        <v>220</v>
      </c>
      <c r="B81" s="315">
        <v>2</v>
      </c>
      <c r="C81" s="315">
        <v>550</v>
      </c>
      <c r="D81" s="315">
        <v>1100</v>
      </c>
      <c r="E81" s="315">
        <v>3</v>
      </c>
      <c r="F81" s="315">
        <v>366.7</v>
      </c>
      <c r="G81" s="315">
        <v>1100</v>
      </c>
      <c r="H81" s="315">
        <v>0</v>
      </c>
    </row>
    <row r="82" spans="1:8" ht="15.75" thickBot="1">
      <c r="A82" s="314" t="s">
        <v>223</v>
      </c>
      <c r="B82" s="315">
        <v>1</v>
      </c>
      <c r="C82" s="315">
        <v>250</v>
      </c>
      <c r="D82" s="315">
        <v>250</v>
      </c>
      <c r="E82" s="315">
        <v>3</v>
      </c>
      <c r="F82" s="315">
        <v>83.3</v>
      </c>
      <c r="G82" s="315">
        <v>250</v>
      </c>
      <c r="H82" s="315">
        <v>0</v>
      </c>
    </row>
    <row r="83" spans="1:8" ht="15.75" thickBot="1">
      <c r="A83" s="314" t="s">
        <v>225</v>
      </c>
      <c r="B83" s="315">
        <v>1</v>
      </c>
      <c r="C83" s="315">
        <v>200</v>
      </c>
      <c r="D83" s="315">
        <v>200</v>
      </c>
      <c r="E83" s="315">
        <v>3</v>
      </c>
      <c r="F83" s="315">
        <v>66.7</v>
      </c>
      <c r="G83" s="315">
        <v>200</v>
      </c>
      <c r="H83" s="315">
        <v>0</v>
      </c>
    </row>
    <row r="84" spans="1:8" ht="15.75" thickBot="1">
      <c r="A84" s="314" t="s">
        <v>227</v>
      </c>
      <c r="B84" s="315">
        <v>1</v>
      </c>
      <c r="C84" s="316">
        <v>320</v>
      </c>
      <c r="D84" s="315">
        <v>320</v>
      </c>
      <c r="E84" s="316">
        <v>10</v>
      </c>
      <c r="F84" s="315">
        <v>32</v>
      </c>
      <c r="G84" s="315">
        <v>320</v>
      </c>
      <c r="H84" s="316">
        <v>0</v>
      </c>
    </row>
    <row r="85" spans="1:8" ht="15.75" thickBot="1">
      <c r="A85" s="314" t="s">
        <v>229</v>
      </c>
      <c r="B85" s="315">
        <v>1</v>
      </c>
      <c r="C85" s="315">
        <v>300</v>
      </c>
      <c r="D85" s="315">
        <v>300</v>
      </c>
      <c r="E85" s="315">
        <v>3</v>
      </c>
      <c r="F85" s="315">
        <v>100</v>
      </c>
      <c r="G85" s="315">
        <v>300</v>
      </c>
      <c r="H85" s="315">
        <v>0</v>
      </c>
    </row>
    <row r="86" spans="1:8" ht="15.75" thickBot="1">
      <c r="A86" s="314" t="s">
        <v>231</v>
      </c>
      <c r="B86" s="315">
        <v>3</v>
      </c>
      <c r="C86" s="315">
        <v>100</v>
      </c>
      <c r="D86" s="315">
        <v>300</v>
      </c>
      <c r="E86" s="315">
        <v>10</v>
      </c>
      <c r="F86" s="315">
        <v>30</v>
      </c>
      <c r="G86" s="315">
        <v>300</v>
      </c>
      <c r="H86" s="315">
        <v>0</v>
      </c>
    </row>
    <row r="87" spans="1:8" ht="15.75" thickBot="1">
      <c r="A87" s="314" t="s">
        <v>233</v>
      </c>
      <c r="B87" s="315">
        <v>3</v>
      </c>
      <c r="C87" s="315">
        <v>120</v>
      </c>
      <c r="D87" s="315">
        <v>360</v>
      </c>
      <c r="E87" s="315">
        <v>10</v>
      </c>
      <c r="F87" s="315">
        <v>36</v>
      </c>
      <c r="G87" s="315">
        <v>360</v>
      </c>
      <c r="H87" s="315">
        <v>0</v>
      </c>
    </row>
    <row r="88" spans="1:8" ht="15.75" thickBot="1">
      <c r="A88" s="314" t="s">
        <v>236</v>
      </c>
      <c r="B88" s="315">
        <v>2</v>
      </c>
      <c r="C88" s="315">
        <v>100</v>
      </c>
      <c r="D88" s="315">
        <v>200</v>
      </c>
      <c r="E88" s="315">
        <v>3</v>
      </c>
      <c r="F88" s="315">
        <v>66.7</v>
      </c>
      <c r="G88" s="315">
        <v>200</v>
      </c>
      <c r="H88" s="315">
        <v>0</v>
      </c>
    </row>
    <row r="89" spans="1:8" ht="15.75" thickBot="1">
      <c r="A89" s="314" t="s">
        <v>237</v>
      </c>
      <c r="B89" s="315">
        <v>3</v>
      </c>
      <c r="C89" s="315">
        <v>80</v>
      </c>
      <c r="D89" s="315">
        <v>240</v>
      </c>
      <c r="E89" s="315">
        <v>10</v>
      </c>
      <c r="F89" s="315">
        <v>24</v>
      </c>
      <c r="G89" s="315">
        <v>240</v>
      </c>
      <c r="H89" s="315">
        <v>0</v>
      </c>
    </row>
    <row r="90" spans="1:8" ht="15.75" thickBot="1">
      <c r="A90" s="317" t="s">
        <v>240</v>
      </c>
      <c r="B90" s="318">
        <v>2</v>
      </c>
      <c r="C90" s="318">
        <v>20</v>
      </c>
      <c r="D90" s="319">
        <v>40</v>
      </c>
      <c r="E90" s="318">
        <v>10</v>
      </c>
      <c r="F90" s="319">
        <v>4</v>
      </c>
      <c r="G90" s="319">
        <v>40</v>
      </c>
      <c r="H90" s="318">
        <v>0</v>
      </c>
    </row>
    <row r="91" spans="1:8" ht="26.25" customHeight="1" thickBot="1">
      <c r="A91" s="391" t="s">
        <v>174</v>
      </c>
      <c r="B91" s="391"/>
      <c r="C91" s="391"/>
      <c r="D91" s="391"/>
      <c r="E91" s="392"/>
      <c r="F91" s="382">
        <v>4417.3</v>
      </c>
      <c r="G91" s="379" t="s">
        <v>179</v>
      </c>
      <c r="H91" s="382">
        <v>0</v>
      </c>
    </row>
  </sheetData>
  <mergeCells count="7">
    <mergeCell ref="B2:D2"/>
    <mergeCell ref="A76:H76"/>
    <mergeCell ref="A91:E91"/>
    <mergeCell ref="A5:F5"/>
    <mergeCell ref="A20:C20"/>
    <mergeCell ref="A38:K38"/>
    <mergeCell ref="A53:C53"/>
  </mergeCells>
  <printOptions horizontalCentered="1"/>
  <pageMargins left="2.1198031496062995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"/>
  <dimension ref="A2:N21"/>
  <sheetViews>
    <sheetView topLeftCell="C1" workbookViewId="0">
      <selection activeCell="C2" sqref="A2:N16"/>
    </sheetView>
  </sheetViews>
  <sheetFormatPr baseColWidth="10" defaultColWidth="32.140625" defaultRowHeight="12.75"/>
  <cols>
    <col min="1" max="1" width="11.140625" style="42" customWidth="1"/>
    <col min="2" max="2" width="31" style="42" bestFit="1" customWidth="1"/>
    <col min="3" max="3" width="30" style="42" bestFit="1" customWidth="1"/>
    <col min="4" max="4" width="23.140625" style="42" bestFit="1" customWidth="1"/>
    <col min="5" max="5" width="6.5703125" style="42" bestFit="1" customWidth="1"/>
    <col min="6" max="6" width="11.28515625" style="42" bestFit="1" customWidth="1"/>
    <col min="7" max="7" width="10.85546875" style="42" customWidth="1"/>
    <col min="8" max="8" width="10.42578125" style="42" customWidth="1"/>
    <col min="9" max="9" width="6.5703125" style="42" bestFit="1" customWidth="1"/>
    <col min="10" max="10" width="9.7109375" style="42" customWidth="1"/>
    <col min="11" max="11" width="8.28515625" style="42" customWidth="1"/>
    <col min="12" max="12" width="11.28515625" style="42" customWidth="1"/>
    <col min="13" max="13" width="7.5703125" style="42" customWidth="1"/>
    <col min="14" max="14" width="6.5703125" style="42" bestFit="1" customWidth="1"/>
    <col min="15" max="16384" width="32.140625" style="42"/>
  </cols>
  <sheetData>
    <row r="2" spans="1:14" ht="26.25">
      <c r="B2" s="313"/>
      <c r="C2" s="389" t="s">
        <v>272</v>
      </c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</row>
    <row r="3" spans="1:14" ht="24" thickBot="1">
      <c r="A3" s="383" t="s">
        <v>248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1:14" ht="13.5" thickBot="1">
      <c r="C4" s="404" t="s">
        <v>11</v>
      </c>
      <c r="D4" s="405"/>
      <c r="E4" s="404" t="s">
        <v>18</v>
      </c>
      <c r="F4" s="406"/>
      <c r="G4" s="406"/>
      <c r="H4" s="406"/>
      <c r="I4" s="405"/>
      <c r="J4" s="401" t="s">
        <v>96</v>
      </c>
      <c r="K4" s="402"/>
      <c r="L4" s="402"/>
      <c r="M4" s="402"/>
      <c r="N4" s="403"/>
    </row>
    <row r="5" spans="1:14" ht="13.5" thickBot="1">
      <c r="A5" s="39"/>
      <c r="B5" s="39"/>
      <c r="C5" s="40" t="s">
        <v>10</v>
      </c>
      <c r="D5" s="40" t="s">
        <v>18</v>
      </c>
      <c r="E5" s="40" t="s">
        <v>5</v>
      </c>
      <c r="F5" s="40" t="s">
        <v>6</v>
      </c>
      <c r="G5" s="40" t="s">
        <v>7</v>
      </c>
      <c r="H5" s="40" t="s">
        <v>8</v>
      </c>
      <c r="I5" s="40" t="s">
        <v>9</v>
      </c>
      <c r="J5" s="41" t="s">
        <v>5</v>
      </c>
      <c r="K5" s="41" t="s">
        <v>6</v>
      </c>
      <c r="L5" s="41" t="s">
        <v>7</v>
      </c>
      <c r="M5" s="41" t="s">
        <v>8</v>
      </c>
      <c r="N5" s="41" t="s">
        <v>9</v>
      </c>
    </row>
    <row r="6" spans="1:14" ht="27" thickTop="1" thickBot="1">
      <c r="A6" s="407" t="s">
        <v>204</v>
      </c>
      <c r="B6" s="2" t="s">
        <v>12</v>
      </c>
      <c r="C6" s="237">
        <v>6.2781456953642387E-2</v>
      </c>
      <c r="D6" s="238">
        <v>1185</v>
      </c>
      <c r="E6" s="238">
        <f>+$D6*E$13</f>
        <v>3.2787641226654367</v>
      </c>
      <c r="F6" s="238">
        <f t="shared" ref="F6:I11" si="0">+$D6*F$13</f>
        <v>3.606640534931981</v>
      </c>
      <c r="G6" s="238">
        <f t="shared" si="0"/>
        <v>3.9673045884251796</v>
      </c>
      <c r="H6" s="238">
        <f t="shared" si="0"/>
        <v>4.3640350472676976</v>
      </c>
      <c r="I6" s="238">
        <f t="shared" si="0"/>
        <v>4.8004385519944677</v>
      </c>
      <c r="J6" s="238">
        <f>E6*$B$20</f>
        <v>157.38067788794098</v>
      </c>
      <c r="K6" s="238">
        <f t="shared" ref="K6:N11" si="1">F6*$B$20</f>
        <v>173.1187456767351</v>
      </c>
      <c r="L6" s="238">
        <f t="shared" si="1"/>
        <v>190.43062024440863</v>
      </c>
      <c r="M6" s="238">
        <f t="shared" si="1"/>
        <v>209.47368226884947</v>
      </c>
      <c r="N6" s="238">
        <f t="shared" si="1"/>
        <v>230.42105049573445</v>
      </c>
    </row>
    <row r="7" spans="1:14" ht="14.25" thickTop="1" thickBot="1">
      <c r="A7" s="408"/>
      <c r="B7" s="2" t="s">
        <v>13</v>
      </c>
      <c r="C7" s="237">
        <v>2.452980132450331E-2</v>
      </c>
      <c r="D7" s="238">
        <v>463</v>
      </c>
      <c r="E7" s="238">
        <f t="shared" ref="E7:E11" si="2">+$D7*E$13</f>
        <v>1.2810698639612634</v>
      </c>
      <c r="F7" s="238">
        <f t="shared" si="0"/>
        <v>1.40917685035739</v>
      </c>
      <c r="G7" s="238">
        <f t="shared" si="0"/>
        <v>1.5500945353931292</v>
      </c>
      <c r="H7" s="238">
        <f t="shared" si="0"/>
        <v>1.7051039889324422</v>
      </c>
      <c r="I7" s="238">
        <f t="shared" si="0"/>
        <v>1.8756143878256866</v>
      </c>
      <c r="J7" s="238">
        <f t="shared" ref="J7:J11" si="3">E7*$B$20</f>
        <v>61.491353470140645</v>
      </c>
      <c r="K7" s="238">
        <f t="shared" si="1"/>
        <v>67.640488817154719</v>
      </c>
      <c r="L7" s="238">
        <f t="shared" si="1"/>
        <v>74.4045376988702</v>
      </c>
      <c r="M7" s="238">
        <f t="shared" si="1"/>
        <v>81.844991468757229</v>
      </c>
      <c r="N7" s="238">
        <f t="shared" si="1"/>
        <v>90.029490615632952</v>
      </c>
    </row>
    <row r="8" spans="1:14" ht="14.25" thickTop="1" thickBot="1">
      <c r="A8" s="408"/>
      <c r="B8" s="2" t="s">
        <v>14</v>
      </c>
      <c r="C8" s="237">
        <v>4.0264900662251657E-3</v>
      </c>
      <c r="D8" s="238">
        <v>76</v>
      </c>
      <c r="E8" s="238">
        <f t="shared" si="2"/>
        <v>0.21028360617938666</v>
      </c>
      <c r="F8" s="238">
        <f t="shared" si="0"/>
        <v>0.23131196679732535</v>
      </c>
      <c r="G8" s="238">
        <f t="shared" si="0"/>
        <v>0.25444316347705792</v>
      </c>
      <c r="H8" s="238">
        <f t="shared" si="0"/>
        <v>0.27988747982476375</v>
      </c>
      <c r="I8" s="238">
        <f t="shared" si="0"/>
        <v>0.30787622780724011</v>
      </c>
      <c r="J8" s="238">
        <f t="shared" si="3"/>
        <v>10.093613096610559</v>
      </c>
      <c r="K8" s="238">
        <f t="shared" si="1"/>
        <v>11.102974406271617</v>
      </c>
      <c r="L8" s="238">
        <f t="shared" si="1"/>
        <v>12.213271846898781</v>
      </c>
      <c r="M8" s="238">
        <f t="shared" si="1"/>
        <v>13.434599031588661</v>
      </c>
      <c r="N8" s="238">
        <f t="shared" si="1"/>
        <v>14.778058934747525</v>
      </c>
    </row>
    <row r="9" spans="1:14" ht="14.25" thickTop="1" thickBot="1">
      <c r="A9" s="408"/>
      <c r="B9" s="2" t="s">
        <v>15</v>
      </c>
      <c r="C9" s="237">
        <v>7.7192052980132445E-2</v>
      </c>
      <c r="D9" s="238">
        <v>1457</v>
      </c>
      <c r="E9" s="238">
        <f t="shared" si="2"/>
        <v>4.0313580816232415</v>
      </c>
      <c r="F9" s="238">
        <f t="shared" si="0"/>
        <v>4.4344938897855668</v>
      </c>
      <c r="G9" s="238">
        <f t="shared" si="0"/>
        <v>4.8779432787641239</v>
      </c>
      <c r="H9" s="238">
        <f t="shared" si="0"/>
        <v>5.3657376066405362</v>
      </c>
      <c r="I9" s="238">
        <f t="shared" si="0"/>
        <v>5.9023113673045904</v>
      </c>
      <c r="J9" s="238">
        <f t="shared" si="3"/>
        <v>193.50518791791558</v>
      </c>
      <c r="K9" s="238">
        <f t="shared" si="1"/>
        <v>212.85570670970719</v>
      </c>
      <c r="L9" s="238">
        <f t="shared" si="1"/>
        <v>234.14127738067793</v>
      </c>
      <c r="M9" s="238">
        <f t="shared" si="1"/>
        <v>257.55540511874574</v>
      </c>
      <c r="N9" s="238">
        <f t="shared" si="1"/>
        <v>283.31094563062032</v>
      </c>
    </row>
    <row r="10" spans="1:14" ht="27" thickTop="1" thickBot="1">
      <c r="A10" s="408"/>
      <c r="B10" s="2" t="s">
        <v>16</v>
      </c>
      <c r="C10" s="237">
        <v>2.0132450331125829E-3</v>
      </c>
      <c r="D10" s="238">
        <v>38</v>
      </c>
      <c r="E10" s="238">
        <f t="shared" si="2"/>
        <v>0.10514180308969333</v>
      </c>
      <c r="F10" s="238">
        <f t="shared" si="0"/>
        <v>0.11565598339866268</v>
      </c>
      <c r="G10" s="238">
        <f t="shared" si="0"/>
        <v>0.12722158173852896</v>
      </c>
      <c r="H10" s="238">
        <f t="shared" si="0"/>
        <v>0.13994373991238188</v>
      </c>
      <c r="I10" s="238">
        <f t="shared" si="0"/>
        <v>0.15393811390362006</v>
      </c>
      <c r="J10" s="238">
        <f t="shared" si="3"/>
        <v>5.0468065483052795</v>
      </c>
      <c r="K10" s="238">
        <f t="shared" si="1"/>
        <v>5.5514872031358085</v>
      </c>
      <c r="L10" s="238">
        <f t="shared" si="1"/>
        <v>6.1066359234493905</v>
      </c>
      <c r="M10" s="238">
        <f t="shared" si="1"/>
        <v>6.7172995157943305</v>
      </c>
      <c r="N10" s="238">
        <f t="shared" si="1"/>
        <v>7.3890294673737626</v>
      </c>
    </row>
    <row r="11" spans="1:14" ht="13.5" thickBot="1">
      <c r="A11" s="409"/>
      <c r="B11" s="3" t="s">
        <v>17</v>
      </c>
      <c r="C11" s="237">
        <v>5.9231788079470202E-2</v>
      </c>
      <c r="D11" s="238">
        <v>1118</v>
      </c>
      <c r="E11" s="238">
        <f t="shared" si="2"/>
        <v>3.0933825224809777</v>
      </c>
      <c r="F11" s="238">
        <f t="shared" si="0"/>
        <v>3.402720774729076</v>
      </c>
      <c r="G11" s="238">
        <f t="shared" si="0"/>
        <v>3.7429928522019837</v>
      </c>
      <c r="H11" s="238">
        <f t="shared" si="0"/>
        <v>4.117292137422182</v>
      </c>
      <c r="I11" s="238">
        <f t="shared" si="0"/>
        <v>4.5290213511644009</v>
      </c>
      <c r="J11" s="238">
        <f t="shared" si="3"/>
        <v>148.48236107908693</v>
      </c>
      <c r="K11" s="238">
        <f t="shared" si="1"/>
        <v>163.33059718699565</v>
      </c>
      <c r="L11" s="238">
        <f t="shared" si="1"/>
        <v>179.66365690569523</v>
      </c>
      <c r="M11" s="238">
        <f t="shared" si="1"/>
        <v>197.63002259626472</v>
      </c>
      <c r="N11" s="238">
        <f t="shared" si="1"/>
        <v>217.39302485589124</v>
      </c>
    </row>
    <row r="12" spans="1:14" ht="13.5" thickBot="1">
      <c r="D12" s="239">
        <f>SUM(D6:D11)</f>
        <v>4337</v>
      </c>
      <c r="E12" s="240">
        <v>12</v>
      </c>
      <c r="F12" s="240">
        <f>+E12*1.1</f>
        <v>13.200000000000001</v>
      </c>
      <c r="G12" s="240">
        <f>+F12*1.1</f>
        <v>14.520000000000003</v>
      </c>
      <c r="H12" s="240">
        <f>+G12*1.1</f>
        <v>15.972000000000005</v>
      </c>
      <c r="I12" s="241">
        <f>+H12*1.1</f>
        <v>17.569200000000006</v>
      </c>
      <c r="J12" s="242">
        <f>SUM(J6:J11)</f>
        <v>576</v>
      </c>
      <c r="K12" s="242">
        <f>SUM(K6:K11)</f>
        <v>633.60000000000014</v>
      </c>
      <c r="L12" s="242">
        <f>SUM(L6:L11)</f>
        <v>696.96000000000015</v>
      </c>
      <c r="M12" s="242">
        <f>SUM(M6:M11)</f>
        <v>766.65600000000018</v>
      </c>
      <c r="N12" s="242">
        <f>SUM(N6:N11)</f>
        <v>843.32160000000033</v>
      </c>
    </row>
    <row r="13" spans="1:14" ht="13.5" thickBot="1">
      <c r="E13" s="243">
        <f>E12/$D12</f>
        <v>2.7668895549919298E-3</v>
      </c>
      <c r="F13" s="243">
        <f>F12/$D12</f>
        <v>3.0435785104911232E-3</v>
      </c>
      <c r="G13" s="243">
        <f>G12/$D12</f>
        <v>3.3479363615402358E-3</v>
      </c>
      <c r="H13" s="243">
        <f>H12/$D12</f>
        <v>3.6827299976942597E-3</v>
      </c>
      <c r="I13" s="243">
        <f>I12/$D12</f>
        <v>4.051002997463686E-3</v>
      </c>
      <c r="J13" s="64"/>
    </row>
    <row r="14" spans="1:14" ht="15.75" customHeight="1" thickBot="1">
      <c r="F14" s="400" t="s">
        <v>153</v>
      </c>
      <c r="G14" s="400"/>
      <c r="H14" s="400"/>
      <c r="J14" s="244">
        <f>J12/52</f>
        <v>11.076923076923077</v>
      </c>
      <c r="K14" s="244">
        <f t="shared" ref="K14:N14" si="4">K12/52</f>
        <v>12.184615384615388</v>
      </c>
      <c r="L14" s="244">
        <f t="shared" si="4"/>
        <v>13.403076923076926</v>
      </c>
      <c r="M14" s="244">
        <f t="shared" si="4"/>
        <v>14.743384615384619</v>
      </c>
      <c r="N14" s="244">
        <f t="shared" si="4"/>
        <v>16.217723076923082</v>
      </c>
    </row>
    <row r="15" spans="1:14" ht="13.5" thickBot="1">
      <c r="A15" s="106" t="s">
        <v>19</v>
      </c>
      <c r="G15" s="245"/>
      <c r="H15" s="106"/>
      <c r="J15" s="148"/>
      <c r="K15" s="148"/>
      <c r="L15" s="148"/>
      <c r="M15" s="148"/>
      <c r="N15" s="148"/>
    </row>
    <row r="16" spans="1:14" ht="15.75" customHeight="1" thickBot="1">
      <c r="C16" s="246"/>
      <c r="D16" s="246"/>
      <c r="F16" s="400" t="s">
        <v>154</v>
      </c>
      <c r="G16" s="400"/>
      <c r="H16" s="400"/>
      <c r="J16" s="244">
        <f>J12/360</f>
        <v>1.6</v>
      </c>
      <c r="K16" s="244">
        <f t="shared" ref="K16:N16" si="5">K12/360</f>
        <v>1.7600000000000005</v>
      </c>
      <c r="L16" s="244">
        <f t="shared" si="5"/>
        <v>1.9360000000000004</v>
      </c>
      <c r="M16" s="244">
        <f t="shared" si="5"/>
        <v>2.1296000000000004</v>
      </c>
      <c r="N16" s="244">
        <f t="shared" si="5"/>
        <v>2.3425600000000011</v>
      </c>
    </row>
    <row r="17" spans="1:4">
      <c r="A17" s="42" t="s">
        <v>20</v>
      </c>
      <c r="B17" s="42" t="s">
        <v>21</v>
      </c>
    </row>
    <row r="18" spans="1:4">
      <c r="A18" s="42" t="s">
        <v>22</v>
      </c>
      <c r="C18" s="247"/>
      <c r="D18" s="247"/>
    </row>
    <row r="19" spans="1:4">
      <c r="A19" s="42" t="s">
        <v>246</v>
      </c>
      <c r="B19" s="248">
        <v>4</v>
      </c>
      <c r="C19" s="39"/>
      <c r="D19" s="39"/>
    </row>
    <row r="20" spans="1:4">
      <c r="A20" s="42" t="s">
        <v>247</v>
      </c>
      <c r="B20" s="248">
        <f>B19*12</f>
        <v>48</v>
      </c>
      <c r="C20" s="246"/>
      <c r="D20" s="246"/>
    </row>
    <row r="21" spans="1:4">
      <c r="C21" s="249"/>
      <c r="D21" s="249"/>
    </row>
  </sheetData>
  <mergeCells count="8">
    <mergeCell ref="C2:N2"/>
    <mergeCell ref="A3:N3"/>
    <mergeCell ref="F14:H14"/>
    <mergeCell ref="F16:H16"/>
    <mergeCell ref="J4:N4"/>
    <mergeCell ref="C4:D4"/>
    <mergeCell ref="E4:I4"/>
    <mergeCell ref="A6:A11"/>
  </mergeCells>
  <printOptions horizontalCentered="1" verticalCentered="1"/>
  <pageMargins left="2.1198031496062995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"/>
  <dimension ref="A1:O104"/>
  <sheetViews>
    <sheetView workbookViewId="0">
      <selection activeCell="G9" sqref="G9"/>
    </sheetView>
  </sheetViews>
  <sheetFormatPr baseColWidth="10" defaultRowHeight="15"/>
  <cols>
    <col min="1" max="1" width="28.140625" customWidth="1"/>
    <col min="2" max="2" width="10.42578125" bestFit="1" customWidth="1"/>
    <col min="3" max="3" width="12.5703125" bestFit="1" customWidth="1"/>
    <col min="4" max="4" width="11.42578125" bestFit="1" customWidth="1"/>
    <col min="5" max="5" width="14.7109375" bestFit="1" customWidth="1"/>
    <col min="6" max="6" width="14.140625" customWidth="1"/>
    <col min="7" max="7" width="14.5703125" bestFit="1" customWidth="1"/>
    <col min="9" max="10" width="10.42578125" bestFit="1" customWidth="1"/>
    <col min="12" max="13" width="10.42578125" style="8" bestFit="1" customWidth="1"/>
    <col min="14" max="14" width="11.140625" style="8" bestFit="1" customWidth="1"/>
    <col min="15" max="15" width="9.140625" bestFit="1" customWidth="1"/>
  </cols>
  <sheetData>
    <row r="1" spans="1:15" ht="26.25">
      <c r="A1" s="389" t="s">
        <v>271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>
      <c r="A2" s="410" t="s">
        <v>0</v>
      </c>
      <c r="B2" s="410"/>
      <c r="C2" s="410"/>
      <c r="D2" s="410"/>
      <c r="E2" s="410"/>
      <c r="G2" s="6"/>
      <c r="H2" s="7"/>
      <c r="I2" s="7"/>
    </row>
    <row r="3" spans="1:15">
      <c r="A3" s="7"/>
      <c r="B3" s="44" t="s">
        <v>23</v>
      </c>
      <c r="C3" s="44" t="s">
        <v>24</v>
      </c>
      <c r="D3" s="44" t="s">
        <v>25</v>
      </c>
      <c r="E3" s="44" t="s">
        <v>26</v>
      </c>
      <c r="G3" s="9"/>
      <c r="H3" s="10"/>
      <c r="I3" s="7"/>
    </row>
    <row r="4" spans="1:15">
      <c r="A4" s="11" t="s">
        <v>2</v>
      </c>
      <c r="B4" s="50">
        <v>300</v>
      </c>
      <c r="C4" s="50">
        <f>B4*12</f>
        <v>3600</v>
      </c>
      <c r="D4" s="50">
        <f t="shared" ref="D4:D12" si="0">+B4*0.0932</f>
        <v>27.96</v>
      </c>
      <c r="E4" s="38">
        <f t="shared" ref="E4:E12" si="1">+B4-D4</f>
        <v>272.04000000000002</v>
      </c>
      <c r="G4" s="9"/>
      <c r="H4" s="10"/>
      <c r="I4" s="7"/>
    </row>
    <row r="5" spans="1:15">
      <c r="A5" s="11" t="s">
        <v>27</v>
      </c>
      <c r="B5" s="50">
        <v>700</v>
      </c>
      <c r="C5" s="50">
        <f t="shared" ref="C5:C12" si="2">B5*12</f>
        <v>8400</v>
      </c>
      <c r="D5" s="50">
        <f t="shared" si="0"/>
        <v>65.240000000000009</v>
      </c>
      <c r="E5" s="38">
        <f t="shared" si="1"/>
        <v>634.76</v>
      </c>
      <c r="G5" s="9"/>
      <c r="H5" s="10"/>
      <c r="I5" s="7"/>
    </row>
    <row r="6" spans="1:15">
      <c r="A6" s="11" t="s">
        <v>99</v>
      </c>
      <c r="B6" s="50">
        <v>1000</v>
      </c>
      <c r="C6" s="50">
        <f t="shared" si="2"/>
        <v>12000</v>
      </c>
      <c r="D6" s="50">
        <f t="shared" si="0"/>
        <v>93.2</v>
      </c>
      <c r="E6" s="38">
        <f t="shared" si="1"/>
        <v>906.8</v>
      </c>
      <c r="G6" s="9"/>
      <c r="H6" s="10"/>
      <c r="I6" s="7"/>
    </row>
    <row r="7" spans="1:15">
      <c r="A7" s="11" t="s">
        <v>28</v>
      </c>
      <c r="B7" s="50">
        <v>500</v>
      </c>
      <c r="C7" s="50">
        <f t="shared" si="2"/>
        <v>6000</v>
      </c>
      <c r="D7" s="50">
        <f t="shared" si="0"/>
        <v>46.6</v>
      </c>
      <c r="E7" s="38">
        <f t="shared" si="1"/>
        <v>453.4</v>
      </c>
      <c r="G7" s="9"/>
      <c r="H7" s="10"/>
      <c r="I7" s="7"/>
    </row>
    <row r="8" spans="1:15">
      <c r="A8" s="11" t="s">
        <v>29</v>
      </c>
      <c r="B8" s="50">
        <v>550</v>
      </c>
      <c r="C8" s="50">
        <f t="shared" si="2"/>
        <v>6600</v>
      </c>
      <c r="D8" s="50">
        <f t="shared" si="0"/>
        <v>51.260000000000005</v>
      </c>
      <c r="E8" s="38">
        <f t="shared" si="1"/>
        <v>498.74</v>
      </c>
      <c r="G8" s="9"/>
      <c r="H8" s="10"/>
      <c r="I8" s="7"/>
    </row>
    <row r="9" spans="1:15">
      <c r="A9" s="11" t="s">
        <v>30</v>
      </c>
      <c r="B9" s="50">
        <f>450*2</f>
        <v>900</v>
      </c>
      <c r="C9" s="50">
        <f>B9*12</f>
        <v>10800</v>
      </c>
      <c r="D9" s="50">
        <f t="shared" si="0"/>
        <v>83.88000000000001</v>
      </c>
      <c r="E9" s="38">
        <f t="shared" si="1"/>
        <v>816.12</v>
      </c>
      <c r="G9" s="9"/>
      <c r="H9" s="10"/>
      <c r="I9" s="7"/>
    </row>
    <row r="10" spans="1:15" ht="26.25">
      <c r="A10" s="11" t="s">
        <v>3</v>
      </c>
      <c r="B10" s="50">
        <v>900</v>
      </c>
      <c r="C10" s="50">
        <f t="shared" si="2"/>
        <v>10800</v>
      </c>
      <c r="D10" s="50">
        <f t="shared" si="0"/>
        <v>83.88000000000001</v>
      </c>
      <c r="E10" s="38">
        <f t="shared" si="1"/>
        <v>816.12</v>
      </c>
      <c r="G10" s="9"/>
      <c r="H10" s="10"/>
      <c r="I10" s="7"/>
    </row>
    <row r="11" spans="1:15">
      <c r="A11" s="11" t="s">
        <v>31</v>
      </c>
      <c r="B11" s="51">
        <f>240</f>
        <v>240</v>
      </c>
      <c r="C11" s="50">
        <f t="shared" si="2"/>
        <v>2880</v>
      </c>
      <c r="D11" s="50">
        <f t="shared" si="0"/>
        <v>22.368000000000002</v>
      </c>
      <c r="E11" s="38">
        <f t="shared" si="1"/>
        <v>217.63200000000001</v>
      </c>
      <c r="G11" s="9"/>
      <c r="H11" s="14"/>
      <c r="I11" s="7"/>
    </row>
    <row r="12" spans="1:15">
      <c r="A12" s="11" t="s">
        <v>32</v>
      </c>
      <c r="B12" s="50">
        <f>350*2</f>
        <v>700</v>
      </c>
      <c r="C12" s="50">
        <f t="shared" si="2"/>
        <v>8400</v>
      </c>
      <c r="D12" s="50">
        <f t="shared" si="0"/>
        <v>65.240000000000009</v>
      </c>
      <c r="E12" s="38">
        <f t="shared" si="1"/>
        <v>634.76</v>
      </c>
      <c r="G12" s="9"/>
      <c r="H12" s="15"/>
    </row>
    <row r="13" spans="1:15">
      <c r="A13" s="7"/>
      <c r="B13" s="16" t="s">
        <v>33</v>
      </c>
      <c r="C13" s="17"/>
      <c r="D13" s="17"/>
      <c r="E13" s="17"/>
      <c r="H13" s="15"/>
    </row>
    <row r="14" spans="1:15" ht="15.75" customHeight="1">
      <c r="A14" s="45" t="s">
        <v>34</v>
      </c>
      <c r="B14" s="46"/>
      <c r="C14" s="47">
        <f>SUM(C4:C12)</f>
        <v>69480</v>
      </c>
      <c r="D14" s="32"/>
      <c r="E14" s="16"/>
    </row>
    <row r="15" spans="1:15">
      <c r="A15" s="18"/>
      <c r="B15" s="16"/>
      <c r="C15" s="16"/>
      <c r="D15" s="16"/>
      <c r="E15" s="16"/>
    </row>
    <row r="16" spans="1:15">
      <c r="A16" s="5" t="s">
        <v>4</v>
      </c>
    </row>
    <row r="18" spans="1:15">
      <c r="A18" s="19" t="s">
        <v>5</v>
      </c>
    </row>
    <row r="19" spans="1:15" ht="38.25">
      <c r="A19" s="20" t="s">
        <v>35</v>
      </c>
      <c r="B19" s="20" t="s">
        <v>2</v>
      </c>
      <c r="C19" s="20" t="s">
        <v>36</v>
      </c>
      <c r="D19" s="20" t="s">
        <v>100</v>
      </c>
      <c r="E19" s="20" t="s">
        <v>28</v>
      </c>
      <c r="F19" s="20" t="s">
        <v>29</v>
      </c>
      <c r="G19" s="20" t="s">
        <v>30</v>
      </c>
      <c r="H19" s="20" t="s">
        <v>37</v>
      </c>
      <c r="I19" s="21" t="s">
        <v>31</v>
      </c>
      <c r="J19" s="20" t="s">
        <v>32</v>
      </c>
      <c r="K19" s="20" t="s">
        <v>1</v>
      </c>
      <c r="L19" s="20" t="s">
        <v>38</v>
      </c>
      <c r="M19" s="20" t="s">
        <v>39</v>
      </c>
      <c r="N19" s="20" t="s">
        <v>40</v>
      </c>
      <c r="O19" s="22" t="s">
        <v>1</v>
      </c>
    </row>
    <row r="20" spans="1:15">
      <c r="A20" s="23" t="s">
        <v>41</v>
      </c>
      <c r="B20" s="12">
        <f>$B$4</f>
        <v>300</v>
      </c>
      <c r="C20" s="12">
        <f>$B$5</f>
        <v>700</v>
      </c>
      <c r="D20" s="12">
        <f>$B$6</f>
        <v>1000</v>
      </c>
      <c r="E20" s="12">
        <v>500</v>
      </c>
      <c r="F20" s="12">
        <v>550</v>
      </c>
      <c r="G20" s="12">
        <v>900</v>
      </c>
      <c r="H20" s="12">
        <f>$B$9</f>
        <v>900</v>
      </c>
      <c r="I20" s="12">
        <v>240</v>
      </c>
      <c r="J20" s="12">
        <v>700</v>
      </c>
      <c r="K20" s="12">
        <f>SUM(B20:J20)</f>
        <v>5790</v>
      </c>
      <c r="L20" s="13">
        <f>+K20*0.0932</f>
        <v>539.62800000000004</v>
      </c>
      <c r="M20" s="13">
        <f>+K20*1</f>
        <v>5790</v>
      </c>
      <c r="N20" s="13">
        <f>+K20*1</f>
        <v>5790</v>
      </c>
      <c r="O20" s="24">
        <f>+K20-L20+M20+N20</f>
        <v>16830.371999999999</v>
      </c>
    </row>
    <row r="21" spans="1:15">
      <c r="A21" s="23" t="s">
        <v>42</v>
      </c>
      <c r="B21" s="12">
        <f t="shared" ref="B21:B31" si="3">$B$4</f>
        <v>300</v>
      </c>
      <c r="C21" s="12">
        <f t="shared" ref="C21:C31" si="4">$B$5</f>
        <v>700</v>
      </c>
      <c r="D21" s="12">
        <f t="shared" ref="D21:D31" si="5">$B$6</f>
        <v>1000</v>
      </c>
      <c r="E21" s="12">
        <v>500</v>
      </c>
      <c r="F21" s="12">
        <v>550</v>
      </c>
      <c r="G21" s="12">
        <v>900</v>
      </c>
      <c r="H21" s="12">
        <f t="shared" ref="H21:H31" si="6">$B$9</f>
        <v>900</v>
      </c>
      <c r="I21" s="12">
        <v>240</v>
      </c>
      <c r="J21" s="12">
        <v>700</v>
      </c>
      <c r="K21" s="12">
        <f t="shared" ref="K21:K31" si="7">SUM(B21:J21)</f>
        <v>5790</v>
      </c>
      <c r="L21" s="13">
        <f t="shared" ref="L21:L31" si="8">+K21*0.0932</f>
        <v>539.62800000000004</v>
      </c>
      <c r="M21" s="13">
        <f t="shared" ref="M21:M31" si="9">+K21*1</f>
        <v>5790</v>
      </c>
      <c r="N21" s="13">
        <f t="shared" ref="N21:N31" si="10">+K21*1</f>
        <v>5790</v>
      </c>
      <c r="O21" s="24">
        <f t="shared" ref="O21:O31" si="11">+K21-L21+M21+N21</f>
        <v>16830.371999999999</v>
      </c>
    </row>
    <row r="22" spans="1:15">
      <c r="A22" s="23" t="s">
        <v>43</v>
      </c>
      <c r="B22" s="12">
        <f t="shared" si="3"/>
        <v>300</v>
      </c>
      <c r="C22" s="12">
        <f t="shared" si="4"/>
        <v>700</v>
      </c>
      <c r="D22" s="12">
        <f t="shared" si="5"/>
        <v>1000</v>
      </c>
      <c r="E22" s="12">
        <v>500</v>
      </c>
      <c r="F22" s="12">
        <v>550</v>
      </c>
      <c r="G22" s="12">
        <v>900</v>
      </c>
      <c r="H22" s="12">
        <f t="shared" si="6"/>
        <v>900</v>
      </c>
      <c r="I22" s="12">
        <v>240</v>
      </c>
      <c r="J22" s="12">
        <v>700</v>
      </c>
      <c r="K22" s="12">
        <f t="shared" si="7"/>
        <v>5790</v>
      </c>
      <c r="L22" s="13">
        <f t="shared" si="8"/>
        <v>539.62800000000004</v>
      </c>
      <c r="M22" s="13">
        <f t="shared" si="9"/>
        <v>5790</v>
      </c>
      <c r="N22" s="13">
        <f t="shared" si="10"/>
        <v>5790</v>
      </c>
      <c r="O22" s="24">
        <f t="shared" si="11"/>
        <v>16830.371999999999</v>
      </c>
    </row>
    <row r="23" spans="1:15">
      <c r="A23" s="23" t="s">
        <v>44</v>
      </c>
      <c r="B23" s="12">
        <f t="shared" si="3"/>
        <v>300</v>
      </c>
      <c r="C23" s="12">
        <f t="shared" si="4"/>
        <v>700</v>
      </c>
      <c r="D23" s="12">
        <f t="shared" si="5"/>
        <v>1000</v>
      </c>
      <c r="E23" s="12">
        <v>500</v>
      </c>
      <c r="F23" s="12">
        <v>550</v>
      </c>
      <c r="G23" s="12">
        <v>900</v>
      </c>
      <c r="H23" s="12">
        <f t="shared" si="6"/>
        <v>900</v>
      </c>
      <c r="I23" s="12">
        <v>240</v>
      </c>
      <c r="J23" s="12">
        <v>700</v>
      </c>
      <c r="K23" s="12">
        <f t="shared" si="7"/>
        <v>5790</v>
      </c>
      <c r="L23" s="13">
        <f t="shared" si="8"/>
        <v>539.62800000000004</v>
      </c>
      <c r="M23" s="13">
        <f t="shared" si="9"/>
        <v>5790</v>
      </c>
      <c r="N23" s="13">
        <f t="shared" si="10"/>
        <v>5790</v>
      </c>
      <c r="O23" s="24">
        <f t="shared" si="11"/>
        <v>16830.371999999999</v>
      </c>
    </row>
    <row r="24" spans="1:15">
      <c r="A24" s="23" t="s">
        <v>45</v>
      </c>
      <c r="B24" s="12">
        <f t="shared" si="3"/>
        <v>300</v>
      </c>
      <c r="C24" s="12">
        <f t="shared" si="4"/>
        <v>700</v>
      </c>
      <c r="D24" s="12">
        <f t="shared" si="5"/>
        <v>1000</v>
      </c>
      <c r="E24" s="12">
        <v>500</v>
      </c>
      <c r="F24" s="12">
        <v>550</v>
      </c>
      <c r="G24" s="12">
        <v>900</v>
      </c>
      <c r="H24" s="12">
        <f t="shared" si="6"/>
        <v>900</v>
      </c>
      <c r="I24" s="12">
        <v>240</v>
      </c>
      <c r="J24" s="12">
        <v>700</v>
      </c>
      <c r="K24" s="12">
        <f t="shared" si="7"/>
        <v>5790</v>
      </c>
      <c r="L24" s="13">
        <f t="shared" si="8"/>
        <v>539.62800000000004</v>
      </c>
      <c r="M24" s="13">
        <f t="shared" si="9"/>
        <v>5790</v>
      </c>
      <c r="N24" s="13">
        <f t="shared" si="10"/>
        <v>5790</v>
      </c>
      <c r="O24" s="24">
        <f t="shared" si="11"/>
        <v>16830.371999999999</v>
      </c>
    </row>
    <row r="25" spans="1:15">
      <c r="A25" s="23" t="s">
        <v>46</v>
      </c>
      <c r="B25" s="12">
        <f t="shared" si="3"/>
        <v>300</v>
      </c>
      <c r="C25" s="12">
        <f t="shared" si="4"/>
        <v>700</v>
      </c>
      <c r="D25" s="12">
        <f t="shared" si="5"/>
        <v>1000</v>
      </c>
      <c r="E25" s="12">
        <v>500</v>
      </c>
      <c r="F25" s="12">
        <v>550</v>
      </c>
      <c r="G25" s="12">
        <v>900</v>
      </c>
      <c r="H25" s="12">
        <f t="shared" si="6"/>
        <v>900</v>
      </c>
      <c r="I25" s="12">
        <v>240</v>
      </c>
      <c r="J25" s="12">
        <v>700</v>
      </c>
      <c r="K25" s="12">
        <f t="shared" si="7"/>
        <v>5790</v>
      </c>
      <c r="L25" s="13">
        <f t="shared" si="8"/>
        <v>539.62800000000004</v>
      </c>
      <c r="M25" s="13">
        <f t="shared" si="9"/>
        <v>5790</v>
      </c>
      <c r="N25" s="13">
        <f t="shared" si="10"/>
        <v>5790</v>
      </c>
      <c r="O25" s="24">
        <f t="shared" si="11"/>
        <v>16830.371999999999</v>
      </c>
    </row>
    <row r="26" spans="1:15">
      <c r="A26" s="23" t="s">
        <v>47</v>
      </c>
      <c r="B26" s="12">
        <f t="shared" si="3"/>
        <v>300</v>
      </c>
      <c r="C26" s="12">
        <f t="shared" si="4"/>
        <v>700</v>
      </c>
      <c r="D26" s="12">
        <f t="shared" si="5"/>
        <v>1000</v>
      </c>
      <c r="E26" s="12">
        <v>500</v>
      </c>
      <c r="F26" s="12">
        <v>550</v>
      </c>
      <c r="G26" s="12">
        <v>900</v>
      </c>
      <c r="H26" s="12">
        <f t="shared" si="6"/>
        <v>900</v>
      </c>
      <c r="I26" s="12">
        <v>240</v>
      </c>
      <c r="J26" s="12">
        <v>700</v>
      </c>
      <c r="K26" s="12">
        <f t="shared" si="7"/>
        <v>5790</v>
      </c>
      <c r="L26" s="13">
        <f t="shared" si="8"/>
        <v>539.62800000000004</v>
      </c>
      <c r="M26" s="13">
        <f t="shared" si="9"/>
        <v>5790</v>
      </c>
      <c r="N26" s="13">
        <f t="shared" si="10"/>
        <v>5790</v>
      </c>
      <c r="O26" s="24">
        <f t="shared" si="11"/>
        <v>16830.371999999999</v>
      </c>
    </row>
    <row r="27" spans="1:15">
      <c r="A27" s="23" t="s">
        <v>48</v>
      </c>
      <c r="B27" s="12">
        <f t="shared" si="3"/>
        <v>300</v>
      </c>
      <c r="C27" s="12">
        <f t="shared" si="4"/>
        <v>700</v>
      </c>
      <c r="D27" s="12">
        <f t="shared" si="5"/>
        <v>1000</v>
      </c>
      <c r="E27" s="12">
        <v>500</v>
      </c>
      <c r="F27" s="12">
        <v>550</v>
      </c>
      <c r="G27" s="12">
        <v>900</v>
      </c>
      <c r="H27" s="12">
        <f t="shared" si="6"/>
        <v>900</v>
      </c>
      <c r="I27" s="12">
        <v>240</v>
      </c>
      <c r="J27" s="12">
        <v>700</v>
      </c>
      <c r="K27" s="12">
        <f t="shared" si="7"/>
        <v>5790</v>
      </c>
      <c r="L27" s="13">
        <f t="shared" si="8"/>
        <v>539.62800000000004</v>
      </c>
      <c r="M27" s="13">
        <f t="shared" si="9"/>
        <v>5790</v>
      </c>
      <c r="N27" s="13">
        <f t="shared" si="10"/>
        <v>5790</v>
      </c>
      <c r="O27" s="24">
        <f t="shared" si="11"/>
        <v>16830.371999999999</v>
      </c>
    </row>
    <row r="28" spans="1:15">
      <c r="A28" s="23" t="s">
        <v>49</v>
      </c>
      <c r="B28" s="12">
        <f t="shared" si="3"/>
        <v>300</v>
      </c>
      <c r="C28" s="12">
        <f t="shared" si="4"/>
        <v>700</v>
      </c>
      <c r="D28" s="12">
        <f t="shared" si="5"/>
        <v>1000</v>
      </c>
      <c r="E28" s="12">
        <v>500</v>
      </c>
      <c r="F28" s="12">
        <v>550</v>
      </c>
      <c r="G28" s="12">
        <v>900</v>
      </c>
      <c r="H28" s="12">
        <f t="shared" si="6"/>
        <v>900</v>
      </c>
      <c r="I28" s="12">
        <v>240</v>
      </c>
      <c r="J28" s="12">
        <v>700</v>
      </c>
      <c r="K28" s="12">
        <f t="shared" si="7"/>
        <v>5790</v>
      </c>
      <c r="L28" s="13">
        <f t="shared" si="8"/>
        <v>539.62800000000004</v>
      </c>
      <c r="M28" s="13">
        <f t="shared" si="9"/>
        <v>5790</v>
      </c>
      <c r="N28" s="13">
        <f t="shared" si="10"/>
        <v>5790</v>
      </c>
      <c r="O28" s="24">
        <f t="shared" si="11"/>
        <v>16830.371999999999</v>
      </c>
    </row>
    <row r="29" spans="1:15">
      <c r="A29" s="23" t="s">
        <v>50</v>
      </c>
      <c r="B29" s="12">
        <f t="shared" si="3"/>
        <v>300</v>
      </c>
      <c r="C29" s="12">
        <f t="shared" si="4"/>
        <v>700</v>
      </c>
      <c r="D29" s="12">
        <f t="shared" si="5"/>
        <v>1000</v>
      </c>
      <c r="E29" s="12">
        <v>500</v>
      </c>
      <c r="F29" s="12">
        <v>550</v>
      </c>
      <c r="G29" s="12">
        <v>900</v>
      </c>
      <c r="H29" s="12">
        <f t="shared" si="6"/>
        <v>900</v>
      </c>
      <c r="I29" s="12">
        <v>240</v>
      </c>
      <c r="J29" s="12">
        <v>700</v>
      </c>
      <c r="K29" s="12">
        <f t="shared" si="7"/>
        <v>5790</v>
      </c>
      <c r="L29" s="13">
        <f t="shared" si="8"/>
        <v>539.62800000000004</v>
      </c>
      <c r="M29" s="13">
        <f t="shared" si="9"/>
        <v>5790</v>
      </c>
      <c r="N29" s="13">
        <f t="shared" si="10"/>
        <v>5790</v>
      </c>
      <c r="O29" s="24">
        <f t="shared" si="11"/>
        <v>16830.371999999999</v>
      </c>
    </row>
    <row r="30" spans="1:15">
      <c r="A30" s="23" t="s">
        <v>51</v>
      </c>
      <c r="B30" s="12">
        <f t="shared" si="3"/>
        <v>300</v>
      </c>
      <c r="C30" s="12">
        <f t="shared" si="4"/>
        <v>700</v>
      </c>
      <c r="D30" s="12">
        <f t="shared" si="5"/>
        <v>1000</v>
      </c>
      <c r="E30" s="12">
        <v>500</v>
      </c>
      <c r="F30" s="12">
        <v>550</v>
      </c>
      <c r="G30" s="12">
        <v>900</v>
      </c>
      <c r="H30" s="12">
        <f t="shared" si="6"/>
        <v>900</v>
      </c>
      <c r="I30" s="12">
        <v>240</v>
      </c>
      <c r="J30" s="12">
        <v>700</v>
      </c>
      <c r="K30" s="12">
        <f t="shared" si="7"/>
        <v>5790</v>
      </c>
      <c r="L30" s="13">
        <f t="shared" si="8"/>
        <v>539.62800000000004</v>
      </c>
      <c r="M30" s="13">
        <f t="shared" si="9"/>
        <v>5790</v>
      </c>
      <c r="N30" s="13">
        <f t="shared" si="10"/>
        <v>5790</v>
      </c>
      <c r="O30" s="24">
        <f t="shared" si="11"/>
        <v>16830.371999999999</v>
      </c>
    </row>
    <row r="31" spans="1:15">
      <c r="A31" s="23" t="s">
        <v>52</v>
      </c>
      <c r="B31" s="12">
        <f t="shared" si="3"/>
        <v>300</v>
      </c>
      <c r="C31" s="12">
        <f t="shared" si="4"/>
        <v>700</v>
      </c>
      <c r="D31" s="12">
        <f t="shared" si="5"/>
        <v>1000</v>
      </c>
      <c r="E31" s="12">
        <v>500</v>
      </c>
      <c r="F31" s="12">
        <v>550</v>
      </c>
      <c r="G31" s="12">
        <v>900</v>
      </c>
      <c r="H31" s="12">
        <f t="shared" si="6"/>
        <v>900</v>
      </c>
      <c r="I31" s="12">
        <v>240</v>
      </c>
      <c r="J31" s="12">
        <v>700</v>
      </c>
      <c r="K31" s="12">
        <f t="shared" si="7"/>
        <v>5790</v>
      </c>
      <c r="L31" s="13">
        <f t="shared" si="8"/>
        <v>539.62800000000004</v>
      </c>
      <c r="M31" s="13">
        <f t="shared" si="9"/>
        <v>5790</v>
      </c>
      <c r="N31" s="13">
        <f t="shared" si="10"/>
        <v>5790</v>
      </c>
      <c r="O31" s="24">
        <f t="shared" si="11"/>
        <v>16830.371999999999</v>
      </c>
    </row>
    <row r="32" spans="1:15">
      <c r="A32" s="25" t="s">
        <v>53</v>
      </c>
      <c r="B32" s="26">
        <f t="shared" ref="B32:J32" si="12">SUM(B20:B31)</f>
        <v>3600</v>
      </c>
      <c r="C32" s="26">
        <f t="shared" si="12"/>
        <v>8400</v>
      </c>
      <c r="D32" s="26">
        <f>SUM(D20:D31)</f>
        <v>12000</v>
      </c>
      <c r="E32" s="26">
        <f t="shared" si="12"/>
        <v>6000</v>
      </c>
      <c r="F32" s="26">
        <f t="shared" si="12"/>
        <v>6600</v>
      </c>
      <c r="G32" s="26">
        <f t="shared" si="12"/>
        <v>10800</v>
      </c>
      <c r="H32" s="26">
        <f t="shared" si="12"/>
        <v>10800</v>
      </c>
      <c r="I32" s="26">
        <f t="shared" si="12"/>
        <v>2880</v>
      </c>
      <c r="J32" s="26">
        <f t="shared" si="12"/>
        <v>8400</v>
      </c>
      <c r="K32" s="26">
        <f>SUM(B32:J32)</f>
        <v>69480</v>
      </c>
      <c r="L32" s="26">
        <f>+K32*0.0932</f>
        <v>6475.5360000000001</v>
      </c>
      <c r="M32" s="26">
        <f>+M20</f>
        <v>5790</v>
      </c>
      <c r="N32" s="26">
        <f>+N20</f>
        <v>5790</v>
      </c>
      <c r="O32" s="27">
        <f>+K32-L32+M32+N32</f>
        <v>74584.464000000007</v>
      </c>
    </row>
    <row r="34" spans="1:15">
      <c r="A34" s="19" t="s">
        <v>6</v>
      </c>
    </row>
    <row r="35" spans="1:15" ht="38.25">
      <c r="A35" s="20" t="s">
        <v>35</v>
      </c>
      <c r="B35" s="20" t="s">
        <v>2</v>
      </c>
      <c r="C35" s="20" t="s">
        <v>36</v>
      </c>
      <c r="D35" s="20" t="s">
        <v>100</v>
      </c>
      <c r="E35" s="20" t="s">
        <v>28</v>
      </c>
      <c r="F35" s="20" t="s">
        <v>29</v>
      </c>
      <c r="G35" s="20" t="s">
        <v>30</v>
      </c>
      <c r="H35" s="20" t="s">
        <v>37</v>
      </c>
      <c r="I35" s="21" t="s">
        <v>31</v>
      </c>
      <c r="J35" s="20" t="s">
        <v>32</v>
      </c>
      <c r="K35" s="20" t="s">
        <v>54</v>
      </c>
      <c r="L35" s="20" t="s">
        <v>38</v>
      </c>
      <c r="M35" s="20" t="s">
        <v>39</v>
      </c>
      <c r="N35" s="20" t="s">
        <v>40</v>
      </c>
      <c r="O35" s="22" t="s">
        <v>1</v>
      </c>
    </row>
    <row r="36" spans="1:15">
      <c r="A36" s="23" t="s">
        <v>41</v>
      </c>
      <c r="B36" s="12">
        <f>$B$4</f>
        <v>300</v>
      </c>
      <c r="C36" s="12">
        <f>$B$5</f>
        <v>700</v>
      </c>
      <c r="D36" s="12">
        <f>$B$6</f>
        <v>1000</v>
      </c>
      <c r="E36" s="12">
        <v>500</v>
      </c>
      <c r="F36" s="12">
        <v>550</v>
      </c>
      <c r="G36" s="12">
        <v>900</v>
      </c>
      <c r="H36" s="12">
        <f>$B$9</f>
        <v>900</v>
      </c>
      <c r="I36" s="12">
        <v>240</v>
      </c>
      <c r="J36" s="12">
        <v>700</v>
      </c>
      <c r="K36" s="12">
        <f>SUM(B36:J36)</f>
        <v>5790</v>
      </c>
      <c r="L36" s="13">
        <f>+K36*0.0932</f>
        <v>539.62800000000004</v>
      </c>
      <c r="M36" s="13">
        <f>+K36*1</f>
        <v>5790</v>
      </c>
      <c r="N36" s="13">
        <f>+K36*1</f>
        <v>5790</v>
      </c>
      <c r="O36" s="24">
        <f>+K36-L36+M36+N36</f>
        <v>16830.371999999999</v>
      </c>
    </row>
    <row r="37" spans="1:15">
      <c r="A37" s="23" t="s">
        <v>42</v>
      </c>
      <c r="B37" s="12">
        <f t="shared" ref="B37:B47" si="13">$B$4</f>
        <v>300</v>
      </c>
      <c r="C37" s="12">
        <f t="shared" ref="C37:C47" si="14">$B$5</f>
        <v>700</v>
      </c>
      <c r="D37" s="12">
        <f t="shared" ref="D37:D47" si="15">$B$6</f>
        <v>1000</v>
      </c>
      <c r="E37" s="12">
        <v>500</v>
      </c>
      <c r="F37" s="12">
        <v>550</v>
      </c>
      <c r="G37" s="12">
        <v>900</v>
      </c>
      <c r="H37" s="12">
        <f t="shared" ref="H37:H47" si="16">$B$9</f>
        <v>900</v>
      </c>
      <c r="I37" s="12">
        <v>240</v>
      </c>
      <c r="J37" s="12">
        <v>700</v>
      </c>
      <c r="K37" s="12">
        <f t="shared" ref="K37:K47" si="17">SUM(B37:J37)</f>
        <v>5790</v>
      </c>
      <c r="L37" s="13">
        <f t="shared" ref="L37:L47" si="18">+K37*0.0932</f>
        <v>539.62800000000004</v>
      </c>
      <c r="M37" s="13">
        <f t="shared" ref="M37:M47" si="19">+K37*1</f>
        <v>5790</v>
      </c>
      <c r="N37" s="13">
        <f t="shared" ref="N37:N47" si="20">+K37*1</f>
        <v>5790</v>
      </c>
      <c r="O37" s="24">
        <f t="shared" ref="O37:O47" si="21">+K37-L37+M37+N37</f>
        <v>16830.371999999999</v>
      </c>
    </row>
    <row r="38" spans="1:15">
      <c r="A38" s="23" t="s">
        <v>43</v>
      </c>
      <c r="B38" s="12">
        <f t="shared" si="13"/>
        <v>300</v>
      </c>
      <c r="C38" s="12">
        <f t="shared" si="14"/>
        <v>700</v>
      </c>
      <c r="D38" s="12">
        <f t="shared" si="15"/>
        <v>1000</v>
      </c>
      <c r="E38" s="12">
        <v>500</v>
      </c>
      <c r="F38" s="12">
        <v>550</v>
      </c>
      <c r="G38" s="12">
        <v>900</v>
      </c>
      <c r="H38" s="12">
        <f t="shared" si="16"/>
        <v>900</v>
      </c>
      <c r="I38" s="12">
        <v>240</v>
      </c>
      <c r="J38" s="12">
        <v>700</v>
      </c>
      <c r="K38" s="12">
        <f t="shared" si="17"/>
        <v>5790</v>
      </c>
      <c r="L38" s="13">
        <f t="shared" si="18"/>
        <v>539.62800000000004</v>
      </c>
      <c r="M38" s="13">
        <f t="shared" si="19"/>
        <v>5790</v>
      </c>
      <c r="N38" s="13">
        <f t="shared" si="20"/>
        <v>5790</v>
      </c>
      <c r="O38" s="24">
        <f t="shared" si="21"/>
        <v>16830.371999999999</v>
      </c>
    </row>
    <row r="39" spans="1:15">
      <c r="A39" s="23" t="s">
        <v>44</v>
      </c>
      <c r="B39" s="12">
        <f t="shared" si="13"/>
        <v>300</v>
      </c>
      <c r="C39" s="12">
        <f t="shared" si="14"/>
        <v>700</v>
      </c>
      <c r="D39" s="12">
        <f t="shared" si="15"/>
        <v>1000</v>
      </c>
      <c r="E39" s="12">
        <v>500</v>
      </c>
      <c r="F39" s="12">
        <v>550</v>
      </c>
      <c r="G39" s="12">
        <v>900</v>
      </c>
      <c r="H39" s="12">
        <f t="shared" si="16"/>
        <v>900</v>
      </c>
      <c r="I39" s="12">
        <v>240</v>
      </c>
      <c r="J39" s="12">
        <v>700</v>
      </c>
      <c r="K39" s="12">
        <f t="shared" si="17"/>
        <v>5790</v>
      </c>
      <c r="L39" s="13">
        <f t="shared" si="18"/>
        <v>539.62800000000004</v>
      </c>
      <c r="M39" s="13">
        <f t="shared" si="19"/>
        <v>5790</v>
      </c>
      <c r="N39" s="13">
        <f t="shared" si="20"/>
        <v>5790</v>
      </c>
      <c r="O39" s="24">
        <f t="shared" si="21"/>
        <v>16830.371999999999</v>
      </c>
    </row>
    <row r="40" spans="1:15">
      <c r="A40" s="23" t="s">
        <v>45</v>
      </c>
      <c r="B40" s="12">
        <f t="shared" si="13"/>
        <v>300</v>
      </c>
      <c r="C40" s="12">
        <f t="shared" si="14"/>
        <v>700</v>
      </c>
      <c r="D40" s="12">
        <f t="shared" si="15"/>
        <v>1000</v>
      </c>
      <c r="E40" s="12">
        <v>500</v>
      </c>
      <c r="F40" s="12">
        <v>550</v>
      </c>
      <c r="G40" s="12">
        <v>900</v>
      </c>
      <c r="H40" s="12">
        <f t="shared" si="16"/>
        <v>900</v>
      </c>
      <c r="I40" s="12">
        <v>240</v>
      </c>
      <c r="J40" s="12">
        <v>700</v>
      </c>
      <c r="K40" s="12">
        <f t="shared" si="17"/>
        <v>5790</v>
      </c>
      <c r="L40" s="13">
        <f t="shared" si="18"/>
        <v>539.62800000000004</v>
      </c>
      <c r="M40" s="13">
        <f t="shared" si="19"/>
        <v>5790</v>
      </c>
      <c r="N40" s="13">
        <f t="shared" si="20"/>
        <v>5790</v>
      </c>
      <c r="O40" s="24">
        <f t="shared" si="21"/>
        <v>16830.371999999999</v>
      </c>
    </row>
    <row r="41" spans="1:15">
      <c r="A41" s="23" t="s">
        <v>46</v>
      </c>
      <c r="B41" s="12">
        <f t="shared" si="13"/>
        <v>300</v>
      </c>
      <c r="C41" s="12">
        <f t="shared" si="14"/>
        <v>700</v>
      </c>
      <c r="D41" s="12">
        <f t="shared" si="15"/>
        <v>1000</v>
      </c>
      <c r="E41" s="12">
        <v>500</v>
      </c>
      <c r="F41" s="12">
        <v>550</v>
      </c>
      <c r="G41" s="12">
        <v>900</v>
      </c>
      <c r="H41" s="12">
        <f t="shared" si="16"/>
        <v>900</v>
      </c>
      <c r="I41" s="12">
        <v>240</v>
      </c>
      <c r="J41" s="12">
        <v>700</v>
      </c>
      <c r="K41" s="12">
        <f t="shared" si="17"/>
        <v>5790</v>
      </c>
      <c r="L41" s="13">
        <f t="shared" si="18"/>
        <v>539.62800000000004</v>
      </c>
      <c r="M41" s="13">
        <f t="shared" si="19"/>
        <v>5790</v>
      </c>
      <c r="N41" s="13">
        <f t="shared" si="20"/>
        <v>5790</v>
      </c>
      <c r="O41" s="24">
        <f t="shared" si="21"/>
        <v>16830.371999999999</v>
      </c>
    </row>
    <row r="42" spans="1:15">
      <c r="A42" s="23" t="s">
        <v>47</v>
      </c>
      <c r="B42" s="12">
        <f t="shared" si="13"/>
        <v>300</v>
      </c>
      <c r="C42" s="12">
        <f t="shared" si="14"/>
        <v>700</v>
      </c>
      <c r="D42" s="12">
        <f t="shared" si="15"/>
        <v>1000</v>
      </c>
      <c r="E42" s="12">
        <v>500</v>
      </c>
      <c r="F42" s="12">
        <v>550</v>
      </c>
      <c r="G42" s="12">
        <v>900</v>
      </c>
      <c r="H42" s="12">
        <f t="shared" si="16"/>
        <v>900</v>
      </c>
      <c r="I42" s="12">
        <v>240</v>
      </c>
      <c r="J42" s="12">
        <v>700</v>
      </c>
      <c r="K42" s="12">
        <f t="shared" si="17"/>
        <v>5790</v>
      </c>
      <c r="L42" s="13">
        <f t="shared" si="18"/>
        <v>539.62800000000004</v>
      </c>
      <c r="M42" s="13">
        <f t="shared" si="19"/>
        <v>5790</v>
      </c>
      <c r="N42" s="13">
        <f t="shared" si="20"/>
        <v>5790</v>
      </c>
      <c r="O42" s="24">
        <f t="shared" si="21"/>
        <v>16830.371999999999</v>
      </c>
    </row>
    <row r="43" spans="1:15">
      <c r="A43" s="23" t="s">
        <v>48</v>
      </c>
      <c r="B43" s="12">
        <f t="shared" si="13"/>
        <v>300</v>
      </c>
      <c r="C43" s="12">
        <f t="shared" si="14"/>
        <v>700</v>
      </c>
      <c r="D43" s="12">
        <f t="shared" si="15"/>
        <v>1000</v>
      </c>
      <c r="E43" s="12">
        <v>500</v>
      </c>
      <c r="F43" s="12">
        <v>550</v>
      </c>
      <c r="G43" s="12">
        <v>900</v>
      </c>
      <c r="H43" s="12">
        <f t="shared" si="16"/>
        <v>900</v>
      </c>
      <c r="I43" s="12">
        <v>240</v>
      </c>
      <c r="J43" s="12">
        <v>700</v>
      </c>
      <c r="K43" s="12">
        <f t="shared" si="17"/>
        <v>5790</v>
      </c>
      <c r="L43" s="13">
        <f t="shared" si="18"/>
        <v>539.62800000000004</v>
      </c>
      <c r="M43" s="13">
        <f t="shared" si="19"/>
        <v>5790</v>
      </c>
      <c r="N43" s="13">
        <f t="shared" si="20"/>
        <v>5790</v>
      </c>
      <c r="O43" s="24">
        <f t="shared" si="21"/>
        <v>16830.371999999999</v>
      </c>
    </row>
    <row r="44" spans="1:15">
      <c r="A44" s="23" t="s">
        <v>49</v>
      </c>
      <c r="B44" s="12">
        <f t="shared" si="13"/>
        <v>300</v>
      </c>
      <c r="C44" s="12">
        <f t="shared" si="14"/>
        <v>700</v>
      </c>
      <c r="D44" s="12">
        <f t="shared" si="15"/>
        <v>1000</v>
      </c>
      <c r="E44" s="12">
        <v>500</v>
      </c>
      <c r="F44" s="12">
        <v>550</v>
      </c>
      <c r="G44" s="12">
        <v>900</v>
      </c>
      <c r="H44" s="12">
        <f t="shared" si="16"/>
        <v>900</v>
      </c>
      <c r="I44" s="12">
        <v>240</v>
      </c>
      <c r="J44" s="12">
        <v>700</v>
      </c>
      <c r="K44" s="12">
        <f t="shared" si="17"/>
        <v>5790</v>
      </c>
      <c r="L44" s="13">
        <f t="shared" si="18"/>
        <v>539.62800000000004</v>
      </c>
      <c r="M44" s="13">
        <f t="shared" si="19"/>
        <v>5790</v>
      </c>
      <c r="N44" s="13">
        <f t="shared" si="20"/>
        <v>5790</v>
      </c>
      <c r="O44" s="24">
        <f t="shared" si="21"/>
        <v>16830.371999999999</v>
      </c>
    </row>
    <row r="45" spans="1:15">
      <c r="A45" s="23" t="s">
        <v>50</v>
      </c>
      <c r="B45" s="12">
        <f t="shared" si="13"/>
        <v>300</v>
      </c>
      <c r="C45" s="12">
        <f t="shared" si="14"/>
        <v>700</v>
      </c>
      <c r="D45" s="12">
        <f t="shared" si="15"/>
        <v>1000</v>
      </c>
      <c r="E45" s="12">
        <v>500</v>
      </c>
      <c r="F45" s="12">
        <v>550</v>
      </c>
      <c r="G45" s="12">
        <v>900</v>
      </c>
      <c r="H45" s="12">
        <f t="shared" si="16"/>
        <v>900</v>
      </c>
      <c r="I45" s="12">
        <v>240</v>
      </c>
      <c r="J45" s="12">
        <v>700</v>
      </c>
      <c r="K45" s="12">
        <f t="shared" si="17"/>
        <v>5790</v>
      </c>
      <c r="L45" s="13">
        <f t="shared" si="18"/>
        <v>539.62800000000004</v>
      </c>
      <c r="M45" s="13">
        <f t="shared" si="19"/>
        <v>5790</v>
      </c>
      <c r="N45" s="13">
        <f t="shared" si="20"/>
        <v>5790</v>
      </c>
      <c r="O45" s="24">
        <f t="shared" si="21"/>
        <v>16830.371999999999</v>
      </c>
    </row>
    <row r="46" spans="1:15">
      <c r="A46" s="23" t="s">
        <v>51</v>
      </c>
      <c r="B46" s="12">
        <f t="shared" si="13"/>
        <v>300</v>
      </c>
      <c r="C46" s="12">
        <f t="shared" si="14"/>
        <v>700</v>
      </c>
      <c r="D46" s="12">
        <f t="shared" si="15"/>
        <v>1000</v>
      </c>
      <c r="E46" s="12">
        <v>500</v>
      </c>
      <c r="F46" s="12">
        <v>550</v>
      </c>
      <c r="G46" s="12">
        <v>900</v>
      </c>
      <c r="H46" s="12">
        <f t="shared" si="16"/>
        <v>900</v>
      </c>
      <c r="I46" s="12">
        <v>240</v>
      </c>
      <c r="J46" s="12">
        <v>700</v>
      </c>
      <c r="K46" s="12">
        <f t="shared" si="17"/>
        <v>5790</v>
      </c>
      <c r="L46" s="13">
        <f t="shared" si="18"/>
        <v>539.62800000000004</v>
      </c>
      <c r="M46" s="13">
        <f t="shared" si="19"/>
        <v>5790</v>
      </c>
      <c r="N46" s="13">
        <f t="shared" si="20"/>
        <v>5790</v>
      </c>
      <c r="O46" s="24">
        <f t="shared" si="21"/>
        <v>16830.371999999999</v>
      </c>
    </row>
    <row r="47" spans="1:15">
      <c r="A47" s="23" t="s">
        <v>52</v>
      </c>
      <c r="B47" s="12">
        <f t="shared" si="13"/>
        <v>300</v>
      </c>
      <c r="C47" s="12">
        <f t="shared" si="14"/>
        <v>700</v>
      </c>
      <c r="D47" s="12">
        <f t="shared" si="15"/>
        <v>1000</v>
      </c>
      <c r="E47" s="12">
        <v>500</v>
      </c>
      <c r="F47" s="12">
        <v>550</v>
      </c>
      <c r="G47" s="12">
        <v>900</v>
      </c>
      <c r="H47" s="12">
        <f t="shared" si="16"/>
        <v>900</v>
      </c>
      <c r="I47" s="12">
        <v>240</v>
      </c>
      <c r="J47" s="12">
        <v>700</v>
      </c>
      <c r="K47" s="12">
        <f t="shared" si="17"/>
        <v>5790</v>
      </c>
      <c r="L47" s="13">
        <f t="shared" si="18"/>
        <v>539.62800000000004</v>
      </c>
      <c r="M47" s="13">
        <f t="shared" si="19"/>
        <v>5790</v>
      </c>
      <c r="N47" s="13">
        <f t="shared" si="20"/>
        <v>5790</v>
      </c>
      <c r="O47" s="24">
        <f t="shared" si="21"/>
        <v>16830.371999999999</v>
      </c>
    </row>
    <row r="48" spans="1:15">
      <c r="A48" s="25" t="s">
        <v>53</v>
      </c>
      <c r="B48" s="26">
        <f t="shared" ref="B48:J48" si="22">SUM(B36:B47)</f>
        <v>3600</v>
      </c>
      <c r="C48" s="26">
        <f t="shared" si="22"/>
        <v>8400</v>
      </c>
      <c r="D48" s="26">
        <f>SUM(D36:D47)</f>
        <v>12000</v>
      </c>
      <c r="E48" s="26">
        <f t="shared" si="22"/>
        <v>6000</v>
      </c>
      <c r="F48" s="26">
        <f t="shared" si="22"/>
        <v>6600</v>
      </c>
      <c r="G48" s="26">
        <f t="shared" si="22"/>
        <v>10800</v>
      </c>
      <c r="H48" s="26">
        <f t="shared" si="22"/>
        <v>10800</v>
      </c>
      <c r="I48" s="26">
        <f t="shared" si="22"/>
        <v>2880</v>
      </c>
      <c r="J48" s="26">
        <f t="shared" si="22"/>
        <v>8400</v>
      </c>
      <c r="K48" s="26">
        <f>SUM(B48:J48)</f>
        <v>69480</v>
      </c>
      <c r="L48" s="26">
        <f>+K48*0.0932</f>
        <v>6475.5360000000001</v>
      </c>
      <c r="M48" s="26">
        <f>+M36</f>
        <v>5790</v>
      </c>
      <c r="N48" s="26">
        <f>+N36</f>
        <v>5790</v>
      </c>
      <c r="O48" s="27">
        <f>+K48-L48+M48+N48</f>
        <v>74584.464000000007</v>
      </c>
    </row>
    <row r="50" spans="1:15">
      <c r="A50" s="19" t="s">
        <v>7</v>
      </c>
    </row>
    <row r="51" spans="1:15" ht="38.25">
      <c r="A51" s="20" t="s">
        <v>35</v>
      </c>
      <c r="B51" s="20" t="s">
        <v>2</v>
      </c>
      <c r="C51" s="20" t="s">
        <v>36</v>
      </c>
      <c r="D51" s="20" t="s">
        <v>100</v>
      </c>
      <c r="E51" s="20" t="s">
        <v>28</v>
      </c>
      <c r="F51" s="20" t="s">
        <v>29</v>
      </c>
      <c r="G51" s="20" t="s">
        <v>30</v>
      </c>
      <c r="H51" s="20" t="s">
        <v>37</v>
      </c>
      <c r="I51" s="21" t="s">
        <v>31</v>
      </c>
      <c r="J51" s="20" t="s">
        <v>32</v>
      </c>
      <c r="K51" s="20" t="s">
        <v>1</v>
      </c>
      <c r="L51" s="20" t="s">
        <v>38</v>
      </c>
      <c r="M51" s="20" t="s">
        <v>39</v>
      </c>
      <c r="N51" s="20" t="s">
        <v>40</v>
      </c>
      <c r="O51" s="22" t="s">
        <v>1</v>
      </c>
    </row>
    <row r="52" spans="1:15">
      <c r="A52" s="23" t="s">
        <v>41</v>
      </c>
      <c r="B52" s="12">
        <f>$B$4</f>
        <v>300</v>
      </c>
      <c r="C52" s="12">
        <f>$B$5</f>
        <v>700</v>
      </c>
      <c r="D52" s="12">
        <f>$B$6</f>
        <v>1000</v>
      </c>
      <c r="E52" s="12">
        <v>500</v>
      </c>
      <c r="F52" s="12">
        <v>550</v>
      </c>
      <c r="G52" s="12">
        <v>900</v>
      </c>
      <c r="H52" s="12">
        <f>$B$9</f>
        <v>900</v>
      </c>
      <c r="I52" s="12">
        <v>240</v>
      </c>
      <c r="J52" s="12">
        <v>700</v>
      </c>
      <c r="K52" s="12">
        <f>SUM(B52:J52)</f>
        <v>5790</v>
      </c>
      <c r="L52" s="13">
        <f>+K52*0.0932</f>
        <v>539.62800000000004</v>
      </c>
      <c r="M52" s="13">
        <f>+K52*1</f>
        <v>5790</v>
      </c>
      <c r="N52" s="13">
        <f>+K52*1</f>
        <v>5790</v>
      </c>
      <c r="O52" s="24">
        <f>+K52-L52+M52+N52</f>
        <v>16830.371999999999</v>
      </c>
    </row>
    <row r="53" spans="1:15">
      <c r="A53" s="23" t="s">
        <v>42</v>
      </c>
      <c r="B53" s="12">
        <f t="shared" ref="B53:B63" si="23">$B$4</f>
        <v>300</v>
      </c>
      <c r="C53" s="12">
        <f t="shared" ref="C53:C63" si="24">$B$5</f>
        <v>700</v>
      </c>
      <c r="D53" s="12">
        <f t="shared" ref="D53:D63" si="25">$B$6</f>
        <v>1000</v>
      </c>
      <c r="E53" s="12">
        <v>500</v>
      </c>
      <c r="F53" s="12">
        <v>550</v>
      </c>
      <c r="G53" s="12">
        <v>900</v>
      </c>
      <c r="H53" s="12">
        <f t="shared" ref="H53:H63" si="26">$B$9</f>
        <v>900</v>
      </c>
      <c r="I53" s="12">
        <v>240</v>
      </c>
      <c r="J53" s="12">
        <v>700</v>
      </c>
      <c r="K53" s="12">
        <f t="shared" ref="K53:K63" si="27">SUM(B53:J53)</f>
        <v>5790</v>
      </c>
      <c r="L53" s="13">
        <f t="shared" ref="L53:L63" si="28">+K53*0.0932</f>
        <v>539.62800000000004</v>
      </c>
      <c r="M53" s="13">
        <f t="shared" ref="M53:M63" si="29">+K53*1</f>
        <v>5790</v>
      </c>
      <c r="N53" s="13">
        <f t="shared" ref="N53:N63" si="30">+K53*1</f>
        <v>5790</v>
      </c>
      <c r="O53" s="24">
        <f t="shared" ref="O53:O63" si="31">+K53-L53+M53+N53</f>
        <v>16830.371999999999</v>
      </c>
    </row>
    <row r="54" spans="1:15">
      <c r="A54" s="23" t="s">
        <v>43</v>
      </c>
      <c r="B54" s="12">
        <f t="shared" si="23"/>
        <v>300</v>
      </c>
      <c r="C54" s="12">
        <f t="shared" si="24"/>
        <v>700</v>
      </c>
      <c r="D54" s="12">
        <f t="shared" si="25"/>
        <v>1000</v>
      </c>
      <c r="E54" s="12">
        <v>500</v>
      </c>
      <c r="F54" s="12">
        <v>550</v>
      </c>
      <c r="G54" s="12">
        <v>900</v>
      </c>
      <c r="H54" s="12">
        <f t="shared" si="26"/>
        <v>900</v>
      </c>
      <c r="I54" s="12">
        <v>240</v>
      </c>
      <c r="J54" s="12">
        <v>700</v>
      </c>
      <c r="K54" s="12">
        <f t="shared" si="27"/>
        <v>5790</v>
      </c>
      <c r="L54" s="13">
        <f t="shared" si="28"/>
        <v>539.62800000000004</v>
      </c>
      <c r="M54" s="13">
        <f t="shared" si="29"/>
        <v>5790</v>
      </c>
      <c r="N54" s="13">
        <f t="shared" si="30"/>
        <v>5790</v>
      </c>
      <c r="O54" s="24">
        <f t="shared" si="31"/>
        <v>16830.371999999999</v>
      </c>
    </row>
    <row r="55" spans="1:15">
      <c r="A55" s="23" t="s">
        <v>44</v>
      </c>
      <c r="B55" s="12">
        <f t="shared" si="23"/>
        <v>300</v>
      </c>
      <c r="C55" s="12">
        <f t="shared" si="24"/>
        <v>700</v>
      </c>
      <c r="D55" s="12">
        <f t="shared" si="25"/>
        <v>1000</v>
      </c>
      <c r="E55" s="12">
        <v>500</v>
      </c>
      <c r="F55" s="12">
        <v>550</v>
      </c>
      <c r="G55" s="12">
        <v>900</v>
      </c>
      <c r="H55" s="12">
        <f t="shared" si="26"/>
        <v>900</v>
      </c>
      <c r="I55" s="12">
        <v>240</v>
      </c>
      <c r="J55" s="12">
        <v>700</v>
      </c>
      <c r="K55" s="12">
        <f t="shared" si="27"/>
        <v>5790</v>
      </c>
      <c r="L55" s="13">
        <f t="shared" si="28"/>
        <v>539.62800000000004</v>
      </c>
      <c r="M55" s="13">
        <f t="shared" si="29"/>
        <v>5790</v>
      </c>
      <c r="N55" s="13">
        <f t="shared" si="30"/>
        <v>5790</v>
      </c>
      <c r="O55" s="24">
        <f t="shared" si="31"/>
        <v>16830.371999999999</v>
      </c>
    </row>
    <row r="56" spans="1:15">
      <c r="A56" s="23" t="s">
        <v>45</v>
      </c>
      <c r="B56" s="12">
        <f t="shared" si="23"/>
        <v>300</v>
      </c>
      <c r="C56" s="12">
        <f t="shared" si="24"/>
        <v>700</v>
      </c>
      <c r="D56" s="12">
        <f t="shared" si="25"/>
        <v>1000</v>
      </c>
      <c r="E56" s="12">
        <v>500</v>
      </c>
      <c r="F56" s="12">
        <v>550</v>
      </c>
      <c r="G56" s="12">
        <v>900</v>
      </c>
      <c r="H56" s="12">
        <f t="shared" si="26"/>
        <v>900</v>
      </c>
      <c r="I56" s="12">
        <v>240</v>
      </c>
      <c r="J56" s="12">
        <v>700</v>
      </c>
      <c r="K56" s="12">
        <f t="shared" si="27"/>
        <v>5790</v>
      </c>
      <c r="L56" s="13">
        <f t="shared" si="28"/>
        <v>539.62800000000004</v>
      </c>
      <c r="M56" s="13">
        <f t="shared" si="29"/>
        <v>5790</v>
      </c>
      <c r="N56" s="13">
        <f t="shared" si="30"/>
        <v>5790</v>
      </c>
      <c r="O56" s="24">
        <f t="shared" si="31"/>
        <v>16830.371999999999</v>
      </c>
    </row>
    <row r="57" spans="1:15">
      <c r="A57" s="23" t="s">
        <v>46</v>
      </c>
      <c r="B57" s="12">
        <f t="shared" si="23"/>
        <v>300</v>
      </c>
      <c r="C57" s="12">
        <f t="shared" si="24"/>
        <v>700</v>
      </c>
      <c r="D57" s="12">
        <f t="shared" si="25"/>
        <v>1000</v>
      </c>
      <c r="E57" s="12">
        <v>500</v>
      </c>
      <c r="F57" s="12">
        <v>550</v>
      </c>
      <c r="G57" s="12">
        <v>900</v>
      </c>
      <c r="H57" s="12">
        <f t="shared" si="26"/>
        <v>900</v>
      </c>
      <c r="I57" s="12">
        <v>240</v>
      </c>
      <c r="J57" s="12">
        <v>700</v>
      </c>
      <c r="K57" s="12">
        <f t="shared" si="27"/>
        <v>5790</v>
      </c>
      <c r="L57" s="13">
        <f t="shared" si="28"/>
        <v>539.62800000000004</v>
      </c>
      <c r="M57" s="13">
        <f t="shared" si="29"/>
        <v>5790</v>
      </c>
      <c r="N57" s="13">
        <f t="shared" si="30"/>
        <v>5790</v>
      </c>
      <c r="O57" s="24">
        <f t="shared" si="31"/>
        <v>16830.371999999999</v>
      </c>
    </row>
    <row r="58" spans="1:15">
      <c r="A58" s="23" t="s">
        <v>47</v>
      </c>
      <c r="B58" s="12">
        <f t="shared" si="23"/>
        <v>300</v>
      </c>
      <c r="C58" s="12">
        <f t="shared" si="24"/>
        <v>700</v>
      </c>
      <c r="D58" s="12">
        <f t="shared" si="25"/>
        <v>1000</v>
      </c>
      <c r="E58" s="12">
        <v>500</v>
      </c>
      <c r="F58" s="12">
        <v>550</v>
      </c>
      <c r="G58" s="12">
        <v>900</v>
      </c>
      <c r="H58" s="12">
        <f t="shared" si="26"/>
        <v>900</v>
      </c>
      <c r="I58" s="12">
        <v>240</v>
      </c>
      <c r="J58" s="12">
        <v>700</v>
      </c>
      <c r="K58" s="12">
        <f t="shared" si="27"/>
        <v>5790</v>
      </c>
      <c r="L58" s="13">
        <f t="shared" si="28"/>
        <v>539.62800000000004</v>
      </c>
      <c r="M58" s="13">
        <f t="shared" si="29"/>
        <v>5790</v>
      </c>
      <c r="N58" s="13">
        <f t="shared" si="30"/>
        <v>5790</v>
      </c>
      <c r="O58" s="24">
        <f t="shared" si="31"/>
        <v>16830.371999999999</v>
      </c>
    </row>
    <row r="59" spans="1:15">
      <c r="A59" s="23" t="s">
        <v>48</v>
      </c>
      <c r="B59" s="12">
        <f t="shared" si="23"/>
        <v>300</v>
      </c>
      <c r="C59" s="12">
        <f t="shared" si="24"/>
        <v>700</v>
      </c>
      <c r="D59" s="12">
        <f t="shared" si="25"/>
        <v>1000</v>
      </c>
      <c r="E59" s="12">
        <v>500</v>
      </c>
      <c r="F59" s="12">
        <v>550</v>
      </c>
      <c r="G59" s="12">
        <v>900</v>
      </c>
      <c r="H59" s="12">
        <f t="shared" si="26"/>
        <v>900</v>
      </c>
      <c r="I59" s="12">
        <v>240</v>
      </c>
      <c r="J59" s="12">
        <v>700</v>
      </c>
      <c r="K59" s="12">
        <f t="shared" si="27"/>
        <v>5790</v>
      </c>
      <c r="L59" s="13">
        <f t="shared" si="28"/>
        <v>539.62800000000004</v>
      </c>
      <c r="M59" s="13">
        <f t="shared" si="29"/>
        <v>5790</v>
      </c>
      <c r="N59" s="13">
        <f t="shared" si="30"/>
        <v>5790</v>
      </c>
      <c r="O59" s="24">
        <f t="shared" si="31"/>
        <v>16830.371999999999</v>
      </c>
    </row>
    <row r="60" spans="1:15">
      <c r="A60" s="23" t="s">
        <v>49</v>
      </c>
      <c r="B60" s="12">
        <f t="shared" si="23"/>
        <v>300</v>
      </c>
      <c r="C60" s="12">
        <f t="shared" si="24"/>
        <v>700</v>
      </c>
      <c r="D60" s="12">
        <f t="shared" si="25"/>
        <v>1000</v>
      </c>
      <c r="E60" s="12">
        <v>500</v>
      </c>
      <c r="F60" s="12">
        <v>550</v>
      </c>
      <c r="G60" s="12">
        <v>900</v>
      </c>
      <c r="H60" s="12">
        <f t="shared" si="26"/>
        <v>900</v>
      </c>
      <c r="I60" s="12">
        <v>240</v>
      </c>
      <c r="J60" s="12">
        <v>700</v>
      </c>
      <c r="K60" s="12">
        <f t="shared" si="27"/>
        <v>5790</v>
      </c>
      <c r="L60" s="13">
        <f t="shared" si="28"/>
        <v>539.62800000000004</v>
      </c>
      <c r="M60" s="13">
        <f t="shared" si="29"/>
        <v>5790</v>
      </c>
      <c r="N60" s="13">
        <f t="shared" si="30"/>
        <v>5790</v>
      </c>
      <c r="O60" s="24">
        <f t="shared" si="31"/>
        <v>16830.371999999999</v>
      </c>
    </row>
    <row r="61" spans="1:15">
      <c r="A61" s="23" t="s">
        <v>50</v>
      </c>
      <c r="B61" s="12">
        <f t="shared" si="23"/>
        <v>300</v>
      </c>
      <c r="C61" s="12">
        <f t="shared" si="24"/>
        <v>700</v>
      </c>
      <c r="D61" s="12">
        <f t="shared" si="25"/>
        <v>1000</v>
      </c>
      <c r="E61" s="12">
        <v>500</v>
      </c>
      <c r="F61" s="12">
        <v>550</v>
      </c>
      <c r="G61" s="12">
        <v>900</v>
      </c>
      <c r="H61" s="12">
        <f t="shared" si="26"/>
        <v>900</v>
      </c>
      <c r="I61" s="12">
        <v>240</v>
      </c>
      <c r="J61" s="12">
        <v>700</v>
      </c>
      <c r="K61" s="12">
        <f t="shared" si="27"/>
        <v>5790</v>
      </c>
      <c r="L61" s="13">
        <f t="shared" si="28"/>
        <v>539.62800000000004</v>
      </c>
      <c r="M61" s="13">
        <f t="shared" si="29"/>
        <v>5790</v>
      </c>
      <c r="N61" s="13">
        <f t="shared" si="30"/>
        <v>5790</v>
      </c>
      <c r="O61" s="24">
        <f t="shared" si="31"/>
        <v>16830.371999999999</v>
      </c>
    </row>
    <row r="62" spans="1:15">
      <c r="A62" s="23" t="s">
        <v>51</v>
      </c>
      <c r="B62" s="12">
        <f t="shared" si="23"/>
        <v>300</v>
      </c>
      <c r="C62" s="12">
        <f t="shared" si="24"/>
        <v>700</v>
      </c>
      <c r="D62" s="12">
        <f t="shared" si="25"/>
        <v>1000</v>
      </c>
      <c r="E62" s="12">
        <v>500</v>
      </c>
      <c r="F62" s="12">
        <v>550</v>
      </c>
      <c r="G62" s="12">
        <v>900</v>
      </c>
      <c r="H62" s="12">
        <f t="shared" si="26"/>
        <v>900</v>
      </c>
      <c r="I62" s="12">
        <v>240</v>
      </c>
      <c r="J62" s="12">
        <v>700</v>
      </c>
      <c r="K62" s="12">
        <f t="shared" si="27"/>
        <v>5790</v>
      </c>
      <c r="L62" s="13">
        <f t="shared" si="28"/>
        <v>539.62800000000004</v>
      </c>
      <c r="M62" s="13">
        <f t="shared" si="29"/>
        <v>5790</v>
      </c>
      <c r="N62" s="13">
        <f t="shared" si="30"/>
        <v>5790</v>
      </c>
      <c r="O62" s="24">
        <f t="shared" si="31"/>
        <v>16830.371999999999</v>
      </c>
    </row>
    <row r="63" spans="1:15">
      <c r="A63" s="23" t="s">
        <v>52</v>
      </c>
      <c r="B63" s="12">
        <f t="shared" si="23"/>
        <v>300</v>
      </c>
      <c r="C63" s="12">
        <f t="shared" si="24"/>
        <v>700</v>
      </c>
      <c r="D63" s="12">
        <f t="shared" si="25"/>
        <v>1000</v>
      </c>
      <c r="E63" s="12">
        <v>500</v>
      </c>
      <c r="F63" s="12">
        <v>550</v>
      </c>
      <c r="G63" s="12">
        <v>900</v>
      </c>
      <c r="H63" s="12">
        <f t="shared" si="26"/>
        <v>900</v>
      </c>
      <c r="I63" s="12">
        <v>240</v>
      </c>
      <c r="J63" s="12">
        <v>700</v>
      </c>
      <c r="K63" s="12">
        <f t="shared" si="27"/>
        <v>5790</v>
      </c>
      <c r="L63" s="13">
        <f t="shared" si="28"/>
        <v>539.62800000000004</v>
      </c>
      <c r="M63" s="13">
        <f t="shared" si="29"/>
        <v>5790</v>
      </c>
      <c r="N63" s="13">
        <f t="shared" si="30"/>
        <v>5790</v>
      </c>
      <c r="O63" s="24">
        <f t="shared" si="31"/>
        <v>16830.371999999999</v>
      </c>
    </row>
    <row r="64" spans="1:15">
      <c r="A64" s="25" t="s">
        <v>53</v>
      </c>
      <c r="B64" s="26">
        <f t="shared" ref="B64:J64" si="32">SUM(B52:B63)</f>
        <v>3600</v>
      </c>
      <c r="C64" s="26">
        <f t="shared" si="32"/>
        <v>8400</v>
      </c>
      <c r="D64" s="26">
        <f>SUM(D52:D63)</f>
        <v>12000</v>
      </c>
      <c r="E64" s="26">
        <f t="shared" si="32"/>
        <v>6000</v>
      </c>
      <c r="F64" s="26">
        <f t="shared" si="32"/>
        <v>6600</v>
      </c>
      <c r="G64" s="26">
        <f t="shared" si="32"/>
        <v>10800</v>
      </c>
      <c r="H64" s="26">
        <f t="shared" si="32"/>
        <v>10800</v>
      </c>
      <c r="I64" s="26">
        <f t="shared" si="32"/>
        <v>2880</v>
      </c>
      <c r="J64" s="26">
        <f t="shared" si="32"/>
        <v>8400</v>
      </c>
      <c r="K64" s="26">
        <f>SUM(B64:J64)</f>
        <v>69480</v>
      </c>
      <c r="L64" s="26">
        <f>+K64*0.0932</f>
        <v>6475.5360000000001</v>
      </c>
      <c r="M64" s="26">
        <f>+M52</f>
        <v>5790</v>
      </c>
      <c r="N64" s="26">
        <f>+N52</f>
        <v>5790</v>
      </c>
      <c r="O64" s="27">
        <f>+K64-L64+M64+N64</f>
        <v>74584.464000000007</v>
      </c>
    </row>
    <row r="65" spans="1:15">
      <c r="A65" s="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28"/>
      <c r="M65" s="28"/>
      <c r="N65" s="28"/>
      <c r="O65" s="29"/>
    </row>
    <row r="67" spans="1:15">
      <c r="A67" s="19" t="s">
        <v>8</v>
      </c>
    </row>
    <row r="68" spans="1:15" ht="38.25">
      <c r="A68" s="20" t="s">
        <v>35</v>
      </c>
      <c r="B68" s="20" t="s">
        <v>2</v>
      </c>
      <c r="C68" s="20" t="s">
        <v>36</v>
      </c>
      <c r="D68" s="20" t="s">
        <v>100</v>
      </c>
      <c r="E68" s="20" t="s">
        <v>28</v>
      </c>
      <c r="F68" s="20" t="s">
        <v>29</v>
      </c>
      <c r="G68" s="20" t="s">
        <v>30</v>
      </c>
      <c r="H68" s="20" t="s">
        <v>37</v>
      </c>
      <c r="I68" s="21" t="s">
        <v>31</v>
      </c>
      <c r="J68" s="20" t="s">
        <v>32</v>
      </c>
      <c r="K68" s="20" t="s">
        <v>1</v>
      </c>
      <c r="L68" s="20" t="s">
        <v>38</v>
      </c>
      <c r="M68" s="20" t="s">
        <v>39</v>
      </c>
      <c r="N68" s="20" t="s">
        <v>40</v>
      </c>
      <c r="O68" s="22" t="s">
        <v>1</v>
      </c>
    </row>
    <row r="69" spans="1:15">
      <c r="A69" s="23" t="s">
        <v>41</v>
      </c>
      <c r="B69" s="12">
        <f>$B$4</f>
        <v>300</v>
      </c>
      <c r="C69" s="12">
        <f>$B$5</f>
        <v>700</v>
      </c>
      <c r="D69" s="12">
        <f>$B$6</f>
        <v>1000</v>
      </c>
      <c r="E69" s="12">
        <v>500</v>
      </c>
      <c r="F69" s="12">
        <v>550</v>
      </c>
      <c r="G69" s="12">
        <v>900</v>
      </c>
      <c r="H69" s="12">
        <f>$B$9</f>
        <v>900</v>
      </c>
      <c r="I69" s="12">
        <v>240</v>
      </c>
      <c r="J69" s="12">
        <v>700</v>
      </c>
      <c r="K69" s="12">
        <f>SUM(B69:J69)</f>
        <v>5790</v>
      </c>
      <c r="L69" s="13">
        <f>+K69*0.0932</f>
        <v>539.62800000000004</v>
      </c>
      <c r="M69" s="13">
        <f>+K69*1</f>
        <v>5790</v>
      </c>
      <c r="N69" s="13">
        <f>+K69*1</f>
        <v>5790</v>
      </c>
      <c r="O69" s="24">
        <f>+K69-L69+M69+N69</f>
        <v>16830.371999999999</v>
      </c>
    </row>
    <row r="70" spans="1:15">
      <c r="A70" s="23" t="s">
        <v>42</v>
      </c>
      <c r="B70" s="12">
        <f t="shared" ref="B70:B80" si="33">$B$4</f>
        <v>300</v>
      </c>
      <c r="C70" s="12">
        <f t="shared" ref="C70:C80" si="34">$B$5</f>
        <v>700</v>
      </c>
      <c r="D70" s="12">
        <f t="shared" ref="D70:D80" si="35">$B$6</f>
        <v>1000</v>
      </c>
      <c r="E70" s="12">
        <v>500</v>
      </c>
      <c r="F70" s="12">
        <v>550</v>
      </c>
      <c r="G70" s="12">
        <v>900</v>
      </c>
      <c r="H70" s="12">
        <f t="shared" ref="H70:H80" si="36">$B$9</f>
        <v>900</v>
      </c>
      <c r="I70" s="12">
        <v>240</v>
      </c>
      <c r="J70" s="12">
        <v>700</v>
      </c>
      <c r="K70" s="12">
        <f t="shared" ref="K70:K80" si="37">SUM(B70:J70)</f>
        <v>5790</v>
      </c>
      <c r="L70" s="13">
        <f t="shared" ref="L70:L80" si="38">+K70*0.0932</f>
        <v>539.62800000000004</v>
      </c>
      <c r="M70" s="13">
        <f t="shared" ref="M70:M80" si="39">+K70*1</f>
        <v>5790</v>
      </c>
      <c r="N70" s="13">
        <f t="shared" ref="N70:N80" si="40">+K70*1</f>
        <v>5790</v>
      </c>
      <c r="O70" s="24">
        <f t="shared" ref="O70:O80" si="41">+K70-L70+M70+N70</f>
        <v>16830.371999999999</v>
      </c>
    </row>
    <row r="71" spans="1:15">
      <c r="A71" s="23" t="s">
        <v>43</v>
      </c>
      <c r="B71" s="12">
        <f t="shared" si="33"/>
        <v>300</v>
      </c>
      <c r="C71" s="12">
        <f t="shared" si="34"/>
        <v>700</v>
      </c>
      <c r="D71" s="12">
        <f t="shared" si="35"/>
        <v>1000</v>
      </c>
      <c r="E71" s="12">
        <v>500</v>
      </c>
      <c r="F71" s="12">
        <v>550</v>
      </c>
      <c r="G71" s="12">
        <v>900</v>
      </c>
      <c r="H71" s="12">
        <f t="shared" si="36"/>
        <v>900</v>
      </c>
      <c r="I71" s="12">
        <v>240</v>
      </c>
      <c r="J71" s="12">
        <v>700</v>
      </c>
      <c r="K71" s="12">
        <f t="shared" si="37"/>
        <v>5790</v>
      </c>
      <c r="L71" s="13">
        <f t="shared" si="38"/>
        <v>539.62800000000004</v>
      </c>
      <c r="M71" s="13">
        <f t="shared" si="39"/>
        <v>5790</v>
      </c>
      <c r="N71" s="13">
        <f t="shared" si="40"/>
        <v>5790</v>
      </c>
      <c r="O71" s="24">
        <f t="shared" si="41"/>
        <v>16830.371999999999</v>
      </c>
    </row>
    <row r="72" spans="1:15">
      <c r="A72" s="23" t="s">
        <v>44</v>
      </c>
      <c r="B72" s="12">
        <f t="shared" si="33"/>
        <v>300</v>
      </c>
      <c r="C72" s="12">
        <f t="shared" si="34"/>
        <v>700</v>
      </c>
      <c r="D72" s="12">
        <f t="shared" si="35"/>
        <v>1000</v>
      </c>
      <c r="E72" s="12">
        <v>500</v>
      </c>
      <c r="F72" s="12">
        <v>550</v>
      </c>
      <c r="G72" s="12">
        <v>900</v>
      </c>
      <c r="H72" s="12">
        <f t="shared" si="36"/>
        <v>900</v>
      </c>
      <c r="I72" s="12">
        <v>240</v>
      </c>
      <c r="J72" s="12">
        <v>700</v>
      </c>
      <c r="K72" s="12">
        <f t="shared" si="37"/>
        <v>5790</v>
      </c>
      <c r="L72" s="13">
        <f t="shared" si="38"/>
        <v>539.62800000000004</v>
      </c>
      <c r="M72" s="13">
        <f t="shared" si="39"/>
        <v>5790</v>
      </c>
      <c r="N72" s="13">
        <f t="shared" si="40"/>
        <v>5790</v>
      </c>
      <c r="O72" s="24">
        <f t="shared" si="41"/>
        <v>16830.371999999999</v>
      </c>
    </row>
    <row r="73" spans="1:15">
      <c r="A73" s="23" t="s">
        <v>45</v>
      </c>
      <c r="B73" s="12">
        <f t="shared" si="33"/>
        <v>300</v>
      </c>
      <c r="C73" s="12">
        <f t="shared" si="34"/>
        <v>700</v>
      </c>
      <c r="D73" s="12">
        <f t="shared" si="35"/>
        <v>1000</v>
      </c>
      <c r="E73" s="12">
        <v>500</v>
      </c>
      <c r="F73" s="12">
        <v>550</v>
      </c>
      <c r="G73" s="12">
        <v>900</v>
      </c>
      <c r="H73" s="12">
        <f t="shared" si="36"/>
        <v>900</v>
      </c>
      <c r="I73" s="12">
        <v>240</v>
      </c>
      <c r="J73" s="12">
        <v>700</v>
      </c>
      <c r="K73" s="12">
        <f t="shared" si="37"/>
        <v>5790</v>
      </c>
      <c r="L73" s="13">
        <f t="shared" si="38"/>
        <v>539.62800000000004</v>
      </c>
      <c r="M73" s="13">
        <f t="shared" si="39"/>
        <v>5790</v>
      </c>
      <c r="N73" s="13">
        <f t="shared" si="40"/>
        <v>5790</v>
      </c>
      <c r="O73" s="24">
        <f t="shared" si="41"/>
        <v>16830.371999999999</v>
      </c>
    </row>
    <row r="74" spans="1:15">
      <c r="A74" s="23" t="s">
        <v>46</v>
      </c>
      <c r="B74" s="12">
        <f t="shared" si="33"/>
        <v>300</v>
      </c>
      <c r="C74" s="12">
        <f t="shared" si="34"/>
        <v>700</v>
      </c>
      <c r="D74" s="12">
        <f t="shared" si="35"/>
        <v>1000</v>
      </c>
      <c r="E74" s="12">
        <v>500</v>
      </c>
      <c r="F74" s="12">
        <v>550</v>
      </c>
      <c r="G74" s="12">
        <v>900</v>
      </c>
      <c r="H74" s="12">
        <f t="shared" si="36"/>
        <v>900</v>
      </c>
      <c r="I74" s="12">
        <v>240</v>
      </c>
      <c r="J74" s="12">
        <v>700</v>
      </c>
      <c r="K74" s="12">
        <f t="shared" si="37"/>
        <v>5790</v>
      </c>
      <c r="L74" s="13">
        <f t="shared" si="38"/>
        <v>539.62800000000004</v>
      </c>
      <c r="M74" s="13">
        <f t="shared" si="39"/>
        <v>5790</v>
      </c>
      <c r="N74" s="13">
        <f t="shared" si="40"/>
        <v>5790</v>
      </c>
      <c r="O74" s="24">
        <f t="shared" si="41"/>
        <v>16830.371999999999</v>
      </c>
    </row>
    <row r="75" spans="1:15">
      <c r="A75" s="23" t="s">
        <v>47</v>
      </c>
      <c r="B75" s="12">
        <f t="shared" si="33"/>
        <v>300</v>
      </c>
      <c r="C75" s="12">
        <f t="shared" si="34"/>
        <v>700</v>
      </c>
      <c r="D75" s="12">
        <f t="shared" si="35"/>
        <v>1000</v>
      </c>
      <c r="E75" s="12">
        <v>500</v>
      </c>
      <c r="F75" s="12">
        <v>550</v>
      </c>
      <c r="G75" s="12">
        <v>900</v>
      </c>
      <c r="H75" s="12">
        <f t="shared" si="36"/>
        <v>900</v>
      </c>
      <c r="I75" s="12">
        <v>240</v>
      </c>
      <c r="J75" s="12">
        <v>700</v>
      </c>
      <c r="K75" s="12">
        <f t="shared" si="37"/>
        <v>5790</v>
      </c>
      <c r="L75" s="13">
        <f t="shared" si="38"/>
        <v>539.62800000000004</v>
      </c>
      <c r="M75" s="13">
        <f t="shared" si="39"/>
        <v>5790</v>
      </c>
      <c r="N75" s="13">
        <f t="shared" si="40"/>
        <v>5790</v>
      </c>
      <c r="O75" s="24">
        <f t="shared" si="41"/>
        <v>16830.371999999999</v>
      </c>
    </row>
    <row r="76" spans="1:15">
      <c r="A76" s="23" t="s">
        <v>48</v>
      </c>
      <c r="B76" s="12">
        <f t="shared" si="33"/>
        <v>300</v>
      </c>
      <c r="C76" s="12">
        <f t="shared" si="34"/>
        <v>700</v>
      </c>
      <c r="D76" s="12">
        <f t="shared" si="35"/>
        <v>1000</v>
      </c>
      <c r="E76" s="12">
        <v>500</v>
      </c>
      <c r="F76" s="12">
        <v>550</v>
      </c>
      <c r="G76" s="12">
        <v>900</v>
      </c>
      <c r="H76" s="12">
        <f t="shared" si="36"/>
        <v>900</v>
      </c>
      <c r="I76" s="12">
        <v>240</v>
      </c>
      <c r="J76" s="12">
        <v>700</v>
      </c>
      <c r="K76" s="12">
        <f t="shared" si="37"/>
        <v>5790</v>
      </c>
      <c r="L76" s="13">
        <f t="shared" si="38"/>
        <v>539.62800000000004</v>
      </c>
      <c r="M76" s="13">
        <f t="shared" si="39"/>
        <v>5790</v>
      </c>
      <c r="N76" s="13">
        <f t="shared" si="40"/>
        <v>5790</v>
      </c>
      <c r="O76" s="24">
        <f t="shared" si="41"/>
        <v>16830.371999999999</v>
      </c>
    </row>
    <row r="77" spans="1:15">
      <c r="A77" s="23" t="s">
        <v>49</v>
      </c>
      <c r="B77" s="12">
        <f t="shared" si="33"/>
        <v>300</v>
      </c>
      <c r="C77" s="12">
        <f t="shared" si="34"/>
        <v>700</v>
      </c>
      <c r="D77" s="12">
        <f t="shared" si="35"/>
        <v>1000</v>
      </c>
      <c r="E77" s="12">
        <v>500</v>
      </c>
      <c r="F77" s="12">
        <v>550</v>
      </c>
      <c r="G77" s="12">
        <v>900</v>
      </c>
      <c r="H77" s="12">
        <f t="shared" si="36"/>
        <v>900</v>
      </c>
      <c r="I77" s="12">
        <v>240</v>
      </c>
      <c r="J77" s="12">
        <v>700</v>
      </c>
      <c r="K77" s="12">
        <f t="shared" si="37"/>
        <v>5790</v>
      </c>
      <c r="L77" s="13">
        <f t="shared" si="38"/>
        <v>539.62800000000004</v>
      </c>
      <c r="M77" s="13">
        <f t="shared" si="39"/>
        <v>5790</v>
      </c>
      <c r="N77" s="13">
        <f t="shared" si="40"/>
        <v>5790</v>
      </c>
      <c r="O77" s="24">
        <f t="shared" si="41"/>
        <v>16830.371999999999</v>
      </c>
    </row>
    <row r="78" spans="1:15">
      <c r="A78" s="23" t="s">
        <v>50</v>
      </c>
      <c r="B78" s="12">
        <f t="shared" si="33"/>
        <v>300</v>
      </c>
      <c r="C78" s="12">
        <f t="shared" si="34"/>
        <v>700</v>
      </c>
      <c r="D78" s="12">
        <f t="shared" si="35"/>
        <v>1000</v>
      </c>
      <c r="E78" s="12">
        <v>500</v>
      </c>
      <c r="F78" s="12">
        <v>550</v>
      </c>
      <c r="G78" s="12">
        <v>900</v>
      </c>
      <c r="H78" s="12">
        <f t="shared" si="36"/>
        <v>900</v>
      </c>
      <c r="I78" s="12">
        <v>240</v>
      </c>
      <c r="J78" s="12">
        <v>700</v>
      </c>
      <c r="K78" s="12">
        <f t="shared" si="37"/>
        <v>5790</v>
      </c>
      <c r="L78" s="13">
        <f t="shared" si="38"/>
        <v>539.62800000000004</v>
      </c>
      <c r="M78" s="13">
        <f t="shared" si="39"/>
        <v>5790</v>
      </c>
      <c r="N78" s="13">
        <f t="shared" si="40"/>
        <v>5790</v>
      </c>
      <c r="O78" s="24">
        <f t="shared" si="41"/>
        <v>16830.371999999999</v>
      </c>
    </row>
    <row r="79" spans="1:15">
      <c r="A79" s="23" t="s">
        <v>51</v>
      </c>
      <c r="B79" s="12">
        <f t="shared" si="33"/>
        <v>300</v>
      </c>
      <c r="C79" s="12">
        <f t="shared" si="34"/>
        <v>700</v>
      </c>
      <c r="D79" s="12">
        <f t="shared" si="35"/>
        <v>1000</v>
      </c>
      <c r="E79" s="12">
        <v>500</v>
      </c>
      <c r="F79" s="12">
        <v>550</v>
      </c>
      <c r="G79" s="12">
        <v>900</v>
      </c>
      <c r="H79" s="12">
        <f t="shared" si="36"/>
        <v>900</v>
      </c>
      <c r="I79" s="12">
        <v>240</v>
      </c>
      <c r="J79" s="12">
        <v>700</v>
      </c>
      <c r="K79" s="12">
        <f t="shared" si="37"/>
        <v>5790</v>
      </c>
      <c r="L79" s="13">
        <f t="shared" si="38"/>
        <v>539.62800000000004</v>
      </c>
      <c r="M79" s="13">
        <f t="shared" si="39"/>
        <v>5790</v>
      </c>
      <c r="N79" s="13">
        <f t="shared" si="40"/>
        <v>5790</v>
      </c>
      <c r="O79" s="24">
        <f t="shared" si="41"/>
        <v>16830.371999999999</v>
      </c>
    </row>
    <row r="80" spans="1:15">
      <c r="A80" s="23" t="s">
        <v>52</v>
      </c>
      <c r="B80" s="12">
        <f t="shared" si="33"/>
        <v>300</v>
      </c>
      <c r="C80" s="12">
        <f t="shared" si="34"/>
        <v>700</v>
      </c>
      <c r="D80" s="12">
        <f t="shared" si="35"/>
        <v>1000</v>
      </c>
      <c r="E80" s="12">
        <v>500</v>
      </c>
      <c r="F80" s="12">
        <v>550</v>
      </c>
      <c r="G80" s="12">
        <v>900</v>
      </c>
      <c r="H80" s="12">
        <f t="shared" si="36"/>
        <v>900</v>
      </c>
      <c r="I80" s="12">
        <v>240</v>
      </c>
      <c r="J80" s="12">
        <v>700</v>
      </c>
      <c r="K80" s="12">
        <f t="shared" si="37"/>
        <v>5790</v>
      </c>
      <c r="L80" s="13">
        <f t="shared" si="38"/>
        <v>539.62800000000004</v>
      </c>
      <c r="M80" s="13">
        <f t="shared" si="39"/>
        <v>5790</v>
      </c>
      <c r="N80" s="13">
        <f t="shared" si="40"/>
        <v>5790</v>
      </c>
      <c r="O80" s="24">
        <f t="shared" si="41"/>
        <v>16830.371999999999</v>
      </c>
    </row>
    <row r="81" spans="1:15">
      <c r="A81" s="25" t="s">
        <v>53</v>
      </c>
      <c r="B81" s="26">
        <f t="shared" ref="B81:J81" si="42">SUM(B69:B80)</f>
        <v>3600</v>
      </c>
      <c r="C81" s="26">
        <f t="shared" si="42"/>
        <v>8400</v>
      </c>
      <c r="D81" s="26">
        <f>SUM(D69:D80)</f>
        <v>12000</v>
      </c>
      <c r="E81" s="26">
        <f t="shared" si="42"/>
        <v>6000</v>
      </c>
      <c r="F81" s="26">
        <f t="shared" si="42"/>
        <v>6600</v>
      </c>
      <c r="G81" s="26">
        <f t="shared" si="42"/>
        <v>10800</v>
      </c>
      <c r="H81" s="26">
        <f t="shared" si="42"/>
        <v>10800</v>
      </c>
      <c r="I81" s="26">
        <f t="shared" si="42"/>
        <v>2880</v>
      </c>
      <c r="J81" s="26">
        <f t="shared" si="42"/>
        <v>8400</v>
      </c>
      <c r="K81" s="26">
        <f>SUM(B81:J81)</f>
        <v>69480</v>
      </c>
      <c r="L81" s="26">
        <f>+K81*0.0932</f>
        <v>6475.5360000000001</v>
      </c>
      <c r="M81" s="26">
        <f>+M69</f>
        <v>5790</v>
      </c>
      <c r="N81" s="26">
        <f>+N69</f>
        <v>5790</v>
      </c>
      <c r="O81" s="27">
        <f>+K81-L81+M81+N81</f>
        <v>74584.464000000007</v>
      </c>
    </row>
    <row r="82" spans="1:15">
      <c r="A82" s="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28"/>
      <c r="M82" s="28"/>
      <c r="N82" s="28"/>
      <c r="O82" s="29"/>
    </row>
    <row r="84" spans="1:15">
      <c r="A84" s="19" t="s">
        <v>9</v>
      </c>
    </row>
    <row r="85" spans="1:15" ht="38.25">
      <c r="A85" s="20" t="s">
        <v>35</v>
      </c>
      <c r="B85" s="20" t="s">
        <v>2</v>
      </c>
      <c r="C85" s="20" t="s">
        <v>36</v>
      </c>
      <c r="D85" s="20" t="s">
        <v>100</v>
      </c>
      <c r="E85" s="20" t="s">
        <v>28</v>
      </c>
      <c r="F85" s="20" t="s">
        <v>29</v>
      </c>
      <c r="G85" s="20" t="s">
        <v>30</v>
      </c>
      <c r="H85" s="20" t="s">
        <v>37</v>
      </c>
      <c r="I85" s="21" t="s">
        <v>31</v>
      </c>
      <c r="J85" s="20" t="s">
        <v>32</v>
      </c>
      <c r="K85" s="20" t="s">
        <v>1</v>
      </c>
      <c r="L85" s="20" t="s">
        <v>38</v>
      </c>
      <c r="M85" s="20" t="s">
        <v>39</v>
      </c>
      <c r="N85" s="20" t="s">
        <v>40</v>
      </c>
      <c r="O85" s="22" t="s">
        <v>1</v>
      </c>
    </row>
    <row r="86" spans="1:15">
      <c r="A86" s="23" t="s">
        <v>41</v>
      </c>
      <c r="B86" s="12">
        <f>$B$4</f>
        <v>300</v>
      </c>
      <c r="C86" s="12">
        <f>$B$5</f>
        <v>700</v>
      </c>
      <c r="D86" s="12">
        <f>$B$6</f>
        <v>1000</v>
      </c>
      <c r="E86" s="12">
        <v>500</v>
      </c>
      <c r="F86" s="12">
        <v>550</v>
      </c>
      <c r="G86" s="12">
        <v>900</v>
      </c>
      <c r="H86" s="12">
        <f>$B$9</f>
        <v>900</v>
      </c>
      <c r="I86" s="12">
        <v>240</v>
      </c>
      <c r="J86" s="12">
        <v>700</v>
      </c>
      <c r="K86" s="12">
        <f>SUM(B86:J86)</f>
        <v>5790</v>
      </c>
      <c r="L86" s="13">
        <f>+K86*0.0932</f>
        <v>539.62800000000004</v>
      </c>
      <c r="M86" s="13">
        <f>+K86*1</f>
        <v>5790</v>
      </c>
      <c r="N86" s="13">
        <f>+K86*1</f>
        <v>5790</v>
      </c>
      <c r="O86" s="24">
        <f>+K86-L86+M86+N86</f>
        <v>16830.371999999999</v>
      </c>
    </row>
    <row r="87" spans="1:15">
      <c r="A87" s="23" t="s">
        <v>42</v>
      </c>
      <c r="B87" s="12">
        <f t="shared" ref="B87:B97" si="43">$B$4</f>
        <v>300</v>
      </c>
      <c r="C87" s="12">
        <f t="shared" ref="C87:C97" si="44">$B$5</f>
        <v>700</v>
      </c>
      <c r="D87" s="12">
        <f t="shared" ref="D87:D97" si="45">$B$6</f>
        <v>1000</v>
      </c>
      <c r="E87" s="12">
        <v>500</v>
      </c>
      <c r="F87" s="12">
        <v>550</v>
      </c>
      <c r="G87" s="12">
        <v>900</v>
      </c>
      <c r="H87" s="12">
        <f t="shared" ref="H87:H97" si="46">$B$9</f>
        <v>900</v>
      </c>
      <c r="I87" s="12">
        <v>240</v>
      </c>
      <c r="J87" s="12">
        <v>700</v>
      </c>
      <c r="K87" s="12">
        <f t="shared" ref="K87:K97" si="47">SUM(B87:J87)</f>
        <v>5790</v>
      </c>
      <c r="L87" s="13">
        <f t="shared" ref="L87:L97" si="48">+K87*0.0932</f>
        <v>539.62800000000004</v>
      </c>
      <c r="M87" s="13">
        <f t="shared" ref="M87:M97" si="49">+K87*1</f>
        <v>5790</v>
      </c>
      <c r="N87" s="13">
        <f t="shared" ref="N87:N97" si="50">+K87*1</f>
        <v>5790</v>
      </c>
      <c r="O87" s="24">
        <f t="shared" ref="O87:O97" si="51">+K87-L87+M87+N87</f>
        <v>16830.371999999999</v>
      </c>
    </row>
    <row r="88" spans="1:15">
      <c r="A88" s="23" t="s">
        <v>43</v>
      </c>
      <c r="B88" s="12">
        <f t="shared" si="43"/>
        <v>300</v>
      </c>
      <c r="C88" s="12">
        <f t="shared" si="44"/>
        <v>700</v>
      </c>
      <c r="D88" s="12">
        <f t="shared" si="45"/>
        <v>1000</v>
      </c>
      <c r="E88" s="12">
        <v>500</v>
      </c>
      <c r="F88" s="12">
        <v>550</v>
      </c>
      <c r="G88" s="12">
        <v>900</v>
      </c>
      <c r="H88" s="12">
        <f t="shared" si="46"/>
        <v>900</v>
      </c>
      <c r="I88" s="12">
        <v>240</v>
      </c>
      <c r="J88" s="12">
        <v>700</v>
      </c>
      <c r="K88" s="12">
        <f t="shared" si="47"/>
        <v>5790</v>
      </c>
      <c r="L88" s="13">
        <f t="shared" si="48"/>
        <v>539.62800000000004</v>
      </c>
      <c r="M88" s="13">
        <f t="shared" si="49"/>
        <v>5790</v>
      </c>
      <c r="N88" s="13">
        <f t="shared" si="50"/>
        <v>5790</v>
      </c>
      <c r="O88" s="24">
        <f t="shared" si="51"/>
        <v>16830.371999999999</v>
      </c>
    </row>
    <row r="89" spans="1:15">
      <c r="A89" s="23" t="s">
        <v>44</v>
      </c>
      <c r="B89" s="12">
        <f t="shared" si="43"/>
        <v>300</v>
      </c>
      <c r="C89" s="12">
        <f t="shared" si="44"/>
        <v>700</v>
      </c>
      <c r="D89" s="12">
        <f t="shared" si="45"/>
        <v>1000</v>
      </c>
      <c r="E89" s="12">
        <v>500</v>
      </c>
      <c r="F89" s="12">
        <v>550</v>
      </c>
      <c r="G89" s="12">
        <v>900</v>
      </c>
      <c r="H89" s="12">
        <f t="shared" si="46"/>
        <v>900</v>
      </c>
      <c r="I89" s="12">
        <v>240</v>
      </c>
      <c r="J89" s="12">
        <v>700</v>
      </c>
      <c r="K89" s="12">
        <f t="shared" si="47"/>
        <v>5790</v>
      </c>
      <c r="L89" s="13">
        <f t="shared" si="48"/>
        <v>539.62800000000004</v>
      </c>
      <c r="M89" s="13">
        <f t="shared" si="49"/>
        <v>5790</v>
      </c>
      <c r="N89" s="13">
        <f t="shared" si="50"/>
        <v>5790</v>
      </c>
      <c r="O89" s="24">
        <f t="shared" si="51"/>
        <v>16830.371999999999</v>
      </c>
    </row>
    <row r="90" spans="1:15">
      <c r="A90" s="23" t="s">
        <v>45</v>
      </c>
      <c r="B90" s="12">
        <f t="shared" si="43"/>
        <v>300</v>
      </c>
      <c r="C90" s="12">
        <f t="shared" si="44"/>
        <v>700</v>
      </c>
      <c r="D90" s="12">
        <f t="shared" si="45"/>
        <v>1000</v>
      </c>
      <c r="E90" s="12">
        <v>500</v>
      </c>
      <c r="F90" s="12">
        <v>550</v>
      </c>
      <c r="G90" s="12">
        <v>900</v>
      </c>
      <c r="H90" s="12">
        <f t="shared" si="46"/>
        <v>900</v>
      </c>
      <c r="I90" s="12">
        <v>240</v>
      </c>
      <c r="J90" s="12">
        <v>700</v>
      </c>
      <c r="K90" s="12">
        <f t="shared" si="47"/>
        <v>5790</v>
      </c>
      <c r="L90" s="13">
        <f t="shared" si="48"/>
        <v>539.62800000000004</v>
      </c>
      <c r="M90" s="13">
        <f t="shared" si="49"/>
        <v>5790</v>
      </c>
      <c r="N90" s="13">
        <f t="shared" si="50"/>
        <v>5790</v>
      </c>
      <c r="O90" s="24">
        <f t="shared" si="51"/>
        <v>16830.371999999999</v>
      </c>
    </row>
    <row r="91" spans="1:15">
      <c r="A91" s="23" t="s">
        <v>46</v>
      </c>
      <c r="B91" s="12">
        <f t="shared" si="43"/>
        <v>300</v>
      </c>
      <c r="C91" s="12">
        <f t="shared" si="44"/>
        <v>700</v>
      </c>
      <c r="D91" s="12">
        <f t="shared" si="45"/>
        <v>1000</v>
      </c>
      <c r="E91" s="12">
        <v>500</v>
      </c>
      <c r="F91" s="12">
        <v>550</v>
      </c>
      <c r="G91" s="12">
        <v>900</v>
      </c>
      <c r="H91" s="12">
        <f t="shared" si="46"/>
        <v>900</v>
      </c>
      <c r="I91" s="12">
        <v>240</v>
      </c>
      <c r="J91" s="12">
        <v>700</v>
      </c>
      <c r="K91" s="12">
        <f t="shared" si="47"/>
        <v>5790</v>
      </c>
      <c r="L91" s="13">
        <f t="shared" si="48"/>
        <v>539.62800000000004</v>
      </c>
      <c r="M91" s="13">
        <f t="shared" si="49"/>
        <v>5790</v>
      </c>
      <c r="N91" s="13">
        <f t="shared" si="50"/>
        <v>5790</v>
      </c>
      <c r="O91" s="24">
        <f t="shared" si="51"/>
        <v>16830.371999999999</v>
      </c>
    </row>
    <row r="92" spans="1:15">
      <c r="A92" s="23" t="s">
        <v>47</v>
      </c>
      <c r="B92" s="12">
        <f t="shared" si="43"/>
        <v>300</v>
      </c>
      <c r="C92" s="12">
        <f t="shared" si="44"/>
        <v>700</v>
      </c>
      <c r="D92" s="12">
        <f t="shared" si="45"/>
        <v>1000</v>
      </c>
      <c r="E92" s="12">
        <v>500</v>
      </c>
      <c r="F92" s="12">
        <v>550</v>
      </c>
      <c r="G92" s="12">
        <v>900</v>
      </c>
      <c r="H92" s="12">
        <f t="shared" si="46"/>
        <v>900</v>
      </c>
      <c r="I92" s="12">
        <v>240</v>
      </c>
      <c r="J92" s="12">
        <v>700</v>
      </c>
      <c r="K92" s="12">
        <f t="shared" si="47"/>
        <v>5790</v>
      </c>
      <c r="L92" s="13">
        <f t="shared" si="48"/>
        <v>539.62800000000004</v>
      </c>
      <c r="M92" s="13">
        <f t="shared" si="49"/>
        <v>5790</v>
      </c>
      <c r="N92" s="13">
        <f t="shared" si="50"/>
        <v>5790</v>
      </c>
      <c r="O92" s="24">
        <f t="shared" si="51"/>
        <v>16830.371999999999</v>
      </c>
    </row>
    <row r="93" spans="1:15">
      <c r="A93" s="23" t="s">
        <v>48</v>
      </c>
      <c r="B93" s="12">
        <f t="shared" si="43"/>
        <v>300</v>
      </c>
      <c r="C93" s="12">
        <f t="shared" si="44"/>
        <v>700</v>
      </c>
      <c r="D93" s="12">
        <f t="shared" si="45"/>
        <v>1000</v>
      </c>
      <c r="E93" s="12">
        <v>500</v>
      </c>
      <c r="F93" s="12">
        <v>550</v>
      </c>
      <c r="G93" s="12">
        <v>900</v>
      </c>
      <c r="H93" s="12">
        <f t="shared" si="46"/>
        <v>900</v>
      </c>
      <c r="I93" s="12">
        <v>240</v>
      </c>
      <c r="J93" s="12">
        <v>700</v>
      </c>
      <c r="K93" s="12">
        <f t="shared" si="47"/>
        <v>5790</v>
      </c>
      <c r="L93" s="13">
        <f t="shared" si="48"/>
        <v>539.62800000000004</v>
      </c>
      <c r="M93" s="13">
        <f t="shared" si="49"/>
        <v>5790</v>
      </c>
      <c r="N93" s="13">
        <f t="shared" si="50"/>
        <v>5790</v>
      </c>
      <c r="O93" s="24">
        <f t="shared" si="51"/>
        <v>16830.371999999999</v>
      </c>
    </row>
    <row r="94" spans="1:15">
      <c r="A94" s="23" t="s">
        <v>49</v>
      </c>
      <c r="B94" s="12">
        <f t="shared" si="43"/>
        <v>300</v>
      </c>
      <c r="C94" s="12">
        <f t="shared" si="44"/>
        <v>700</v>
      </c>
      <c r="D94" s="12">
        <f t="shared" si="45"/>
        <v>1000</v>
      </c>
      <c r="E94" s="12">
        <v>500</v>
      </c>
      <c r="F94" s="12">
        <v>550</v>
      </c>
      <c r="G94" s="12">
        <v>900</v>
      </c>
      <c r="H94" s="12">
        <f t="shared" si="46"/>
        <v>900</v>
      </c>
      <c r="I94" s="12">
        <v>240</v>
      </c>
      <c r="J94" s="12">
        <v>700</v>
      </c>
      <c r="K94" s="12">
        <f t="shared" si="47"/>
        <v>5790</v>
      </c>
      <c r="L94" s="13">
        <f t="shared" si="48"/>
        <v>539.62800000000004</v>
      </c>
      <c r="M94" s="13">
        <f t="shared" si="49"/>
        <v>5790</v>
      </c>
      <c r="N94" s="13">
        <f t="shared" si="50"/>
        <v>5790</v>
      </c>
      <c r="O94" s="24">
        <f t="shared" si="51"/>
        <v>16830.371999999999</v>
      </c>
    </row>
    <row r="95" spans="1:15">
      <c r="A95" s="23" t="s">
        <v>50</v>
      </c>
      <c r="B95" s="12">
        <f t="shared" si="43"/>
        <v>300</v>
      </c>
      <c r="C95" s="12">
        <f t="shared" si="44"/>
        <v>700</v>
      </c>
      <c r="D95" s="12">
        <f t="shared" si="45"/>
        <v>1000</v>
      </c>
      <c r="E95" s="12">
        <v>500</v>
      </c>
      <c r="F95" s="12">
        <v>550</v>
      </c>
      <c r="G95" s="12">
        <v>900</v>
      </c>
      <c r="H95" s="12">
        <f t="shared" si="46"/>
        <v>900</v>
      </c>
      <c r="I95" s="12">
        <v>240</v>
      </c>
      <c r="J95" s="12">
        <v>700</v>
      </c>
      <c r="K95" s="12">
        <f t="shared" si="47"/>
        <v>5790</v>
      </c>
      <c r="L95" s="13">
        <f t="shared" si="48"/>
        <v>539.62800000000004</v>
      </c>
      <c r="M95" s="13">
        <f t="shared" si="49"/>
        <v>5790</v>
      </c>
      <c r="N95" s="13">
        <f t="shared" si="50"/>
        <v>5790</v>
      </c>
      <c r="O95" s="24">
        <f t="shared" si="51"/>
        <v>16830.371999999999</v>
      </c>
    </row>
    <row r="96" spans="1:15">
      <c r="A96" s="23" t="s">
        <v>51</v>
      </c>
      <c r="B96" s="12">
        <f t="shared" si="43"/>
        <v>300</v>
      </c>
      <c r="C96" s="12">
        <f t="shared" si="44"/>
        <v>700</v>
      </c>
      <c r="D96" s="12">
        <f t="shared" si="45"/>
        <v>1000</v>
      </c>
      <c r="E96" s="12">
        <v>500</v>
      </c>
      <c r="F96" s="12">
        <v>550</v>
      </c>
      <c r="G96" s="12">
        <v>900</v>
      </c>
      <c r="H96" s="12">
        <f t="shared" si="46"/>
        <v>900</v>
      </c>
      <c r="I96" s="12">
        <v>240</v>
      </c>
      <c r="J96" s="12">
        <v>700</v>
      </c>
      <c r="K96" s="12">
        <f t="shared" si="47"/>
        <v>5790</v>
      </c>
      <c r="L96" s="13">
        <f t="shared" si="48"/>
        <v>539.62800000000004</v>
      </c>
      <c r="M96" s="13">
        <f t="shared" si="49"/>
        <v>5790</v>
      </c>
      <c r="N96" s="13">
        <f t="shared" si="50"/>
        <v>5790</v>
      </c>
      <c r="O96" s="24">
        <f t="shared" si="51"/>
        <v>16830.371999999999</v>
      </c>
    </row>
    <row r="97" spans="1:15">
      <c r="A97" s="23" t="s">
        <v>52</v>
      </c>
      <c r="B97" s="12">
        <f t="shared" si="43"/>
        <v>300</v>
      </c>
      <c r="C97" s="12">
        <f t="shared" si="44"/>
        <v>700</v>
      </c>
      <c r="D97" s="12">
        <f t="shared" si="45"/>
        <v>1000</v>
      </c>
      <c r="E97" s="12">
        <v>500</v>
      </c>
      <c r="F97" s="12">
        <v>550</v>
      </c>
      <c r="G97" s="12">
        <v>900</v>
      </c>
      <c r="H97" s="12">
        <f t="shared" si="46"/>
        <v>900</v>
      </c>
      <c r="I97" s="12">
        <v>240</v>
      </c>
      <c r="J97" s="12">
        <v>700</v>
      </c>
      <c r="K97" s="12">
        <f t="shared" si="47"/>
        <v>5790</v>
      </c>
      <c r="L97" s="13">
        <f t="shared" si="48"/>
        <v>539.62800000000004</v>
      </c>
      <c r="M97" s="13">
        <f t="shared" si="49"/>
        <v>5790</v>
      </c>
      <c r="N97" s="13">
        <f t="shared" si="50"/>
        <v>5790</v>
      </c>
      <c r="O97" s="24">
        <f t="shared" si="51"/>
        <v>16830.371999999999</v>
      </c>
    </row>
    <row r="98" spans="1:15">
      <c r="A98" s="25" t="s">
        <v>53</v>
      </c>
      <c r="B98" s="26">
        <f t="shared" ref="B98:J98" si="52">SUM(B86:B97)</f>
        <v>3600</v>
      </c>
      <c r="C98" s="26">
        <f t="shared" si="52"/>
        <v>8400</v>
      </c>
      <c r="D98" s="26">
        <f>SUM(D86:D97)</f>
        <v>12000</v>
      </c>
      <c r="E98" s="26">
        <f t="shared" si="52"/>
        <v>6000</v>
      </c>
      <c r="F98" s="26">
        <f t="shared" si="52"/>
        <v>6600</v>
      </c>
      <c r="G98" s="26">
        <f t="shared" si="52"/>
        <v>10800</v>
      </c>
      <c r="H98" s="26">
        <f t="shared" si="52"/>
        <v>10800</v>
      </c>
      <c r="I98" s="26">
        <f t="shared" si="52"/>
        <v>2880</v>
      </c>
      <c r="J98" s="26">
        <f t="shared" si="52"/>
        <v>8400</v>
      </c>
      <c r="K98" s="26">
        <f>SUM(B98:J98)</f>
        <v>69480</v>
      </c>
      <c r="L98" s="26">
        <f>+K98*0.0932</f>
        <v>6475.5360000000001</v>
      </c>
      <c r="M98" s="26">
        <f>+M86</f>
        <v>5790</v>
      </c>
      <c r="N98" s="26">
        <f>+N86</f>
        <v>5790</v>
      </c>
      <c r="O98" s="27">
        <f>+K98-L98+M98+N98</f>
        <v>74584.464000000007</v>
      </c>
    </row>
    <row r="99" spans="1:15">
      <c r="A99" s="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28"/>
      <c r="M99" s="28"/>
      <c r="N99" s="28"/>
      <c r="O99" s="29"/>
    </row>
    <row r="101" spans="1:15">
      <c r="A101" s="30"/>
      <c r="B101" s="48" t="s">
        <v>5</v>
      </c>
      <c r="C101" s="48" t="s">
        <v>6</v>
      </c>
      <c r="D101" s="48" t="s">
        <v>7</v>
      </c>
      <c r="E101" s="48" t="s">
        <v>8</v>
      </c>
      <c r="F101" s="48" t="s">
        <v>9</v>
      </c>
    </row>
    <row r="102" spans="1:15">
      <c r="A102" s="48" t="s">
        <v>55</v>
      </c>
      <c r="B102" s="49">
        <f>+O32</f>
        <v>74584.464000000007</v>
      </c>
      <c r="C102" s="49">
        <f>+O48</f>
        <v>74584.464000000007</v>
      </c>
      <c r="D102" s="49">
        <f>+O64</f>
        <v>74584.464000000007</v>
      </c>
      <c r="E102" s="49">
        <f>+O81</f>
        <v>74584.464000000007</v>
      </c>
      <c r="F102" s="49">
        <f>+O98</f>
        <v>74584.464000000007</v>
      </c>
    </row>
    <row r="104" spans="1:15">
      <c r="A104" s="48" t="s">
        <v>195</v>
      </c>
      <c r="B104" s="49">
        <f>B102/12</f>
        <v>6215.3720000000003</v>
      </c>
    </row>
  </sheetData>
  <mergeCells count="2">
    <mergeCell ref="A2:E2"/>
    <mergeCell ref="A1:O1"/>
  </mergeCells>
  <pageMargins left="2.1198031496062995" right="0.70866141732283472" top="0.74803149606299213" bottom="0.7480314960629921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/>
  <dimension ref="A1:K116"/>
  <sheetViews>
    <sheetView workbookViewId="0">
      <selection sqref="A1:J98"/>
    </sheetView>
  </sheetViews>
  <sheetFormatPr baseColWidth="10" defaultRowHeight="11.25"/>
  <cols>
    <col min="1" max="1" width="22.7109375" style="31" bestFit="1" customWidth="1"/>
    <col min="2" max="3" width="8.7109375" style="31" bestFit="1" customWidth="1"/>
    <col min="4" max="4" width="9.5703125" style="31" bestFit="1" customWidth="1"/>
    <col min="5" max="6" width="10.42578125" style="31" bestFit="1" customWidth="1"/>
    <col min="7" max="7" width="13.85546875" style="31" bestFit="1" customWidth="1"/>
    <col min="8" max="8" width="11.42578125" style="31" bestFit="1" customWidth="1"/>
    <col min="9" max="9" width="13.28515625" style="31" bestFit="1" customWidth="1"/>
    <col min="10" max="10" width="6.5703125" style="31" bestFit="1" customWidth="1"/>
    <col min="11" max="16384" width="11.42578125" style="31"/>
  </cols>
  <sheetData>
    <row r="1" spans="1:11" ht="28.5">
      <c r="A1" s="414" t="s">
        <v>273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 ht="12" thickBot="1">
      <c r="A2" s="413" t="s">
        <v>56</v>
      </c>
      <c r="B2" s="413"/>
      <c r="C2" s="413"/>
    </row>
    <row r="3" spans="1:11" ht="12" thickBot="1">
      <c r="A3" s="66"/>
      <c r="B3" s="67" t="s">
        <v>23</v>
      </c>
      <c r="C3" s="67" t="s">
        <v>24</v>
      </c>
      <c r="E3" s="411"/>
      <c r="F3" s="411"/>
      <c r="G3" s="411"/>
      <c r="H3" s="411"/>
      <c r="J3" s="68"/>
      <c r="K3" s="68"/>
    </row>
    <row r="4" spans="1:11">
      <c r="A4" s="69" t="s">
        <v>57</v>
      </c>
      <c r="B4" s="70">
        <v>700</v>
      </c>
      <c r="C4" s="71">
        <f>B4*12</f>
        <v>8400</v>
      </c>
      <c r="E4" s="68"/>
      <c r="F4" s="72"/>
      <c r="G4" s="72"/>
      <c r="H4" s="72"/>
      <c r="J4" s="73"/>
      <c r="K4" s="73"/>
    </row>
    <row r="5" spans="1:11">
      <c r="A5" s="74" t="s">
        <v>58</v>
      </c>
      <c r="B5" s="75">
        <v>100</v>
      </c>
      <c r="C5" s="75">
        <f>B5*12</f>
        <v>1200</v>
      </c>
      <c r="E5" s="73"/>
      <c r="F5" s="73"/>
      <c r="G5" s="73"/>
      <c r="H5" s="73"/>
      <c r="J5" s="73"/>
      <c r="K5" s="73"/>
    </row>
    <row r="6" spans="1:11">
      <c r="A6" s="74" t="s">
        <v>59</v>
      </c>
      <c r="B6" s="75">
        <v>150</v>
      </c>
      <c r="C6" s="75">
        <f>B6*12</f>
        <v>1800</v>
      </c>
      <c r="E6" s="73"/>
      <c r="F6" s="73"/>
      <c r="G6" s="73"/>
      <c r="H6" s="73"/>
      <c r="J6" s="73"/>
      <c r="K6" s="73"/>
    </row>
    <row r="7" spans="1:11">
      <c r="A7" s="74" t="s">
        <v>60</v>
      </c>
      <c r="B7" s="75">
        <v>20</v>
      </c>
      <c r="C7" s="75">
        <f>B7*12</f>
        <v>240</v>
      </c>
      <c r="E7" s="73"/>
      <c r="F7" s="73"/>
      <c r="G7" s="73"/>
      <c r="H7" s="73"/>
      <c r="J7" s="68"/>
      <c r="K7" s="68"/>
    </row>
    <row r="8" spans="1:11">
      <c r="A8" s="74" t="s">
        <v>61</v>
      </c>
      <c r="B8" s="75">
        <f>29.99*(1.12)</f>
        <v>33.588799999999999</v>
      </c>
      <c r="C8" s="75">
        <f>B8*12</f>
        <v>403.06560000000002</v>
      </c>
      <c r="E8" s="73"/>
      <c r="F8" s="76"/>
      <c r="G8" s="76"/>
      <c r="H8" s="76"/>
    </row>
    <row r="9" spans="1:11">
      <c r="A9" s="74" t="s">
        <v>62</v>
      </c>
      <c r="B9" s="75" t="s">
        <v>63</v>
      </c>
      <c r="C9" s="75">
        <f>130*(1.12)</f>
        <v>145.60000000000002</v>
      </c>
      <c r="E9" s="73"/>
      <c r="F9" s="73"/>
      <c r="G9" s="73"/>
      <c r="H9" s="73"/>
    </row>
    <row r="10" spans="1:11">
      <c r="A10" s="77" t="s">
        <v>64</v>
      </c>
      <c r="B10" s="75">
        <v>20</v>
      </c>
      <c r="C10" s="75">
        <f>12*B10</f>
        <v>240</v>
      </c>
      <c r="E10" s="73"/>
      <c r="F10" s="73"/>
      <c r="G10" s="73"/>
      <c r="H10" s="73"/>
    </row>
    <row r="11" spans="1:11" ht="12" thickBot="1">
      <c r="A11" s="78" t="s">
        <v>65</v>
      </c>
      <c r="B11" s="79">
        <v>400</v>
      </c>
      <c r="C11" s="80">
        <f>B11*12</f>
        <v>4800</v>
      </c>
      <c r="E11" s="73"/>
      <c r="F11" s="76"/>
      <c r="G11" s="76"/>
      <c r="H11" s="76"/>
    </row>
    <row r="12" spans="1:11" ht="12" thickBot="1">
      <c r="A12" s="81" t="s">
        <v>66</v>
      </c>
      <c r="B12" s="82"/>
      <c r="C12" s="83">
        <f>SUM(C4:C11)</f>
        <v>17228.6656</v>
      </c>
      <c r="E12" s="412"/>
      <c r="F12" s="412"/>
      <c r="G12" s="412"/>
      <c r="H12" s="84"/>
    </row>
    <row r="14" spans="1:11">
      <c r="A14" s="65" t="s">
        <v>67</v>
      </c>
    </row>
    <row r="16" spans="1:11">
      <c r="A16" s="65" t="s">
        <v>5</v>
      </c>
    </row>
    <row r="17" spans="1:10" s="88" customFormat="1" ht="22.5">
      <c r="A17" s="85" t="s">
        <v>35</v>
      </c>
      <c r="B17" s="86" t="s">
        <v>57</v>
      </c>
      <c r="C17" s="86" t="s">
        <v>58</v>
      </c>
      <c r="D17" s="86" t="s">
        <v>59</v>
      </c>
      <c r="E17" s="86" t="s">
        <v>60</v>
      </c>
      <c r="F17" s="86" t="s">
        <v>61</v>
      </c>
      <c r="G17" s="86" t="s">
        <v>62</v>
      </c>
      <c r="H17" s="87" t="s">
        <v>64</v>
      </c>
      <c r="I17" s="87" t="s">
        <v>65</v>
      </c>
      <c r="J17" s="85" t="s">
        <v>1</v>
      </c>
    </row>
    <row r="18" spans="1:10">
      <c r="A18" s="89" t="s">
        <v>41</v>
      </c>
      <c r="B18" s="90">
        <f>$B$4</f>
        <v>700</v>
      </c>
      <c r="C18" s="90">
        <f>$B$5</f>
        <v>100</v>
      </c>
      <c r="D18" s="90">
        <f>$B$6</f>
        <v>150</v>
      </c>
      <c r="E18" s="90">
        <f>$B$7</f>
        <v>20</v>
      </c>
      <c r="F18" s="90">
        <f>$B$8</f>
        <v>33.588799999999999</v>
      </c>
      <c r="G18" s="90">
        <f>$C$9</f>
        <v>145.60000000000002</v>
      </c>
      <c r="H18" s="90">
        <f>$B$10</f>
        <v>20</v>
      </c>
      <c r="I18" s="90">
        <f>$B$11</f>
        <v>400</v>
      </c>
      <c r="J18" s="91">
        <f>SUM(B18:I18)</f>
        <v>1569.1887999999999</v>
      </c>
    </row>
    <row r="19" spans="1:10">
      <c r="A19" s="89" t="s">
        <v>42</v>
      </c>
      <c r="B19" s="90">
        <f>B18</f>
        <v>700</v>
      </c>
      <c r="C19" s="90">
        <f>C18</f>
        <v>100</v>
      </c>
      <c r="D19" s="90">
        <f>D18</f>
        <v>150</v>
      </c>
      <c r="E19" s="90">
        <f>E18</f>
        <v>20</v>
      </c>
      <c r="F19" s="90">
        <f t="shared" ref="F19:F29" si="0">$B$8</f>
        <v>33.588799999999999</v>
      </c>
      <c r="G19" s="90"/>
      <c r="H19" s="90">
        <f>H18</f>
        <v>20</v>
      </c>
      <c r="I19" s="90">
        <f>I18</f>
        <v>400</v>
      </c>
      <c r="J19" s="91">
        <f>SUM(B19:I19)</f>
        <v>1423.5888</v>
      </c>
    </row>
    <row r="20" spans="1:10">
      <c r="A20" s="89" t="s">
        <v>43</v>
      </c>
      <c r="B20" s="90">
        <f t="shared" ref="B20:E29" si="1">B19</f>
        <v>700</v>
      </c>
      <c r="C20" s="90">
        <f t="shared" si="1"/>
        <v>100</v>
      </c>
      <c r="D20" s="90">
        <f t="shared" si="1"/>
        <v>150</v>
      </c>
      <c r="E20" s="90">
        <f t="shared" si="1"/>
        <v>20</v>
      </c>
      <c r="F20" s="90">
        <f t="shared" si="0"/>
        <v>33.588799999999999</v>
      </c>
      <c r="G20" s="90"/>
      <c r="H20" s="90">
        <f t="shared" ref="H20:I29" si="2">H19</f>
        <v>20</v>
      </c>
      <c r="I20" s="90">
        <f t="shared" si="2"/>
        <v>400</v>
      </c>
      <c r="J20" s="91">
        <f t="shared" ref="J20:J29" si="3">SUM(B20:I20)</f>
        <v>1423.5888</v>
      </c>
    </row>
    <row r="21" spans="1:10">
      <c r="A21" s="89" t="s">
        <v>44</v>
      </c>
      <c r="B21" s="90">
        <f t="shared" si="1"/>
        <v>700</v>
      </c>
      <c r="C21" s="90">
        <f t="shared" si="1"/>
        <v>100</v>
      </c>
      <c r="D21" s="90">
        <f t="shared" si="1"/>
        <v>150</v>
      </c>
      <c r="E21" s="90">
        <f t="shared" si="1"/>
        <v>20</v>
      </c>
      <c r="F21" s="90">
        <f t="shared" si="0"/>
        <v>33.588799999999999</v>
      </c>
      <c r="G21" s="90"/>
      <c r="H21" s="90">
        <f t="shared" si="2"/>
        <v>20</v>
      </c>
      <c r="I21" s="90">
        <f t="shared" si="2"/>
        <v>400</v>
      </c>
      <c r="J21" s="91">
        <f t="shared" si="3"/>
        <v>1423.5888</v>
      </c>
    </row>
    <row r="22" spans="1:10">
      <c r="A22" s="89" t="s">
        <v>45</v>
      </c>
      <c r="B22" s="90">
        <f t="shared" si="1"/>
        <v>700</v>
      </c>
      <c r="C22" s="90">
        <f t="shared" si="1"/>
        <v>100</v>
      </c>
      <c r="D22" s="90">
        <f t="shared" si="1"/>
        <v>150</v>
      </c>
      <c r="E22" s="90">
        <f t="shared" si="1"/>
        <v>20</v>
      </c>
      <c r="F22" s="90">
        <f t="shared" si="0"/>
        <v>33.588799999999999</v>
      </c>
      <c r="G22" s="90"/>
      <c r="H22" s="90">
        <f t="shared" si="2"/>
        <v>20</v>
      </c>
      <c r="I22" s="90">
        <f t="shared" si="2"/>
        <v>400</v>
      </c>
      <c r="J22" s="91">
        <f t="shared" si="3"/>
        <v>1423.5888</v>
      </c>
    </row>
    <row r="23" spans="1:10">
      <c r="A23" s="89" t="s">
        <v>46</v>
      </c>
      <c r="B23" s="90">
        <f t="shared" si="1"/>
        <v>700</v>
      </c>
      <c r="C23" s="90">
        <f t="shared" si="1"/>
        <v>100</v>
      </c>
      <c r="D23" s="90">
        <f t="shared" si="1"/>
        <v>150</v>
      </c>
      <c r="E23" s="90">
        <f t="shared" si="1"/>
        <v>20</v>
      </c>
      <c r="F23" s="90">
        <f t="shared" si="0"/>
        <v>33.588799999999999</v>
      </c>
      <c r="G23" s="90"/>
      <c r="H23" s="90">
        <f t="shared" si="2"/>
        <v>20</v>
      </c>
      <c r="I23" s="90">
        <f t="shared" si="2"/>
        <v>400</v>
      </c>
      <c r="J23" s="91">
        <f t="shared" si="3"/>
        <v>1423.5888</v>
      </c>
    </row>
    <row r="24" spans="1:10">
      <c r="A24" s="89" t="s">
        <v>47</v>
      </c>
      <c r="B24" s="90">
        <f t="shared" si="1"/>
        <v>700</v>
      </c>
      <c r="C24" s="90">
        <f t="shared" si="1"/>
        <v>100</v>
      </c>
      <c r="D24" s="90">
        <f t="shared" si="1"/>
        <v>150</v>
      </c>
      <c r="E24" s="90">
        <f t="shared" si="1"/>
        <v>20</v>
      </c>
      <c r="F24" s="90">
        <f t="shared" si="0"/>
        <v>33.588799999999999</v>
      </c>
      <c r="G24" s="90"/>
      <c r="H24" s="90">
        <f t="shared" si="2"/>
        <v>20</v>
      </c>
      <c r="I24" s="90">
        <f t="shared" si="2"/>
        <v>400</v>
      </c>
      <c r="J24" s="91">
        <f t="shared" si="3"/>
        <v>1423.5888</v>
      </c>
    </row>
    <row r="25" spans="1:10">
      <c r="A25" s="89" t="s">
        <v>48</v>
      </c>
      <c r="B25" s="90">
        <f t="shared" si="1"/>
        <v>700</v>
      </c>
      <c r="C25" s="90">
        <f t="shared" si="1"/>
        <v>100</v>
      </c>
      <c r="D25" s="90">
        <f t="shared" si="1"/>
        <v>150</v>
      </c>
      <c r="E25" s="90">
        <f t="shared" si="1"/>
        <v>20</v>
      </c>
      <c r="F25" s="90">
        <f t="shared" si="0"/>
        <v>33.588799999999999</v>
      </c>
      <c r="G25" s="90"/>
      <c r="H25" s="90">
        <f t="shared" si="2"/>
        <v>20</v>
      </c>
      <c r="I25" s="90">
        <f t="shared" si="2"/>
        <v>400</v>
      </c>
      <c r="J25" s="91">
        <f t="shared" si="3"/>
        <v>1423.5888</v>
      </c>
    </row>
    <row r="26" spans="1:10">
      <c r="A26" s="89" t="s">
        <v>49</v>
      </c>
      <c r="B26" s="90">
        <f t="shared" si="1"/>
        <v>700</v>
      </c>
      <c r="C26" s="90">
        <f t="shared" si="1"/>
        <v>100</v>
      </c>
      <c r="D26" s="90">
        <f t="shared" si="1"/>
        <v>150</v>
      </c>
      <c r="E26" s="90">
        <f t="shared" si="1"/>
        <v>20</v>
      </c>
      <c r="F26" s="90">
        <f t="shared" si="0"/>
        <v>33.588799999999999</v>
      </c>
      <c r="G26" s="90"/>
      <c r="H26" s="90">
        <f t="shared" si="2"/>
        <v>20</v>
      </c>
      <c r="I26" s="90">
        <f t="shared" si="2"/>
        <v>400</v>
      </c>
      <c r="J26" s="91">
        <f t="shared" si="3"/>
        <v>1423.5888</v>
      </c>
    </row>
    <row r="27" spans="1:10">
      <c r="A27" s="89" t="s">
        <v>50</v>
      </c>
      <c r="B27" s="90">
        <f t="shared" si="1"/>
        <v>700</v>
      </c>
      <c r="C27" s="90">
        <f t="shared" si="1"/>
        <v>100</v>
      </c>
      <c r="D27" s="90">
        <f t="shared" si="1"/>
        <v>150</v>
      </c>
      <c r="E27" s="90">
        <f t="shared" si="1"/>
        <v>20</v>
      </c>
      <c r="F27" s="90">
        <f t="shared" si="0"/>
        <v>33.588799999999999</v>
      </c>
      <c r="G27" s="90"/>
      <c r="H27" s="90">
        <f t="shared" si="2"/>
        <v>20</v>
      </c>
      <c r="I27" s="90">
        <f t="shared" si="2"/>
        <v>400</v>
      </c>
      <c r="J27" s="91">
        <f t="shared" si="3"/>
        <v>1423.5888</v>
      </c>
    </row>
    <row r="28" spans="1:10">
      <c r="A28" s="89" t="s">
        <v>51</v>
      </c>
      <c r="B28" s="90">
        <f t="shared" si="1"/>
        <v>700</v>
      </c>
      <c r="C28" s="90">
        <f t="shared" si="1"/>
        <v>100</v>
      </c>
      <c r="D28" s="90">
        <f t="shared" si="1"/>
        <v>150</v>
      </c>
      <c r="E28" s="90">
        <f t="shared" si="1"/>
        <v>20</v>
      </c>
      <c r="F28" s="90">
        <f t="shared" si="0"/>
        <v>33.588799999999999</v>
      </c>
      <c r="G28" s="90"/>
      <c r="H28" s="90">
        <f t="shared" si="2"/>
        <v>20</v>
      </c>
      <c r="I28" s="90">
        <f t="shared" si="2"/>
        <v>400</v>
      </c>
      <c r="J28" s="91">
        <f t="shared" si="3"/>
        <v>1423.5888</v>
      </c>
    </row>
    <row r="29" spans="1:10">
      <c r="A29" s="89" t="s">
        <v>52</v>
      </c>
      <c r="B29" s="90">
        <f t="shared" si="1"/>
        <v>700</v>
      </c>
      <c r="C29" s="90">
        <f t="shared" si="1"/>
        <v>100</v>
      </c>
      <c r="D29" s="90">
        <f t="shared" si="1"/>
        <v>150</v>
      </c>
      <c r="E29" s="90">
        <f t="shared" si="1"/>
        <v>20</v>
      </c>
      <c r="F29" s="90">
        <f t="shared" si="0"/>
        <v>33.588799999999999</v>
      </c>
      <c r="G29" s="90"/>
      <c r="H29" s="90">
        <f t="shared" si="2"/>
        <v>20</v>
      </c>
      <c r="I29" s="90">
        <f t="shared" si="2"/>
        <v>400</v>
      </c>
      <c r="J29" s="91">
        <f t="shared" si="3"/>
        <v>1423.5888</v>
      </c>
    </row>
    <row r="31" spans="1:10">
      <c r="A31" s="65" t="s">
        <v>6</v>
      </c>
    </row>
    <row r="32" spans="1:10" s="88" customFormat="1" ht="22.5">
      <c r="A32" s="85" t="s">
        <v>35</v>
      </c>
      <c r="B32" s="86" t="s">
        <v>57</v>
      </c>
      <c r="C32" s="86" t="s">
        <v>58</v>
      </c>
      <c r="D32" s="86" t="s">
        <v>59</v>
      </c>
      <c r="E32" s="86" t="s">
        <v>60</v>
      </c>
      <c r="F32" s="86" t="s">
        <v>61</v>
      </c>
      <c r="G32" s="86" t="s">
        <v>62</v>
      </c>
      <c r="H32" s="87" t="s">
        <v>64</v>
      </c>
      <c r="I32" s="87" t="s">
        <v>68</v>
      </c>
      <c r="J32" s="85" t="s">
        <v>1</v>
      </c>
    </row>
    <row r="33" spans="1:10">
      <c r="A33" s="89" t="s">
        <v>41</v>
      </c>
      <c r="B33" s="90">
        <f>$B$4</f>
        <v>700</v>
      </c>
      <c r="C33" s="90">
        <f>$B$5</f>
        <v>100</v>
      </c>
      <c r="D33" s="90">
        <f>$B$6</f>
        <v>150</v>
      </c>
      <c r="E33" s="90">
        <f>$B$7</f>
        <v>20</v>
      </c>
      <c r="F33" s="90">
        <f>$B$8</f>
        <v>33.588799999999999</v>
      </c>
      <c r="G33" s="90">
        <f>$C$9</f>
        <v>145.60000000000002</v>
      </c>
      <c r="H33" s="90">
        <f>$B$10</f>
        <v>20</v>
      </c>
      <c r="I33" s="90">
        <f>$B$11</f>
        <v>400</v>
      </c>
      <c r="J33" s="91">
        <f>SUM(B33:I33)</f>
        <v>1569.1887999999999</v>
      </c>
    </row>
    <row r="34" spans="1:10">
      <c r="A34" s="89" t="s">
        <v>42</v>
      </c>
      <c r="B34" s="90">
        <f t="shared" ref="B34:E44" si="4">B33</f>
        <v>700</v>
      </c>
      <c r="C34" s="90">
        <f t="shared" si="4"/>
        <v>100</v>
      </c>
      <c r="D34" s="90">
        <f t="shared" si="4"/>
        <v>150</v>
      </c>
      <c r="E34" s="90">
        <f t="shared" si="4"/>
        <v>20</v>
      </c>
      <c r="F34" s="90">
        <f t="shared" ref="F34:F44" si="5">$B$8</f>
        <v>33.588799999999999</v>
      </c>
      <c r="G34" s="90"/>
      <c r="H34" s="90">
        <f t="shared" ref="H34:I44" si="6">H33</f>
        <v>20</v>
      </c>
      <c r="I34" s="90">
        <f t="shared" si="6"/>
        <v>400</v>
      </c>
      <c r="J34" s="91">
        <f>SUM(B34:I34)</f>
        <v>1423.5888</v>
      </c>
    </row>
    <row r="35" spans="1:10">
      <c r="A35" s="89" t="s">
        <v>43</v>
      </c>
      <c r="B35" s="90">
        <f t="shared" si="4"/>
        <v>700</v>
      </c>
      <c r="C35" s="90">
        <f t="shared" si="4"/>
        <v>100</v>
      </c>
      <c r="D35" s="90">
        <f t="shared" si="4"/>
        <v>150</v>
      </c>
      <c r="E35" s="90">
        <f t="shared" si="4"/>
        <v>20</v>
      </c>
      <c r="F35" s="90">
        <f t="shared" si="5"/>
        <v>33.588799999999999</v>
      </c>
      <c r="G35" s="90"/>
      <c r="H35" s="90">
        <f t="shared" si="6"/>
        <v>20</v>
      </c>
      <c r="I35" s="90">
        <f t="shared" si="6"/>
        <v>400</v>
      </c>
      <c r="J35" s="91">
        <f t="shared" ref="J35:J44" si="7">SUM(B35:I35)</f>
        <v>1423.5888</v>
      </c>
    </row>
    <row r="36" spans="1:10">
      <c r="A36" s="89" t="s">
        <v>44</v>
      </c>
      <c r="B36" s="90">
        <f t="shared" si="4"/>
        <v>700</v>
      </c>
      <c r="C36" s="90">
        <f t="shared" si="4"/>
        <v>100</v>
      </c>
      <c r="D36" s="90">
        <f t="shared" si="4"/>
        <v>150</v>
      </c>
      <c r="E36" s="90">
        <f t="shared" si="4"/>
        <v>20</v>
      </c>
      <c r="F36" s="90">
        <f t="shared" si="5"/>
        <v>33.588799999999999</v>
      </c>
      <c r="G36" s="90"/>
      <c r="H36" s="90">
        <f t="shared" si="6"/>
        <v>20</v>
      </c>
      <c r="I36" s="90">
        <f t="shared" si="6"/>
        <v>400</v>
      </c>
      <c r="J36" s="91">
        <f t="shared" si="7"/>
        <v>1423.5888</v>
      </c>
    </row>
    <row r="37" spans="1:10">
      <c r="A37" s="89" t="s">
        <v>45</v>
      </c>
      <c r="B37" s="90">
        <f t="shared" si="4"/>
        <v>700</v>
      </c>
      <c r="C37" s="90">
        <f t="shared" si="4"/>
        <v>100</v>
      </c>
      <c r="D37" s="90">
        <f t="shared" si="4"/>
        <v>150</v>
      </c>
      <c r="E37" s="90">
        <f t="shared" si="4"/>
        <v>20</v>
      </c>
      <c r="F37" s="90">
        <f t="shared" si="5"/>
        <v>33.588799999999999</v>
      </c>
      <c r="G37" s="90"/>
      <c r="H37" s="90">
        <f t="shared" si="6"/>
        <v>20</v>
      </c>
      <c r="I37" s="90">
        <f t="shared" si="6"/>
        <v>400</v>
      </c>
      <c r="J37" s="91">
        <f t="shared" si="7"/>
        <v>1423.5888</v>
      </c>
    </row>
    <row r="38" spans="1:10">
      <c r="A38" s="89" t="s">
        <v>46</v>
      </c>
      <c r="B38" s="90">
        <f t="shared" si="4"/>
        <v>700</v>
      </c>
      <c r="C38" s="90">
        <f t="shared" si="4"/>
        <v>100</v>
      </c>
      <c r="D38" s="90">
        <f t="shared" si="4"/>
        <v>150</v>
      </c>
      <c r="E38" s="90">
        <f t="shared" si="4"/>
        <v>20</v>
      </c>
      <c r="F38" s="90">
        <f t="shared" si="5"/>
        <v>33.588799999999999</v>
      </c>
      <c r="G38" s="90"/>
      <c r="H38" s="90">
        <f t="shared" si="6"/>
        <v>20</v>
      </c>
      <c r="I38" s="90">
        <f t="shared" si="6"/>
        <v>400</v>
      </c>
      <c r="J38" s="91">
        <f t="shared" si="7"/>
        <v>1423.5888</v>
      </c>
    </row>
    <row r="39" spans="1:10">
      <c r="A39" s="89" t="s">
        <v>47</v>
      </c>
      <c r="B39" s="90">
        <f t="shared" si="4"/>
        <v>700</v>
      </c>
      <c r="C39" s="90">
        <f t="shared" si="4"/>
        <v>100</v>
      </c>
      <c r="D39" s="90">
        <f t="shared" si="4"/>
        <v>150</v>
      </c>
      <c r="E39" s="90">
        <f t="shared" si="4"/>
        <v>20</v>
      </c>
      <c r="F39" s="90">
        <f t="shared" si="5"/>
        <v>33.588799999999999</v>
      </c>
      <c r="G39" s="90"/>
      <c r="H39" s="90">
        <f t="shared" si="6"/>
        <v>20</v>
      </c>
      <c r="I39" s="90">
        <f t="shared" si="6"/>
        <v>400</v>
      </c>
      <c r="J39" s="91">
        <f t="shared" si="7"/>
        <v>1423.5888</v>
      </c>
    </row>
    <row r="40" spans="1:10">
      <c r="A40" s="89" t="s">
        <v>48</v>
      </c>
      <c r="B40" s="90">
        <f t="shared" si="4"/>
        <v>700</v>
      </c>
      <c r="C40" s="90">
        <f t="shared" si="4"/>
        <v>100</v>
      </c>
      <c r="D40" s="90">
        <f t="shared" si="4"/>
        <v>150</v>
      </c>
      <c r="E40" s="90">
        <f t="shared" si="4"/>
        <v>20</v>
      </c>
      <c r="F40" s="90">
        <f t="shared" si="5"/>
        <v>33.588799999999999</v>
      </c>
      <c r="G40" s="90"/>
      <c r="H40" s="90">
        <f t="shared" si="6"/>
        <v>20</v>
      </c>
      <c r="I40" s="90">
        <f t="shared" si="6"/>
        <v>400</v>
      </c>
      <c r="J40" s="91">
        <f t="shared" si="7"/>
        <v>1423.5888</v>
      </c>
    </row>
    <row r="41" spans="1:10">
      <c r="A41" s="89" t="s">
        <v>49</v>
      </c>
      <c r="B41" s="90">
        <f t="shared" si="4"/>
        <v>700</v>
      </c>
      <c r="C41" s="90">
        <f t="shared" si="4"/>
        <v>100</v>
      </c>
      <c r="D41" s="90">
        <f t="shared" si="4"/>
        <v>150</v>
      </c>
      <c r="E41" s="90">
        <f t="shared" si="4"/>
        <v>20</v>
      </c>
      <c r="F41" s="90">
        <f t="shared" si="5"/>
        <v>33.588799999999999</v>
      </c>
      <c r="G41" s="90"/>
      <c r="H41" s="90">
        <f t="shared" si="6"/>
        <v>20</v>
      </c>
      <c r="I41" s="90">
        <f t="shared" si="6"/>
        <v>400</v>
      </c>
      <c r="J41" s="91">
        <f t="shared" si="7"/>
        <v>1423.5888</v>
      </c>
    </row>
    <row r="42" spans="1:10">
      <c r="A42" s="89" t="s">
        <v>50</v>
      </c>
      <c r="B42" s="90">
        <f t="shared" si="4"/>
        <v>700</v>
      </c>
      <c r="C42" s="90">
        <f t="shared" si="4"/>
        <v>100</v>
      </c>
      <c r="D42" s="90">
        <f t="shared" si="4"/>
        <v>150</v>
      </c>
      <c r="E42" s="90">
        <f t="shared" si="4"/>
        <v>20</v>
      </c>
      <c r="F42" s="90">
        <f t="shared" si="5"/>
        <v>33.588799999999999</v>
      </c>
      <c r="G42" s="90"/>
      <c r="H42" s="90">
        <f t="shared" si="6"/>
        <v>20</v>
      </c>
      <c r="I42" s="90">
        <f t="shared" si="6"/>
        <v>400</v>
      </c>
      <c r="J42" s="91">
        <f t="shared" si="7"/>
        <v>1423.5888</v>
      </c>
    </row>
    <row r="43" spans="1:10">
      <c r="A43" s="89" t="s">
        <v>51</v>
      </c>
      <c r="B43" s="90">
        <f t="shared" si="4"/>
        <v>700</v>
      </c>
      <c r="C43" s="90">
        <f t="shared" si="4"/>
        <v>100</v>
      </c>
      <c r="D43" s="90">
        <f t="shared" si="4"/>
        <v>150</v>
      </c>
      <c r="E43" s="90">
        <f t="shared" si="4"/>
        <v>20</v>
      </c>
      <c r="F43" s="90">
        <f t="shared" si="5"/>
        <v>33.588799999999999</v>
      </c>
      <c r="G43" s="90"/>
      <c r="H43" s="90">
        <f t="shared" si="6"/>
        <v>20</v>
      </c>
      <c r="I43" s="90">
        <f t="shared" si="6"/>
        <v>400</v>
      </c>
      <c r="J43" s="91">
        <f t="shared" si="7"/>
        <v>1423.5888</v>
      </c>
    </row>
    <row r="44" spans="1:10">
      <c r="A44" s="89" t="s">
        <v>52</v>
      </c>
      <c r="B44" s="90">
        <f t="shared" si="4"/>
        <v>700</v>
      </c>
      <c r="C44" s="90">
        <f t="shared" si="4"/>
        <v>100</v>
      </c>
      <c r="D44" s="90">
        <f t="shared" si="4"/>
        <v>150</v>
      </c>
      <c r="E44" s="90">
        <f t="shared" si="4"/>
        <v>20</v>
      </c>
      <c r="F44" s="90">
        <f t="shared" si="5"/>
        <v>33.588799999999999</v>
      </c>
      <c r="G44" s="90"/>
      <c r="H44" s="90">
        <f t="shared" si="6"/>
        <v>20</v>
      </c>
      <c r="I44" s="90">
        <f t="shared" si="6"/>
        <v>400</v>
      </c>
      <c r="J44" s="91">
        <f t="shared" si="7"/>
        <v>1423.5888</v>
      </c>
    </row>
    <row r="46" spans="1:10">
      <c r="A46" s="65" t="s">
        <v>7</v>
      </c>
    </row>
    <row r="47" spans="1:10" s="88" customFormat="1" ht="22.5">
      <c r="A47" s="85" t="s">
        <v>35</v>
      </c>
      <c r="B47" s="86" t="s">
        <v>57</v>
      </c>
      <c r="C47" s="86" t="s">
        <v>58</v>
      </c>
      <c r="D47" s="86" t="s">
        <v>59</v>
      </c>
      <c r="E47" s="86" t="s">
        <v>60</v>
      </c>
      <c r="F47" s="86" t="s">
        <v>61</v>
      </c>
      <c r="G47" s="86" t="s">
        <v>62</v>
      </c>
      <c r="H47" s="87" t="s">
        <v>64</v>
      </c>
      <c r="I47" s="87" t="s">
        <v>68</v>
      </c>
      <c r="J47" s="85" t="s">
        <v>1</v>
      </c>
    </row>
    <row r="48" spans="1:10">
      <c r="A48" s="89" t="s">
        <v>41</v>
      </c>
      <c r="B48" s="90">
        <f>$B$4</f>
        <v>700</v>
      </c>
      <c r="C48" s="90">
        <f>$B$5</f>
        <v>100</v>
      </c>
      <c r="D48" s="90">
        <f>$B$6</f>
        <v>150</v>
      </c>
      <c r="E48" s="90">
        <f>$B$7</f>
        <v>20</v>
      </c>
      <c r="F48" s="90">
        <f>$B$8</f>
        <v>33.588799999999999</v>
      </c>
      <c r="G48" s="90">
        <f>$C$9</f>
        <v>145.60000000000002</v>
      </c>
      <c r="H48" s="90">
        <f>$B$10</f>
        <v>20</v>
      </c>
      <c r="I48" s="90">
        <f>$B$11</f>
        <v>400</v>
      </c>
      <c r="J48" s="91">
        <f>SUM(B48:I48)</f>
        <v>1569.1887999999999</v>
      </c>
    </row>
    <row r="49" spans="1:10">
      <c r="A49" s="89" t="s">
        <v>42</v>
      </c>
      <c r="B49" s="90">
        <f t="shared" ref="B49:E59" si="8">B48</f>
        <v>700</v>
      </c>
      <c r="C49" s="90">
        <f t="shared" si="8"/>
        <v>100</v>
      </c>
      <c r="D49" s="90">
        <f t="shared" si="8"/>
        <v>150</v>
      </c>
      <c r="E49" s="90">
        <f t="shared" si="8"/>
        <v>20</v>
      </c>
      <c r="F49" s="90">
        <f t="shared" ref="F49:F59" si="9">$B$8</f>
        <v>33.588799999999999</v>
      </c>
      <c r="G49" s="90"/>
      <c r="H49" s="90">
        <f t="shared" ref="H49:I59" si="10">H48</f>
        <v>20</v>
      </c>
      <c r="I49" s="90">
        <f t="shared" si="10"/>
        <v>400</v>
      </c>
      <c r="J49" s="91">
        <f>SUM(B49:I49)</f>
        <v>1423.5888</v>
      </c>
    </row>
    <row r="50" spans="1:10">
      <c r="A50" s="89" t="s">
        <v>43</v>
      </c>
      <c r="B50" s="90">
        <f t="shared" si="8"/>
        <v>700</v>
      </c>
      <c r="C50" s="90">
        <f t="shared" si="8"/>
        <v>100</v>
      </c>
      <c r="D50" s="90">
        <f t="shared" si="8"/>
        <v>150</v>
      </c>
      <c r="E50" s="90">
        <f t="shared" si="8"/>
        <v>20</v>
      </c>
      <c r="F50" s="90">
        <f t="shared" si="9"/>
        <v>33.588799999999999</v>
      </c>
      <c r="G50" s="90"/>
      <c r="H50" s="90">
        <f t="shared" si="10"/>
        <v>20</v>
      </c>
      <c r="I50" s="90">
        <f t="shared" si="10"/>
        <v>400</v>
      </c>
      <c r="J50" s="91">
        <f t="shared" ref="J50:J59" si="11">SUM(B50:I50)</f>
        <v>1423.5888</v>
      </c>
    </row>
    <row r="51" spans="1:10">
      <c r="A51" s="89" t="s">
        <v>44</v>
      </c>
      <c r="B51" s="90">
        <f t="shared" si="8"/>
        <v>700</v>
      </c>
      <c r="C51" s="90">
        <f t="shared" si="8"/>
        <v>100</v>
      </c>
      <c r="D51" s="90">
        <f t="shared" si="8"/>
        <v>150</v>
      </c>
      <c r="E51" s="90">
        <f t="shared" si="8"/>
        <v>20</v>
      </c>
      <c r="F51" s="90">
        <f t="shared" si="9"/>
        <v>33.588799999999999</v>
      </c>
      <c r="G51" s="90"/>
      <c r="H51" s="90">
        <f t="shared" si="10"/>
        <v>20</v>
      </c>
      <c r="I51" s="90">
        <f t="shared" si="10"/>
        <v>400</v>
      </c>
      <c r="J51" s="91">
        <f t="shared" si="11"/>
        <v>1423.5888</v>
      </c>
    </row>
    <row r="52" spans="1:10">
      <c r="A52" s="89" t="s">
        <v>45</v>
      </c>
      <c r="B52" s="90">
        <f t="shared" si="8"/>
        <v>700</v>
      </c>
      <c r="C52" s="90">
        <f t="shared" si="8"/>
        <v>100</v>
      </c>
      <c r="D52" s="90">
        <f t="shared" si="8"/>
        <v>150</v>
      </c>
      <c r="E52" s="90">
        <f t="shared" si="8"/>
        <v>20</v>
      </c>
      <c r="F52" s="90">
        <f t="shared" si="9"/>
        <v>33.588799999999999</v>
      </c>
      <c r="G52" s="90"/>
      <c r="H52" s="90">
        <f t="shared" si="10"/>
        <v>20</v>
      </c>
      <c r="I52" s="90">
        <f t="shared" si="10"/>
        <v>400</v>
      </c>
      <c r="J52" s="91">
        <f t="shared" si="11"/>
        <v>1423.5888</v>
      </c>
    </row>
    <row r="53" spans="1:10">
      <c r="A53" s="89" t="s">
        <v>46</v>
      </c>
      <c r="B53" s="90">
        <f t="shared" si="8"/>
        <v>700</v>
      </c>
      <c r="C53" s="90">
        <f t="shared" si="8"/>
        <v>100</v>
      </c>
      <c r="D53" s="90">
        <f t="shared" si="8"/>
        <v>150</v>
      </c>
      <c r="E53" s="90">
        <f t="shared" si="8"/>
        <v>20</v>
      </c>
      <c r="F53" s="90">
        <f t="shared" si="9"/>
        <v>33.588799999999999</v>
      </c>
      <c r="G53" s="90"/>
      <c r="H53" s="90">
        <f t="shared" si="10"/>
        <v>20</v>
      </c>
      <c r="I53" s="90">
        <f t="shared" si="10"/>
        <v>400</v>
      </c>
      <c r="J53" s="91">
        <f t="shared" si="11"/>
        <v>1423.5888</v>
      </c>
    </row>
    <row r="54" spans="1:10">
      <c r="A54" s="89" t="s">
        <v>47</v>
      </c>
      <c r="B54" s="90">
        <f t="shared" si="8"/>
        <v>700</v>
      </c>
      <c r="C54" s="90">
        <f t="shared" si="8"/>
        <v>100</v>
      </c>
      <c r="D54" s="90">
        <f t="shared" si="8"/>
        <v>150</v>
      </c>
      <c r="E54" s="90">
        <f t="shared" si="8"/>
        <v>20</v>
      </c>
      <c r="F54" s="90">
        <f t="shared" si="9"/>
        <v>33.588799999999999</v>
      </c>
      <c r="G54" s="90"/>
      <c r="H54" s="90">
        <f t="shared" si="10"/>
        <v>20</v>
      </c>
      <c r="I54" s="90">
        <f t="shared" si="10"/>
        <v>400</v>
      </c>
      <c r="J54" s="91">
        <f t="shared" si="11"/>
        <v>1423.5888</v>
      </c>
    </row>
    <row r="55" spans="1:10">
      <c r="A55" s="89" t="s">
        <v>48</v>
      </c>
      <c r="B55" s="90">
        <f t="shared" si="8"/>
        <v>700</v>
      </c>
      <c r="C55" s="90">
        <f t="shared" si="8"/>
        <v>100</v>
      </c>
      <c r="D55" s="90">
        <f t="shared" si="8"/>
        <v>150</v>
      </c>
      <c r="E55" s="90">
        <f t="shared" si="8"/>
        <v>20</v>
      </c>
      <c r="F55" s="90">
        <f t="shared" si="9"/>
        <v>33.588799999999999</v>
      </c>
      <c r="G55" s="90"/>
      <c r="H55" s="90">
        <f t="shared" si="10"/>
        <v>20</v>
      </c>
      <c r="I55" s="90">
        <f t="shared" si="10"/>
        <v>400</v>
      </c>
      <c r="J55" s="91">
        <f t="shared" si="11"/>
        <v>1423.5888</v>
      </c>
    </row>
    <row r="56" spans="1:10">
      <c r="A56" s="89" t="s">
        <v>49</v>
      </c>
      <c r="B56" s="90">
        <f t="shared" si="8"/>
        <v>700</v>
      </c>
      <c r="C56" s="90">
        <f t="shared" si="8"/>
        <v>100</v>
      </c>
      <c r="D56" s="90">
        <f t="shared" si="8"/>
        <v>150</v>
      </c>
      <c r="E56" s="90">
        <f t="shared" si="8"/>
        <v>20</v>
      </c>
      <c r="F56" s="90">
        <f t="shared" si="9"/>
        <v>33.588799999999999</v>
      </c>
      <c r="G56" s="90"/>
      <c r="H56" s="90">
        <f t="shared" si="10"/>
        <v>20</v>
      </c>
      <c r="I56" s="90">
        <f t="shared" si="10"/>
        <v>400</v>
      </c>
      <c r="J56" s="91">
        <f t="shared" si="11"/>
        <v>1423.5888</v>
      </c>
    </row>
    <row r="57" spans="1:10">
      <c r="A57" s="89" t="s">
        <v>50</v>
      </c>
      <c r="B57" s="90">
        <f t="shared" si="8"/>
        <v>700</v>
      </c>
      <c r="C57" s="90">
        <f t="shared" si="8"/>
        <v>100</v>
      </c>
      <c r="D57" s="90">
        <f t="shared" si="8"/>
        <v>150</v>
      </c>
      <c r="E57" s="90">
        <f t="shared" si="8"/>
        <v>20</v>
      </c>
      <c r="F57" s="90">
        <f t="shared" si="9"/>
        <v>33.588799999999999</v>
      </c>
      <c r="G57" s="90"/>
      <c r="H57" s="90">
        <f t="shared" si="10"/>
        <v>20</v>
      </c>
      <c r="I57" s="90">
        <f t="shared" si="10"/>
        <v>400</v>
      </c>
      <c r="J57" s="91">
        <f t="shared" si="11"/>
        <v>1423.5888</v>
      </c>
    </row>
    <row r="58" spans="1:10">
      <c r="A58" s="89" t="s">
        <v>51</v>
      </c>
      <c r="B58" s="90">
        <f t="shared" si="8"/>
        <v>700</v>
      </c>
      <c r="C58" s="90">
        <f t="shared" si="8"/>
        <v>100</v>
      </c>
      <c r="D58" s="90">
        <f t="shared" si="8"/>
        <v>150</v>
      </c>
      <c r="E58" s="90">
        <f t="shared" si="8"/>
        <v>20</v>
      </c>
      <c r="F58" s="90">
        <f t="shared" si="9"/>
        <v>33.588799999999999</v>
      </c>
      <c r="G58" s="90"/>
      <c r="H58" s="90">
        <f t="shared" si="10"/>
        <v>20</v>
      </c>
      <c r="I58" s="90">
        <f t="shared" si="10"/>
        <v>400</v>
      </c>
      <c r="J58" s="91">
        <f t="shared" si="11"/>
        <v>1423.5888</v>
      </c>
    </row>
    <row r="59" spans="1:10">
      <c r="A59" s="89" t="s">
        <v>52</v>
      </c>
      <c r="B59" s="90">
        <f t="shared" si="8"/>
        <v>700</v>
      </c>
      <c r="C59" s="90">
        <f t="shared" si="8"/>
        <v>100</v>
      </c>
      <c r="D59" s="90">
        <f t="shared" si="8"/>
        <v>150</v>
      </c>
      <c r="E59" s="90">
        <f t="shared" si="8"/>
        <v>20</v>
      </c>
      <c r="F59" s="90">
        <f t="shared" si="9"/>
        <v>33.588799999999999</v>
      </c>
      <c r="G59" s="90"/>
      <c r="H59" s="90">
        <f t="shared" si="10"/>
        <v>20</v>
      </c>
      <c r="I59" s="90">
        <f t="shared" si="10"/>
        <v>400</v>
      </c>
      <c r="J59" s="91">
        <f t="shared" si="11"/>
        <v>1423.5888</v>
      </c>
    </row>
    <row r="61" spans="1:10">
      <c r="A61" s="65" t="s">
        <v>8</v>
      </c>
    </row>
    <row r="62" spans="1:10" s="88" customFormat="1" ht="22.5">
      <c r="A62" s="85" t="s">
        <v>35</v>
      </c>
      <c r="B62" s="86" t="s">
        <v>57</v>
      </c>
      <c r="C62" s="86" t="s">
        <v>58</v>
      </c>
      <c r="D62" s="86" t="s">
        <v>59</v>
      </c>
      <c r="E62" s="86" t="s">
        <v>60</v>
      </c>
      <c r="F62" s="86" t="s">
        <v>61</v>
      </c>
      <c r="G62" s="86" t="s">
        <v>62</v>
      </c>
      <c r="H62" s="87" t="s">
        <v>64</v>
      </c>
      <c r="I62" s="87" t="s">
        <v>68</v>
      </c>
      <c r="J62" s="85" t="s">
        <v>1</v>
      </c>
    </row>
    <row r="63" spans="1:10">
      <c r="A63" s="89" t="s">
        <v>41</v>
      </c>
      <c r="B63" s="90">
        <f>$B$4</f>
        <v>700</v>
      </c>
      <c r="C63" s="90">
        <f>$B$5</f>
        <v>100</v>
      </c>
      <c r="D63" s="90">
        <f>$B$6</f>
        <v>150</v>
      </c>
      <c r="E63" s="90">
        <f>$B$7</f>
        <v>20</v>
      </c>
      <c r="F63" s="90">
        <f>$B$8</f>
        <v>33.588799999999999</v>
      </c>
      <c r="G63" s="90">
        <f>$C$9</f>
        <v>145.60000000000002</v>
      </c>
      <c r="H63" s="90">
        <f>$B$10</f>
        <v>20</v>
      </c>
      <c r="I63" s="90">
        <f>$B$11</f>
        <v>400</v>
      </c>
      <c r="J63" s="91">
        <f>SUM(B63:I63)</f>
        <v>1569.1887999999999</v>
      </c>
    </row>
    <row r="64" spans="1:10">
      <c r="A64" s="89" t="s">
        <v>42</v>
      </c>
      <c r="B64" s="90">
        <f t="shared" ref="B64:E74" si="12">B63</f>
        <v>700</v>
      </c>
      <c r="C64" s="90">
        <f t="shared" si="12"/>
        <v>100</v>
      </c>
      <c r="D64" s="90">
        <f t="shared" si="12"/>
        <v>150</v>
      </c>
      <c r="E64" s="90">
        <f t="shared" si="12"/>
        <v>20</v>
      </c>
      <c r="F64" s="90">
        <f t="shared" ref="F64:F74" si="13">$B$8</f>
        <v>33.588799999999999</v>
      </c>
      <c r="G64" s="90"/>
      <c r="H64" s="90">
        <f t="shared" ref="H64:I74" si="14">H63</f>
        <v>20</v>
      </c>
      <c r="I64" s="90">
        <f t="shared" si="14"/>
        <v>400</v>
      </c>
      <c r="J64" s="91">
        <f>SUM(B64:I64)</f>
        <v>1423.5888</v>
      </c>
    </row>
    <row r="65" spans="1:10">
      <c r="A65" s="89" t="s">
        <v>43</v>
      </c>
      <c r="B65" s="90">
        <f t="shared" si="12"/>
        <v>700</v>
      </c>
      <c r="C65" s="90">
        <f t="shared" si="12"/>
        <v>100</v>
      </c>
      <c r="D65" s="90">
        <f t="shared" si="12"/>
        <v>150</v>
      </c>
      <c r="E65" s="90">
        <f t="shared" si="12"/>
        <v>20</v>
      </c>
      <c r="F65" s="90">
        <f t="shared" si="13"/>
        <v>33.588799999999999</v>
      </c>
      <c r="G65" s="90"/>
      <c r="H65" s="90">
        <f t="shared" si="14"/>
        <v>20</v>
      </c>
      <c r="I65" s="90">
        <f t="shared" si="14"/>
        <v>400</v>
      </c>
      <c r="J65" s="91">
        <f t="shared" ref="J65:J74" si="15">SUM(B65:I65)</f>
        <v>1423.5888</v>
      </c>
    </row>
    <row r="66" spans="1:10">
      <c r="A66" s="89" t="s">
        <v>44</v>
      </c>
      <c r="B66" s="90">
        <f t="shared" si="12"/>
        <v>700</v>
      </c>
      <c r="C66" s="90">
        <f t="shared" si="12"/>
        <v>100</v>
      </c>
      <c r="D66" s="90">
        <f t="shared" si="12"/>
        <v>150</v>
      </c>
      <c r="E66" s="90">
        <f t="shared" si="12"/>
        <v>20</v>
      </c>
      <c r="F66" s="90">
        <f t="shared" si="13"/>
        <v>33.588799999999999</v>
      </c>
      <c r="G66" s="90"/>
      <c r="H66" s="90">
        <f t="shared" si="14"/>
        <v>20</v>
      </c>
      <c r="I66" s="90">
        <f t="shared" si="14"/>
        <v>400</v>
      </c>
      <c r="J66" s="91">
        <f t="shared" si="15"/>
        <v>1423.5888</v>
      </c>
    </row>
    <row r="67" spans="1:10">
      <c r="A67" s="89" t="s">
        <v>45</v>
      </c>
      <c r="B67" s="90">
        <f t="shared" si="12"/>
        <v>700</v>
      </c>
      <c r="C67" s="90">
        <f t="shared" si="12"/>
        <v>100</v>
      </c>
      <c r="D67" s="90">
        <f t="shared" si="12"/>
        <v>150</v>
      </c>
      <c r="E67" s="90">
        <f t="shared" si="12"/>
        <v>20</v>
      </c>
      <c r="F67" s="90">
        <f t="shared" si="13"/>
        <v>33.588799999999999</v>
      </c>
      <c r="G67" s="90"/>
      <c r="H67" s="90">
        <f t="shared" si="14"/>
        <v>20</v>
      </c>
      <c r="I67" s="90">
        <f t="shared" si="14"/>
        <v>400</v>
      </c>
      <c r="J67" s="91">
        <f t="shared" si="15"/>
        <v>1423.5888</v>
      </c>
    </row>
    <row r="68" spans="1:10">
      <c r="A68" s="89" t="s">
        <v>46</v>
      </c>
      <c r="B68" s="90">
        <f t="shared" si="12"/>
        <v>700</v>
      </c>
      <c r="C68" s="90">
        <f t="shared" si="12"/>
        <v>100</v>
      </c>
      <c r="D68" s="90">
        <f t="shared" si="12"/>
        <v>150</v>
      </c>
      <c r="E68" s="90">
        <f t="shared" si="12"/>
        <v>20</v>
      </c>
      <c r="F68" s="90">
        <f t="shared" si="13"/>
        <v>33.588799999999999</v>
      </c>
      <c r="G68" s="90"/>
      <c r="H68" s="90">
        <f t="shared" si="14"/>
        <v>20</v>
      </c>
      <c r="I68" s="90">
        <f t="shared" si="14"/>
        <v>400</v>
      </c>
      <c r="J68" s="91">
        <f t="shared" si="15"/>
        <v>1423.5888</v>
      </c>
    </row>
    <row r="69" spans="1:10">
      <c r="A69" s="89" t="s">
        <v>47</v>
      </c>
      <c r="B69" s="90">
        <f t="shared" si="12"/>
        <v>700</v>
      </c>
      <c r="C69" s="90">
        <f t="shared" si="12"/>
        <v>100</v>
      </c>
      <c r="D69" s="90">
        <f t="shared" si="12"/>
        <v>150</v>
      </c>
      <c r="E69" s="90">
        <f t="shared" si="12"/>
        <v>20</v>
      </c>
      <c r="F69" s="90">
        <f t="shared" si="13"/>
        <v>33.588799999999999</v>
      </c>
      <c r="G69" s="90"/>
      <c r="H69" s="90">
        <f t="shared" si="14"/>
        <v>20</v>
      </c>
      <c r="I69" s="90">
        <f t="shared" si="14"/>
        <v>400</v>
      </c>
      <c r="J69" s="91">
        <f t="shared" si="15"/>
        <v>1423.5888</v>
      </c>
    </row>
    <row r="70" spans="1:10">
      <c r="A70" s="89" t="s">
        <v>48</v>
      </c>
      <c r="B70" s="90">
        <f t="shared" si="12"/>
        <v>700</v>
      </c>
      <c r="C70" s="90">
        <f t="shared" si="12"/>
        <v>100</v>
      </c>
      <c r="D70" s="90">
        <f t="shared" si="12"/>
        <v>150</v>
      </c>
      <c r="E70" s="90">
        <f t="shared" si="12"/>
        <v>20</v>
      </c>
      <c r="F70" s="90">
        <f t="shared" si="13"/>
        <v>33.588799999999999</v>
      </c>
      <c r="G70" s="90"/>
      <c r="H70" s="90">
        <f t="shared" si="14"/>
        <v>20</v>
      </c>
      <c r="I70" s="90">
        <f t="shared" si="14"/>
        <v>400</v>
      </c>
      <c r="J70" s="91">
        <f t="shared" si="15"/>
        <v>1423.5888</v>
      </c>
    </row>
    <row r="71" spans="1:10">
      <c r="A71" s="89" t="s">
        <v>49</v>
      </c>
      <c r="B71" s="90">
        <f t="shared" si="12"/>
        <v>700</v>
      </c>
      <c r="C71" s="90">
        <f t="shared" si="12"/>
        <v>100</v>
      </c>
      <c r="D71" s="90">
        <f t="shared" si="12"/>
        <v>150</v>
      </c>
      <c r="E71" s="90">
        <f t="shared" si="12"/>
        <v>20</v>
      </c>
      <c r="F71" s="90">
        <f t="shared" si="13"/>
        <v>33.588799999999999</v>
      </c>
      <c r="G71" s="90"/>
      <c r="H71" s="90">
        <f t="shared" si="14"/>
        <v>20</v>
      </c>
      <c r="I71" s="90">
        <f t="shared" si="14"/>
        <v>400</v>
      </c>
      <c r="J71" s="91">
        <f t="shared" si="15"/>
        <v>1423.5888</v>
      </c>
    </row>
    <row r="72" spans="1:10">
      <c r="A72" s="89" t="s">
        <v>50</v>
      </c>
      <c r="B72" s="90">
        <f t="shared" si="12"/>
        <v>700</v>
      </c>
      <c r="C72" s="90">
        <f t="shared" si="12"/>
        <v>100</v>
      </c>
      <c r="D72" s="90">
        <f t="shared" si="12"/>
        <v>150</v>
      </c>
      <c r="E72" s="90">
        <f t="shared" si="12"/>
        <v>20</v>
      </c>
      <c r="F72" s="90">
        <f t="shared" si="13"/>
        <v>33.588799999999999</v>
      </c>
      <c r="G72" s="90"/>
      <c r="H72" s="90">
        <f t="shared" si="14"/>
        <v>20</v>
      </c>
      <c r="I72" s="90">
        <f t="shared" si="14"/>
        <v>400</v>
      </c>
      <c r="J72" s="91">
        <f t="shared" si="15"/>
        <v>1423.5888</v>
      </c>
    </row>
    <row r="73" spans="1:10">
      <c r="A73" s="89" t="s">
        <v>51</v>
      </c>
      <c r="B73" s="90">
        <f t="shared" si="12"/>
        <v>700</v>
      </c>
      <c r="C73" s="90">
        <f t="shared" si="12"/>
        <v>100</v>
      </c>
      <c r="D73" s="90">
        <f t="shared" si="12"/>
        <v>150</v>
      </c>
      <c r="E73" s="90">
        <f t="shared" si="12"/>
        <v>20</v>
      </c>
      <c r="F73" s="90">
        <f t="shared" si="13"/>
        <v>33.588799999999999</v>
      </c>
      <c r="G73" s="90"/>
      <c r="H73" s="90">
        <f t="shared" si="14"/>
        <v>20</v>
      </c>
      <c r="I73" s="90">
        <f t="shared" si="14"/>
        <v>400</v>
      </c>
      <c r="J73" s="91">
        <f t="shared" si="15"/>
        <v>1423.5888</v>
      </c>
    </row>
    <row r="74" spans="1:10">
      <c r="A74" s="89" t="s">
        <v>52</v>
      </c>
      <c r="B74" s="90">
        <f t="shared" si="12"/>
        <v>700</v>
      </c>
      <c r="C74" s="90">
        <f t="shared" si="12"/>
        <v>100</v>
      </c>
      <c r="D74" s="90">
        <f t="shared" si="12"/>
        <v>150</v>
      </c>
      <c r="E74" s="90">
        <f t="shared" si="12"/>
        <v>20</v>
      </c>
      <c r="F74" s="90">
        <f t="shared" si="13"/>
        <v>33.588799999999999</v>
      </c>
      <c r="G74" s="90"/>
      <c r="H74" s="90">
        <f t="shared" si="14"/>
        <v>20</v>
      </c>
      <c r="I74" s="90">
        <f t="shared" si="14"/>
        <v>400</v>
      </c>
      <c r="J74" s="91">
        <f t="shared" si="15"/>
        <v>1423.5888</v>
      </c>
    </row>
    <row r="76" spans="1:10">
      <c r="A76" s="65" t="s">
        <v>9</v>
      </c>
    </row>
    <row r="77" spans="1:10" s="88" customFormat="1" ht="22.5">
      <c r="A77" s="85" t="s">
        <v>35</v>
      </c>
      <c r="B77" s="86" t="s">
        <v>57</v>
      </c>
      <c r="C77" s="86" t="s">
        <v>58</v>
      </c>
      <c r="D77" s="86" t="s">
        <v>59</v>
      </c>
      <c r="E77" s="86" t="s">
        <v>60</v>
      </c>
      <c r="F77" s="86" t="s">
        <v>61</v>
      </c>
      <c r="G77" s="86" t="s">
        <v>62</v>
      </c>
      <c r="H77" s="87" t="s">
        <v>64</v>
      </c>
      <c r="I77" s="87" t="s">
        <v>68</v>
      </c>
      <c r="J77" s="85" t="s">
        <v>1</v>
      </c>
    </row>
    <row r="78" spans="1:10">
      <c r="A78" s="89" t="s">
        <v>41</v>
      </c>
      <c r="B78" s="90">
        <f>$B$4</f>
        <v>700</v>
      </c>
      <c r="C78" s="90">
        <f>$B$5</f>
        <v>100</v>
      </c>
      <c r="D78" s="90">
        <f>$B$6</f>
        <v>150</v>
      </c>
      <c r="E78" s="90">
        <f>$B$7</f>
        <v>20</v>
      </c>
      <c r="F78" s="90">
        <f>$B$8</f>
        <v>33.588799999999999</v>
      </c>
      <c r="G78" s="90">
        <f>$C$9</f>
        <v>145.60000000000002</v>
      </c>
      <c r="H78" s="90">
        <f>$B$10</f>
        <v>20</v>
      </c>
      <c r="I78" s="90">
        <f>$B$11</f>
        <v>400</v>
      </c>
      <c r="J78" s="91">
        <f>SUM(B78:I78)</f>
        <v>1569.1887999999999</v>
      </c>
    </row>
    <row r="79" spans="1:10">
      <c r="A79" s="89" t="s">
        <v>42</v>
      </c>
      <c r="B79" s="90">
        <f t="shared" ref="B79:E89" si="16">B78</f>
        <v>700</v>
      </c>
      <c r="C79" s="90">
        <f t="shared" si="16"/>
        <v>100</v>
      </c>
      <c r="D79" s="90">
        <f t="shared" si="16"/>
        <v>150</v>
      </c>
      <c r="E79" s="90">
        <f t="shared" si="16"/>
        <v>20</v>
      </c>
      <c r="F79" s="90">
        <f t="shared" ref="F79:F89" si="17">$B$8</f>
        <v>33.588799999999999</v>
      </c>
      <c r="G79" s="90"/>
      <c r="H79" s="90">
        <f t="shared" ref="H79:I89" si="18">H78</f>
        <v>20</v>
      </c>
      <c r="I79" s="90">
        <f t="shared" si="18"/>
        <v>400</v>
      </c>
      <c r="J79" s="91">
        <f>SUM(B79:I79)</f>
        <v>1423.5888</v>
      </c>
    </row>
    <row r="80" spans="1:10">
      <c r="A80" s="89" t="s">
        <v>43</v>
      </c>
      <c r="B80" s="90">
        <f t="shared" si="16"/>
        <v>700</v>
      </c>
      <c r="C80" s="90">
        <f t="shared" si="16"/>
        <v>100</v>
      </c>
      <c r="D80" s="90">
        <f t="shared" si="16"/>
        <v>150</v>
      </c>
      <c r="E80" s="90">
        <f t="shared" si="16"/>
        <v>20</v>
      </c>
      <c r="F80" s="90">
        <f t="shared" si="17"/>
        <v>33.588799999999999</v>
      </c>
      <c r="G80" s="90"/>
      <c r="H80" s="90">
        <f t="shared" si="18"/>
        <v>20</v>
      </c>
      <c r="I80" s="90">
        <f t="shared" si="18"/>
        <v>400</v>
      </c>
      <c r="J80" s="91">
        <f t="shared" ref="J80:J89" si="19">SUM(B80:I80)</f>
        <v>1423.5888</v>
      </c>
    </row>
    <row r="81" spans="1:10">
      <c r="A81" s="89" t="s">
        <v>44</v>
      </c>
      <c r="B81" s="90">
        <f t="shared" si="16"/>
        <v>700</v>
      </c>
      <c r="C81" s="90">
        <f t="shared" si="16"/>
        <v>100</v>
      </c>
      <c r="D81" s="90">
        <f t="shared" si="16"/>
        <v>150</v>
      </c>
      <c r="E81" s="90">
        <f t="shared" si="16"/>
        <v>20</v>
      </c>
      <c r="F81" s="90">
        <f t="shared" si="17"/>
        <v>33.588799999999999</v>
      </c>
      <c r="G81" s="90"/>
      <c r="H81" s="90">
        <f t="shared" si="18"/>
        <v>20</v>
      </c>
      <c r="I81" s="90">
        <f t="shared" si="18"/>
        <v>400</v>
      </c>
      <c r="J81" s="91">
        <f t="shared" si="19"/>
        <v>1423.5888</v>
      </c>
    </row>
    <row r="82" spans="1:10">
      <c r="A82" s="89" t="s">
        <v>45</v>
      </c>
      <c r="B82" s="90">
        <f t="shared" si="16"/>
        <v>700</v>
      </c>
      <c r="C82" s="90">
        <f t="shared" si="16"/>
        <v>100</v>
      </c>
      <c r="D82" s="90">
        <f t="shared" si="16"/>
        <v>150</v>
      </c>
      <c r="E82" s="90">
        <f t="shared" si="16"/>
        <v>20</v>
      </c>
      <c r="F82" s="90">
        <f t="shared" si="17"/>
        <v>33.588799999999999</v>
      </c>
      <c r="G82" s="90"/>
      <c r="H82" s="90">
        <f t="shared" si="18"/>
        <v>20</v>
      </c>
      <c r="I82" s="90">
        <f t="shared" si="18"/>
        <v>400</v>
      </c>
      <c r="J82" s="91">
        <f t="shared" si="19"/>
        <v>1423.5888</v>
      </c>
    </row>
    <row r="83" spans="1:10">
      <c r="A83" s="89" t="s">
        <v>46</v>
      </c>
      <c r="B83" s="90">
        <f t="shared" si="16"/>
        <v>700</v>
      </c>
      <c r="C83" s="90">
        <f t="shared" si="16"/>
        <v>100</v>
      </c>
      <c r="D83" s="90">
        <f t="shared" si="16"/>
        <v>150</v>
      </c>
      <c r="E83" s="90">
        <f t="shared" si="16"/>
        <v>20</v>
      </c>
      <c r="F83" s="90">
        <f t="shared" si="17"/>
        <v>33.588799999999999</v>
      </c>
      <c r="G83" s="90"/>
      <c r="H83" s="90">
        <f t="shared" si="18"/>
        <v>20</v>
      </c>
      <c r="I83" s="90">
        <f t="shared" si="18"/>
        <v>400</v>
      </c>
      <c r="J83" s="91">
        <f t="shared" si="19"/>
        <v>1423.5888</v>
      </c>
    </row>
    <row r="84" spans="1:10">
      <c r="A84" s="89" t="s">
        <v>47</v>
      </c>
      <c r="B84" s="90">
        <f t="shared" si="16"/>
        <v>700</v>
      </c>
      <c r="C84" s="90">
        <f t="shared" si="16"/>
        <v>100</v>
      </c>
      <c r="D84" s="90">
        <f t="shared" si="16"/>
        <v>150</v>
      </c>
      <c r="E84" s="90">
        <f t="shared" si="16"/>
        <v>20</v>
      </c>
      <c r="F84" s="90">
        <f t="shared" si="17"/>
        <v>33.588799999999999</v>
      </c>
      <c r="G84" s="90"/>
      <c r="H84" s="90">
        <f t="shared" si="18"/>
        <v>20</v>
      </c>
      <c r="I84" s="90">
        <f t="shared" si="18"/>
        <v>400</v>
      </c>
      <c r="J84" s="91">
        <f t="shared" si="19"/>
        <v>1423.5888</v>
      </c>
    </row>
    <row r="85" spans="1:10">
      <c r="A85" s="89" t="s">
        <v>48</v>
      </c>
      <c r="B85" s="90">
        <f t="shared" si="16"/>
        <v>700</v>
      </c>
      <c r="C85" s="90">
        <f t="shared" si="16"/>
        <v>100</v>
      </c>
      <c r="D85" s="90">
        <f t="shared" si="16"/>
        <v>150</v>
      </c>
      <c r="E85" s="90">
        <f t="shared" si="16"/>
        <v>20</v>
      </c>
      <c r="F85" s="90">
        <f t="shared" si="17"/>
        <v>33.588799999999999</v>
      </c>
      <c r="G85" s="90"/>
      <c r="H85" s="90">
        <f t="shared" si="18"/>
        <v>20</v>
      </c>
      <c r="I85" s="90">
        <f t="shared" si="18"/>
        <v>400</v>
      </c>
      <c r="J85" s="91">
        <f t="shared" si="19"/>
        <v>1423.5888</v>
      </c>
    </row>
    <row r="86" spans="1:10">
      <c r="A86" s="89" t="s">
        <v>49</v>
      </c>
      <c r="B86" s="90">
        <f t="shared" si="16"/>
        <v>700</v>
      </c>
      <c r="C86" s="90">
        <f t="shared" si="16"/>
        <v>100</v>
      </c>
      <c r="D86" s="90">
        <f t="shared" si="16"/>
        <v>150</v>
      </c>
      <c r="E86" s="90">
        <f t="shared" si="16"/>
        <v>20</v>
      </c>
      <c r="F86" s="90">
        <f t="shared" si="17"/>
        <v>33.588799999999999</v>
      </c>
      <c r="G86" s="90"/>
      <c r="H86" s="90">
        <f t="shared" si="18"/>
        <v>20</v>
      </c>
      <c r="I86" s="90">
        <f t="shared" si="18"/>
        <v>400</v>
      </c>
      <c r="J86" s="91">
        <f t="shared" si="19"/>
        <v>1423.5888</v>
      </c>
    </row>
    <row r="87" spans="1:10">
      <c r="A87" s="89" t="s">
        <v>50</v>
      </c>
      <c r="B87" s="90">
        <f t="shared" si="16"/>
        <v>700</v>
      </c>
      <c r="C87" s="90">
        <f t="shared" si="16"/>
        <v>100</v>
      </c>
      <c r="D87" s="90">
        <f t="shared" si="16"/>
        <v>150</v>
      </c>
      <c r="E87" s="90">
        <f t="shared" si="16"/>
        <v>20</v>
      </c>
      <c r="F87" s="90">
        <f t="shared" si="17"/>
        <v>33.588799999999999</v>
      </c>
      <c r="G87" s="90"/>
      <c r="H87" s="90">
        <f t="shared" si="18"/>
        <v>20</v>
      </c>
      <c r="I87" s="90">
        <f t="shared" si="18"/>
        <v>400</v>
      </c>
      <c r="J87" s="91">
        <f t="shared" si="19"/>
        <v>1423.5888</v>
      </c>
    </row>
    <row r="88" spans="1:10">
      <c r="A88" s="89" t="s">
        <v>51</v>
      </c>
      <c r="B88" s="90">
        <f t="shared" si="16"/>
        <v>700</v>
      </c>
      <c r="C88" s="90">
        <f t="shared" si="16"/>
        <v>100</v>
      </c>
      <c r="D88" s="90">
        <f t="shared" si="16"/>
        <v>150</v>
      </c>
      <c r="E88" s="90">
        <f t="shared" si="16"/>
        <v>20</v>
      </c>
      <c r="F88" s="90">
        <f t="shared" si="17"/>
        <v>33.588799999999999</v>
      </c>
      <c r="G88" s="90"/>
      <c r="H88" s="90">
        <f t="shared" si="18"/>
        <v>20</v>
      </c>
      <c r="I88" s="90">
        <f t="shared" si="18"/>
        <v>400</v>
      </c>
      <c r="J88" s="91">
        <f t="shared" si="19"/>
        <v>1423.5888</v>
      </c>
    </row>
    <row r="89" spans="1:10">
      <c r="A89" s="89" t="s">
        <v>52</v>
      </c>
      <c r="B89" s="90">
        <f t="shared" si="16"/>
        <v>700</v>
      </c>
      <c r="C89" s="90">
        <f t="shared" si="16"/>
        <v>100</v>
      </c>
      <c r="D89" s="90">
        <f t="shared" si="16"/>
        <v>150</v>
      </c>
      <c r="E89" s="90">
        <f t="shared" si="16"/>
        <v>20</v>
      </c>
      <c r="F89" s="90">
        <f t="shared" si="17"/>
        <v>33.588799999999999</v>
      </c>
      <c r="G89" s="90"/>
      <c r="H89" s="90">
        <f t="shared" si="18"/>
        <v>20</v>
      </c>
      <c r="I89" s="90">
        <f t="shared" si="18"/>
        <v>400</v>
      </c>
      <c r="J89" s="91">
        <f t="shared" si="19"/>
        <v>1423.5888</v>
      </c>
    </row>
    <row r="91" spans="1:10" ht="12" thickBot="1"/>
    <row r="92" spans="1:10" ht="12" thickBot="1">
      <c r="A92" s="66"/>
      <c r="B92" s="92" t="s">
        <v>5</v>
      </c>
      <c r="C92" s="93" t="s">
        <v>6</v>
      </c>
      <c r="D92" s="92" t="s">
        <v>7</v>
      </c>
      <c r="E92" s="93" t="s">
        <v>8</v>
      </c>
      <c r="F92" s="92" t="s">
        <v>9</v>
      </c>
    </row>
    <row r="93" spans="1:10">
      <c r="A93" s="94" t="s">
        <v>55</v>
      </c>
      <c r="B93" s="95">
        <v>74584.464000000007</v>
      </c>
      <c r="C93" s="95">
        <v>74584.464000000007</v>
      </c>
      <c r="D93" s="95">
        <v>74584.464000000007</v>
      </c>
      <c r="E93" s="95">
        <v>74584.464000000007</v>
      </c>
      <c r="F93" s="96">
        <v>74584.464000000007</v>
      </c>
    </row>
    <row r="94" spans="1:10" ht="12" thickBot="1">
      <c r="A94" s="97" t="s">
        <v>69</v>
      </c>
      <c r="B94" s="98">
        <f>SUM(J18:J29)</f>
        <v>17228.665599999997</v>
      </c>
      <c r="C94" s="98">
        <f>SUM(J33:J44)</f>
        <v>17228.665599999997</v>
      </c>
      <c r="D94" s="98">
        <f>SUM(J48:J59)</f>
        <v>17228.665599999997</v>
      </c>
      <c r="E94" s="98">
        <f>SUM(J63:J74)</f>
        <v>17228.665599999997</v>
      </c>
      <c r="F94" s="99">
        <f>SUM(J78:J89)</f>
        <v>17228.665599999997</v>
      </c>
    </row>
    <row r="95" spans="1:10" ht="12" thickBot="1">
      <c r="A95" s="100" t="s">
        <v>70</v>
      </c>
      <c r="B95" s="101">
        <f>SUM(B93:B94)</f>
        <v>91813.1296</v>
      </c>
      <c r="C95" s="101">
        <f>SUM(C93:C94)</f>
        <v>91813.1296</v>
      </c>
      <c r="D95" s="101">
        <f>SUM(D93:D94)</f>
        <v>91813.1296</v>
      </c>
      <c r="E95" s="101">
        <f>SUM(E93:E94)</f>
        <v>91813.1296</v>
      </c>
      <c r="F95" s="102">
        <f>SUM(F93:F94)</f>
        <v>91813.1296</v>
      </c>
    </row>
    <row r="97" spans="1:6" ht="12" thickBot="1"/>
    <row r="98" spans="1:6">
      <c r="A98" s="94" t="s">
        <v>284</v>
      </c>
      <c r="B98" s="95">
        <f>+B94/12</f>
        <v>1435.722133333333</v>
      </c>
      <c r="C98" s="95">
        <f t="shared" ref="C98:F98" si="20">+C94/12</f>
        <v>1435.722133333333</v>
      </c>
      <c r="D98" s="95">
        <f t="shared" si="20"/>
        <v>1435.722133333333</v>
      </c>
      <c r="E98" s="95">
        <f t="shared" si="20"/>
        <v>1435.722133333333</v>
      </c>
      <c r="F98" s="96">
        <f t="shared" si="20"/>
        <v>1435.722133333333</v>
      </c>
    </row>
    <row r="115" spans="3:7">
      <c r="C115" s="103"/>
      <c r="D115" s="103"/>
      <c r="E115" s="103"/>
      <c r="F115" s="103"/>
      <c r="G115" s="103"/>
    </row>
    <row r="116" spans="3:7">
      <c r="C116" s="104"/>
      <c r="D116" s="104"/>
      <c r="E116" s="104"/>
      <c r="F116" s="104"/>
      <c r="G116" s="104"/>
    </row>
  </sheetData>
  <mergeCells count="4">
    <mergeCell ref="E3:H3"/>
    <mergeCell ref="E12:G12"/>
    <mergeCell ref="A2:C2"/>
    <mergeCell ref="A1:J1"/>
  </mergeCells>
  <printOptions horizontalCentered="1"/>
  <pageMargins left="1.2736614173228347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H19" sqref="H19"/>
    </sheetView>
  </sheetViews>
  <sheetFormatPr baseColWidth="10" defaultRowHeight="12.75"/>
  <cols>
    <col min="1" max="1" width="22.85546875" style="42" bestFit="1" customWidth="1"/>
    <col min="2" max="2" width="17.85546875" style="42" bestFit="1" customWidth="1"/>
    <col min="3" max="5" width="10.85546875" style="105" bestFit="1" customWidth="1"/>
    <col min="6" max="7" width="10.85546875" style="42" bestFit="1" customWidth="1"/>
    <col min="8" max="8" width="15.7109375" style="42" customWidth="1"/>
    <col min="9" max="16384" width="11.42578125" style="42"/>
  </cols>
  <sheetData>
    <row r="1" spans="1:8" ht="26.25">
      <c r="A1" s="389" t="s">
        <v>274</v>
      </c>
      <c r="B1" s="389"/>
      <c r="C1" s="389"/>
      <c r="D1" s="389"/>
      <c r="E1" s="389"/>
      <c r="F1" s="389"/>
      <c r="G1" s="389"/>
    </row>
    <row r="2" spans="1:8">
      <c r="A2" s="400" t="s">
        <v>151</v>
      </c>
      <c r="B2" s="400"/>
      <c r="C2" s="400"/>
      <c r="D2" s="400"/>
      <c r="E2" s="400"/>
      <c r="F2" s="400"/>
      <c r="G2" s="400"/>
    </row>
    <row r="3" spans="1:8" ht="13.5" thickBot="1"/>
    <row r="4" spans="1:8" s="106" customFormat="1" ht="13.5" thickBot="1">
      <c r="B4" s="107" t="s">
        <v>105</v>
      </c>
      <c r="C4" s="108" t="s">
        <v>5</v>
      </c>
      <c r="D4" s="108" t="s">
        <v>6</v>
      </c>
      <c r="E4" s="108" t="s">
        <v>7</v>
      </c>
      <c r="F4" s="108" t="s">
        <v>8</v>
      </c>
      <c r="G4" s="109" t="s">
        <v>9</v>
      </c>
    </row>
    <row r="5" spans="1:8">
      <c r="A5" s="110" t="s">
        <v>103</v>
      </c>
      <c r="B5" s="54">
        <v>150</v>
      </c>
      <c r="C5" s="111">
        <v>157.38067788794098</v>
      </c>
      <c r="D5" s="111">
        <v>173.1187456767351</v>
      </c>
      <c r="E5" s="111">
        <v>190.43062024440863</v>
      </c>
      <c r="F5" s="111">
        <v>209.47368226884947</v>
      </c>
      <c r="G5" s="111">
        <v>230.42105049573445</v>
      </c>
    </row>
    <row r="6" spans="1:8">
      <c r="A6" s="52" t="s">
        <v>104</v>
      </c>
      <c r="B6" s="53">
        <v>400</v>
      </c>
      <c r="C6" s="112">
        <v>61.491353470140645</v>
      </c>
      <c r="D6" s="112">
        <v>67.640488817154719</v>
      </c>
      <c r="E6" s="112">
        <v>74.4045376988702</v>
      </c>
      <c r="F6" s="112">
        <v>81.844991468757229</v>
      </c>
      <c r="G6" s="112">
        <v>90.029490615632952</v>
      </c>
    </row>
    <row r="7" spans="1:8" ht="13.5" thickBot="1">
      <c r="A7" s="113" t="s">
        <v>102</v>
      </c>
      <c r="B7" s="114">
        <v>67.2</v>
      </c>
      <c r="C7" s="112">
        <v>10.093613096610559</v>
      </c>
      <c r="D7" s="112">
        <v>11.102974406271617</v>
      </c>
      <c r="E7" s="112">
        <v>12.213271846898781</v>
      </c>
      <c r="F7" s="112">
        <v>13.434599031588661</v>
      </c>
      <c r="G7" s="112">
        <v>14.778058934747525</v>
      </c>
    </row>
    <row r="8" spans="1:8" ht="13.5" thickBot="1">
      <c r="B8" s="114">
        <f>SUM(B5:B7)</f>
        <v>617.20000000000005</v>
      </c>
      <c r="C8" s="112">
        <v>193.50518791791558</v>
      </c>
      <c r="D8" s="112">
        <v>212.85570670970719</v>
      </c>
      <c r="E8" s="112">
        <v>234.14127738067793</v>
      </c>
      <c r="F8" s="112">
        <v>257.55540511874574</v>
      </c>
      <c r="G8" s="112">
        <v>283.31094563062032</v>
      </c>
    </row>
    <row r="9" spans="1:8">
      <c r="C9" s="112">
        <v>5.0468065483052795</v>
      </c>
      <c r="D9" s="112">
        <v>5.5514872031358085</v>
      </c>
      <c r="E9" s="112">
        <v>6.1066359234493905</v>
      </c>
      <c r="F9" s="112">
        <v>6.7172995157943305</v>
      </c>
      <c r="G9" s="112">
        <v>7.3890294673737626</v>
      </c>
    </row>
    <row r="10" spans="1:8" ht="13.5" thickBot="1">
      <c r="C10" s="115">
        <v>148.48236107908693</v>
      </c>
      <c r="D10" s="115">
        <v>163.33059718699565</v>
      </c>
      <c r="E10" s="115">
        <v>179.66365690569523</v>
      </c>
      <c r="F10" s="115">
        <v>197.63002259626472</v>
      </c>
      <c r="G10" s="115">
        <v>217.39302485589124</v>
      </c>
    </row>
    <row r="11" spans="1:8" ht="13.5" thickBot="1">
      <c r="C11" s="116">
        <f>SUM(C5:C10)</f>
        <v>576</v>
      </c>
      <c r="D11" s="116">
        <f>SUM(D5:D10)</f>
        <v>633.60000000000014</v>
      </c>
      <c r="E11" s="116">
        <f t="shared" ref="E11:G11" si="0">SUM(E5:E10)</f>
        <v>696.96000000000015</v>
      </c>
      <c r="F11" s="116">
        <f t="shared" si="0"/>
        <v>766.65600000000018</v>
      </c>
      <c r="G11" s="116">
        <f t="shared" si="0"/>
        <v>843.32160000000033</v>
      </c>
    </row>
    <row r="12" spans="1:8" ht="13.5" thickBot="1">
      <c r="C12" s="42"/>
      <c r="D12" s="42"/>
      <c r="E12" s="42"/>
    </row>
    <row r="13" spans="1:8" ht="13.5" thickBot="1">
      <c r="C13" s="117" t="s">
        <v>5</v>
      </c>
      <c r="D13" s="117" t="s">
        <v>6</v>
      </c>
      <c r="E13" s="117" t="s">
        <v>7</v>
      </c>
      <c r="F13" s="117" t="s">
        <v>8</v>
      </c>
      <c r="G13" s="118" t="s">
        <v>9</v>
      </c>
    </row>
    <row r="14" spans="1:8" ht="13.5" thickBot="1">
      <c r="B14" s="119" t="s">
        <v>152</v>
      </c>
      <c r="C14" s="120">
        <f>$B$8*C11</f>
        <v>355507.20000000001</v>
      </c>
      <c r="D14" s="120">
        <f t="shared" ref="D14:G14" si="1">$B$8*D11</f>
        <v>391057.9200000001</v>
      </c>
      <c r="E14" s="120">
        <f t="shared" si="1"/>
        <v>430163.71200000012</v>
      </c>
      <c r="F14" s="120">
        <f t="shared" si="1"/>
        <v>473180.08320000017</v>
      </c>
      <c r="G14" s="120">
        <f t="shared" si="1"/>
        <v>520498.09152000025</v>
      </c>
      <c r="H14" s="121">
        <v>12</v>
      </c>
    </row>
    <row r="15" spans="1:8" ht="13.5" thickBot="1">
      <c r="C15" s="64"/>
      <c r="D15" s="64"/>
      <c r="E15" s="64"/>
      <c r="F15" s="64"/>
      <c r="G15" s="64"/>
    </row>
    <row r="16" spans="1:8" ht="13.5" thickBot="1">
      <c r="B16" s="122" t="s">
        <v>150</v>
      </c>
      <c r="C16" s="123">
        <f>C14/$H$14</f>
        <v>29625.600000000002</v>
      </c>
      <c r="D16" s="123">
        <f t="shared" ref="D16:G16" si="2">D14/$H$14</f>
        <v>32588.160000000007</v>
      </c>
      <c r="E16" s="123">
        <f t="shared" si="2"/>
        <v>35846.97600000001</v>
      </c>
      <c r="F16" s="123">
        <f t="shared" si="2"/>
        <v>39431.673600000016</v>
      </c>
      <c r="G16" s="123">
        <f t="shared" si="2"/>
        <v>43374.840960000023</v>
      </c>
    </row>
    <row r="17" spans="3:7">
      <c r="C17" s="64"/>
      <c r="D17" s="64"/>
      <c r="E17" s="64"/>
      <c r="F17" s="64"/>
      <c r="G17" s="64"/>
    </row>
    <row r="18" spans="3:7">
      <c r="C18" s="64"/>
      <c r="D18" s="64"/>
      <c r="E18" s="64"/>
      <c r="F18" s="64"/>
      <c r="G18" s="64"/>
    </row>
    <row r="19" spans="3:7">
      <c r="C19" s="33"/>
      <c r="D19" s="33"/>
      <c r="E19" s="33"/>
      <c r="F19" s="33"/>
      <c r="G19" s="33"/>
    </row>
    <row r="20" spans="3:7">
      <c r="C20" s="33"/>
      <c r="D20" s="33"/>
      <c r="E20" s="33"/>
      <c r="F20" s="33"/>
      <c r="G20" s="33"/>
    </row>
    <row r="21" spans="3:7">
      <c r="C21" s="33"/>
      <c r="D21" s="33"/>
      <c r="E21" s="33"/>
      <c r="F21" s="33"/>
      <c r="G21" s="33"/>
    </row>
    <row r="22" spans="3:7">
      <c r="C22" s="33"/>
      <c r="D22" s="33"/>
      <c r="E22" s="33"/>
      <c r="F22" s="33"/>
      <c r="G22" s="33"/>
    </row>
    <row r="23" spans="3:7">
      <c r="C23" s="34"/>
      <c r="D23" s="124"/>
      <c r="E23" s="124"/>
      <c r="F23" s="125"/>
      <c r="G23" s="125"/>
    </row>
    <row r="24" spans="3:7">
      <c r="C24" s="126"/>
      <c r="D24" s="126"/>
      <c r="E24" s="126"/>
    </row>
    <row r="25" spans="3:7">
      <c r="C25" s="126"/>
      <c r="D25" s="126"/>
      <c r="E25" s="126"/>
    </row>
    <row r="26" spans="3:7">
      <c r="C26" s="126"/>
      <c r="D26" s="126"/>
      <c r="E26" s="126"/>
    </row>
    <row r="27" spans="3:7">
      <c r="C27" s="126"/>
      <c r="D27" s="126"/>
      <c r="E27" s="126"/>
    </row>
    <row r="28" spans="3:7">
      <c r="C28" s="126"/>
      <c r="D28" s="126"/>
      <c r="E28" s="126"/>
    </row>
    <row r="29" spans="3:7">
      <c r="C29" s="126"/>
      <c r="D29" s="126"/>
      <c r="E29" s="126"/>
    </row>
    <row r="30" spans="3:7">
      <c r="C30" s="126"/>
      <c r="D30" s="126"/>
      <c r="E30" s="126"/>
    </row>
  </sheetData>
  <mergeCells count="2">
    <mergeCell ref="A2:G2"/>
    <mergeCell ref="A1:G1"/>
  </mergeCells>
  <printOptions horizontalCentered="1"/>
  <pageMargins left="1.5748031496062993" right="0.70866141732283472" top="1.3130314960629921" bottom="0.74803149606299213" header="0.31496062992125984" footer="0.31496062992125984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J32"/>
  <sheetViews>
    <sheetView workbookViewId="0">
      <selection activeCell="B1" sqref="B1:H28"/>
    </sheetView>
  </sheetViews>
  <sheetFormatPr baseColWidth="10" defaultColWidth="12" defaultRowHeight="12.75"/>
  <cols>
    <col min="1" max="1" width="12" style="42"/>
    <col min="2" max="2" width="30" style="31" customWidth="1"/>
    <col min="3" max="3" width="10.5703125" style="42" customWidth="1"/>
    <col min="4" max="4" width="11.42578125" style="42" bestFit="1" customWidth="1"/>
    <col min="5" max="5" width="11.28515625" style="42" bestFit="1" customWidth="1"/>
    <col min="6" max="7" width="9.5703125" style="42" bestFit="1" customWidth="1"/>
    <col min="8" max="8" width="10.140625" style="42" customWidth="1"/>
    <col min="9" max="16384" width="12" style="42"/>
  </cols>
  <sheetData>
    <row r="1" spans="2:8" ht="29.25" thickBot="1">
      <c r="B1" s="414" t="s">
        <v>275</v>
      </c>
      <c r="C1" s="414"/>
      <c r="D1" s="414"/>
      <c r="E1" s="414"/>
      <c r="F1" s="414"/>
      <c r="G1" s="414"/>
      <c r="H1" s="414"/>
    </row>
    <row r="2" spans="2:8">
      <c r="B2" s="415" t="s">
        <v>155</v>
      </c>
      <c r="C2" s="416"/>
      <c r="D2" s="416"/>
      <c r="E2" s="416"/>
      <c r="F2" s="416"/>
      <c r="G2" s="416"/>
      <c r="H2" s="417"/>
    </row>
    <row r="3" spans="2:8" ht="13.5" thickBot="1">
      <c r="B3" s="418"/>
      <c r="C3" s="419"/>
      <c r="D3" s="419"/>
      <c r="E3" s="419"/>
      <c r="F3" s="419"/>
      <c r="G3" s="419"/>
      <c r="H3" s="420"/>
    </row>
    <row r="4" spans="2:8" s="31" customFormat="1" ht="17.25" thickBot="1">
      <c r="B4" s="127"/>
      <c r="C4" s="380" t="s">
        <v>156</v>
      </c>
      <c r="D4" s="128" t="s">
        <v>157</v>
      </c>
      <c r="E4" s="129" t="s">
        <v>158</v>
      </c>
      <c r="F4" s="128" t="s">
        <v>159</v>
      </c>
      <c r="G4" s="129" t="s">
        <v>160</v>
      </c>
      <c r="H4" s="130" t="s">
        <v>161</v>
      </c>
    </row>
    <row r="5" spans="2:8" s="31" customFormat="1" ht="11.25">
      <c r="B5" s="131" t="s">
        <v>162</v>
      </c>
      <c r="C5" s="139"/>
      <c r="D5" s="140"/>
      <c r="E5" s="139"/>
      <c r="F5" s="140"/>
      <c r="G5" s="139"/>
      <c r="H5" s="141"/>
    </row>
    <row r="6" spans="2:8" s="31" customFormat="1" ht="12" thickBot="1">
      <c r="B6" s="133" t="s">
        <v>163</v>
      </c>
      <c r="C6" s="139"/>
      <c r="D6" s="140">
        <v>460800</v>
      </c>
      <c r="E6" s="139">
        <v>506880.00000000012</v>
      </c>
      <c r="F6" s="140">
        <v>557568.00000000012</v>
      </c>
      <c r="G6" s="139">
        <v>613324.80000000016</v>
      </c>
      <c r="H6" s="141">
        <v>674657.28000000026</v>
      </c>
    </row>
    <row r="7" spans="2:8" s="31" customFormat="1" ht="12" thickBot="1">
      <c r="B7" s="134" t="s">
        <v>164</v>
      </c>
      <c r="C7" s="142"/>
      <c r="D7" s="142">
        <f>D6</f>
        <v>460800</v>
      </c>
      <c r="E7" s="142">
        <f t="shared" ref="E7:H7" si="0">E6</f>
        <v>506880.00000000012</v>
      </c>
      <c r="F7" s="142">
        <f t="shared" si="0"/>
        <v>557568.00000000012</v>
      </c>
      <c r="G7" s="142">
        <f t="shared" si="0"/>
        <v>613324.80000000016</v>
      </c>
      <c r="H7" s="142">
        <f t="shared" si="0"/>
        <v>674657.28000000026</v>
      </c>
    </row>
    <row r="8" spans="2:8" s="31" customFormat="1" ht="11.25">
      <c r="B8" s="133"/>
      <c r="C8" s="139"/>
      <c r="D8" s="140"/>
      <c r="E8" s="139"/>
      <c r="F8" s="140"/>
      <c r="G8" s="139"/>
      <c r="H8" s="146"/>
    </row>
    <row r="9" spans="2:8" s="31" customFormat="1" ht="11.25">
      <c r="B9" s="131" t="s">
        <v>165</v>
      </c>
      <c r="C9" s="139"/>
      <c r="D9" s="140"/>
      <c r="E9" s="139"/>
      <c r="F9" s="140"/>
      <c r="G9" s="139"/>
      <c r="H9" s="139"/>
    </row>
    <row r="10" spans="2:8" s="31" customFormat="1" ht="11.25">
      <c r="B10" s="133" t="s">
        <v>166</v>
      </c>
      <c r="C10" s="139"/>
      <c r="D10" s="140">
        <v>74584.464000000007</v>
      </c>
      <c r="E10" s="139">
        <v>74584.464000000007</v>
      </c>
      <c r="F10" s="139">
        <v>74584.464000000007</v>
      </c>
      <c r="G10" s="139">
        <v>74584.464000000007</v>
      </c>
      <c r="H10" s="139">
        <v>74584.464000000007</v>
      </c>
    </row>
    <row r="11" spans="2:8" s="31" customFormat="1" ht="11.25">
      <c r="B11" s="133" t="s">
        <v>167</v>
      </c>
      <c r="C11" s="139"/>
      <c r="D11" s="140">
        <v>17228.665599999997</v>
      </c>
      <c r="E11" s="139">
        <v>17228.665599999997</v>
      </c>
      <c r="F11" s="139">
        <v>17228.665599999997</v>
      </c>
      <c r="G11" s="139">
        <v>17228.665599999997</v>
      </c>
      <c r="H11" s="139">
        <v>17228.665599999997</v>
      </c>
    </row>
    <row r="12" spans="2:8" s="31" customFormat="1" ht="11.25">
      <c r="B12" s="133" t="s">
        <v>191</v>
      </c>
      <c r="C12" s="139"/>
      <c r="D12" s="140">
        <v>355507.20000000001</v>
      </c>
      <c r="E12" s="139">
        <v>391057.9200000001</v>
      </c>
      <c r="F12" s="139">
        <v>430163.71200000012</v>
      </c>
      <c r="G12" s="139">
        <v>473180.08320000017</v>
      </c>
      <c r="H12" s="139">
        <v>520498.09152000025</v>
      </c>
    </row>
    <row r="13" spans="2:8" s="31" customFormat="1" ht="11.25">
      <c r="B13" s="133" t="s">
        <v>168</v>
      </c>
      <c r="C13" s="139"/>
      <c r="D13" s="143">
        <f>$C$26*0.091</f>
        <v>1359.9949999999999</v>
      </c>
      <c r="E13" s="143">
        <f t="shared" ref="E13:H13" si="1">$C$26*0.091</f>
        <v>1359.9949999999999</v>
      </c>
      <c r="F13" s="143">
        <f t="shared" si="1"/>
        <v>1359.9949999999999</v>
      </c>
      <c r="G13" s="143">
        <f t="shared" si="1"/>
        <v>1359.9949999999999</v>
      </c>
      <c r="H13" s="139">
        <f t="shared" si="1"/>
        <v>1359.9949999999999</v>
      </c>
    </row>
    <row r="14" spans="2:8" s="31" customFormat="1" ht="12" thickBot="1">
      <c r="B14" s="133" t="s">
        <v>169</v>
      </c>
      <c r="C14" s="139"/>
      <c r="D14" s="139">
        <v>4417.3333333333339</v>
      </c>
      <c r="E14" s="139">
        <v>4417.3333333333339</v>
      </c>
      <c r="F14" s="139">
        <v>4417.3333333333339</v>
      </c>
      <c r="G14" s="139">
        <v>4417.3333333333339</v>
      </c>
      <c r="H14" s="298">
        <v>4417.3333333333339</v>
      </c>
    </row>
    <row r="15" spans="2:8" s="31" customFormat="1" ht="12" thickBot="1">
      <c r="B15" s="134" t="s">
        <v>170</v>
      </c>
      <c r="C15" s="142"/>
      <c r="D15" s="142">
        <f>SUM(D10:D14)</f>
        <v>453097.65793333331</v>
      </c>
      <c r="E15" s="142">
        <f>SUM(E10:E14)</f>
        <v>488648.3779333334</v>
      </c>
      <c r="F15" s="144">
        <f>SUM(F10:F14)</f>
        <v>527754.16993333341</v>
      </c>
      <c r="G15" s="142">
        <f>SUM(G10:G14)</f>
        <v>570770.54113333358</v>
      </c>
      <c r="H15" s="142">
        <f>SUM(H10:H14)</f>
        <v>618088.5494533336</v>
      </c>
    </row>
    <row r="16" spans="2:8" s="31" customFormat="1" ht="11.25">
      <c r="B16" s="135" t="s">
        <v>134</v>
      </c>
      <c r="C16" s="139"/>
      <c r="D16" s="139">
        <f>+D7-D15</f>
        <v>7702.3420666666934</v>
      </c>
      <c r="E16" s="139">
        <f t="shared" ref="E16:H16" si="2">+E7-E15</f>
        <v>18231.622066666721</v>
      </c>
      <c r="F16" s="139">
        <f t="shared" si="2"/>
        <v>29813.830066666706</v>
      </c>
      <c r="G16" s="139">
        <f t="shared" si="2"/>
        <v>42554.258866666583</v>
      </c>
      <c r="H16" s="139">
        <f t="shared" si="2"/>
        <v>56568.730546666658</v>
      </c>
    </row>
    <row r="17" spans="2:10" s="31" customFormat="1" ht="11.25">
      <c r="B17" s="133" t="s">
        <v>171</v>
      </c>
      <c r="C17" s="139"/>
      <c r="D17" s="139">
        <f>D16*0.15</f>
        <v>1155.3513100000039</v>
      </c>
      <c r="E17" s="139">
        <f t="shared" ref="E17:H17" si="3">E16*0.15</f>
        <v>2734.743310000008</v>
      </c>
      <c r="F17" s="139">
        <f t="shared" si="3"/>
        <v>4472.0745100000058</v>
      </c>
      <c r="G17" s="139">
        <f t="shared" si="3"/>
        <v>6383.1388299999871</v>
      </c>
      <c r="H17" s="139">
        <f t="shared" si="3"/>
        <v>8485.309581999998</v>
      </c>
    </row>
    <row r="18" spans="2:10" s="31" customFormat="1" ht="11.25">
      <c r="B18" s="133" t="s">
        <v>283</v>
      </c>
      <c r="C18" s="139"/>
      <c r="D18" s="139">
        <f>+D16-D17</f>
        <v>6546.9907566666898</v>
      </c>
      <c r="E18" s="139">
        <f t="shared" ref="E18:H18" si="4">+E16-E17</f>
        <v>15496.878756666712</v>
      </c>
      <c r="F18" s="139">
        <f t="shared" si="4"/>
        <v>25341.7555566667</v>
      </c>
      <c r="G18" s="139">
        <f t="shared" si="4"/>
        <v>36171.120036666594</v>
      </c>
      <c r="H18" s="139">
        <f t="shared" si="4"/>
        <v>48083.420964666657</v>
      </c>
    </row>
    <row r="19" spans="2:10" s="31" customFormat="1" ht="12" thickBot="1">
      <c r="B19" s="133" t="s">
        <v>172</v>
      </c>
      <c r="C19" s="145"/>
      <c r="D19" s="139">
        <f>+D18*0.25</f>
        <v>1636.7476891666724</v>
      </c>
      <c r="E19" s="139">
        <f t="shared" ref="E19:H19" si="5">+E18*0.25</f>
        <v>3874.2196891666781</v>
      </c>
      <c r="F19" s="139">
        <f t="shared" si="5"/>
        <v>6335.4388891666749</v>
      </c>
      <c r="G19" s="139">
        <f t="shared" si="5"/>
        <v>9042.7800091666486</v>
      </c>
      <c r="H19" s="139">
        <f t="shared" si="5"/>
        <v>12020.855241166664</v>
      </c>
    </row>
    <row r="20" spans="2:10" s="31" customFormat="1" ht="12" thickBot="1">
      <c r="B20" s="134" t="s">
        <v>173</v>
      </c>
      <c r="C20" s="142"/>
      <c r="D20" s="142">
        <f>+D18-D19</f>
        <v>4910.2430675000178</v>
      </c>
      <c r="E20" s="142">
        <f t="shared" ref="E20:H20" si="6">+E18-E19</f>
        <v>11622.659067500033</v>
      </c>
      <c r="F20" s="142">
        <f t="shared" si="6"/>
        <v>19006.316667500025</v>
      </c>
      <c r="G20" s="142">
        <f t="shared" si="6"/>
        <v>27128.340027499944</v>
      </c>
      <c r="H20" s="142">
        <f t="shared" si="6"/>
        <v>36062.565723499996</v>
      </c>
    </row>
    <row r="21" spans="2:10" s="31" customFormat="1" ht="11.25">
      <c r="B21" s="133" t="s">
        <v>174</v>
      </c>
      <c r="C21" s="139"/>
      <c r="D21" s="146">
        <v>4417.3333333333339</v>
      </c>
      <c r="E21" s="146">
        <v>4417.3333333333339</v>
      </c>
      <c r="F21" s="146">
        <v>4417.3333333333339</v>
      </c>
      <c r="G21" s="146">
        <v>4417.3333333333339</v>
      </c>
      <c r="H21" s="146">
        <v>4417.3333333333339</v>
      </c>
      <c r="J21" s="185"/>
    </row>
    <row r="22" spans="2:10" s="31" customFormat="1" ht="11.25">
      <c r="B22" s="133" t="s">
        <v>175</v>
      </c>
      <c r="C22" s="139"/>
      <c r="D22" s="139">
        <v>-2662.4775543742026</v>
      </c>
      <c r="E22" s="139">
        <v>-2904.7630118222542</v>
      </c>
      <c r="F22" s="139">
        <v>-3169.0964458980798</v>
      </c>
      <c r="G22" s="139">
        <v>-3457.4842224748045</v>
      </c>
      <c r="H22" s="139">
        <v>-3772.1152867200121</v>
      </c>
    </row>
    <row r="23" spans="2:10" s="31" customFormat="1" ht="11.25">
      <c r="B23" s="133" t="s">
        <v>176</v>
      </c>
      <c r="C23" s="145"/>
      <c r="D23" s="139"/>
      <c r="E23" s="139"/>
      <c r="F23" s="139">
        <v>-1550</v>
      </c>
      <c r="G23" s="139"/>
      <c r="H23" s="139"/>
    </row>
    <row r="24" spans="2:10" s="31" customFormat="1" ht="11.25">
      <c r="B24" s="133" t="s">
        <v>156</v>
      </c>
      <c r="C24" s="145">
        <v>-29890</v>
      </c>
      <c r="D24" s="139"/>
      <c r="E24" s="139"/>
      <c r="F24" s="139"/>
      <c r="G24" s="139"/>
      <c r="H24" s="139"/>
    </row>
    <row r="25" spans="2:10" s="31" customFormat="1" ht="11.25">
      <c r="B25" s="133" t="s">
        <v>177</v>
      </c>
      <c r="C25" s="139">
        <f>'CAPITAL DE TRABAJO '!C19</f>
        <v>-37276.694133333338</v>
      </c>
      <c r="D25" s="139"/>
      <c r="E25" s="139"/>
      <c r="F25" s="139"/>
      <c r="G25" s="139"/>
      <c r="H25" s="139">
        <f>-C25</f>
        <v>37276.694133333338</v>
      </c>
    </row>
    <row r="26" spans="2:10" s="31" customFormat="1" ht="11.25">
      <c r="B26" s="133" t="s">
        <v>178</v>
      </c>
      <c r="C26" s="139">
        <v>14945</v>
      </c>
      <c r="D26" s="139"/>
      <c r="E26" s="139"/>
      <c r="F26" s="139"/>
      <c r="G26" s="139"/>
      <c r="H26" s="139"/>
    </row>
    <row r="27" spans="2:10" s="31" customFormat="1" ht="11.25">
      <c r="B27" s="133" t="s">
        <v>179</v>
      </c>
      <c r="C27" s="139"/>
      <c r="D27" s="139"/>
      <c r="E27" s="139"/>
      <c r="F27" s="139"/>
      <c r="G27" s="139"/>
      <c r="H27" s="139">
        <v>0</v>
      </c>
    </row>
    <row r="28" spans="2:10" s="31" customFormat="1" ht="12" thickBot="1">
      <c r="B28" s="136" t="s">
        <v>180</v>
      </c>
      <c r="C28" s="147">
        <f>SUM(C24:C27)</f>
        <v>-52221.694133333338</v>
      </c>
      <c r="D28" s="147">
        <f>SUM(D20:D27)</f>
        <v>6665.0988464591492</v>
      </c>
      <c r="E28" s="147">
        <f>SUM(E20:E27)</f>
        <v>13135.229389011114</v>
      </c>
      <c r="F28" s="147">
        <f>SUM(F20:F27)</f>
        <v>18704.553554935279</v>
      </c>
      <c r="G28" s="147">
        <f>SUM(G20:G27)</f>
        <v>28088.189138358473</v>
      </c>
      <c r="H28" s="147">
        <f>SUM(H20:H27)</f>
        <v>73984.477903446648</v>
      </c>
    </row>
    <row r="29" spans="2:10" s="31" customFormat="1" ht="11.25"/>
    <row r="30" spans="2:10" s="31" customFormat="1" ht="11.25">
      <c r="E30" s="137"/>
    </row>
    <row r="31" spans="2:10" s="31" customFormat="1" ht="11.25">
      <c r="D31" s="138"/>
      <c r="E31" s="138"/>
    </row>
    <row r="32" spans="2:10">
      <c r="D32" s="322"/>
    </row>
  </sheetData>
  <mergeCells count="2">
    <mergeCell ref="B2:H3"/>
    <mergeCell ref="B1:H1"/>
  </mergeCells>
  <printOptions horizontalCentered="1" verticalCentered="1"/>
  <pageMargins left="1.3474015748031496" right="0.78740157480314965" top="0.74803149606299213" bottom="0.74803149606299213" header="0" footer="0"/>
  <pageSetup paperSize="9" scale="95" orientation="landscape" r:id="rId1"/>
  <ignoredErrors>
    <ignoredError sqref="D28" formulaRange="1"/>
    <ignoredError sqref="D19:H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6"/>
    </sheetView>
  </sheetViews>
  <sheetFormatPr baseColWidth="10" defaultRowHeight="15"/>
  <cols>
    <col min="2" max="2" width="46" bestFit="1" customWidth="1"/>
    <col min="3" max="3" width="12.42578125" bestFit="1" customWidth="1"/>
  </cols>
  <sheetData>
    <row r="1" spans="1:3" ht="26.25">
      <c r="A1" s="389" t="s">
        <v>276</v>
      </c>
      <c r="B1" s="389"/>
      <c r="C1" s="389"/>
    </row>
    <row r="3" spans="1:3" ht="24" thickBot="1">
      <c r="B3" s="421" t="s">
        <v>181</v>
      </c>
      <c r="C3" s="421"/>
    </row>
    <row r="4" spans="1:3" ht="23.25">
      <c r="B4" s="299" t="s">
        <v>108</v>
      </c>
      <c r="C4" s="300">
        <v>400</v>
      </c>
    </row>
    <row r="5" spans="1:3" ht="24" thickBot="1">
      <c r="B5" s="301" t="s">
        <v>107</v>
      </c>
      <c r="C5" s="302">
        <v>400</v>
      </c>
    </row>
    <row r="6" spans="1:3" ht="24" thickBot="1">
      <c r="B6" s="303" t="s">
        <v>93</v>
      </c>
      <c r="C6" s="304">
        <v>800</v>
      </c>
    </row>
  </sheetData>
  <mergeCells count="2">
    <mergeCell ref="B3:C3"/>
    <mergeCell ref="A1:C1"/>
  </mergeCells>
  <pageMargins left="1.5748031496062993" right="0.70866141732283472" top="1.3130314960629921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PROCESO IMPORT</vt:lpstr>
      <vt:lpstr>anexo2</vt:lpstr>
      <vt:lpstr>CALENDARIO DE REINVERSIONES</vt:lpstr>
      <vt:lpstr>ESTIMACION DEMANDA</vt:lpstr>
      <vt:lpstr>COSTOS ADMINISTRATIVOS</vt:lpstr>
      <vt:lpstr>COSTOS FIJOS</vt:lpstr>
      <vt:lpstr>COSTOS VARIABLES</vt:lpstr>
      <vt:lpstr>FLUJO DE CAJA</vt:lpstr>
      <vt:lpstr>PRECIOS</vt:lpstr>
      <vt:lpstr>INGRESOS</vt:lpstr>
      <vt:lpstr>CAPITAL DE TRABAJO </vt:lpstr>
      <vt:lpstr>AMORTIZACION DE CAPITAL </vt:lpstr>
      <vt:lpstr>PROYECCION DE DEMANDA</vt:lpstr>
      <vt:lpstr>PAYBACK</vt:lpstr>
      <vt:lpstr>'AMORTIZACION DE CAPITAL '!Área_de_impresión</vt:lpstr>
      <vt:lpstr>anexo2!Área_de_impresión</vt:lpstr>
      <vt:lpstr>'CALENDARIO DE REINVERSIONES'!Área_de_impresión</vt:lpstr>
      <vt:lpstr>'CAPITAL DE TRABAJO '!Área_de_impresión</vt:lpstr>
      <vt:lpstr>'COSTOS ADMINISTRATIVOS'!Área_de_impresión</vt:lpstr>
      <vt:lpstr>'COSTOS FIJOS'!Área_de_impresión</vt:lpstr>
      <vt:lpstr>'COSTOS VARIABLES'!Área_de_impresión</vt:lpstr>
      <vt:lpstr>'ESTIMACION DEMANDA'!Área_de_impresión</vt:lpstr>
      <vt:lpstr>'FLUJO DE CAJA'!Área_de_impresión</vt:lpstr>
      <vt:lpstr>INGRESOS!Área_de_impresión</vt:lpstr>
      <vt:lpstr>PAYBACK!Área_de_impresión</vt:lpstr>
      <vt:lpstr>PRECIOS!Área_de_impresión</vt:lpstr>
      <vt:lpstr>'PROCESO IMPORT'!Área_de_impresión</vt:lpstr>
      <vt:lpstr>'PROYECCION DE DEMANDA'!Área_de_impresión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Morocho</dc:creator>
  <cp:lastModifiedBy>Gary Garzon</cp:lastModifiedBy>
  <cp:lastPrinted>2010-02-23T11:50:11Z</cp:lastPrinted>
  <dcterms:created xsi:type="dcterms:W3CDTF">2010-02-16T20:23:24Z</dcterms:created>
  <dcterms:modified xsi:type="dcterms:W3CDTF">2010-02-23T11:50:45Z</dcterms:modified>
</cp:coreProperties>
</file>