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30" windowWidth="15600" windowHeight="7455"/>
  </bookViews>
  <sheets>
    <sheet name="INGRESOS" sheetId="4" r:id="rId1"/>
    <sheet name="Inversión y Costos" sheetId="1" r:id="rId2"/>
    <sheet name="Gastos Administrativos" sheetId="2" r:id="rId3"/>
    <sheet name="Gastos de Ventas" sheetId="3" r:id="rId4"/>
    <sheet name="Capital de Trabajo" sheetId="5" r:id="rId5"/>
    <sheet name="Depreciacion" sheetId="10" r:id="rId6"/>
    <sheet name="Amortizacion" sheetId="12" r:id="rId7"/>
    <sheet name="P&amp;G" sheetId="9" r:id="rId8"/>
    <sheet name="Flujo efectivo" sheetId="6" r:id="rId9"/>
    <sheet name="Resumen de escenario" sheetId="15" r:id="rId10"/>
    <sheet name="Payback" sheetId="16" r:id="rId11"/>
    <sheet name="Flujo efectivo (2)" sheetId="18" r:id="rId12"/>
    <sheet name="Sensibilidad" sheetId="17" r:id="rId13"/>
    <sheet name="Hoja1" sheetId="19" r:id="rId14"/>
  </sheets>
  <calcPr calcId="125725"/>
</workbook>
</file>

<file path=xl/calcChain.xml><?xml version="1.0" encoding="utf-8"?>
<calcChain xmlns="http://schemas.openxmlformats.org/spreadsheetml/2006/main">
  <c r="E3" i="18"/>
  <c r="E8" s="1"/>
  <c r="F3" l="1"/>
  <c r="F8" s="1"/>
  <c r="G3"/>
  <c r="G8" s="1"/>
  <c r="H3"/>
  <c r="H8" s="1"/>
  <c r="I3"/>
  <c r="I8" s="1"/>
  <c r="F2" i="16"/>
  <c r="P11" i="6" l="1"/>
  <c r="I34" i="18" l="1"/>
  <c r="G29"/>
  <c r="E16"/>
  <c r="I16" s="1"/>
  <c r="I28" s="1"/>
  <c r="E15"/>
  <c r="F15" s="1"/>
  <c r="F27" s="1"/>
  <c r="E13"/>
  <c r="I13" s="1"/>
  <c r="P12"/>
  <c r="P14" s="1"/>
  <c r="M12" s="1"/>
  <c r="M18" s="1"/>
  <c r="E9" l="1"/>
  <c r="G13"/>
  <c r="H13"/>
  <c r="H16"/>
  <c r="H28" s="1"/>
  <c r="F13"/>
  <c r="F16"/>
  <c r="F28" s="1"/>
  <c r="G16"/>
  <c r="G28" s="1"/>
  <c r="E28"/>
  <c r="G15"/>
  <c r="G27" s="1"/>
  <c r="H15"/>
  <c r="H27" s="1"/>
  <c r="E27"/>
  <c r="I15"/>
  <c r="I27" s="1"/>
  <c r="F9" l="1"/>
  <c r="G26" i="6"/>
  <c r="C5" i="12"/>
  <c r="G9" i="18" l="1"/>
  <c r="P9" i="6"/>
  <c r="M9" s="1"/>
  <c r="M15" s="1"/>
  <c r="E10"/>
  <c r="I10" s="1"/>
  <c r="D13" i="9"/>
  <c r="F13" s="1"/>
  <c r="E4" i="10"/>
  <c r="E5"/>
  <c r="G5" s="1"/>
  <c r="H5" s="1"/>
  <c r="E6"/>
  <c r="G6" s="1"/>
  <c r="H6" s="1"/>
  <c r="E7"/>
  <c r="G7" s="1"/>
  <c r="H7" s="1"/>
  <c r="E8"/>
  <c r="G8" s="1"/>
  <c r="H8" s="1"/>
  <c r="E9"/>
  <c r="G9" s="1"/>
  <c r="H9" s="1"/>
  <c r="E10"/>
  <c r="G10" s="1"/>
  <c r="H10" s="1"/>
  <c r="E11"/>
  <c r="G11" s="1"/>
  <c r="H11" s="1"/>
  <c r="E12"/>
  <c r="G12" s="1"/>
  <c r="E13"/>
  <c r="G13" s="1"/>
  <c r="E14"/>
  <c r="G14" s="1"/>
  <c r="E15"/>
  <c r="G15" s="1"/>
  <c r="H15" s="1"/>
  <c r="E16"/>
  <c r="I16" s="1"/>
  <c r="G7" i="4"/>
  <c r="C2"/>
  <c r="D4" s="1"/>
  <c r="I9" i="18" l="1"/>
  <c r="H9"/>
  <c r="E13" i="9"/>
  <c r="G13"/>
  <c r="H13"/>
  <c r="G4" i="10"/>
  <c r="E17"/>
  <c r="G16"/>
  <c r="H16" s="1"/>
  <c r="I13"/>
  <c r="I4"/>
  <c r="D23"/>
  <c r="E12" i="6" s="1"/>
  <c r="H10"/>
  <c r="F10"/>
  <c r="G10"/>
  <c r="H17" i="10"/>
  <c r="I31" i="6" s="1"/>
  <c r="D26" i="10"/>
  <c r="D24"/>
  <c r="D27"/>
  <c r="D25"/>
  <c r="I5"/>
  <c r="B13" i="5"/>
  <c r="C13"/>
  <c r="D13"/>
  <c r="E13"/>
  <c r="F13"/>
  <c r="G13"/>
  <c r="H13"/>
  <c r="I13"/>
  <c r="J13"/>
  <c r="K13"/>
  <c r="L13"/>
  <c r="M13"/>
  <c r="E4" i="3"/>
  <c r="I12" i="6" l="1"/>
  <c r="I24" s="1"/>
  <c r="H12"/>
  <c r="H24" s="1"/>
  <c r="E24"/>
  <c r="F12"/>
  <c r="F24" s="1"/>
  <c r="G12"/>
  <c r="G24" s="1"/>
  <c r="E16" i="9"/>
  <c r="D16"/>
  <c r="H16"/>
  <c r="F16"/>
  <c r="E13" i="6"/>
  <c r="G16" i="9"/>
  <c r="D15"/>
  <c r="G15" s="1"/>
  <c r="D5" i="4"/>
  <c r="D6" s="1"/>
  <c r="D23" i="2"/>
  <c r="E35" i="1"/>
  <c r="E36"/>
  <c r="E37"/>
  <c r="E38"/>
  <c r="E39"/>
  <c r="E40"/>
  <c r="E41"/>
  <c r="E42"/>
  <c r="E43"/>
  <c r="E44"/>
  <c r="E45"/>
  <c r="E46"/>
  <c r="E34"/>
  <c r="E30"/>
  <c r="F4" i="3"/>
  <c r="E5"/>
  <c r="F5" s="1"/>
  <c r="E14" i="1"/>
  <c r="E16"/>
  <c r="E12"/>
  <c r="E5"/>
  <c r="E6"/>
  <c r="E7"/>
  <c r="E8"/>
  <c r="E9"/>
  <c r="E10"/>
  <c r="E11"/>
  <c r="E13"/>
  <c r="E15"/>
  <c r="E17"/>
  <c r="E4"/>
  <c r="D19" i="2"/>
  <c r="N15" i="5" s="1"/>
  <c r="E12" i="18" s="1"/>
  <c r="D13" i="2"/>
  <c r="D14"/>
  <c r="D12"/>
  <c r="E5"/>
  <c r="F5" s="1"/>
  <c r="E6"/>
  <c r="F6" s="1"/>
  <c r="E7"/>
  <c r="F7" s="1"/>
  <c r="E4"/>
  <c r="F4" s="1"/>
  <c r="H12" i="18" l="1"/>
  <c r="F12"/>
  <c r="G12"/>
  <c r="I12"/>
  <c r="H15" i="9"/>
  <c r="E15"/>
  <c r="F15"/>
  <c r="E25" i="6"/>
  <c r="G13"/>
  <c r="G25" s="1"/>
  <c r="I13"/>
  <c r="I25" s="1"/>
  <c r="H13"/>
  <c r="H25" s="1"/>
  <c r="F13"/>
  <c r="F25" s="1"/>
  <c r="B15" i="5"/>
  <c r="D12" i="9"/>
  <c r="E9" i="6"/>
  <c r="F6" i="3"/>
  <c r="N11" i="5" s="1"/>
  <c r="E17" i="18" s="1"/>
  <c r="E47" i="1"/>
  <c r="C8" i="4"/>
  <c r="D15" i="5"/>
  <c r="F15"/>
  <c r="H15"/>
  <c r="J15"/>
  <c r="L15"/>
  <c r="C15"/>
  <c r="E15"/>
  <c r="G15"/>
  <c r="I15"/>
  <c r="K15"/>
  <c r="M15"/>
  <c r="D15" i="2"/>
  <c r="N14" i="5" s="1"/>
  <c r="E11" i="18" s="1"/>
  <c r="F8" i="2"/>
  <c r="N12" i="5" s="1"/>
  <c r="E18" i="1"/>
  <c r="C4" i="12" s="1"/>
  <c r="I11" i="18" l="1"/>
  <c r="F11"/>
  <c r="G11"/>
  <c r="H11"/>
  <c r="H17"/>
  <c r="F17"/>
  <c r="I17"/>
  <c r="G17"/>
  <c r="E11" i="6"/>
  <c r="F11" s="1"/>
  <c r="G11" s="1"/>
  <c r="H11" s="1"/>
  <c r="I11" s="1"/>
  <c r="E14" i="18"/>
  <c r="F14" s="1"/>
  <c r="G14" s="1"/>
  <c r="H14" s="1"/>
  <c r="I14" s="1"/>
  <c r="E14" i="6"/>
  <c r="D17" i="9"/>
  <c r="B11" i="5"/>
  <c r="D14" i="9"/>
  <c r="E14" s="1"/>
  <c r="F14" s="1"/>
  <c r="G14" s="1"/>
  <c r="H14" s="1"/>
  <c r="E8" i="6"/>
  <c r="E11" i="9"/>
  <c r="D11"/>
  <c r="G11"/>
  <c r="F11"/>
  <c r="H11"/>
  <c r="G9" i="6"/>
  <c r="H9"/>
  <c r="F9"/>
  <c r="I9"/>
  <c r="F12" i="9"/>
  <c r="H12"/>
  <c r="E12"/>
  <c r="G12"/>
  <c r="H3" i="4"/>
  <c r="H6"/>
  <c r="K12" s="1"/>
  <c r="K16" i="5" s="1"/>
  <c r="H5" i="4"/>
  <c r="I12" s="1"/>
  <c r="I16" i="5" s="1"/>
  <c r="H4" i="4"/>
  <c r="F12" s="1"/>
  <c r="B14" i="5"/>
  <c r="F14"/>
  <c r="J14"/>
  <c r="C14"/>
  <c r="G14"/>
  <c r="K14"/>
  <c r="E14"/>
  <c r="D14"/>
  <c r="H14"/>
  <c r="L14"/>
  <c r="I14"/>
  <c r="M14"/>
  <c r="B12"/>
  <c r="F12"/>
  <c r="J12"/>
  <c r="E12"/>
  <c r="C12"/>
  <c r="G12"/>
  <c r="K12"/>
  <c r="H12"/>
  <c r="I12"/>
  <c r="D12"/>
  <c r="L12"/>
  <c r="M12"/>
  <c r="C11"/>
  <c r="G11"/>
  <c r="K11"/>
  <c r="E11"/>
  <c r="J11"/>
  <c r="D11"/>
  <c r="H11"/>
  <c r="L11"/>
  <c r="M11"/>
  <c r="F11"/>
  <c r="I11"/>
  <c r="E18" i="18" l="1"/>
  <c r="G18"/>
  <c r="I18"/>
  <c r="H18"/>
  <c r="F18"/>
  <c r="M12" i="4"/>
  <c r="M16" i="5" s="1"/>
  <c r="M17" s="1"/>
  <c r="M21" s="1"/>
  <c r="H12" i="4"/>
  <c r="H16" i="5" s="1"/>
  <c r="I14" i="6"/>
  <c r="G14"/>
  <c r="H14"/>
  <c r="F14"/>
  <c r="J12" i="4"/>
  <c r="J16" i="5" s="1"/>
  <c r="J17" s="1"/>
  <c r="J21" s="1"/>
  <c r="I8" i="6"/>
  <c r="G8"/>
  <c r="F8"/>
  <c r="H8"/>
  <c r="G17" i="9"/>
  <c r="F17"/>
  <c r="E17"/>
  <c r="H17"/>
  <c r="M14" i="4"/>
  <c r="M3" i="5" s="1"/>
  <c r="B12" i="4"/>
  <c r="B16" i="5" s="1"/>
  <c r="C12" i="4"/>
  <c r="C16" i="5" s="1"/>
  <c r="C17" s="1"/>
  <c r="C21" s="1"/>
  <c r="I17"/>
  <c r="I21" s="1"/>
  <c r="K17"/>
  <c r="K21" s="1"/>
  <c r="F16"/>
  <c r="F17" s="1"/>
  <c r="F21" s="1"/>
  <c r="E12" i="4"/>
  <c r="E15" s="1"/>
  <c r="E4" i="5" s="1"/>
  <c r="G12" i="4"/>
  <c r="G15" s="1"/>
  <c r="G4" i="5" s="1"/>
  <c r="L12" i="4"/>
  <c r="L16" i="5" s="1"/>
  <c r="K16" i="4"/>
  <c r="K5" i="5" s="1"/>
  <c r="H17"/>
  <c r="H21" s="1"/>
  <c r="D12" i="4"/>
  <c r="D15" s="1"/>
  <c r="D4" i="5" s="1"/>
  <c r="K14" i="4"/>
  <c r="K3" i="5" s="1"/>
  <c r="M15" i="4"/>
  <c r="M4" i="5" s="1"/>
  <c r="D14" i="4"/>
  <c r="D3" i="5" s="1"/>
  <c r="K15" i="4"/>
  <c r="K4" i="5" s="1"/>
  <c r="M16" i="4"/>
  <c r="M5" i="5" s="1"/>
  <c r="I14" i="4"/>
  <c r="I3" i="5" s="1"/>
  <c r="I15" i="4"/>
  <c r="I4" i="5" s="1"/>
  <c r="I16" i="4"/>
  <c r="I5" i="5" s="1"/>
  <c r="H14" i="4"/>
  <c r="H3" i="5" s="1"/>
  <c r="H15" i="4"/>
  <c r="H4" i="5" s="1"/>
  <c r="H16" i="4"/>
  <c r="H5" i="5" s="1"/>
  <c r="D16" i="4"/>
  <c r="D5" i="5" s="1"/>
  <c r="F14" i="4"/>
  <c r="F3" i="5" s="1"/>
  <c r="F15" i="4"/>
  <c r="F4" i="5" s="1"/>
  <c r="F16" i="4"/>
  <c r="F5" i="5" s="1"/>
  <c r="J14" i="4"/>
  <c r="J3" i="5" s="1"/>
  <c r="J16" i="4"/>
  <c r="J5" i="5" s="1"/>
  <c r="E14" i="4"/>
  <c r="E3" i="5" s="1"/>
  <c r="J15" i="4" l="1"/>
  <c r="J4" i="5" s="1"/>
  <c r="E16" i="4"/>
  <c r="E5" i="5" s="1"/>
  <c r="E7" s="1"/>
  <c r="E20" s="1"/>
  <c r="L15" i="4"/>
  <c r="L4" i="5" s="1"/>
  <c r="L14" i="4"/>
  <c r="L3" i="5" s="1"/>
  <c r="C15" i="4"/>
  <c r="C4" i="5" s="1"/>
  <c r="G14" i="4"/>
  <c r="G3" i="5" s="1"/>
  <c r="B15" i="4"/>
  <c r="B4" i="5" s="1"/>
  <c r="B16" i="4"/>
  <c r="B5" i="5" s="1"/>
  <c r="G16" i="4"/>
  <c r="G5" i="5" s="1"/>
  <c r="G16"/>
  <c r="G17" s="1"/>
  <c r="G21" s="1"/>
  <c r="E16"/>
  <c r="E17" s="1"/>
  <c r="E21" s="1"/>
  <c r="D16"/>
  <c r="D17" s="1"/>
  <c r="D21" s="1"/>
  <c r="L17"/>
  <c r="L21" s="1"/>
  <c r="L16" i="4"/>
  <c r="L5" i="5" s="1"/>
  <c r="C14" i="4"/>
  <c r="C3" i="5" s="1"/>
  <c r="B14" i="4"/>
  <c r="B3" i="5" s="1"/>
  <c r="B17"/>
  <c r="B21" s="1"/>
  <c r="N12" i="4"/>
  <c r="C16"/>
  <c r="C5" i="5" s="1"/>
  <c r="K18" i="4"/>
  <c r="K7" i="5"/>
  <c r="K20" s="1"/>
  <c r="K22" s="1"/>
  <c r="M18" i="4"/>
  <c r="M7" i="5"/>
  <c r="M20" s="1"/>
  <c r="M22" s="1"/>
  <c r="J7"/>
  <c r="J20" s="1"/>
  <c r="J22" s="1"/>
  <c r="I7"/>
  <c r="I20" s="1"/>
  <c r="I22" s="1"/>
  <c r="D7"/>
  <c r="D20" s="1"/>
  <c r="F7"/>
  <c r="F20" s="1"/>
  <c r="F22" s="1"/>
  <c r="H7"/>
  <c r="H20" s="1"/>
  <c r="H22" s="1"/>
  <c r="N15" i="4"/>
  <c r="F18"/>
  <c r="D18"/>
  <c r="I18"/>
  <c r="J18"/>
  <c r="H18"/>
  <c r="G7" i="5" l="1"/>
  <c r="G20" s="1"/>
  <c r="L18" i="4"/>
  <c r="N4" i="5"/>
  <c r="E18" i="4"/>
  <c r="L7" i="5"/>
  <c r="L20" s="1"/>
  <c r="L22" s="1"/>
  <c r="N5"/>
  <c r="B18" i="4"/>
  <c r="N16" i="5"/>
  <c r="E5" i="6" s="1"/>
  <c r="F5" s="1"/>
  <c r="G5" s="1"/>
  <c r="H5" s="1"/>
  <c r="I5" s="1"/>
  <c r="B7" i="5"/>
  <c r="N14" i="4"/>
  <c r="E22" i="5"/>
  <c r="C7"/>
  <c r="C20" s="1"/>
  <c r="C22" s="1"/>
  <c r="N16" i="4"/>
  <c r="C18"/>
  <c r="G18"/>
  <c r="N3" i="5"/>
  <c r="G22"/>
  <c r="D22"/>
  <c r="N17"/>
  <c r="D8" i="9" l="1"/>
  <c r="N18" i="4"/>
  <c r="B20" i="5"/>
  <c r="N7"/>
  <c r="E4" i="6" s="1"/>
  <c r="F4" s="1"/>
  <c r="E8" i="9" l="1"/>
  <c r="F8" s="1"/>
  <c r="G8" s="1"/>
  <c r="H8" s="1"/>
  <c r="D7"/>
  <c r="B22" i="5"/>
  <c r="B23" s="1"/>
  <c r="C23" s="1"/>
  <c r="C7" i="12" l="1"/>
  <c r="C3" s="1"/>
  <c r="D29" i="18" s="1"/>
  <c r="D32"/>
  <c r="I33" s="1"/>
  <c r="D7" i="12"/>
  <c r="E7" i="9"/>
  <c r="D9"/>
  <c r="D18" s="1"/>
  <c r="D23" i="5"/>
  <c r="E23" s="1"/>
  <c r="F23" s="1"/>
  <c r="G23" s="1"/>
  <c r="H23" s="1"/>
  <c r="I23" s="1"/>
  <c r="J23" s="1"/>
  <c r="K23" s="1"/>
  <c r="L23" s="1"/>
  <c r="M23" s="1"/>
  <c r="D29" i="6"/>
  <c r="I30" s="1"/>
  <c r="E6"/>
  <c r="E15" s="1"/>
  <c r="D26" l="1"/>
  <c r="D8" i="12"/>
  <c r="D30" i="18" s="1"/>
  <c r="D35" s="1"/>
  <c r="F7" i="9"/>
  <c r="E9"/>
  <c r="E18" s="1"/>
  <c r="G4" i="6"/>
  <c r="F6"/>
  <c r="F15" s="1"/>
  <c r="D42" i="18" l="1"/>
  <c r="D43" s="1"/>
  <c r="D44" s="1"/>
  <c r="D14" i="12"/>
  <c r="D25"/>
  <c r="D5"/>
  <c r="D27" i="6"/>
  <c r="H4"/>
  <c r="G6"/>
  <c r="G15" s="1"/>
  <c r="G7" i="9"/>
  <c r="F9"/>
  <c r="F18" s="1"/>
  <c r="F15" i="12" l="1"/>
  <c r="D20" i="9" s="1"/>
  <c r="E20" i="18" s="1"/>
  <c r="E22" s="1"/>
  <c r="E23" s="1"/>
  <c r="E24" s="1"/>
  <c r="E25" s="1"/>
  <c r="E26" s="1"/>
  <c r="C11" i="12"/>
  <c r="C22"/>
  <c r="F26"/>
  <c r="H7" i="9"/>
  <c r="H9" s="1"/>
  <c r="H18" s="1"/>
  <c r="G9"/>
  <c r="G18" s="1"/>
  <c r="I4" i="6"/>
  <c r="I6" s="1"/>
  <c r="I15" s="1"/>
  <c r="H6"/>
  <c r="H15" s="1"/>
  <c r="D32"/>
  <c r="D39" l="1"/>
  <c r="D40" s="1"/>
  <c r="D41" s="1"/>
  <c r="C4" i="16"/>
  <c r="G26" i="12"/>
  <c r="E26" s="1"/>
  <c r="D26" s="1"/>
  <c r="F27" s="1"/>
  <c r="G30"/>
  <c r="G34"/>
  <c r="G38"/>
  <c r="G42"/>
  <c r="G46"/>
  <c r="G50"/>
  <c r="G54"/>
  <c r="G58"/>
  <c r="G62"/>
  <c r="G66"/>
  <c r="G70"/>
  <c r="G74"/>
  <c r="G78"/>
  <c r="G82"/>
  <c r="G35"/>
  <c r="G55"/>
  <c r="G28"/>
  <c r="G32"/>
  <c r="G36"/>
  <c r="G40"/>
  <c r="G44"/>
  <c r="G48"/>
  <c r="G52"/>
  <c r="G56"/>
  <c r="G60"/>
  <c r="G64"/>
  <c r="G68"/>
  <c r="G72"/>
  <c r="G76"/>
  <c r="G80"/>
  <c r="G84"/>
  <c r="G29"/>
  <c r="G33"/>
  <c r="G37"/>
  <c r="G41"/>
  <c r="G45"/>
  <c r="G49"/>
  <c r="G53"/>
  <c r="G57"/>
  <c r="G61"/>
  <c r="G65"/>
  <c r="G69"/>
  <c r="G73"/>
  <c r="G77"/>
  <c r="G81"/>
  <c r="G85"/>
  <c r="G27"/>
  <c r="E27" s="1"/>
  <c r="D27" s="1"/>
  <c r="F28" s="1"/>
  <c r="G31"/>
  <c r="G39"/>
  <c r="G43"/>
  <c r="G47"/>
  <c r="G51"/>
  <c r="G59"/>
  <c r="G63"/>
  <c r="G67"/>
  <c r="G71"/>
  <c r="G75"/>
  <c r="G79"/>
  <c r="G83"/>
  <c r="E17" i="6"/>
  <c r="E19" s="1"/>
  <c r="D22" i="9"/>
  <c r="G17" i="12"/>
  <c r="G16"/>
  <c r="G15"/>
  <c r="E31" i="18" s="1"/>
  <c r="E35" s="1"/>
  <c r="G19" i="12"/>
  <c r="G18"/>
  <c r="E42" i="18" l="1"/>
  <c r="E43" s="1"/>
  <c r="E44" s="1"/>
  <c r="F31"/>
  <c r="H31"/>
  <c r="I31"/>
  <c r="G31"/>
  <c r="E4" i="16"/>
  <c r="E28" i="12"/>
  <c r="D28" s="1"/>
  <c r="F29" s="1"/>
  <c r="E29" s="1"/>
  <c r="D29" s="1"/>
  <c r="F30" s="1"/>
  <c r="E30" s="1"/>
  <c r="D30" s="1"/>
  <c r="F31" s="1"/>
  <c r="E31" s="1"/>
  <c r="D31" s="1"/>
  <c r="F32" s="1"/>
  <c r="E32" s="1"/>
  <c r="D32" s="1"/>
  <c r="F33" s="1"/>
  <c r="E33" s="1"/>
  <c r="D33" s="1"/>
  <c r="F34" s="1"/>
  <c r="E34" s="1"/>
  <c r="D34" s="1"/>
  <c r="F35" s="1"/>
  <c r="E35" s="1"/>
  <c r="D35" s="1"/>
  <c r="F36" s="1"/>
  <c r="E36" s="1"/>
  <c r="D36" s="1"/>
  <c r="F37" s="1"/>
  <c r="E37" s="1"/>
  <c r="D37" s="1"/>
  <c r="F38" s="1"/>
  <c r="E38" s="1"/>
  <c r="D38" s="1"/>
  <c r="F39" s="1"/>
  <c r="E39" s="1"/>
  <c r="D39" s="1"/>
  <c r="F40" s="1"/>
  <c r="E40" s="1"/>
  <c r="D40" s="1"/>
  <c r="F41" s="1"/>
  <c r="E41" s="1"/>
  <c r="D41" s="1"/>
  <c r="F42" s="1"/>
  <c r="E42" s="1"/>
  <c r="D42" s="1"/>
  <c r="F43" s="1"/>
  <c r="E43" s="1"/>
  <c r="D43" s="1"/>
  <c r="F44" s="1"/>
  <c r="E44" s="1"/>
  <c r="D44" s="1"/>
  <c r="F45" s="1"/>
  <c r="E45" s="1"/>
  <c r="D45" s="1"/>
  <c r="F46" s="1"/>
  <c r="E46" s="1"/>
  <c r="D46" s="1"/>
  <c r="F47" s="1"/>
  <c r="E47" s="1"/>
  <c r="D47" s="1"/>
  <c r="F48" s="1"/>
  <c r="E48" s="1"/>
  <c r="D48" s="1"/>
  <c r="F49" s="1"/>
  <c r="E49" s="1"/>
  <c r="D49" s="1"/>
  <c r="F50" s="1"/>
  <c r="E50" s="1"/>
  <c r="D50" s="1"/>
  <c r="E28" i="6"/>
  <c r="F28" s="1"/>
  <c r="E15" i="12"/>
  <c r="D15" s="1"/>
  <c r="F16" s="1"/>
  <c r="E20" i="9" s="1"/>
  <c r="E20" i="6"/>
  <c r="E21" s="1"/>
  <c r="E22" s="1"/>
  <c r="E23" s="1"/>
  <c r="E32" s="1"/>
  <c r="D4" i="16" s="1"/>
  <c r="F4" s="1"/>
  <c r="C5" s="1"/>
  <c r="E5" s="1"/>
  <c r="D23" i="9"/>
  <c r="D24" s="1"/>
  <c r="I28" i="6"/>
  <c r="F17" l="1"/>
  <c r="F20" i="18"/>
  <c r="F22" s="1"/>
  <c r="F23" s="1"/>
  <c r="F24" s="1"/>
  <c r="F25" s="1"/>
  <c r="F26" s="1"/>
  <c r="F35" s="1"/>
  <c r="H28" i="6"/>
  <c r="E39"/>
  <c r="E40" s="1"/>
  <c r="E41" s="1"/>
  <c r="G28"/>
  <c r="E16" i="12"/>
  <c r="D16" s="1"/>
  <c r="F17" s="1"/>
  <c r="D25" i="9"/>
  <c r="D26" s="1"/>
  <c r="F51" i="12"/>
  <c r="E51" s="1"/>
  <c r="D51" s="1"/>
  <c r="F19" i="6"/>
  <c r="F20" s="1"/>
  <c r="F21" s="1"/>
  <c r="F22" s="1"/>
  <c r="F23" s="1"/>
  <c r="F32" s="1"/>
  <c r="E22" i="9"/>
  <c r="E23" s="1"/>
  <c r="E24" s="1"/>
  <c r="E25" s="1"/>
  <c r="E26" s="1"/>
  <c r="F42" i="18" l="1"/>
  <c r="F43" s="1"/>
  <c r="F44" s="1"/>
  <c r="F39" i="6"/>
  <c r="D5" i="16"/>
  <c r="F5" s="1"/>
  <c r="C6" s="1"/>
  <c r="E6" s="1"/>
  <c r="F40" i="6"/>
  <c r="F41" s="1"/>
  <c r="F20" i="9"/>
  <c r="E17" i="12"/>
  <c r="D17" s="1"/>
  <c r="F18" s="1"/>
  <c r="F52"/>
  <c r="E52" s="1"/>
  <c r="D52" s="1"/>
  <c r="G17" i="6" l="1"/>
  <c r="G19" s="1"/>
  <c r="G20" s="1"/>
  <c r="G21" s="1"/>
  <c r="G22" s="1"/>
  <c r="G23" s="1"/>
  <c r="G32" s="1"/>
  <c r="G20" i="18"/>
  <c r="G22" s="1"/>
  <c r="G23" s="1"/>
  <c r="G24" s="1"/>
  <c r="G25" s="1"/>
  <c r="G26" s="1"/>
  <c r="G35" s="1"/>
  <c r="G20" i="9"/>
  <c r="E18" i="12"/>
  <c r="D18" s="1"/>
  <c r="F19" s="1"/>
  <c r="F22" i="9"/>
  <c r="F23" s="1"/>
  <c r="F24" s="1"/>
  <c r="F25" s="1"/>
  <c r="F26" s="1"/>
  <c r="F53" i="12"/>
  <c r="E53" s="1"/>
  <c r="D53" s="1"/>
  <c r="H17" i="6" l="1"/>
  <c r="H19" s="1"/>
  <c r="H20" s="1"/>
  <c r="H21" s="1"/>
  <c r="H22" s="1"/>
  <c r="H23" s="1"/>
  <c r="H32" s="1"/>
  <c r="H20" i="18"/>
  <c r="H22" s="1"/>
  <c r="H23" s="1"/>
  <c r="H24" s="1"/>
  <c r="H25" s="1"/>
  <c r="H26" s="1"/>
  <c r="H35" s="1"/>
  <c r="H42" s="1"/>
  <c r="H43" s="1"/>
  <c r="G39" i="6"/>
  <c r="G40" s="1"/>
  <c r="G41" s="1"/>
  <c r="D6" i="16"/>
  <c r="F6" s="1"/>
  <c r="C7" s="1"/>
  <c r="G42" i="18"/>
  <c r="G43" s="1"/>
  <c r="G44" s="1"/>
  <c r="H20" i="9"/>
  <c r="E19" i="12"/>
  <c r="D19" s="1"/>
  <c r="G22" i="9"/>
  <c r="G23" s="1"/>
  <c r="G24" s="1"/>
  <c r="G25" s="1"/>
  <c r="G26" s="1"/>
  <c r="F54" i="12"/>
  <c r="E54" s="1"/>
  <c r="D54" s="1"/>
  <c r="I17" i="6" l="1"/>
  <c r="I19" s="1"/>
  <c r="I20" s="1"/>
  <c r="I21" s="1"/>
  <c r="I22" s="1"/>
  <c r="I23" s="1"/>
  <c r="I32" s="1"/>
  <c r="D8" i="16" s="1"/>
  <c r="I20" i="18"/>
  <c r="I22" s="1"/>
  <c r="I23" s="1"/>
  <c r="I24" s="1"/>
  <c r="I25" s="1"/>
  <c r="I26" s="1"/>
  <c r="I35" s="1"/>
  <c r="H39" i="6"/>
  <c r="H40" s="1"/>
  <c r="H41" s="1"/>
  <c r="G43" s="1"/>
  <c r="D7" i="16"/>
  <c r="E7"/>
  <c r="F7" s="1"/>
  <c r="C8" s="1"/>
  <c r="E8" s="1"/>
  <c r="F8" s="1"/>
  <c r="H44" i="18"/>
  <c r="G46" s="1"/>
  <c r="H22" i="9"/>
  <c r="H23" s="1"/>
  <c r="H24" s="1"/>
  <c r="H25" s="1"/>
  <c r="H26" s="1"/>
  <c r="I39" i="6"/>
  <c r="F55" i="12"/>
  <c r="E55" s="1"/>
  <c r="D55" s="1"/>
  <c r="D35" i="6"/>
  <c r="D12" i="16" l="1"/>
  <c r="I42" i="18"/>
  <c r="I43" s="1"/>
  <c r="D38"/>
  <c r="D39"/>
  <c r="D36" i="6"/>
  <c r="I44" i="18"/>
  <c r="I40" i="6"/>
  <c r="I41" s="1"/>
  <c r="F56" i="12"/>
  <c r="E56" s="1"/>
  <c r="D56" s="1"/>
  <c r="F57" l="1"/>
  <c r="E57" s="1"/>
  <c r="D57" s="1"/>
  <c r="F58" l="1"/>
  <c r="E58" s="1"/>
  <c r="D58" s="1"/>
  <c r="F59" l="1"/>
  <c r="E59" s="1"/>
  <c r="D59" s="1"/>
  <c r="F60" l="1"/>
  <c r="E60" s="1"/>
  <c r="D60" s="1"/>
  <c r="F61" l="1"/>
  <c r="E61" s="1"/>
  <c r="D61" s="1"/>
  <c r="F62" l="1"/>
  <c r="E62" s="1"/>
  <c r="D62" s="1"/>
  <c r="F63" l="1"/>
  <c r="E63" s="1"/>
  <c r="D63" s="1"/>
  <c r="F64" l="1"/>
  <c r="E64" s="1"/>
  <c r="D64" s="1"/>
  <c r="F65" l="1"/>
  <c r="E65" s="1"/>
  <c r="D65" s="1"/>
  <c r="F66" l="1"/>
  <c r="E66" s="1"/>
  <c r="D66" s="1"/>
  <c r="F67" l="1"/>
  <c r="E67" s="1"/>
  <c r="D67" s="1"/>
  <c r="F68" l="1"/>
  <c r="E68" s="1"/>
  <c r="D68" s="1"/>
  <c r="F69" l="1"/>
  <c r="E69" s="1"/>
  <c r="D69" s="1"/>
  <c r="F70" l="1"/>
  <c r="E70" s="1"/>
  <c r="D70" s="1"/>
  <c r="F71" l="1"/>
  <c r="E71" s="1"/>
  <c r="D71" s="1"/>
  <c r="F72" l="1"/>
  <c r="E72" s="1"/>
  <c r="D72" s="1"/>
  <c r="F73" l="1"/>
  <c r="E73" s="1"/>
  <c r="D73" s="1"/>
  <c r="F74" l="1"/>
  <c r="E74" s="1"/>
  <c r="D74" s="1"/>
  <c r="F75" l="1"/>
  <c r="E75" s="1"/>
  <c r="D75" s="1"/>
  <c r="F76" l="1"/>
  <c r="E76" s="1"/>
  <c r="D76" s="1"/>
  <c r="F77" l="1"/>
  <c r="E77" s="1"/>
  <c r="D77" s="1"/>
  <c r="F78" l="1"/>
  <c r="E78" s="1"/>
  <c r="D78" s="1"/>
  <c r="F79" l="1"/>
  <c r="E79" s="1"/>
  <c r="D79" s="1"/>
  <c r="F80" l="1"/>
  <c r="E80" s="1"/>
  <c r="D80" s="1"/>
  <c r="F81" l="1"/>
  <c r="E81" s="1"/>
  <c r="D81" s="1"/>
  <c r="F82" l="1"/>
  <c r="E82" s="1"/>
  <c r="D82" s="1"/>
  <c r="F83" l="1"/>
  <c r="E83" s="1"/>
  <c r="D83" s="1"/>
  <c r="F84" l="1"/>
  <c r="E84" s="1"/>
  <c r="D84" s="1"/>
  <c r="F85" l="1"/>
  <c r="E85" s="1"/>
  <c r="D85" s="1"/>
</calcChain>
</file>

<file path=xl/sharedStrings.xml><?xml version="1.0" encoding="utf-8"?>
<sst xmlns="http://schemas.openxmlformats.org/spreadsheetml/2006/main" count="408" uniqueCount="231">
  <si>
    <t>Hidrolavadoras</t>
  </si>
  <si>
    <t>Aspiradora Industrial</t>
  </si>
  <si>
    <t>Maquina de espuma</t>
  </si>
  <si>
    <t>Maquina Pulidora</t>
  </si>
  <si>
    <t>Comprensores</t>
  </si>
  <si>
    <t>Bomba a Presión Portátil</t>
  </si>
  <si>
    <t>Engrasadora</t>
  </si>
  <si>
    <t>Camioneta tipo Furgón</t>
  </si>
  <si>
    <t>Utensilios Varios cambio de aceite  (embudos, bandejas)</t>
  </si>
  <si>
    <t>Computador</t>
  </si>
  <si>
    <t>Teléfono</t>
  </si>
  <si>
    <t>Escritorio</t>
  </si>
  <si>
    <t>Personal</t>
  </si>
  <si>
    <t>Cantidad</t>
  </si>
  <si>
    <t>Sueldos/ Salarios</t>
  </si>
  <si>
    <t>Mensual</t>
  </si>
  <si>
    <t>Anual</t>
  </si>
  <si>
    <t>TOTAL</t>
  </si>
  <si>
    <t>Gerente Administrativo</t>
  </si>
  <si>
    <t>Supervisor</t>
  </si>
  <si>
    <t>Lavadores</t>
  </si>
  <si>
    <t>Chofer/Mensajero</t>
  </si>
  <si>
    <t>Sueldos / Salarios</t>
  </si>
  <si>
    <t>Servicios Básicos</t>
  </si>
  <si>
    <t xml:space="preserve">Mensual </t>
  </si>
  <si>
    <t>Luz</t>
  </si>
  <si>
    <t>Internet</t>
  </si>
  <si>
    <t>Total</t>
  </si>
  <si>
    <t>Gastos de Arriendo</t>
  </si>
  <si>
    <t>Maquinarias y Equipos</t>
  </si>
  <si>
    <t>Equipos</t>
  </si>
  <si>
    <t>Costo Unitario</t>
  </si>
  <si>
    <t>Permisos de Funcionamiento</t>
  </si>
  <si>
    <t>Impresora</t>
  </si>
  <si>
    <t>Publicidad</t>
  </si>
  <si>
    <t>Volantes (2000)</t>
  </si>
  <si>
    <t>Cuña (30")</t>
  </si>
  <si>
    <t>Materia Prima e Insumos</t>
  </si>
  <si>
    <t>Shampoo</t>
  </si>
  <si>
    <t>Paños</t>
  </si>
  <si>
    <t>Lustrador de Cueros</t>
  </si>
  <si>
    <t>Lustrador de Tapicería</t>
  </si>
  <si>
    <t>Lustrador Caucho</t>
  </si>
  <si>
    <t>102 lt.</t>
  </si>
  <si>
    <t>1 metro</t>
  </si>
  <si>
    <t xml:space="preserve">4 frascos </t>
  </si>
  <si>
    <t>3 frascos</t>
  </si>
  <si>
    <t>Carpetas tamaño oficio</t>
  </si>
  <si>
    <t>Rexmas de hojas tamaño A4</t>
  </si>
  <si>
    <t>Cartuchos de impresora</t>
  </si>
  <si>
    <t>Borrador</t>
  </si>
  <si>
    <t>Grapadora</t>
  </si>
  <si>
    <t>Saca grapa</t>
  </si>
  <si>
    <t>Perforadora</t>
  </si>
  <si>
    <t>Caja de vinchas para carpetas</t>
  </si>
  <si>
    <t>Suministros de Oficina</t>
  </si>
  <si>
    <t>Plumas</t>
  </si>
  <si>
    <t>Lápices</t>
  </si>
  <si>
    <t>Cajas de grapas</t>
  </si>
  <si>
    <t>Costo Total</t>
  </si>
  <si>
    <t>Clips</t>
  </si>
  <si>
    <t>Saca puntas</t>
  </si>
  <si>
    <t>TOTAL INGRESOS</t>
  </si>
  <si>
    <t>Ingreso 3 (18%)</t>
  </si>
  <si>
    <t>Ingreso 2 (35%)</t>
  </si>
  <si>
    <t>Ingreso 1 (47% )</t>
  </si>
  <si>
    <t>DEMANDA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</si>
  <si>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</si>
  <si>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</si>
  <si>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</si>
  <si>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</si>
  <si>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</si>
  <si>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</si>
  <si>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</si>
  <si>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</si>
  <si>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</si>
  <si>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</si>
  <si>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</si>
  <si>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</si>
  <si>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Demanda Total</t>
  </si>
  <si>
    <t>% Personas dispuestas a lavar su auto</t>
  </si>
  <si>
    <t>% Personas que poseen al menos un auto</t>
  </si>
  <si>
    <t xml:space="preserve">Total </t>
  </si>
  <si>
    <t>%</t>
  </si>
  <si>
    <t>Precio</t>
  </si>
  <si>
    <t>Tipo lavado</t>
  </si>
  <si>
    <t>% Demanda</t>
  </si>
  <si>
    <t>Población Guayaquil</t>
  </si>
  <si>
    <t>% Atención con capacidad actual</t>
  </si>
  <si>
    <t>Gastos Venta</t>
  </si>
  <si>
    <t>Gastos Sueldos</t>
  </si>
  <si>
    <t>Gastos Suministros</t>
  </si>
  <si>
    <t xml:space="preserve">Gastos Serv. Básicos </t>
  </si>
  <si>
    <t>INGRESOS</t>
  </si>
  <si>
    <t>EGRESOS</t>
  </si>
  <si>
    <t>Gastos Arriendo</t>
  </si>
  <si>
    <t>Gastos Variables</t>
  </si>
  <si>
    <t>Total Egresos</t>
  </si>
  <si>
    <t xml:space="preserve">SALDO MENSUAL </t>
  </si>
  <si>
    <t>SALDO ACUMULADO</t>
  </si>
  <si>
    <t>ESTADO DE PERDIDAS Y GANANCIAS</t>
  </si>
  <si>
    <t>Detalle</t>
  </si>
  <si>
    <t>Año 1</t>
  </si>
  <si>
    <t>Año 2</t>
  </si>
  <si>
    <t>Año 3</t>
  </si>
  <si>
    <t>Año 4</t>
  </si>
  <si>
    <t>Año 5</t>
  </si>
  <si>
    <t>Ingresos</t>
  </si>
  <si>
    <t>(-) Costo de Venta</t>
  </si>
  <si>
    <t>(=) Utilidad Bruta</t>
  </si>
  <si>
    <t>(-) Gastos Operacionales</t>
  </si>
  <si>
    <t>Gastos de Servicios</t>
  </si>
  <si>
    <t>Aqui aparecen ejemplos de los tipicos gastos operacionales, no los unicos.  Aqui deberan poner los gastos relacionados con la operacion de la empresa dependiendo del proyecto que se este planteando.</t>
  </si>
  <si>
    <t>Gastos Administrativos</t>
  </si>
  <si>
    <t>Amortización (de intangibles)</t>
  </si>
  <si>
    <t>Depreciación (de activos fijos)</t>
  </si>
  <si>
    <t>Gastos de Venta</t>
  </si>
  <si>
    <t>(=) Utilidad Operacional</t>
  </si>
  <si>
    <t>(-) Gastos No Operacionales</t>
  </si>
  <si>
    <t>Gastos Financieros (intereses sobre prestamos)</t>
  </si>
  <si>
    <t>Aqui deberan poner los gastos NO relacionados con la operacion de la empresa dependiendo del proyecto que se este planteando.</t>
  </si>
  <si>
    <t>Otros gastos no operacionales</t>
  </si>
  <si>
    <t>(=) Utilidad antes de Part. Trab. E Impuestos</t>
  </si>
  <si>
    <t>(-) 15% Participación de Trabajadores</t>
  </si>
  <si>
    <t>(=) Utilidad antes de Impuestos</t>
  </si>
  <si>
    <t>(-) 25% Impuesto a la Renta</t>
  </si>
  <si>
    <t>(=) UTILIDAD NETA</t>
  </si>
  <si>
    <t>AÑO 0</t>
  </si>
  <si>
    <t>AÑO 1</t>
  </si>
  <si>
    <t>AÑO 2</t>
  </si>
  <si>
    <t>AÑO 3</t>
  </si>
  <si>
    <t>AÑO 4</t>
  </si>
  <si>
    <t>AÑO 5</t>
  </si>
  <si>
    <t>(+) Amortización (de Intangibles)</t>
  </si>
  <si>
    <t>(+) Depreciacion (de activos fijos)</t>
  </si>
  <si>
    <t>(-) Inversión</t>
  </si>
  <si>
    <t>(+) Préstamo</t>
  </si>
  <si>
    <t>(-) Amortización Capital del Prestamo</t>
  </si>
  <si>
    <t>(-) Capital de Trabajo</t>
  </si>
  <si>
    <t>(+) Recuperación Capital de Trabj.</t>
  </si>
  <si>
    <t>(+) Valor de Desecho</t>
  </si>
  <si>
    <t>(=) Flujo Neto Efectivo</t>
  </si>
  <si>
    <t>Amortización Intangible</t>
  </si>
  <si>
    <t>Valor de Desecho</t>
  </si>
  <si>
    <t>Depreciación Anual</t>
  </si>
  <si>
    <t>Muebles de Oficina</t>
  </si>
  <si>
    <t>Equipos de Oficina</t>
  </si>
  <si>
    <t>Maquinaria y Equipos</t>
  </si>
  <si>
    <t>Vehículo</t>
  </si>
  <si>
    <t>Depreciación Anual Total</t>
  </si>
  <si>
    <t>Valor en Libros</t>
  </si>
  <si>
    <t>Depreciación Acumulada</t>
  </si>
  <si>
    <t>Años Depreciandose</t>
  </si>
  <si>
    <t>Vida Contable</t>
  </si>
  <si>
    <t>Valor Contable</t>
  </si>
  <si>
    <t>Activo</t>
  </si>
  <si>
    <t>Valor de Desecho Contable</t>
  </si>
  <si>
    <t>CUOTA</t>
  </si>
  <si>
    <t>INTERESES</t>
  </si>
  <si>
    <t>CAPITAL</t>
  </si>
  <si>
    <t>SALDO</t>
  </si>
  <si>
    <t>Tasa</t>
  </si>
  <si>
    <t>Deuda a Financiar  (60%)</t>
  </si>
  <si>
    <t>Activos Fijos</t>
  </si>
  <si>
    <t>Inversión</t>
  </si>
  <si>
    <t xml:space="preserve">Tasa Crecimiento </t>
  </si>
  <si>
    <t xml:space="preserve">Gastos Suministros </t>
  </si>
  <si>
    <t xml:space="preserve">Cálculo del BETA </t>
  </si>
  <si>
    <t>L</t>
  </si>
  <si>
    <t>T</t>
  </si>
  <si>
    <t>B</t>
  </si>
  <si>
    <t>Datos de la Empresa</t>
  </si>
  <si>
    <t xml:space="preserve">Datos de la Empresa Comparables </t>
  </si>
  <si>
    <t>Beta</t>
  </si>
  <si>
    <t>Total Activo</t>
  </si>
  <si>
    <t>Total Pasivo</t>
  </si>
  <si>
    <t>Ba</t>
  </si>
  <si>
    <t>(1-l)B/(1-LT)</t>
  </si>
  <si>
    <t>Beta(Empresa)</t>
  </si>
  <si>
    <t>ba(1-lt)/(1-l)</t>
  </si>
  <si>
    <t>CAPM=</t>
  </si>
  <si>
    <t>RF+B(RM-RF)</t>
  </si>
  <si>
    <t>VAN</t>
  </si>
  <si>
    <t>TIR</t>
  </si>
  <si>
    <t>Tasa Crec. Venta autos</t>
  </si>
  <si>
    <t>Constitución de la Empresa</t>
  </si>
  <si>
    <t>Pago</t>
  </si>
  <si>
    <t>Menaje de Oficina(hojas, pluma, etc.)</t>
  </si>
  <si>
    <t xml:space="preserve">Trámites Legales </t>
  </si>
  <si>
    <t>Constitución Empresa</t>
  </si>
  <si>
    <t>Capital de Trabajo</t>
  </si>
  <si>
    <t>Utensilios Varios (embudos, bandejas)</t>
  </si>
  <si>
    <t>Rp(bce)</t>
  </si>
  <si>
    <t>Rf(bond5)</t>
  </si>
  <si>
    <t>Crece en 15%</t>
  </si>
  <si>
    <t>Crece en 20%</t>
  </si>
  <si>
    <t>Crece en 5%</t>
  </si>
  <si>
    <t xml:space="preserve">Decrece en 15% </t>
  </si>
  <si>
    <t>Decrece en 20%</t>
  </si>
  <si>
    <t>Decrece en 5%</t>
  </si>
  <si>
    <t>No crece</t>
  </si>
  <si>
    <t>$B$2</t>
  </si>
  <si>
    <t>$D$35</t>
  </si>
  <si>
    <t>Creado por Usuario el 22/01/2012
Modificado por Usuario el 22/01/2012</t>
  </si>
  <si>
    <t>Creado por Usuario el 22/01/2012</t>
  </si>
  <si>
    <t>Resumen de escenario</t>
  </si>
  <si>
    <t>Celdas cambiantes:</t>
  </si>
  <si>
    <t>Valores actuales:</t>
  </si>
  <si>
    <t>Celdas de resultado:</t>
  </si>
  <si>
    <t>Notas: La columna de valores actuales representa los valores de las celdas cambiantes</t>
  </si>
  <si>
    <t>en el momento en que se creó el Informe resumen de escenario. Las celdas cambiantes de</t>
  </si>
  <si>
    <t>cada escenario se muestran en gris.</t>
  </si>
  <si>
    <t>Var (%)</t>
  </si>
  <si>
    <t>Flujo de Efectivo</t>
  </si>
  <si>
    <t>Flujo de Efectivo Descontado</t>
  </si>
  <si>
    <t>Flujo de Efectivo Dsctado. Acumulado</t>
  </si>
  <si>
    <t xml:space="preserve">4 años </t>
  </si>
  <si>
    <t>PAYBACK</t>
  </si>
  <si>
    <t>Prima_Mercado</t>
  </si>
  <si>
    <t>TMAR</t>
  </si>
  <si>
    <t>Periodo</t>
  </si>
  <si>
    <t>Saldo de inversion</t>
  </si>
  <si>
    <t xml:space="preserve">Flujo de Caja </t>
  </si>
  <si>
    <t>Rentabilidad exigida</t>
  </si>
  <si>
    <t>ANALISIS DE SENSIBLIDAD RESPECTO A INGRESOS</t>
  </si>
  <si>
    <t>RESULTADO</t>
  </si>
  <si>
    <t>VARIACION</t>
  </si>
  <si>
    <t>FACTIBLE</t>
  </si>
  <si>
    <t>ANALISIS DE SENSIBLIDAD RESPECTO A COSTOS</t>
  </si>
  <si>
    <t>NO FACTIBLE</t>
  </si>
  <si>
    <t>Recuperacion Inversión</t>
  </si>
</sst>
</file>

<file path=xl/styles.xml><?xml version="1.0" encoding="utf-8"?>
<styleSheet xmlns="http://schemas.openxmlformats.org/spreadsheetml/2006/main">
  <numFmts count="10">
    <numFmt numFmtId="6" formatCode="&quot;$&quot;\ #,##0_);[Red]\(&quot;$&quot;\ #,##0\)"/>
    <numFmt numFmtId="8" formatCode="&quot;$&quot;\ #,##0.00_);[Red]\(&quot;$&quot;\ #,##0.00\)"/>
    <numFmt numFmtId="44" formatCode="_(&quot;$&quot;\ * #,##0.00_);_(&quot;$&quot;\ * \(#,##0.00\);_(&quot;$&quot;\ * &quot;-&quot;??_);_(@_)"/>
    <numFmt numFmtId="164" formatCode="&quot;$&quot;\ #,##0.00"/>
    <numFmt numFmtId="165" formatCode="0.0"/>
    <numFmt numFmtId="166" formatCode="0.000"/>
    <numFmt numFmtId="167" formatCode="_-[$$-409]* #,##0.00_ ;_-[$$-409]* \-#,##0.00\ ;_-[$$-409]* &quot;-&quot;??_ ;_-@_ "/>
    <numFmt numFmtId="168" formatCode="_(* #,##0_);_(* \(#,##0\);_(* &quot;-&quot;??_);_(@_)"/>
    <numFmt numFmtId="169" formatCode="0.000%"/>
    <numFmt numFmtId="170" formatCode="0.0%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 applyFill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Border="1"/>
    <xf numFmtId="164" fontId="0" fillId="0" borderId="1" xfId="0" applyNumberFormat="1" applyFill="1" applyBorder="1"/>
    <xf numFmtId="0" fontId="0" fillId="0" borderId="0" xfId="0" applyBorder="1"/>
    <xf numFmtId="0" fontId="1" fillId="0" borderId="0" xfId="0" applyFont="1" applyBorder="1"/>
    <xf numFmtId="6" fontId="0" fillId="0" borderId="0" xfId="0" applyNumberFormat="1" applyBorder="1"/>
    <xf numFmtId="0" fontId="1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0" fontId="0" fillId="6" borderId="0" xfId="0" applyFill="1"/>
    <xf numFmtId="9" fontId="0" fillId="0" borderId="1" xfId="0" applyNumberFormat="1" applyBorder="1"/>
    <xf numFmtId="0" fontId="0" fillId="3" borderId="0" xfId="0" applyFill="1"/>
    <xf numFmtId="0" fontId="1" fillId="0" borderId="0" xfId="0" applyFont="1" applyAlignment="1">
      <alignment horizontal="left" wrapText="1"/>
    </xf>
    <xf numFmtId="1" fontId="0" fillId="0" borderId="1" xfId="0" applyNumberFormat="1" applyBorder="1"/>
    <xf numFmtId="0" fontId="0" fillId="4" borderId="0" xfId="0" applyFill="1"/>
    <xf numFmtId="0" fontId="1" fillId="0" borderId="0" xfId="0" applyFont="1" applyAlignment="1">
      <alignment wrapText="1"/>
    </xf>
    <xf numFmtId="0" fontId="0" fillId="5" borderId="0" xfId="0" applyFill="1"/>
    <xf numFmtId="0" fontId="1" fillId="0" borderId="0" xfId="0" applyFont="1" applyAlignment="1">
      <alignment horizontal="center"/>
    </xf>
    <xf numFmtId="3" fontId="3" fillId="0" borderId="0" xfId="0" applyNumberFormat="1" applyFont="1"/>
    <xf numFmtId="0" fontId="1" fillId="8" borderId="3" xfId="0" applyFont="1" applyFill="1" applyBorder="1" applyAlignment="1">
      <alignment horizontal="center"/>
    </xf>
    <xf numFmtId="1" fontId="1" fillId="0" borderId="4" xfId="0" applyNumberFormat="1" applyFont="1" applyBorder="1"/>
    <xf numFmtId="0" fontId="0" fillId="0" borderId="4" xfId="0" applyBorder="1"/>
    <xf numFmtId="1" fontId="0" fillId="0" borderId="4" xfId="0" applyNumberFormat="1" applyBorder="1"/>
    <xf numFmtId="1" fontId="0" fillId="0" borderId="5" xfId="0" applyNumberFormat="1" applyBorder="1"/>
    <xf numFmtId="0" fontId="1" fillId="5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1" fontId="0" fillId="0" borderId="6" xfId="0" applyNumberFormat="1" applyBorder="1"/>
    <xf numFmtId="0" fontId="0" fillId="0" borderId="6" xfId="0" applyBorder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1" fontId="0" fillId="0" borderId="7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10" borderId="1" xfId="0" applyNumberFormat="1" applyFill="1" applyBorder="1" applyAlignment="1">
      <alignment horizontal="right"/>
    </xf>
    <xf numFmtId="164" fontId="0" fillId="0" borderId="0" xfId="0" applyNumberFormat="1"/>
    <xf numFmtId="1" fontId="0" fillId="10" borderId="1" xfId="0" applyNumberFormat="1" applyFill="1" applyBorder="1"/>
    <xf numFmtId="0" fontId="0" fillId="10" borderId="1" xfId="0" applyFill="1" applyBorder="1"/>
    <xf numFmtId="0" fontId="0" fillId="0" borderId="0" xfId="0" applyFill="1"/>
    <xf numFmtId="166" fontId="0" fillId="0" borderId="0" xfId="1" applyNumberFormat="1" applyFont="1"/>
    <xf numFmtId="0" fontId="1" fillId="0" borderId="0" xfId="0" applyFont="1" applyBorder="1" applyAlignment="1">
      <alignment vertical="top" wrapText="1"/>
    </xf>
    <xf numFmtId="2" fontId="0" fillId="0" borderId="0" xfId="0" applyNumberFormat="1" applyBorder="1" applyAlignment="1">
      <alignment horizontal="right" vertical="top" wrapText="1"/>
    </xf>
    <xf numFmtId="0" fontId="0" fillId="0" borderId="0" xfId="0" applyBorder="1" applyAlignment="1">
      <alignment horizontal="right" vertical="top" wrapText="1"/>
    </xf>
    <xf numFmtId="0" fontId="1" fillId="0" borderId="0" xfId="0" applyFont="1" applyFill="1" applyBorder="1"/>
    <xf numFmtId="2" fontId="0" fillId="0" borderId="1" xfId="0" applyNumberFormat="1" applyBorder="1"/>
    <xf numFmtId="0" fontId="1" fillId="0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2" fontId="0" fillId="6" borderId="1" xfId="0" applyNumberFormat="1" applyFill="1" applyBorder="1"/>
    <xf numFmtId="0" fontId="1" fillId="11" borderId="5" xfId="0" applyFont="1" applyFill="1" applyBorder="1" applyAlignment="1">
      <alignment horizontal="left"/>
    </xf>
    <xf numFmtId="1" fontId="0" fillId="11" borderId="7" xfId="0" applyNumberFormat="1" applyFill="1" applyBorder="1" applyAlignment="1">
      <alignment horizontal="right"/>
    </xf>
    <xf numFmtId="165" fontId="0" fillId="0" borderId="1" xfId="0" applyNumberFormat="1" applyBorder="1"/>
    <xf numFmtId="1" fontId="1" fillId="0" borderId="2" xfId="0" applyNumberFormat="1" applyFont="1" applyBorder="1"/>
    <xf numFmtId="2" fontId="0" fillId="6" borderId="6" xfId="0" applyNumberFormat="1" applyFill="1" applyBorder="1"/>
    <xf numFmtId="2" fontId="0" fillId="10" borderId="8" xfId="0" applyNumberFormat="1" applyFill="1" applyBorder="1"/>
    <xf numFmtId="2" fontId="1" fillId="7" borderId="2" xfId="0" applyNumberFormat="1" applyFont="1" applyFill="1" applyBorder="1"/>
    <xf numFmtId="0" fontId="1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vertical="top" wrapText="1"/>
    </xf>
    <xf numFmtId="0" fontId="1" fillId="9" borderId="1" xfId="0" applyFont="1" applyFill="1" applyBorder="1"/>
    <xf numFmtId="2" fontId="0" fillId="9" borderId="1" xfId="0" applyNumberFormat="1" applyFill="1" applyBorder="1"/>
    <xf numFmtId="0" fontId="4" fillId="0" borderId="1" xfId="0" applyFont="1" applyBorder="1"/>
    <xf numFmtId="0" fontId="4" fillId="0" borderId="17" xfId="0" applyFont="1" applyFill="1" applyBorder="1"/>
    <xf numFmtId="0" fontId="4" fillId="0" borderId="1" xfId="0" applyFont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/>
    <xf numFmtId="0" fontId="5" fillId="14" borderId="1" xfId="0" applyFont="1" applyFill="1" applyBorder="1"/>
    <xf numFmtId="0" fontId="5" fillId="15" borderId="1" xfId="0" applyFont="1" applyFill="1" applyBorder="1"/>
    <xf numFmtId="0" fontId="0" fillId="15" borderId="1" xfId="0" applyFill="1" applyBorder="1"/>
    <xf numFmtId="0" fontId="7" fillId="0" borderId="1" xfId="0" applyFont="1" applyFill="1" applyBorder="1"/>
    <xf numFmtId="2" fontId="8" fillId="9" borderId="1" xfId="0" applyNumberFormat="1" applyFont="1" applyFill="1" applyBorder="1"/>
    <xf numFmtId="1" fontId="9" fillId="10" borderId="1" xfId="0" applyNumberFormat="1" applyFont="1" applyFill="1" applyBorder="1" applyAlignment="1">
      <alignment horizontal="right"/>
    </xf>
    <xf numFmtId="2" fontId="10" fillId="9" borderId="1" xfId="0" applyNumberFormat="1" applyFont="1" applyFill="1" applyBorder="1"/>
    <xf numFmtId="10" fontId="0" fillId="0" borderId="0" xfId="0" applyNumberFormat="1"/>
    <xf numFmtId="44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44" fontId="11" fillId="0" borderId="0" xfId="0" applyNumberFormat="1" applyFont="1"/>
    <xf numFmtId="0" fontId="12" fillId="0" borderId="15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1" fillId="0" borderId="0" xfId="0" applyFont="1"/>
    <xf numFmtId="0" fontId="1" fillId="0" borderId="0" xfId="0" applyFont="1" applyBorder="1" applyAlignment="1">
      <alignment horizontal="left"/>
    </xf>
    <xf numFmtId="164" fontId="11" fillId="0" borderId="1" xfId="0" applyNumberFormat="1" applyFont="1" applyBorder="1" applyAlignment="1">
      <alignment horizontal="right" vertical="center" wrapText="1"/>
    </xf>
    <xf numFmtId="167" fontId="11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7" fontId="12" fillId="0" borderId="1" xfId="2" applyNumberFormat="1" applyFont="1" applyBorder="1" applyAlignment="1">
      <alignment horizontal="center" vertical="center" wrapText="1"/>
    </xf>
    <xf numFmtId="4" fontId="11" fillId="0" borderId="1" xfId="0" applyNumberFormat="1" applyFont="1" applyBorder="1"/>
    <xf numFmtId="0" fontId="11" fillId="0" borderId="1" xfId="0" applyFont="1" applyFill="1" applyBorder="1"/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10" fontId="11" fillId="0" borderId="0" xfId="0" applyNumberFormat="1" applyFont="1"/>
    <xf numFmtId="0" fontId="12" fillId="0" borderId="0" xfId="0" applyFont="1"/>
    <xf numFmtId="44" fontId="12" fillId="0" borderId="1" xfId="0" applyNumberFormat="1" applyFont="1" applyBorder="1"/>
    <xf numFmtId="44" fontId="11" fillId="0" borderId="18" xfId="0" applyNumberFormat="1" applyFont="1" applyBorder="1"/>
    <xf numFmtId="44" fontId="11" fillId="0" borderId="7" xfId="0" applyNumberFormat="1" applyFont="1" applyBorder="1"/>
    <xf numFmtId="44" fontId="12" fillId="0" borderId="7" xfId="0" applyNumberFormat="1" applyFont="1" applyBorder="1"/>
    <xf numFmtId="0" fontId="12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2" fontId="1" fillId="0" borderId="1" xfId="0" applyNumberFormat="1" applyFont="1" applyBorder="1"/>
    <xf numFmtId="1" fontId="1" fillId="0" borderId="1" xfId="0" applyNumberFormat="1" applyFont="1" applyBorder="1"/>
    <xf numFmtId="0" fontId="1" fillId="0" borderId="0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" fontId="1" fillId="0" borderId="7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NumberFormat="1" applyBorder="1"/>
    <xf numFmtId="0" fontId="0" fillId="0" borderId="1" xfId="0" applyNumberFormat="1" applyBorder="1" applyAlignment="1">
      <alignment horizontal="right" vertical="center" wrapText="1"/>
    </xf>
    <xf numFmtId="4" fontId="1" fillId="0" borderId="1" xfId="0" applyNumberFormat="1" applyFont="1" applyBorder="1"/>
    <xf numFmtId="4" fontId="6" fillId="0" borderId="1" xfId="0" applyNumberFormat="1" applyFont="1" applyFill="1" applyBorder="1"/>
    <xf numFmtId="4" fontId="0" fillId="0" borderId="1" xfId="0" applyNumberFormat="1" applyFill="1" applyBorder="1"/>
    <xf numFmtId="2" fontId="0" fillId="14" borderId="1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 vertical="center" wrapText="1"/>
    </xf>
    <xf numFmtId="10" fontId="0" fillId="0" borderId="0" xfId="1" applyNumberFormat="1" applyFont="1"/>
    <xf numFmtId="166" fontId="0" fillId="0" borderId="0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0" fontId="0" fillId="0" borderId="1" xfId="1" applyNumberFormat="1" applyFont="1" applyBorder="1"/>
    <xf numFmtId="166" fontId="0" fillId="0" borderId="1" xfId="0" applyNumberFormat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0" fontId="0" fillId="0" borderId="0" xfId="1" applyNumberFormat="1" applyFont="1" applyFill="1" applyBorder="1"/>
    <xf numFmtId="8" fontId="0" fillId="0" borderId="0" xfId="0" applyNumberFormat="1"/>
    <xf numFmtId="2" fontId="0" fillId="12" borderId="1" xfId="0" applyNumberFormat="1" applyFill="1" applyBorder="1"/>
    <xf numFmtId="2" fontId="1" fillId="0" borderId="1" xfId="0" applyNumberFormat="1" applyFont="1" applyFill="1" applyBorder="1"/>
    <xf numFmtId="164" fontId="0" fillId="0" borderId="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8" fontId="0" fillId="0" borderId="7" xfId="0" applyNumberFormat="1" applyBorder="1" applyAlignment="1">
      <alignment horizontal="right"/>
    </xf>
    <xf numFmtId="2" fontId="0" fillId="13" borderId="1" xfId="0" applyNumberFormat="1" applyFill="1" applyBorder="1"/>
    <xf numFmtId="0" fontId="0" fillId="0" borderId="0" xfId="0" applyFill="1" applyBorder="1" applyAlignment="1"/>
    <xf numFmtId="10" fontId="0" fillId="0" borderId="0" xfId="0" applyNumberFormat="1" applyFill="1" applyBorder="1" applyAlignment="1"/>
    <xf numFmtId="2" fontId="0" fillId="0" borderId="20" xfId="0" applyNumberFormat="1" applyFill="1" applyBorder="1" applyAlignment="1"/>
    <xf numFmtId="0" fontId="13" fillId="16" borderId="15" xfId="0" applyFont="1" applyFill="1" applyBorder="1" applyAlignment="1">
      <alignment horizontal="left"/>
    </xf>
    <xf numFmtId="0" fontId="13" fillId="16" borderId="19" xfId="0" applyFont="1" applyFill="1" applyBorder="1" applyAlignment="1">
      <alignment horizontal="left"/>
    </xf>
    <xf numFmtId="0" fontId="0" fillId="0" borderId="18" xfId="0" applyFill="1" applyBorder="1" applyAlignment="1"/>
    <xf numFmtId="0" fontId="14" fillId="17" borderId="0" xfId="0" applyFont="1" applyFill="1" applyBorder="1" applyAlignment="1">
      <alignment horizontal="left"/>
    </xf>
    <xf numFmtId="0" fontId="15" fillId="17" borderId="18" xfId="0" applyFont="1" applyFill="1" applyBorder="1" applyAlignment="1">
      <alignment horizontal="left"/>
    </xf>
    <xf numFmtId="0" fontId="14" fillId="17" borderId="20" xfId="0" applyFont="1" applyFill="1" applyBorder="1" applyAlignment="1">
      <alignment horizontal="left"/>
    </xf>
    <xf numFmtId="0" fontId="16" fillId="16" borderId="19" xfId="0" applyFont="1" applyFill="1" applyBorder="1" applyAlignment="1">
      <alignment horizontal="right"/>
    </xf>
    <xf numFmtId="0" fontId="16" fillId="16" borderId="15" xfId="0" applyFont="1" applyFill="1" applyBorder="1" applyAlignment="1">
      <alignment horizontal="right"/>
    </xf>
    <xf numFmtId="10" fontId="0" fillId="18" borderId="0" xfId="0" applyNumberFormat="1" applyFill="1" applyBorder="1" applyAlignment="1"/>
    <xf numFmtId="0" fontId="17" fillId="0" borderId="0" xfId="0" applyFont="1" applyFill="1" applyBorder="1" applyAlignment="1">
      <alignment vertical="top" wrapText="1"/>
    </xf>
    <xf numFmtId="2" fontId="0" fillId="0" borderId="1" xfId="0" applyNumberFormat="1" applyFill="1" applyBorder="1" applyAlignment="1"/>
    <xf numFmtId="0" fontId="7" fillId="0" borderId="1" xfId="0" applyFont="1" applyBorder="1"/>
    <xf numFmtId="0" fontId="1" fillId="0" borderId="21" xfId="0" applyFont="1" applyBorder="1"/>
    <xf numFmtId="0" fontId="0" fillId="0" borderId="22" xfId="0" applyBorder="1"/>
    <xf numFmtId="2" fontId="0" fillId="0" borderId="2" xfId="0" applyNumberFormat="1" applyBorder="1"/>
    <xf numFmtId="169" fontId="0" fillId="0" borderId="0" xfId="1" applyNumberFormat="1" applyFont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17" xfId="0" applyBorder="1"/>
    <xf numFmtId="9" fontId="0" fillId="0" borderId="1" xfId="0" applyNumberFormat="1" applyBorder="1" applyAlignment="1">
      <alignment horizontal="center"/>
    </xf>
    <xf numFmtId="0" fontId="0" fillId="0" borderId="23" xfId="0" applyBorder="1"/>
    <xf numFmtId="10" fontId="0" fillId="0" borderId="1" xfId="0" applyNumberFormat="1" applyBorder="1" applyAlignment="1">
      <alignment horizontal="center"/>
    </xf>
    <xf numFmtId="170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9" fontId="0" fillId="0" borderId="1" xfId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0" xfId="0" applyNumberFormat="1"/>
    <xf numFmtId="0" fontId="18" fillId="0" borderId="0" xfId="3" applyAlignment="1" applyProtection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Moneda" xfId="2" builtinId="4"/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/>
    <c:plotArea>
      <c:layout/>
      <c:scatterChart>
        <c:scatterStyle val="smoothMarker"/>
        <c:ser>
          <c:idx val="0"/>
          <c:order val="0"/>
          <c:tx>
            <c:strRef>
              <c:f>'Resumen de escenario'!$D$15</c:f>
              <c:strCache>
                <c:ptCount val="1"/>
                <c:pt idx="0">
                  <c:v>VAN</c:v>
                </c:pt>
              </c:strCache>
            </c:strRef>
          </c:tx>
          <c:marker>
            <c:symbol val="none"/>
          </c:marker>
          <c:xVal>
            <c:numRef>
              <c:f>'Resumen de escenario'!$E$14:$K$14</c:f>
              <c:numCache>
                <c:formatCode>0%</c:formatCode>
                <c:ptCount val="7"/>
                <c:pt idx="0">
                  <c:v>0.05</c:v>
                </c:pt>
                <c:pt idx="1">
                  <c:v>0.15</c:v>
                </c:pt>
                <c:pt idx="2">
                  <c:v>0.2</c:v>
                </c:pt>
                <c:pt idx="3">
                  <c:v>0</c:v>
                </c:pt>
                <c:pt idx="4">
                  <c:v>-0.05</c:v>
                </c:pt>
                <c:pt idx="5">
                  <c:v>-0.15</c:v>
                </c:pt>
                <c:pt idx="6">
                  <c:v>-0.2</c:v>
                </c:pt>
              </c:numCache>
            </c:numRef>
          </c:xVal>
          <c:yVal>
            <c:numRef>
              <c:f>'Resumen de escenario'!$E$15:$K$15</c:f>
              <c:numCache>
                <c:formatCode>0.00</c:formatCode>
                <c:ptCount val="7"/>
                <c:pt idx="0">
                  <c:v>-4122.3019424111499</c:v>
                </c:pt>
                <c:pt idx="1">
                  <c:v>11351.715561368001</c:v>
                </c:pt>
                <c:pt idx="2">
                  <c:v>20108.529588052199</c:v>
                </c:pt>
                <c:pt idx="3">
                  <c:v>-10924.3249785142</c:v>
                </c:pt>
                <c:pt idx="4">
                  <c:v>-17157.076222956799</c:v>
                </c:pt>
                <c:pt idx="5">
                  <c:v>-28067.939719743001</c:v>
                </c:pt>
                <c:pt idx="6">
                  <c:v>-32818.898632815297</c:v>
                </c:pt>
              </c:numCache>
            </c:numRef>
          </c:yVal>
          <c:smooth val="1"/>
        </c:ser>
        <c:axId val="81462784"/>
        <c:axId val="81464320"/>
      </c:scatterChart>
      <c:valAx>
        <c:axId val="81462784"/>
        <c:scaling>
          <c:orientation val="minMax"/>
        </c:scaling>
        <c:axPos val="b"/>
        <c:numFmt formatCode="0%" sourceLinked="1"/>
        <c:tickLblPos val="nextTo"/>
        <c:crossAx val="81464320"/>
        <c:crosses val="autoZero"/>
        <c:crossBetween val="midCat"/>
      </c:valAx>
      <c:valAx>
        <c:axId val="81464320"/>
        <c:scaling>
          <c:orientation val="minMax"/>
        </c:scaling>
        <c:axPos val="l"/>
        <c:majorGridlines/>
        <c:numFmt formatCode="0.00" sourceLinked="1"/>
        <c:tickLblPos val="nextTo"/>
        <c:crossAx val="81462784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Sensibilidad!$E$5</c:f>
              <c:strCache>
                <c:ptCount val="1"/>
                <c:pt idx="0">
                  <c:v>VAN</c:v>
                </c:pt>
              </c:strCache>
            </c:strRef>
          </c:tx>
          <c:marker>
            <c:symbol val="none"/>
          </c:marker>
          <c:cat>
            <c:numRef>
              <c:f>Sensibilidad!$D$6:$D$11</c:f>
              <c:numCache>
                <c:formatCode>General</c:formatCode>
                <c:ptCount val="6"/>
                <c:pt idx="0" formatCode="0%">
                  <c:v>0.05</c:v>
                </c:pt>
                <c:pt idx="1">
                  <c:v>0</c:v>
                </c:pt>
                <c:pt idx="2" formatCode="0%">
                  <c:v>-0.05</c:v>
                </c:pt>
                <c:pt idx="3" formatCode="0%">
                  <c:v>-0.1</c:v>
                </c:pt>
                <c:pt idx="4" formatCode="0%">
                  <c:v>-0.15</c:v>
                </c:pt>
                <c:pt idx="5" formatCode="0%">
                  <c:v>-0.2</c:v>
                </c:pt>
              </c:numCache>
            </c:numRef>
          </c:cat>
          <c:val>
            <c:numRef>
              <c:f>Sensibilidad!$E$6:$E$11</c:f>
              <c:numCache>
                <c:formatCode>"$"\ #,##0.00</c:formatCode>
                <c:ptCount val="6"/>
                <c:pt idx="0">
                  <c:v>24239.313144644322</c:v>
                </c:pt>
                <c:pt idx="1">
                  <c:v>15108.417052227423</c:v>
                </c:pt>
                <c:pt idx="2">
                  <c:v>5977.5209598105339</c:v>
                </c:pt>
                <c:pt idx="3">
                  <c:v>-3153.3751326063393</c:v>
                </c:pt>
                <c:pt idx="4">
                  <c:v>-12284.271225023222</c:v>
                </c:pt>
                <c:pt idx="5">
                  <c:v>-21415.167317440086</c:v>
                </c:pt>
              </c:numCache>
            </c:numRef>
          </c:val>
        </c:ser>
        <c:marker val="1"/>
        <c:axId val="126582144"/>
        <c:axId val="126592128"/>
      </c:lineChart>
      <c:catAx>
        <c:axId val="126582144"/>
        <c:scaling>
          <c:orientation val="minMax"/>
        </c:scaling>
        <c:axPos val="b"/>
        <c:numFmt formatCode="0%" sourceLinked="1"/>
        <c:tickLblPos val="nextTo"/>
        <c:crossAx val="126592128"/>
        <c:crosses val="autoZero"/>
        <c:auto val="1"/>
        <c:lblAlgn val="ctr"/>
        <c:lblOffset val="100"/>
      </c:catAx>
      <c:valAx>
        <c:axId val="126592128"/>
        <c:scaling>
          <c:orientation val="minMax"/>
        </c:scaling>
        <c:axPos val="l"/>
        <c:majorGridlines/>
        <c:numFmt formatCode="&quot;$&quot;\ #,##0.00" sourceLinked="1"/>
        <c:tickLblPos val="nextTo"/>
        <c:crossAx val="126582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Sensibilidad!$F$5</c:f>
              <c:strCache>
                <c:ptCount val="1"/>
                <c:pt idx="0">
                  <c:v>TIR</c:v>
                </c:pt>
              </c:strCache>
            </c:strRef>
          </c:tx>
          <c:marker>
            <c:symbol val="none"/>
          </c:marker>
          <c:cat>
            <c:numRef>
              <c:f>Sensibilidad!$D$6:$D$11</c:f>
              <c:numCache>
                <c:formatCode>General</c:formatCode>
                <c:ptCount val="6"/>
                <c:pt idx="0" formatCode="0%">
                  <c:v>0.05</c:v>
                </c:pt>
                <c:pt idx="1">
                  <c:v>0</c:v>
                </c:pt>
                <c:pt idx="2" formatCode="0%">
                  <c:v>-0.05</c:v>
                </c:pt>
                <c:pt idx="3" formatCode="0%">
                  <c:v>-0.1</c:v>
                </c:pt>
                <c:pt idx="4" formatCode="0%">
                  <c:v>-0.15</c:v>
                </c:pt>
                <c:pt idx="5" formatCode="0%">
                  <c:v>-0.2</c:v>
                </c:pt>
              </c:numCache>
            </c:numRef>
          </c:cat>
          <c:val>
            <c:numRef>
              <c:f>Sensibilidad!$F$6:$F$10</c:f>
              <c:numCache>
                <c:formatCode>0.00%</c:formatCode>
                <c:ptCount val="5"/>
                <c:pt idx="0">
                  <c:v>0.58089337201290392</c:v>
                </c:pt>
                <c:pt idx="1">
                  <c:v>0.41717959743474298</c:v>
                </c:pt>
                <c:pt idx="2">
                  <c:v>0.25580177841553042</c:v>
                </c:pt>
                <c:pt idx="3">
                  <c:v>9.5551033511459979E-2</c:v>
                </c:pt>
                <c:pt idx="4">
                  <c:v>-6.5853644732967939E-2</c:v>
                </c:pt>
              </c:numCache>
            </c:numRef>
          </c:val>
        </c:ser>
        <c:marker val="1"/>
        <c:axId val="126489344"/>
        <c:axId val="126490880"/>
      </c:lineChart>
      <c:catAx>
        <c:axId val="126489344"/>
        <c:scaling>
          <c:orientation val="minMax"/>
        </c:scaling>
        <c:axPos val="b"/>
        <c:numFmt formatCode="0%" sourceLinked="1"/>
        <c:tickLblPos val="nextTo"/>
        <c:crossAx val="126490880"/>
        <c:crosses val="autoZero"/>
        <c:auto val="1"/>
        <c:lblAlgn val="ctr"/>
        <c:lblOffset val="100"/>
      </c:catAx>
      <c:valAx>
        <c:axId val="126490880"/>
        <c:scaling>
          <c:orientation val="minMax"/>
        </c:scaling>
        <c:axPos val="l"/>
        <c:majorGridlines/>
        <c:numFmt formatCode="0.00%" sourceLinked="1"/>
        <c:tickLblPos val="nextTo"/>
        <c:crossAx val="126489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Sensibilidad!$E$15</c:f>
              <c:strCache>
                <c:ptCount val="1"/>
                <c:pt idx="0">
                  <c:v>VAN</c:v>
                </c:pt>
              </c:strCache>
            </c:strRef>
          </c:tx>
          <c:marker>
            <c:symbol val="none"/>
          </c:marker>
          <c:cat>
            <c:numRef>
              <c:f>Sensibilidad!$D$16:$D$21</c:f>
              <c:numCache>
                <c:formatCode>0%</c:formatCode>
                <c:ptCount val="6"/>
                <c:pt idx="0">
                  <c:v>0.2</c:v>
                </c:pt>
                <c:pt idx="1">
                  <c:v>0.15</c:v>
                </c:pt>
                <c:pt idx="2">
                  <c:v>0.1</c:v>
                </c:pt>
                <c:pt idx="3">
                  <c:v>0.05</c:v>
                </c:pt>
                <c:pt idx="4" formatCode="General">
                  <c:v>0</c:v>
                </c:pt>
                <c:pt idx="5">
                  <c:v>-0.05</c:v>
                </c:pt>
              </c:numCache>
            </c:numRef>
          </c:cat>
          <c:val>
            <c:numRef>
              <c:f>Sensibilidad!$E$16:$E$21</c:f>
              <c:numCache>
                <c:formatCode>0</c:formatCode>
                <c:ptCount val="6"/>
                <c:pt idx="0">
                  <c:v>5457.8764667461637</c:v>
                </c:pt>
                <c:pt idx="1">
                  <c:v>7870.511613116485</c:v>
                </c:pt>
                <c:pt idx="2">
                  <c:v>10283.146759486785</c:v>
                </c:pt>
                <c:pt idx="3">
                  <c:v>12695.781905857102</c:v>
                </c:pt>
                <c:pt idx="4">
                  <c:v>15108.417052227423</c:v>
                </c:pt>
                <c:pt idx="5">
                  <c:v>17521.052198597739</c:v>
                </c:pt>
              </c:numCache>
            </c:numRef>
          </c:val>
        </c:ser>
        <c:marker val="1"/>
        <c:axId val="126531456"/>
        <c:axId val="126532992"/>
      </c:lineChart>
      <c:catAx>
        <c:axId val="126531456"/>
        <c:scaling>
          <c:orientation val="minMax"/>
        </c:scaling>
        <c:axPos val="b"/>
        <c:numFmt formatCode="0%" sourceLinked="1"/>
        <c:tickLblPos val="nextTo"/>
        <c:crossAx val="126532992"/>
        <c:crosses val="autoZero"/>
        <c:auto val="1"/>
        <c:lblAlgn val="ctr"/>
        <c:lblOffset val="100"/>
      </c:catAx>
      <c:valAx>
        <c:axId val="126532992"/>
        <c:scaling>
          <c:orientation val="minMax"/>
        </c:scaling>
        <c:axPos val="l"/>
        <c:majorGridlines/>
        <c:numFmt formatCode="0" sourceLinked="1"/>
        <c:tickLblPos val="nextTo"/>
        <c:crossAx val="126531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Sensibilidad!$F$15</c:f>
              <c:strCache>
                <c:ptCount val="1"/>
                <c:pt idx="0">
                  <c:v>TIR</c:v>
                </c:pt>
              </c:strCache>
            </c:strRef>
          </c:tx>
          <c:marker>
            <c:symbol val="none"/>
          </c:marker>
          <c:cat>
            <c:numRef>
              <c:f>Sensibilidad!$D$16:$D$21</c:f>
              <c:numCache>
                <c:formatCode>0%</c:formatCode>
                <c:ptCount val="6"/>
                <c:pt idx="0">
                  <c:v>0.2</c:v>
                </c:pt>
                <c:pt idx="1">
                  <c:v>0.15</c:v>
                </c:pt>
                <c:pt idx="2">
                  <c:v>0.1</c:v>
                </c:pt>
                <c:pt idx="3">
                  <c:v>0.05</c:v>
                </c:pt>
                <c:pt idx="4" formatCode="General">
                  <c:v>0</c:v>
                </c:pt>
                <c:pt idx="5">
                  <c:v>-0.05</c:v>
                </c:pt>
              </c:numCache>
            </c:numRef>
          </c:cat>
          <c:val>
            <c:numRef>
              <c:f>Sensibilidad!$F$16:$F$21</c:f>
              <c:numCache>
                <c:formatCode>0%</c:formatCode>
                <c:ptCount val="6"/>
                <c:pt idx="0">
                  <c:v>0.24666724426526856</c:v>
                </c:pt>
                <c:pt idx="1">
                  <c:v>0.28911295680352028</c:v>
                </c:pt>
                <c:pt idx="2">
                  <c:v>0.33166493552820997</c:v>
                </c:pt>
                <c:pt idx="3">
                  <c:v>0.37434716305030574</c:v>
                </c:pt>
                <c:pt idx="4">
                  <c:v>0.41717959743474298</c:v>
                </c:pt>
                <c:pt idx="5">
                  <c:v>0.46017863509264256</c:v>
                </c:pt>
              </c:numCache>
            </c:numRef>
          </c:val>
        </c:ser>
        <c:marker val="1"/>
        <c:axId val="126753792"/>
        <c:axId val="126759680"/>
      </c:lineChart>
      <c:catAx>
        <c:axId val="126753792"/>
        <c:scaling>
          <c:orientation val="minMax"/>
        </c:scaling>
        <c:axPos val="b"/>
        <c:numFmt formatCode="0%" sourceLinked="1"/>
        <c:tickLblPos val="nextTo"/>
        <c:crossAx val="126759680"/>
        <c:crosses val="autoZero"/>
        <c:auto val="1"/>
        <c:lblAlgn val="ctr"/>
        <c:lblOffset val="100"/>
      </c:catAx>
      <c:valAx>
        <c:axId val="126759680"/>
        <c:scaling>
          <c:orientation val="minMax"/>
        </c:scaling>
        <c:axPos val="l"/>
        <c:majorGridlines/>
        <c:numFmt formatCode="0%" sourceLinked="1"/>
        <c:tickLblPos val="nextTo"/>
        <c:crossAx val="126753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685800</xdr:colOff>
      <xdr:row>2</xdr:row>
      <xdr:rowOff>76200</xdr:rowOff>
    </xdr:from>
    <xdr:to>
      <xdr:col>19</xdr:col>
      <xdr:colOff>676275</xdr:colOff>
      <xdr:row>24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</xdr:row>
      <xdr:rowOff>0</xdr:rowOff>
    </xdr:from>
    <xdr:to>
      <xdr:col>13</xdr:col>
      <xdr:colOff>504825</xdr:colOff>
      <xdr:row>15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1</xdr:row>
      <xdr:rowOff>28575</xdr:rowOff>
    </xdr:from>
    <xdr:to>
      <xdr:col>21</xdr:col>
      <xdr:colOff>9525</xdr:colOff>
      <xdr:row>15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485775</xdr:colOff>
      <xdr:row>17</xdr:row>
      <xdr:rowOff>9525</xdr:rowOff>
    </xdr:from>
    <xdr:to>
      <xdr:col>13</xdr:col>
      <xdr:colOff>485775</xdr:colOff>
      <xdr:row>31</xdr:row>
      <xdr:rowOff>85725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76200</xdr:colOff>
      <xdr:row>17</xdr:row>
      <xdr:rowOff>57150</xdr:rowOff>
    </xdr:from>
    <xdr:to>
      <xdr:col>21</xdr:col>
      <xdr:colOff>76200</xdr:colOff>
      <xdr:row>31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topLeftCell="D1" workbookViewId="0">
      <selection activeCell="I20" sqref="I20"/>
    </sheetView>
  </sheetViews>
  <sheetFormatPr baseColWidth="10" defaultRowHeight="15"/>
  <cols>
    <col min="1" max="1" width="38.140625" customWidth="1"/>
    <col min="2" max="6" width="11.5703125" bestFit="1" customWidth="1"/>
    <col min="7" max="7" width="11.7109375" bestFit="1" customWidth="1"/>
    <col min="8" max="8" width="12" bestFit="1" customWidth="1"/>
    <col min="9" max="9" width="11.5703125" bestFit="1" customWidth="1"/>
    <col min="10" max="10" width="12.140625" bestFit="1" customWidth="1"/>
    <col min="11" max="11" width="11.5703125" bestFit="1" customWidth="1"/>
    <col min="12" max="12" width="12.140625" bestFit="1" customWidth="1"/>
    <col min="13" max="13" width="11.7109375" bestFit="1" customWidth="1"/>
  </cols>
  <sheetData>
    <row r="1" spans="1:14">
      <c r="A1" s="29" t="s">
        <v>87</v>
      </c>
      <c r="C1" s="30">
        <v>3142308</v>
      </c>
    </row>
    <row r="2" spans="1:14" ht="24.75" customHeight="1">
      <c r="C2">
        <f>C1/4</f>
        <v>785577</v>
      </c>
      <c r="G2" s="1" t="s">
        <v>86</v>
      </c>
      <c r="H2" s="29" t="s">
        <v>27</v>
      </c>
      <c r="J2" s="7" t="s">
        <v>85</v>
      </c>
      <c r="K2" s="7" t="s">
        <v>84</v>
      </c>
      <c r="L2" s="7" t="s">
        <v>83</v>
      </c>
    </row>
    <row r="3" spans="1:14">
      <c r="A3" s="29"/>
      <c r="C3" s="30"/>
      <c r="D3" s="29" t="s">
        <v>82</v>
      </c>
      <c r="F3" s="28">
        <v>1</v>
      </c>
      <c r="G3" s="19">
        <v>0.2</v>
      </c>
      <c r="H3" s="20">
        <f>$C$8*G3</f>
        <v>2828.0771999999997</v>
      </c>
      <c r="J3" s="3">
        <v>1</v>
      </c>
      <c r="K3" s="3">
        <v>3.5</v>
      </c>
      <c r="L3" s="22">
        <v>0.47</v>
      </c>
    </row>
    <row r="4" spans="1:14">
      <c r="A4" s="27" t="s">
        <v>81</v>
      </c>
      <c r="B4" s="19">
        <v>0.4</v>
      </c>
      <c r="D4">
        <f>C2*B4</f>
        <v>314230.8</v>
      </c>
      <c r="F4" s="26">
        <v>2</v>
      </c>
      <c r="G4" s="19">
        <v>0.3</v>
      </c>
      <c r="H4" s="20">
        <f>$C$8*G4</f>
        <v>4242.1157999999996</v>
      </c>
      <c r="J4" s="3">
        <v>2</v>
      </c>
      <c r="K4" s="65">
        <v>5.5</v>
      </c>
      <c r="L4" s="22">
        <v>0.35</v>
      </c>
    </row>
    <row r="5" spans="1:14">
      <c r="A5" s="24" t="s">
        <v>80</v>
      </c>
      <c r="B5" s="19">
        <v>0.45</v>
      </c>
      <c r="D5" s="20">
        <f>B5*D4</f>
        <v>141403.85999999999</v>
      </c>
      <c r="F5" s="23">
        <v>3</v>
      </c>
      <c r="G5" s="19">
        <v>0.25</v>
      </c>
      <c r="H5" s="20">
        <f>$C$8*G5</f>
        <v>3535.0964999999997</v>
      </c>
      <c r="J5" s="3">
        <v>3</v>
      </c>
      <c r="K5" s="3">
        <v>7.5</v>
      </c>
      <c r="L5" s="22">
        <v>0.18</v>
      </c>
    </row>
    <row r="6" spans="1:14">
      <c r="A6" s="1" t="s">
        <v>88</v>
      </c>
      <c r="B6" s="19">
        <v>0.1</v>
      </c>
      <c r="D6" s="20">
        <f>D5*B6</f>
        <v>14140.385999999999</v>
      </c>
      <c r="F6" s="21">
        <v>4</v>
      </c>
      <c r="G6" s="19">
        <v>0.25</v>
      </c>
      <c r="H6" s="20">
        <f>$C$8*G6</f>
        <v>3535.0964999999997</v>
      </c>
    </row>
    <row r="7" spans="1:14" ht="15.75" thickBot="1">
      <c r="E7" s="20"/>
      <c r="F7" s="20"/>
      <c r="G7" s="19">
        <f>SUM(G3:G6)</f>
        <v>1</v>
      </c>
      <c r="H7" s="20"/>
    </row>
    <row r="8" spans="1:14" ht="15.75" thickBot="1">
      <c r="A8" s="1" t="s">
        <v>79</v>
      </c>
      <c r="C8" s="66">
        <f>D6</f>
        <v>14140.385999999999</v>
      </c>
      <c r="E8" s="20"/>
    </row>
    <row r="10" spans="1:14" ht="15.75" thickBot="1">
      <c r="B10" s="19">
        <v>0.25</v>
      </c>
      <c r="C10" s="19">
        <v>0.3</v>
      </c>
      <c r="D10" s="19">
        <v>0.45</v>
      </c>
      <c r="E10" s="19">
        <v>0.33</v>
      </c>
      <c r="F10" s="19">
        <v>0.35</v>
      </c>
      <c r="G10" s="19">
        <v>0.32</v>
      </c>
      <c r="H10" s="19">
        <v>0.35</v>
      </c>
      <c r="I10" s="19">
        <v>0.33</v>
      </c>
      <c r="J10" s="19">
        <v>0.32</v>
      </c>
      <c r="K10" s="19">
        <v>0.35</v>
      </c>
      <c r="L10" s="19">
        <v>0.38</v>
      </c>
      <c r="M10" s="19">
        <v>0.27</v>
      </c>
    </row>
    <row r="11" spans="1:14">
      <c r="A11" s="3"/>
      <c r="B11" s="36" t="s">
        <v>78</v>
      </c>
      <c r="C11" s="36" t="s">
        <v>77</v>
      </c>
      <c r="D11" s="36" t="s">
        <v>76</v>
      </c>
      <c r="E11" s="37" t="s">
        <v>75</v>
      </c>
      <c r="F11" s="37" t="s">
        <v>74</v>
      </c>
      <c r="G11" s="37" t="s">
        <v>73</v>
      </c>
      <c r="H11" s="38" t="s">
        <v>72</v>
      </c>
      <c r="I11" s="38" t="s">
        <v>71</v>
      </c>
      <c r="J11" s="38" t="s">
        <v>70</v>
      </c>
      <c r="K11" s="39" t="s">
        <v>69</v>
      </c>
      <c r="L11" s="39" t="s">
        <v>68</v>
      </c>
      <c r="M11" s="40" t="s">
        <v>67</v>
      </c>
      <c r="N11" s="31" t="s">
        <v>17</v>
      </c>
    </row>
    <row r="12" spans="1:14">
      <c r="A12" s="2" t="s">
        <v>66</v>
      </c>
      <c r="B12" s="25">
        <f>B10*$H$3</f>
        <v>707.01929999999993</v>
      </c>
      <c r="C12" s="25">
        <f>C10*$H$3</f>
        <v>848.42315999999994</v>
      </c>
      <c r="D12" s="25">
        <f t="shared" ref="D12" si="0">D10*$H$3</f>
        <v>1272.63474</v>
      </c>
      <c r="E12" s="25">
        <f>$H$4*E10</f>
        <v>1399.8982139999998</v>
      </c>
      <c r="F12" s="25">
        <f t="shared" ref="F12:G12" si="1">$H$4*F10</f>
        <v>1484.7405299999998</v>
      </c>
      <c r="G12" s="25">
        <f t="shared" si="1"/>
        <v>1357.4770559999999</v>
      </c>
      <c r="H12" s="25">
        <f>$H$5*H10</f>
        <v>1237.2837749999999</v>
      </c>
      <c r="I12" s="25">
        <f t="shared" ref="I12:J12" si="2">$H$5*I10</f>
        <v>1166.5818449999999</v>
      </c>
      <c r="J12" s="25">
        <f t="shared" si="2"/>
        <v>1131.2308799999998</v>
      </c>
      <c r="K12" s="25">
        <f>$H$6*K10</f>
        <v>1237.2837749999999</v>
      </c>
      <c r="L12" s="25">
        <f>$H$6*L10</f>
        <v>1343.3366699999999</v>
      </c>
      <c r="M12" s="25">
        <f>$H$6*M10</f>
        <v>954.47605499999997</v>
      </c>
      <c r="N12" s="32">
        <f>SUM(B12:M12)</f>
        <v>14140.385999999999</v>
      </c>
    </row>
    <row r="13" spans="1:14">
      <c r="A13" s="3"/>
      <c r="B13" s="22"/>
      <c r="C13" s="22"/>
      <c r="D13" s="3"/>
      <c r="E13" s="3"/>
      <c r="F13" s="3"/>
      <c r="G13" s="3"/>
      <c r="H13" s="3"/>
      <c r="I13" s="3"/>
      <c r="J13" s="3"/>
      <c r="K13" s="3"/>
      <c r="L13" s="3"/>
      <c r="M13" s="42"/>
      <c r="N13" s="33"/>
    </row>
    <row r="14" spans="1:14">
      <c r="A14" s="2" t="s">
        <v>65</v>
      </c>
      <c r="B14" s="25">
        <f t="shared" ref="B14:M14" si="3">(B12*$L$3)*$K$3</f>
        <v>1163.0467484999999</v>
      </c>
      <c r="C14" s="25">
        <f t="shared" si="3"/>
        <v>1395.6560981999999</v>
      </c>
      <c r="D14" s="25">
        <f t="shared" si="3"/>
        <v>2093.4841472999997</v>
      </c>
      <c r="E14" s="25">
        <f t="shared" si="3"/>
        <v>2302.8325620299993</v>
      </c>
      <c r="F14" s="25">
        <f t="shared" si="3"/>
        <v>2442.3981718499995</v>
      </c>
      <c r="G14" s="25">
        <f t="shared" si="3"/>
        <v>2233.0497571199999</v>
      </c>
      <c r="H14" s="25">
        <f t="shared" si="3"/>
        <v>2035.3318098749999</v>
      </c>
      <c r="I14" s="25">
        <f t="shared" si="3"/>
        <v>1919.027135025</v>
      </c>
      <c r="J14" s="25">
        <f t="shared" si="3"/>
        <v>1860.8747975999995</v>
      </c>
      <c r="K14" s="25">
        <f t="shared" si="3"/>
        <v>2035.3318098749999</v>
      </c>
      <c r="L14" s="25">
        <f t="shared" si="3"/>
        <v>2209.7888221499998</v>
      </c>
      <c r="M14" s="41">
        <f t="shared" si="3"/>
        <v>1570.1131104749998</v>
      </c>
      <c r="N14" s="34">
        <f>SUM(B14:M14)</f>
        <v>23260.934969999995</v>
      </c>
    </row>
    <row r="15" spans="1:14">
      <c r="A15" s="2" t="s">
        <v>64</v>
      </c>
      <c r="B15" s="25">
        <f t="shared" ref="B15:M15" si="4">(B12*$L$4)*$K$4</f>
        <v>1361.0121524999997</v>
      </c>
      <c r="C15" s="25">
        <f t="shared" si="4"/>
        <v>1633.2145829999997</v>
      </c>
      <c r="D15" s="25">
        <f t="shared" si="4"/>
        <v>2449.8218744999999</v>
      </c>
      <c r="E15" s="25">
        <f t="shared" si="4"/>
        <v>2694.8040619499993</v>
      </c>
      <c r="F15" s="25">
        <f t="shared" si="4"/>
        <v>2858.1255202499997</v>
      </c>
      <c r="G15" s="25">
        <f t="shared" si="4"/>
        <v>2613.1433327999998</v>
      </c>
      <c r="H15" s="25">
        <f t="shared" si="4"/>
        <v>2381.7712668749996</v>
      </c>
      <c r="I15" s="25">
        <f t="shared" si="4"/>
        <v>2245.6700516249998</v>
      </c>
      <c r="J15" s="25">
        <f t="shared" si="4"/>
        <v>2177.6194439999995</v>
      </c>
      <c r="K15" s="25">
        <f t="shared" si="4"/>
        <v>2381.7712668749996</v>
      </c>
      <c r="L15" s="25">
        <f t="shared" si="4"/>
        <v>2585.9230897499997</v>
      </c>
      <c r="M15" s="41">
        <f t="shared" si="4"/>
        <v>1837.3664058749998</v>
      </c>
      <c r="N15" s="34">
        <f t="shared" ref="N15:N16" si="5">SUM(B15:M15)</f>
        <v>27220.243049999994</v>
      </c>
    </row>
    <row r="16" spans="1:14">
      <c r="A16" s="2" t="s">
        <v>63</v>
      </c>
      <c r="B16" s="25">
        <f t="shared" ref="B16:M16" si="6">(B12*$L$5)*$K$5</f>
        <v>954.47605499999986</v>
      </c>
      <c r="C16" s="25">
        <f t="shared" si="6"/>
        <v>1145.3712659999999</v>
      </c>
      <c r="D16" s="25">
        <f t="shared" si="6"/>
        <v>1718.0568989999999</v>
      </c>
      <c r="E16" s="25">
        <f t="shared" si="6"/>
        <v>1889.8625888999995</v>
      </c>
      <c r="F16" s="25">
        <f t="shared" si="6"/>
        <v>2004.3997154999997</v>
      </c>
      <c r="G16" s="25">
        <f t="shared" si="6"/>
        <v>1832.5940255999997</v>
      </c>
      <c r="H16" s="25">
        <f t="shared" si="6"/>
        <v>1670.3330962499999</v>
      </c>
      <c r="I16" s="25">
        <f t="shared" si="6"/>
        <v>1574.8854907499999</v>
      </c>
      <c r="J16" s="25">
        <f t="shared" si="6"/>
        <v>1527.1616879999997</v>
      </c>
      <c r="K16" s="25">
        <f t="shared" si="6"/>
        <v>1670.3330962499999</v>
      </c>
      <c r="L16" s="25">
        <f t="shared" si="6"/>
        <v>1813.5045044999997</v>
      </c>
      <c r="M16" s="41">
        <f t="shared" si="6"/>
        <v>1288.5426742499999</v>
      </c>
      <c r="N16" s="34">
        <f t="shared" si="5"/>
        <v>19089.521099999998</v>
      </c>
    </row>
    <row r="17" spans="1:14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2"/>
      <c r="N17" s="33"/>
    </row>
    <row r="18" spans="1:14" ht="15.75" thickBot="1">
      <c r="A18" s="2" t="s">
        <v>62</v>
      </c>
      <c r="B18" s="25">
        <f t="shared" ref="B18:M18" si="7">SUM(B14:B16)</f>
        <v>3478.5349559999995</v>
      </c>
      <c r="C18" s="25">
        <f t="shared" si="7"/>
        <v>4174.2419471999992</v>
      </c>
      <c r="D18" s="25">
        <f t="shared" si="7"/>
        <v>6261.3629207999993</v>
      </c>
      <c r="E18" s="25">
        <f t="shared" si="7"/>
        <v>6887.4992128799986</v>
      </c>
      <c r="F18" s="25">
        <f t="shared" si="7"/>
        <v>7304.9234075999993</v>
      </c>
      <c r="G18" s="25">
        <f t="shared" si="7"/>
        <v>6678.7871155199991</v>
      </c>
      <c r="H18" s="25">
        <f t="shared" si="7"/>
        <v>6087.4361730000001</v>
      </c>
      <c r="I18" s="25">
        <f t="shared" si="7"/>
        <v>5739.5826773999997</v>
      </c>
      <c r="J18" s="25">
        <f t="shared" si="7"/>
        <v>5565.6559295999987</v>
      </c>
      <c r="K18" s="25">
        <f t="shared" si="7"/>
        <v>6087.4361730000001</v>
      </c>
      <c r="L18" s="25">
        <f t="shared" si="7"/>
        <v>6609.2164163999996</v>
      </c>
      <c r="M18" s="41">
        <f t="shared" si="7"/>
        <v>4696.0221905999988</v>
      </c>
      <c r="N18" s="35">
        <f>SUM(B18:M18)</f>
        <v>69570.69911999999</v>
      </c>
    </row>
    <row r="20" spans="1:14">
      <c r="A20" s="58"/>
      <c r="D20" s="19"/>
      <c r="F20" s="19"/>
      <c r="H20" s="19"/>
      <c r="I20" s="19"/>
      <c r="K20" s="1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/>
  </sheetPr>
  <dimension ref="B1:K15"/>
  <sheetViews>
    <sheetView showGridLines="0" topLeftCell="F2" workbookViewId="0">
      <selection activeCell="L20" sqref="L20"/>
    </sheetView>
  </sheetViews>
  <sheetFormatPr baseColWidth="10" defaultRowHeight="15" outlineLevelRow="1" outlineLevelCol="1"/>
  <cols>
    <col min="3" max="3" width="6.28515625" customWidth="1"/>
    <col min="4" max="11" width="14.5703125" bestFit="1" customWidth="1" outlineLevel="1"/>
  </cols>
  <sheetData>
    <row r="1" spans="2:11" ht="15.75" thickBot="1"/>
    <row r="2" spans="2:11" ht="15.75">
      <c r="B2" s="155" t="s">
        <v>205</v>
      </c>
      <c r="C2" s="155"/>
      <c r="D2" s="160"/>
      <c r="E2" s="160"/>
      <c r="F2" s="160"/>
      <c r="G2" s="160"/>
      <c r="H2" s="160"/>
      <c r="I2" s="160"/>
      <c r="J2" s="160"/>
      <c r="K2" s="160"/>
    </row>
    <row r="3" spans="2:11" ht="15.75" collapsed="1">
      <c r="B3" s="154"/>
      <c r="C3" s="154"/>
      <c r="D3" s="161" t="s">
        <v>207</v>
      </c>
      <c r="E3" s="161" t="s">
        <v>196</v>
      </c>
      <c r="F3" s="161" t="s">
        <v>194</v>
      </c>
      <c r="G3" s="161" t="s">
        <v>195</v>
      </c>
      <c r="H3" s="161" t="s">
        <v>200</v>
      </c>
      <c r="I3" s="161" t="s">
        <v>199</v>
      </c>
      <c r="J3" s="161" t="s">
        <v>197</v>
      </c>
      <c r="K3" s="161" t="s">
        <v>198</v>
      </c>
    </row>
    <row r="4" spans="2:11" ht="56.25" hidden="1" outlineLevel="1">
      <c r="B4" s="157"/>
      <c r="C4" s="157"/>
      <c r="D4" s="151"/>
      <c r="E4" s="163" t="s">
        <v>203</v>
      </c>
      <c r="F4" s="163" t="s">
        <v>204</v>
      </c>
      <c r="G4" s="163" t="s">
        <v>204</v>
      </c>
      <c r="H4" s="163" t="s">
        <v>204</v>
      </c>
      <c r="I4" s="163" t="s">
        <v>204</v>
      </c>
      <c r="J4" s="163" t="s">
        <v>203</v>
      </c>
      <c r="K4" s="163" t="s">
        <v>203</v>
      </c>
    </row>
    <row r="5" spans="2:11">
      <c r="B5" s="158" t="s">
        <v>206</v>
      </c>
      <c r="C5" s="158"/>
      <c r="D5" s="156"/>
      <c r="E5" s="156"/>
      <c r="F5" s="156"/>
      <c r="G5" s="156"/>
      <c r="H5" s="156"/>
      <c r="I5" s="156"/>
      <c r="J5" s="156"/>
      <c r="K5" s="156"/>
    </row>
    <row r="6" spans="2:11" outlineLevel="1">
      <c r="B6" s="157"/>
      <c r="C6" s="157" t="s">
        <v>201</v>
      </c>
      <c r="D6" s="152">
        <v>0.12</v>
      </c>
      <c r="E6" s="162">
        <v>0.05</v>
      </c>
      <c r="F6" s="162">
        <v>0.15</v>
      </c>
      <c r="G6" s="162">
        <v>0.2</v>
      </c>
      <c r="H6" s="162">
        <v>0</v>
      </c>
      <c r="I6" s="162">
        <v>-0.05</v>
      </c>
      <c r="J6" s="162">
        <v>-0.15</v>
      </c>
      <c r="K6" s="162">
        <v>-0.2</v>
      </c>
    </row>
    <row r="7" spans="2:11">
      <c r="B7" s="158" t="s">
        <v>208</v>
      </c>
      <c r="C7" s="158"/>
      <c r="D7" s="156"/>
      <c r="E7" s="156"/>
      <c r="F7" s="156"/>
      <c r="G7" s="156"/>
      <c r="H7" s="156"/>
      <c r="I7" s="156"/>
      <c r="J7" s="156"/>
      <c r="K7" s="156"/>
    </row>
    <row r="8" spans="2:11" ht="15.75" outlineLevel="1" thickBot="1">
      <c r="B8" s="159"/>
      <c r="C8" s="159" t="s">
        <v>202</v>
      </c>
      <c r="D8" s="153">
        <v>6433.6657685917298</v>
      </c>
      <c r="E8" s="153">
        <v>-4122.3019424111499</v>
      </c>
      <c r="F8" s="153">
        <v>11351.715561368001</v>
      </c>
      <c r="G8" s="153">
        <v>20108.529588052199</v>
      </c>
      <c r="H8" s="153">
        <v>-10924.3249785142</v>
      </c>
      <c r="I8" s="153">
        <v>-17157.076222956799</v>
      </c>
      <c r="J8" s="153">
        <v>-28067.939719743001</v>
      </c>
      <c r="K8" s="153">
        <v>-32818.898632815297</v>
      </c>
    </row>
    <row r="9" spans="2:11">
      <c r="B9" t="s">
        <v>209</v>
      </c>
    </row>
    <row r="10" spans="2:11">
      <c r="B10" t="s">
        <v>210</v>
      </c>
    </row>
    <row r="11" spans="2:11">
      <c r="B11" t="s">
        <v>211</v>
      </c>
    </row>
    <row r="14" spans="2:11">
      <c r="D14" t="s">
        <v>212</v>
      </c>
      <c r="E14" s="22">
        <v>0.05</v>
      </c>
      <c r="F14" s="22">
        <v>0.15</v>
      </c>
      <c r="G14" s="22">
        <v>0.2</v>
      </c>
      <c r="H14" s="22">
        <v>0</v>
      </c>
      <c r="I14" s="22">
        <v>-0.05</v>
      </c>
      <c r="J14" s="22">
        <v>-0.15</v>
      </c>
      <c r="K14" s="22">
        <v>-0.2</v>
      </c>
    </row>
    <row r="15" spans="2:11">
      <c r="D15" t="s">
        <v>182</v>
      </c>
      <c r="E15" s="164">
        <v>-4122.3019424111499</v>
      </c>
      <c r="F15" s="164">
        <v>11351.715561368001</v>
      </c>
      <c r="G15" s="164">
        <v>20108.529588052199</v>
      </c>
      <c r="H15" s="164">
        <v>-10924.3249785142</v>
      </c>
      <c r="I15" s="164">
        <v>-17157.076222956799</v>
      </c>
      <c r="J15" s="164">
        <v>-28067.939719743001</v>
      </c>
      <c r="K15" s="164">
        <v>-32818.898632815297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F12"/>
  <sheetViews>
    <sheetView topLeftCell="A2" workbookViewId="0">
      <selection activeCell="D13" sqref="D13"/>
    </sheetView>
  </sheetViews>
  <sheetFormatPr baseColWidth="10" defaultColWidth="18.7109375" defaultRowHeight="15"/>
  <cols>
    <col min="2" max="2" width="12" bestFit="1" customWidth="1"/>
    <col min="5" max="5" width="19.28515625" bestFit="1" customWidth="1"/>
    <col min="6" max="6" width="22" bestFit="1" customWidth="1"/>
  </cols>
  <sheetData>
    <row r="2" spans="2:6">
      <c r="B2" s="1" t="s">
        <v>219</v>
      </c>
      <c r="F2" s="91">
        <f>'Flujo efectivo'!M15</f>
        <v>0.15088026561344267</v>
      </c>
    </row>
    <row r="3" spans="2:6">
      <c r="B3" s="29" t="s">
        <v>220</v>
      </c>
      <c r="C3" s="29" t="s">
        <v>221</v>
      </c>
      <c r="D3" s="29" t="s">
        <v>222</v>
      </c>
      <c r="E3" s="1" t="s">
        <v>223</v>
      </c>
      <c r="F3" s="1" t="s">
        <v>230</v>
      </c>
    </row>
    <row r="4" spans="2:6">
      <c r="B4">
        <v>1</v>
      </c>
      <c r="C4" s="18">
        <f>-'Flujo efectivo'!D32</f>
        <v>11428.81761272</v>
      </c>
      <c r="D4" s="18">
        <f>'Flujo efectivo'!E32</f>
        <v>-247.93961502643833</v>
      </c>
      <c r="E4" s="18">
        <f>$F$2*C4</f>
        <v>1724.3830370547855</v>
      </c>
      <c r="F4" s="18">
        <f>D4-E4</f>
        <v>-1972.3226520812239</v>
      </c>
    </row>
    <row r="5" spans="2:6">
      <c r="B5">
        <v>2</v>
      </c>
      <c r="C5" s="18">
        <f>C4-F4</f>
        <v>13401.140264801224</v>
      </c>
      <c r="D5" s="18">
        <f>'Flujo efectivo'!F32</f>
        <v>3441.2648901558168</v>
      </c>
      <c r="E5" s="18">
        <f t="shared" ref="E5:E8" si="0">$F$2*C5</f>
        <v>2021.9676026762102</v>
      </c>
      <c r="F5" s="18">
        <f t="shared" ref="F5:F8" si="1">D5-E5</f>
        <v>1419.2972874796067</v>
      </c>
    </row>
    <row r="6" spans="2:6">
      <c r="B6">
        <v>3</v>
      </c>
      <c r="C6" s="18">
        <f t="shared" ref="C6:C8" si="2">C5-F5</f>
        <v>11981.842977321618</v>
      </c>
      <c r="D6" s="18">
        <f>'Flujo efectivo'!G32</f>
        <v>6559.3923351626008</v>
      </c>
      <c r="E6">
        <f t="shared" si="0"/>
        <v>1807.8236509568485</v>
      </c>
      <c r="F6" s="18">
        <f t="shared" si="1"/>
        <v>4751.5686842057521</v>
      </c>
    </row>
    <row r="7" spans="2:6">
      <c r="B7">
        <v>4</v>
      </c>
      <c r="C7" s="18">
        <f t="shared" si="2"/>
        <v>7230.2742931158655</v>
      </c>
      <c r="D7" s="18">
        <f>'Flujo efectivo'!H32</f>
        <v>12324.029707218517</v>
      </c>
      <c r="E7">
        <f t="shared" si="0"/>
        <v>1090.9057058033682</v>
      </c>
      <c r="F7" s="18">
        <f t="shared" si="1"/>
        <v>11233.124001415148</v>
      </c>
    </row>
    <row r="8" spans="2:6">
      <c r="B8">
        <v>5</v>
      </c>
      <c r="C8" s="18">
        <f t="shared" si="2"/>
        <v>-4002.8497082992826</v>
      </c>
      <c r="D8" s="18">
        <f>'Flujo efectivo'!I32</f>
        <v>25898.104523306487</v>
      </c>
      <c r="E8">
        <f t="shared" si="0"/>
        <v>-603.95102719888723</v>
      </c>
      <c r="F8" s="18">
        <f t="shared" si="1"/>
        <v>26502.055550505374</v>
      </c>
    </row>
    <row r="11" spans="2:6">
      <c r="C11" s="1"/>
    </row>
    <row r="12" spans="2:6">
      <c r="D12" s="181">
        <f>4+(C7/-C8)</f>
        <v>5.80628172927028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Q48"/>
  <sheetViews>
    <sheetView topLeftCell="A20" workbookViewId="0">
      <selection activeCell="D39" sqref="D39"/>
    </sheetView>
  </sheetViews>
  <sheetFormatPr baseColWidth="10" defaultRowHeight="15"/>
  <cols>
    <col min="1" max="1" width="13.42578125" customWidth="1"/>
    <col min="3" max="3" width="43.5703125" bestFit="1" customWidth="1"/>
    <col min="4" max="4" width="12" bestFit="1" customWidth="1"/>
    <col min="12" max="12" width="18.85546875" bestFit="1" customWidth="1"/>
    <col min="13" max="13" width="12.42578125" customWidth="1"/>
    <col min="15" max="15" width="12.85546875" customWidth="1"/>
    <col min="16" max="16" width="15" bestFit="1" customWidth="1"/>
  </cols>
  <sheetData>
    <row r="2" spans="1:17">
      <c r="C2" s="19">
        <v>0.95</v>
      </c>
      <c r="E2">
        <v>18382.501799999998</v>
      </c>
      <c r="F2">
        <v>20588.402016</v>
      </c>
      <c r="G2">
        <v>23059.010257920003</v>
      </c>
      <c r="H2">
        <v>25826.091488870406</v>
      </c>
      <c r="I2">
        <v>28925.222467534859</v>
      </c>
    </row>
    <row r="3" spans="1:17">
      <c r="E3">
        <f>E2*$C$2</f>
        <v>17463.376709999997</v>
      </c>
      <c r="F3">
        <f>F2*$C$2</f>
        <v>19558.981915199998</v>
      </c>
      <c r="G3">
        <f>G2*$C$2</f>
        <v>21906.059745024002</v>
      </c>
      <c r="H3">
        <f>H2*$C$2</f>
        <v>24534.786914426884</v>
      </c>
      <c r="I3">
        <f>I2*$C$2</f>
        <v>27478.961344158113</v>
      </c>
    </row>
    <row r="4" spans="1:17">
      <c r="B4">
        <v>22.8</v>
      </c>
    </row>
    <row r="5" spans="1:17">
      <c r="A5" t="s">
        <v>184</v>
      </c>
      <c r="B5" s="91">
        <v>0.12</v>
      </c>
      <c r="M5" t="s">
        <v>176</v>
      </c>
      <c r="N5" t="s">
        <v>177</v>
      </c>
    </row>
    <row r="6" spans="1:17">
      <c r="D6" s="79" t="s">
        <v>127</v>
      </c>
      <c r="E6" s="79" t="s">
        <v>128</v>
      </c>
      <c r="F6" s="79" t="s">
        <v>129</v>
      </c>
      <c r="G6" s="79" t="s">
        <v>130</v>
      </c>
      <c r="H6" s="79" t="s">
        <v>131</v>
      </c>
      <c r="I6" s="79" t="s">
        <v>132</v>
      </c>
      <c r="K6" s="1" t="s">
        <v>167</v>
      </c>
      <c r="M6" t="s">
        <v>170</v>
      </c>
      <c r="N6" t="s">
        <v>179</v>
      </c>
    </row>
    <row r="7" spans="1:17">
      <c r="C7" s="3" t="s">
        <v>107</v>
      </c>
      <c r="D7" s="3"/>
      <c r="E7" s="20">
        <v>69570.69911999999</v>
      </c>
      <c r="F7" s="20">
        <v>77919.183014399998</v>
      </c>
      <c r="G7" s="20">
        <v>87269.484976128006</v>
      </c>
      <c r="H7" s="20">
        <v>97741.823173263372</v>
      </c>
      <c r="I7" s="20">
        <v>109470.84195405498</v>
      </c>
    </row>
    <row r="8" spans="1:17" ht="15" customHeight="1">
      <c r="C8" s="3" t="s">
        <v>108</v>
      </c>
      <c r="D8" s="3"/>
      <c r="E8" s="47">
        <f>E3</f>
        <v>17463.376709999997</v>
      </c>
      <c r="F8" s="47">
        <f>F3</f>
        <v>19558.981915199998</v>
      </c>
      <c r="G8" s="47">
        <f t="shared" ref="G8:I8" si="0">G3</f>
        <v>21906.059745024002</v>
      </c>
      <c r="H8" s="47">
        <f t="shared" si="0"/>
        <v>24534.786914426884</v>
      </c>
      <c r="I8" s="47">
        <f t="shared" si="0"/>
        <v>27478.961344158113</v>
      </c>
      <c r="L8" s="2" t="s">
        <v>171</v>
      </c>
      <c r="M8" s="3"/>
      <c r="O8" s="203" t="s">
        <v>172</v>
      </c>
      <c r="P8" s="203"/>
      <c r="Q8" s="203"/>
    </row>
    <row r="9" spans="1:17">
      <c r="C9" s="77" t="s">
        <v>109</v>
      </c>
      <c r="D9" s="3"/>
      <c r="E9" s="126">
        <f>E7-E8</f>
        <v>52107.322409999993</v>
      </c>
      <c r="F9" s="122">
        <f>F7-F8</f>
        <v>58360.2010992</v>
      </c>
      <c r="G9" s="122">
        <f>G7-G8</f>
        <v>65363.425231104004</v>
      </c>
      <c r="H9" s="122">
        <f>H7-H8</f>
        <v>73207.036258836481</v>
      </c>
      <c r="I9" s="122">
        <f>I7-I8</f>
        <v>81991.880609896863</v>
      </c>
      <c r="L9" s="2" t="s">
        <v>168</v>
      </c>
      <c r="M9" s="22">
        <v>0.6</v>
      </c>
      <c r="O9" s="141" t="s">
        <v>173</v>
      </c>
      <c r="P9" s="138">
        <v>0.68</v>
      </c>
      <c r="Q9" s="3"/>
    </row>
    <row r="10" spans="1:17">
      <c r="C10" s="3" t="s">
        <v>110</v>
      </c>
      <c r="D10" s="123"/>
      <c r="E10" s="127"/>
      <c r="F10" s="123"/>
      <c r="G10" s="123"/>
      <c r="H10" s="123"/>
      <c r="I10" s="123"/>
      <c r="L10" s="2" t="s">
        <v>169</v>
      </c>
      <c r="M10" s="22">
        <v>0.25</v>
      </c>
      <c r="O10" s="141" t="s">
        <v>174</v>
      </c>
      <c r="P10" s="138">
        <v>139610000</v>
      </c>
      <c r="Q10" s="3"/>
    </row>
    <row r="11" spans="1:17" ht="16.5" customHeight="1">
      <c r="C11" s="3" t="s">
        <v>111</v>
      </c>
      <c r="D11" s="3"/>
      <c r="E11" s="127">
        <f>'Capital de Trabajo'!N14</f>
        <v>1440</v>
      </c>
      <c r="F11" s="124">
        <f>$E$11</f>
        <v>1440</v>
      </c>
      <c r="G11" s="124">
        <f>$E$11</f>
        <v>1440</v>
      </c>
      <c r="H11" s="124">
        <f>$E$11</f>
        <v>1440</v>
      </c>
      <c r="I11" s="124">
        <f>$E$11</f>
        <v>1440</v>
      </c>
      <c r="J11" s="135"/>
      <c r="K11" s="135"/>
      <c r="L11" s="135"/>
      <c r="M11" s="135"/>
      <c r="N11" s="135"/>
      <c r="O11" s="141" t="s">
        <v>175</v>
      </c>
      <c r="P11" s="138">
        <v>85918000</v>
      </c>
      <c r="Q11" s="3"/>
    </row>
    <row r="12" spans="1:17">
      <c r="C12" s="3" t="s">
        <v>95</v>
      </c>
      <c r="D12" s="3"/>
      <c r="E12" s="127">
        <f>'Capital de Trabajo'!N15</f>
        <v>6000</v>
      </c>
      <c r="F12" s="124">
        <f>$E$12</f>
        <v>6000</v>
      </c>
      <c r="G12" s="124">
        <f>$E$12</f>
        <v>6000</v>
      </c>
      <c r="H12" s="124">
        <f>$E$12</f>
        <v>6000</v>
      </c>
      <c r="I12" s="124">
        <f>$E$12</f>
        <v>6000</v>
      </c>
      <c r="J12" s="135"/>
      <c r="K12" s="135"/>
      <c r="L12" s="142" t="s">
        <v>178</v>
      </c>
      <c r="M12" s="137">
        <f>P14*(1-M9*M10)/(1-M9)</f>
        <v>0.6815585068160297</v>
      </c>
      <c r="N12" s="135"/>
      <c r="O12" s="141" t="s">
        <v>168</v>
      </c>
      <c r="P12" s="139">
        <f>P11/P10</f>
        <v>0.61541436859823795</v>
      </c>
      <c r="Q12" s="3"/>
    </row>
    <row r="13" spans="1:17">
      <c r="C13" s="3" t="s">
        <v>166</v>
      </c>
      <c r="D13" s="3"/>
      <c r="E13">
        <f>'Capital de Trabajo'!N13</f>
        <v>774</v>
      </c>
      <c r="F13" s="124">
        <f>$E$13</f>
        <v>774</v>
      </c>
      <c r="G13" s="124">
        <f>$E$13</f>
        <v>774</v>
      </c>
      <c r="H13" s="124">
        <f>$E$13</f>
        <v>774</v>
      </c>
      <c r="I13" s="124">
        <f>$E$13</f>
        <v>774</v>
      </c>
      <c r="J13" s="135"/>
      <c r="K13" s="135"/>
      <c r="N13" s="135"/>
      <c r="O13" s="141" t="s">
        <v>169</v>
      </c>
      <c r="P13" s="22">
        <v>0.3</v>
      </c>
      <c r="Q13" s="3"/>
    </row>
    <row r="14" spans="1:17" ht="14.25" customHeight="1">
      <c r="C14" s="3" t="s">
        <v>113</v>
      </c>
      <c r="D14" s="3"/>
      <c r="E14" s="127">
        <f>'Capital de Trabajo'!N12</f>
        <v>30984</v>
      </c>
      <c r="F14" s="48">
        <f>E14*(1+2%)</f>
        <v>31603.68</v>
      </c>
      <c r="G14" s="48">
        <f>F14*(1+2%)</f>
        <v>32235.7536</v>
      </c>
      <c r="H14" s="48">
        <f>G14*(1+2%)</f>
        <v>32880.468672000003</v>
      </c>
      <c r="I14" s="48">
        <f>H14*(1+2%)</f>
        <v>33538.078045440001</v>
      </c>
      <c r="J14" s="135"/>
      <c r="K14" s="135"/>
      <c r="N14" s="135"/>
      <c r="O14" s="141" t="s">
        <v>176</v>
      </c>
      <c r="P14" s="140">
        <f>((1-P12)*P9)/(1-P12*P13)</f>
        <v>0.32073341497224928</v>
      </c>
      <c r="Q14" s="3"/>
    </row>
    <row r="15" spans="1:17">
      <c r="C15" s="3" t="s">
        <v>114</v>
      </c>
      <c r="D15" s="3"/>
      <c r="E15" s="149">
        <f>Depreciacion!D23</f>
        <v>400</v>
      </c>
      <c r="F15" s="129">
        <f>$E$15</f>
        <v>400</v>
      </c>
      <c r="G15" s="129">
        <f>$E$15</f>
        <v>400</v>
      </c>
      <c r="H15" s="129">
        <f>$E$15</f>
        <v>400</v>
      </c>
      <c r="I15" s="129">
        <f>$E$15</f>
        <v>400</v>
      </c>
      <c r="J15" s="135"/>
      <c r="K15" s="135"/>
      <c r="N15" s="135"/>
    </row>
    <row r="16" spans="1:17">
      <c r="C16" s="3" t="s">
        <v>115</v>
      </c>
      <c r="D16" s="3"/>
      <c r="E16" s="127">
        <f>Depreciacion!E17</f>
        <v>3190</v>
      </c>
      <c r="F16" s="124">
        <f>$E$16</f>
        <v>3190</v>
      </c>
      <c r="G16" s="124">
        <f>$E$16</f>
        <v>3190</v>
      </c>
      <c r="H16" s="124">
        <f>$E$16</f>
        <v>3190</v>
      </c>
      <c r="I16" s="124">
        <f>$E$16</f>
        <v>3190</v>
      </c>
      <c r="J16" s="135"/>
      <c r="K16" s="135"/>
      <c r="N16" s="135"/>
    </row>
    <row r="17" spans="3:17">
      <c r="C17" s="3" t="s">
        <v>116</v>
      </c>
      <c r="D17" s="3"/>
      <c r="E17" s="47">
        <f>'Capital de Trabajo'!N11</f>
        <v>6624</v>
      </c>
      <c r="F17" s="125">
        <f>$E$17</f>
        <v>6624</v>
      </c>
      <c r="G17" s="125">
        <f>$E$17</f>
        <v>6624</v>
      </c>
      <c r="H17" s="125">
        <f>$E$17</f>
        <v>6624</v>
      </c>
      <c r="I17" s="125">
        <f>$E$17</f>
        <v>6624</v>
      </c>
      <c r="J17" s="135"/>
      <c r="K17" s="135"/>
      <c r="L17" s="142" t="s">
        <v>180</v>
      </c>
      <c r="M17" s="135" t="s">
        <v>181</v>
      </c>
      <c r="N17" s="135"/>
      <c r="P17" s="1" t="s">
        <v>193</v>
      </c>
      <c r="Q17" s="169">
        <v>8.0400000000000003E-3</v>
      </c>
    </row>
    <row r="18" spans="3:17">
      <c r="C18" s="77" t="s">
        <v>117</v>
      </c>
      <c r="D18" s="3"/>
      <c r="E18" s="126">
        <f>E9-SUM(E11:E17)</f>
        <v>2695.3224099999934</v>
      </c>
      <c r="F18" s="122">
        <f>F9-SUM(F11:F17)</f>
        <v>8328.5210991999993</v>
      </c>
      <c r="G18" s="122">
        <f>G9-SUM(G11:G17)</f>
        <v>14699.671631104007</v>
      </c>
      <c r="H18" s="122">
        <f>H9-SUM(H11:H17)</f>
        <v>21898.567586836478</v>
      </c>
      <c r="I18" s="122">
        <f t="shared" ref="I18" si="1">I9-SUM(I11:I17)</f>
        <v>30025.802564456862</v>
      </c>
      <c r="J18" s="134"/>
      <c r="K18" s="134"/>
      <c r="L18" s="58" t="s">
        <v>180</v>
      </c>
      <c r="M18" s="143">
        <f>Q17+M12*(Q18)+Q19</f>
        <v>0.15088026561344267</v>
      </c>
      <c r="N18" s="134"/>
      <c r="P18" s="1" t="s">
        <v>218</v>
      </c>
      <c r="Q18" s="19">
        <v>0.09</v>
      </c>
    </row>
    <row r="19" spans="3:17">
      <c r="C19" s="77" t="s">
        <v>118</v>
      </c>
      <c r="D19" s="3"/>
      <c r="E19" s="3"/>
      <c r="F19" s="3"/>
      <c r="G19" s="3"/>
      <c r="H19" s="3"/>
      <c r="I19" s="3"/>
      <c r="J19" s="134"/>
      <c r="K19" s="134"/>
      <c r="N19" s="134"/>
      <c r="P19" s="1" t="s">
        <v>192</v>
      </c>
      <c r="Q19" s="136">
        <v>8.1500000000000003E-2</v>
      </c>
    </row>
    <row r="20" spans="3:17">
      <c r="C20" s="3" t="s">
        <v>119</v>
      </c>
      <c r="E20" s="118">
        <f>'P&amp;G'!D20</f>
        <v>1672.026052964904</v>
      </c>
      <c r="F20" s="118">
        <f>'P&amp;G'!E20</f>
        <v>1407.9422722554896</v>
      </c>
      <c r="G20" s="118">
        <f>'P&amp;G'!F20</f>
        <v>1112.6173802881515</v>
      </c>
      <c r="H20" s="118">
        <f>'P&amp;G'!G20</f>
        <v>782.35555360107708</v>
      </c>
      <c r="I20" s="118">
        <f>'P&amp;G'!H20</f>
        <v>413.0237528169219</v>
      </c>
      <c r="J20" s="135"/>
      <c r="K20" s="135"/>
      <c r="L20" s="135"/>
      <c r="M20" s="135"/>
      <c r="N20" s="135"/>
    </row>
    <row r="21" spans="3:17">
      <c r="C21" s="3" t="s">
        <v>121</v>
      </c>
      <c r="D21" s="3"/>
      <c r="E21" s="3"/>
      <c r="F21" s="3"/>
      <c r="G21" s="3"/>
      <c r="H21" s="3"/>
      <c r="I21" s="3"/>
      <c r="J21" s="135"/>
      <c r="K21" s="135"/>
      <c r="L21" s="135"/>
      <c r="M21" s="135"/>
      <c r="N21" s="135"/>
    </row>
    <row r="22" spans="3:17">
      <c r="C22" s="77" t="s">
        <v>122</v>
      </c>
      <c r="D22" s="2"/>
      <c r="E22" s="130">
        <f>E18-E20</f>
        <v>1023.2963570350894</v>
      </c>
      <c r="F22" s="130">
        <f t="shared" ref="F22:I22" si="2">F18-(F20+F21)</f>
        <v>6920.5788269445093</v>
      </c>
      <c r="G22" s="130">
        <f t="shared" si="2"/>
        <v>13587.054250815856</v>
      </c>
      <c r="H22" s="130">
        <f t="shared" si="2"/>
        <v>21116.212033235402</v>
      </c>
      <c r="I22" s="130">
        <f t="shared" si="2"/>
        <v>29612.778811639939</v>
      </c>
      <c r="M22" s="143"/>
    </row>
    <row r="23" spans="3:17">
      <c r="C23" s="3" t="s">
        <v>123</v>
      </c>
      <c r="D23" s="3"/>
      <c r="E23" s="59">
        <f>E22*0.15</f>
        <v>153.49445355526339</v>
      </c>
      <c r="F23" s="59">
        <f t="shared" ref="F23:I23" si="3">F22*0.15</f>
        <v>1038.0868240416764</v>
      </c>
      <c r="G23" s="59">
        <f t="shared" si="3"/>
        <v>2038.0581376223784</v>
      </c>
      <c r="H23" s="59">
        <f t="shared" si="3"/>
        <v>3167.4318049853105</v>
      </c>
      <c r="I23" s="59">
        <f t="shared" si="3"/>
        <v>4441.916821745991</v>
      </c>
    </row>
    <row r="24" spans="3:17">
      <c r="C24" s="78" t="s">
        <v>124</v>
      </c>
      <c r="D24" s="3"/>
      <c r="E24" s="130">
        <f>E22-E23</f>
        <v>869.80190347982602</v>
      </c>
      <c r="F24" s="130">
        <f t="shared" ref="F24:I24" si="4">F22-F23</f>
        <v>5882.4920029028326</v>
      </c>
      <c r="G24" s="130">
        <f t="shared" si="4"/>
        <v>11548.996113193478</v>
      </c>
      <c r="H24" s="130">
        <f t="shared" si="4"/>
        <v>17948.780228250092</v>
      </c>
      <c r="I24" s="130">
        <f t="shared" si="4"/>
        <v>25170.861989893947</v>
      </c>
    </row>
    <row r="25" spans="3:17">
      <c r="C25" s="3" t="s">
        <v>125</v>
      </c>
      <c r="D25" s="3"/>
      <c r="E25" s="59">
        <f>E24*0.25</f>
        <v>217.45047586995651</v>
      </c>
      <c r="F25" s="59">
        <f t="shared" ref="F25:I25" si="5">F24*0.25</f>
        <v>1470.6230007257082</v>
      </c>
      <c r="G25" s="59">
        <f t="shared" si="5"/>
        <v>2887.2490282983695</v>
      </c>
      <c r="H25" s="59">
        <f t="shared" si="5"/>
        <v>4487.1950570625231</v>
      </c>
      <c r="I25" s="59">
        <f t="shared" si="5"/>
        <v>6292.7154974734867</v>
      </c>
    </row>
    <row r="26" spans="3:17">
      <c r="C26" s="77" t="s">
        <v>126</v>
      </c>
      <c r="D26" s="3"/>
      <c r="E26" s="130">
        <f>E24-E25</f>
        <v>652.35142760986946</v>
      </c>
      <c r="F26" s="130">
        <f t="shared" ref="F26:I26" si="6">F24-F25</f>
        <v>4411.8690021771245</v>
      </c>
      <c r="G26" s="130">
        <f t="shared" si="6"/>
        <v>8661.7470848951089</v>
      </c>
      <c r="H26" s="130">
        <f t="shared" si="6"/>
        <v>13461.585171187569</v>
      </c>
      <c r="I26" s="130">
        <f t="shared" si="6"/>
        <v>18878.146492420459</v>
      </c>
    </row>
    <row r="27" spans="3:17">
      <c r="C27" s="80" t="s">
        <v>133</v>
      </c>
      <c r="D27" s="81"/>
      <c r="E27" s="131">
        <f>E15</f>
        <v>400</v>
      </c>
      <c r="F27" s="131">
        <f t="shared" ref="F27:I28" si="7">F15</f>
        <v>400</v>
      </c>
      <c r="G27" s="131">
        <f t="shared" si="7"/>
        <v>400</v>
      </c>
      <c r="H27" s="131">
        <f t="shared" si="7"/>
        <v>400</v>
      </c>
      <c r="I27" s="131">
        <f t="shared" si="7"/>
        <v>400</v>
      </c>
    </row>
    <row r="28" spans="3:17">
      <c r="C28" s="80" t="s">
        <v>134</v>
      </c>
      <c r="D28" s="81"/>
      <c r="E28" s="81">
        <f>E16</f>
        <v>3190</v>
      </c>
      <c r="F28" s="81">
        <f t="shared" si="7"/>
        <v>3190</v>
      </c>
      <c r="G28" s="81">
        <f t="shared" si="7"/>
        <v>3190</v>
      </c>
      <c r="H28" s="81">
        <f t="shared" si="7"/>
        <v>3190</v>
      </c>
      <c r="I28" s="81">
        <f t="shared" si="7"/>
        <v>3190</v>
      </c>
    </row>
    <row r="29" spans="3:17">
      <c r="C29" s="82" t="s">
        <v>135</v>
      </c>
      <c r="D29" s="145">
        <f>-Amortizacion!C3</f>
        <v>-23556.298294799999</v>
      </c>
      <c r="E29" s="17"/>
      <c r="F29" s="17"/>
      <c r="G29" s="17">
        <f>-(Depreciacion!C12+Depreciacion!C13+Depreciacion!D14)</f>
        <v>-1053</v>
      </c>
      <c r="H29" s="17"/>
      <c r="I29" s="17"/>
    </row>
    <row r="30" spans="3:17">
      <c r="C30" s="83" t="s">
        <v>136</v>
      </c>
      <c r="D30" s="150">
        <f>Amortizacion!D8</f>
        <v>14133.778976879999</v>
      </c>
      <c r="E30" s="17"/>
      <c r="F30" s="17"/>
      <c r="G30" s="17"/>
      <c r="H30" s="17"/>
      <c r="I30" s="17"/>
    </row>
    <row r="31" spans="3:17">
      <c r="C31" s="80" t="s">
        <v>137</v>
      </c>
      <c r="D31" s="17"/>
      <c r="E31" s="132">
        <f>-Amortizacion!G15</f>
        <v>-3904.3487977613067</v>
      </c>
      <c r="F31" s="132">
        <f>$E$31</f>
        <v>-3904.3487977613067</v>
      </c>
      <c r="G31" s="132">
        <f t="shared" ref="G31:I31" si="8">$E$31</f>
        <v>-3904.3487977613067</v>
      </c>
      <c r="H31" s="132">
        <f t="shared" si="8"/>
        <v>-3904.3487977613067</v>
      </c>
      <c r="I31" s="132">
        <f t="shared" si="8"/>
        <v>-3904.3487977613067</v>
      </c>
    </row>
    <row r="32" spans="3:17">
      <c r="C32" s="84" t="s">
        <v>138</v>
      </c>
      <c r="D32" s="133">
        <f>'Capital de Trabajo'!C23</f>
        <v>-2006.2982948000008</v>
      </c>
      <c r="E32" s="17"/>
      <c r="F32" s="17"/>
      <c r="G32" s="17"/>
      <c r="H32" s="17"/>
      <c r="I32" s="17"/>
    </row>
    <row r="33" spans="3:9">
      <c r="C33" s="80" t="s">
        <v>139</v>
      </c>
      <c r="D33" s="17"/>
      <c r="E33" s="17"/>
      <c r="F33" s="17"/>
      <c r="G33" s="17"/>
      <c r="H33" s="17"/>
      <c r="I33" s="133">
        <f>-D32</f>
        <v>2006.2982948000008</v>
      </c>
    </row>
    <row r="34" spans="3:9">
      <c r="C34" s="85" t="s">
        <v>140</v>
      </c>
      <c r="D34" s="17"/>
      <c r="E34" s="17"/>
      <c r="F34" s="17"/>
      <c r="G34" s="17"/>
      <c r="H34" s="17"/>
      <c r="I34" s="86">
        <f>Depreciacion!H17</f>
        <v>6250</v>
      </c>
    </row>
    <row r="35" spans="3:9">
      <c r="C35" s="87" t="s">
        <v>141</v>
      </c>
      <c r="D35" s="146">
        <f>SUM(D29:D34)</f>
        <v>-11428.81761272</v>
      </c>
      <c r="E35" s="146">
        <f>SUM(E26:E34)</f>
        <v>338.00262984856272</v>
      </c>
      <c r="F35" s="146">
        <f t="shared" ref="F35:I35" si="9">SUM(F26:F34)</f>
        <v>4097.5202044158177</v>
      </c>
      <c r="G35" s="146">
        <f>SUM(G26:G34)</f>
        <v>7294.3982871338021</v>
      </c>
      <c r="H35" s="146">
        <f t="shared" si="9"/>
        <v>13147.236373426262</v>
      </c>
      <c r="I35" s="146">
        <f t="shared" si="9"/>
        <v>26820.095989459151</v>
      </c>
    </row>
    <row r="36" spans="3:9">
      <c r="D36" s="18"/>
      <c r="E36" s="18"/>
      <c r="F36" s="18"/>
      <c r="G36" s="18"/>
      <c r="H36" s="18"/>
      <c r="I36" s="18"/>
    </row>
    <row r="38" spans="3:9">
      <c r="C38" s="2" t="s">
        <v>182</v>
      </c>
      <c r="D38" s="59">
        <f>NPV(M18,E35:I35)+D35</f>
        <v>17521.052198597739</v>
      </c>
    </row>
    <row r="39" spans="3:9">
      <c r="C39" s="2" t="s">
        <v>183</v>
      </c>
      <c r="D39" s="176">
        <f>IRR(D35:I35)</f>
        <v>0.46017863509264245</v>
      </c>
    </row>
    <row r="42" spans="3:9">
      <c r="C42" s="165" t="s">
        <v>213</v>
      </c>
      <c r="D42" s="18">
        <f>D35</f>
        <v>-11428.81761272</v>
      </c>
      <c r="E42" s="18">
        <f>E35</f>
        <v>338.00262984856272</v>
      </c>
      <c r="F42" s="18">
        <f t="shared" ref="F42:I42" si="10">F35</f>
        <v>4097.5202044158177</v>
      </c>
      <c r="G42" s="18">
        <f t="shared" si="10"/>
        <v>7294.3982871338021</v>
      </c>
      <c r="H42" s="18">
        <f t="shared" si="10"/>
        <v>13147.236373426262</v>
      </c>
      <c r="I42" s="18">
        <f t="shared" si="10"/>
        <v>26820.095989459151</v>
      </c>
    </row>
    <row r="43" spans="3:9">
      <c r="C43" s="165" t="s">
        <v>214</v>
      </c>
      <c r="D43" s="18">
        <f>D42</f>
        <v>-11428.81761272</v>
      </c>
      <c r="E43" s="18">
        <f>E42/(1+$M$18)^1</f>
        <v>293.69052537224661</v>
      </c>
      <c r="F43" s="18">
        <f t="shared" ref="F43:I43" si="11">F42/(1+$M$18)^1</f>
        <v>3560.3357941251652</v>
      </c>
      <c r="G43" s="18">
        <f t="shared" si="11"/>
        <v>6338.1035413321115</v>
      </c>
      <c r="H43" s="18">
        <f t="shared" si="11"/>
        <v>11423.635252289703</v>
      </c>
      <c r="I43" s="18">
        <f t="shared" si="11"/>
        <v>23303.984602745353</v>
      </c>
    </row>
    <row r="44" spans="3:9">
      <c r="C44" s="165" t="s">
        <v>215</v>
      </c>
      <c r="D44" s="18">
        <f>D43</f>
        <v>-11428.81761272</v>
      </c>
      <c r="E44" s="18">
        <f>D44+E43</f>
        <v>-11135.127087347753</v>
      </c>
      <c r="F44" s="18">
        <f t="shared" ref="F44:I44" si="12">E44+F43</f>
        <v>-7574.7912932225881</v>
      </c>
      <c r="G44" s="18">
        <f>F44+G43</f>
        <v>-1236.6877518904766</v>
      </c>
      <c r="H44" s="18">
        <f t="shared" si="12"/>
        <v>10186.947500399227</v>
      </c>
      <c r="I44" s="18">
        <f t="shared" si="12"/>
        <v>33490.93210314458</v>
      </c>
    </row>
    <row r="45" spans="3:9" ht="15.75" thickBot="1"/>
    <row r="46" spans="3:9" ht="15.75" thickBot="1">
      <c r="F46" s="166" t="s">
        <v>217</v>
      </c>
      <c r="G46" s="168">
        <f>3+(-G44/H44)</f>
        <v>3.1213992466184801</v>
      </c>
      <c r="H46" s="167" t="s">
        <v>216</v>
      </c>
    </row>
    <row r="48" spans="3:9">
      <c r="D48" s="19"/>
    </row>
  </sheetData>
  <scenarios current="0" show="0" sqref="D35">
    <scenario name="Crece en 5%" locked="1" count="1" user="Usuario" comment="Creado por Usuario el 22/01/2012_x000a_Modificado por Usuario el 22/01/2012">
      <inputCells r="B5" val="0,05" numFmtId="10"/>
    </scenario>
    <scenario name="Crece en 15%" locked="1" count="1" user="Usuario" comment="Creado por Usuario el 22/01/2012">
      <inputCells r="B5" val="0,15" numFmtId="10"/>
    </scenario>
    <scenario name="Crece en 20%" locked="1" count="1" user="Usuario" comment="Creado por Usuario el 22/01/2012">
      <inputCells r="B5" val="0,2" numFmtId="10"/>
    </scenario>
    <scenario name="No crece" locked="1" count="1" user="Usuario" comment="Creado por Usuario el 22/01/2012">
      <inputCells r="B5" val="0" numFmtId="10"/>
    </scenario>
    <scenario name="Decrece en 5%" locked="1" count="1" user="Usuario" comment="Creado por Usuario el 22/01/2012">
      <inputCells r="B5" val="-0,05" numFmtId="10"/>
    </scenario>
    <scenario name="Decrece en 15% " locked="1" count="1" user="Usuario" comment="Creado por Usuario el 22/01/2012_x000a_Modificado por Usuario el 22/01/2012">
      <inputCells r="B5" val="-0,15" numFmtId="10"/>
    </scenario>
    <scenario name="Decrece en 20%" locked="1" count="1" user="Usuario" comment="Creado por Usuario el 22/01/2012_x000a_Modificado por Usuario el 22/01/2012">
      <inputCells r="B5" val="-0,2" numFmtId="10"/>
    </scenario>
  </scenarios>
  <mergeCells count="1">
    <mergeCell ref="O8:Q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C4:G21"/>
  <sheetViews>
    <sheetView workbookViewId="0">
      <selection activeCell="J38" sqref="J38"/>
    </sheetView>
  </sheetViews>
  <sheetFormatPr baseColWidth="10" defaultRowHeight="15"/>
  <cols>
    <col min="7" max="7" width="13.140625" customWidth="1"/>
  </cols>
  <sheetData>
    <row r="4" spans="3:7">
      <c r="C4" t="s">
        <v>224</v>
      </c>
    </row>
    <row r="5" spans="3:7">
      <c r="C5" s="170"/>
      <c r="D5" s="3"/>
      <c r="E5" s="171" t="s">
        <v>182</v>
      </c>
      <c r="F5" s="171" t="s">
        <v>183</v>
      </c>
      <c r="G5" s="171" t="s">
        <v>225</v>
      </c>
    </row>
    <row r="6" spans="3:7">
      <c r="C6" s="172"/>
      <c r="D6" s="173">
        <v>0.05</v>
      </c>
      <c r="E6" s="177">
        <v>24239.313144644322</v>
      </c>
      <c r="F6" s="175">
        <v>0.58089337201290392</v>
      </c>
      <c r="G6" s="171" t="s">
        <v>227</v>
      </c>
    </row>
    <row r="7" spans="3:7">
      <c r="C7" s="172" t="s">
        <v>226</v>
      </c>
      <c r="D7" s="171">
        <v>0</v>
      </c>
      <c r="E7" s="178">
        <v>15108.417052227423</v>
      </c>
      <c r="F7" s="175">
        <v>0.41717959743474298</v>
      </c>
      <c r="G7" s="171" t="s">
        <v>227</v>
      </c>
    </row>
    <row r="8" spans="3:7">
      <c r="C8" s="172"/>
      <c r="D8" s="173">
        <v>-0.05</v>
      </c>
      <c r="E8" s="6">
        <v>5977.5209598105339</v>
      </c>
      <c r="F8" s="175">
        <v>0.25580177841553042</v>
      </c>
      <c r="G8" s="171" t="s">
        <v>227</v>
      </c>
    </row>
    <row r="9" spans="3:7">
      <c r="C9" s="172"/>
      <c r="D9" s="173">
        <v>-0.1</v>
      </c>
      <c r="E9" s="177">
        <v>-3153.3751326063393</v>
      </c>
      <c r="F9" s="175">
        <v>9.5551033511459979E-2</v>
      </c>
      <c r="G9" s="171" t="s">
        <v>229</v>
      </c>
    </row>
    <row r="10" spans="3:7">
      <c r="C10" s="172"/>
      <c r="D10" s="173">
        <v>-0.15</v>
      </c>
      <c r="E10" s="177">
        <v>-12284.271225023222</v>
      </c>
      <c r="F10" s="175">
        <v>-6.5853644732967939E-2</v>
      </c>
      <c r="G10" s="171" t="s">
        <v>229</v>
      </c>
    </row>
    <row r="11" spans="3:7">
      <c r="C11" s="174"/>
      <c r="D11" s="173">
        <v>-0.2</v>
      </c>
      <c r="E11" s="177">
        <v>-21415.167317440086</v>
      </c>
      <c r="F11" s="175"/>
      <c r="G11" s="171" t="s">
        <v>229</v>
      </c>
    </row>
    <row r="14" spans="3:7">
      <c r="C14" t="s">
        <v>228</v>
      </c>
    </row>
    <row r="15" spans="3:7">
      <c r="C15" s="170"/>
      <c r="D15" s="3"/>
      <c r="E15" s="171" t="s">
        <v>182</v>
      </c>
      <c r="F15" s="171" t="s">
        <v>183</v>
      </c>
      <c r="G15" s="171" t="s">
        <v>225</v>
      </c>
    </row>
    <row r="16" spans="3:7">
      <c r="C16" s="172"/>
      <c r="D16" s="173">
        <v>0.2</v>
      </c>
      <c r="E16" s="180">
        <v>5457.8764667461637</v>
      </c>
      <c r="F16" s="179">
        <v>0.24666724426526856</v>
      </c>
      <c r="G16" s="171" t="s">
        <v>227</v>
      </c>
    </row>
    <row r="17" spans="3:7">
      <c r="C17" s="172"/>
      <c r="D17" s="173">
        <v>0.15</v>
      </c>
      <c r="E17" s="180">
        <v>7870.511613116485</v>
      </c>
      <c r="F17" s="179">
        <v>0.28911295680352028</v>
      </c>
      <c r="G17" s="171" t="s">
        <v>227</v>
      </c>
    </row>
    <row r="18" spans="3:7">
      <c r="C18" s="172"/>
      <c r="D18" s="173">
        <v>0.1</v>
      </c>
      <c r="E18" s="180">
        <v>10283.146759486785</v>
      </c>
      <c r="F18" s="179">
        <v>0.33166493552820997</v>
      </c>
      <c r="G18" s="171" t="s">
        <v>227</v>
      </c>
    </row>
    <row r="19" spans="3:7">
      <c r="C19" s="172"/>
      <c r="D19" s="173">
        <v>0.05</v>
      </c>
      <c r="E19" s="180">
        <v>12695.781905857102</v>
      </c>
      <c r="F19" s="179">
        <v>0.37434716305030574</v>
      </c>
      <c r="G19" s="171" t="s">
        <v>227</v>
      </c>
    </row>
    <row r="20" spans="3:7">
      <c r="C20" s="172" t="s">
        <v>226</v>
      </c>
      <c r="D20" s="171">
        <v>0</v>
      </c>
      <c r="E20" s="180">
        <v>15108.417052227423</v>
      </c>
      <c r="F20" s="179">
        <v>0.41717959743474298</v>
      </c>
      <c r="G20" s="171" t="s">
        <v>227</v>
      </c>
    </row>
    <row r="21" spans="3:7">
      <c r="C21" s="174"/>
      <c r="D21" s="173">
        <v>-0.05</v>
      </c>
      <c r="E21" s="180">
        <v>17521.052198597739</v>
      </c>
      <c r="F21" s="179">
        <v>0.46017863509264256</v>
      </c>
      <c r="G21" s="171" t="s">
        <v>227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E47"/>
  <sheetViews>
    <sheetView workbookViewId="0">
      <selection activeCell="B18" sqref="B18:D18"/>
    </sheetView>
  </sheetViews>
  <sheetFormatPr baseColWidth="10" defaultRowHeight="15"/>
  <cols>
    <col min="2" max="2" width="50.5703125" customWidth="1"/>
    <col min="4" max="4" width="13.85546875" customWidth="1"/>
  </cols>
  <sheetData>
    <row r="2" spans="2:5">
      <c r="B2" s="1" t="s">
        <v>29</v>
      </c>
    </row>
    <row r="3" spans="2:5">
      <c r="B3" s="7" t="s">
        <v>30</v>
      </c>
      <c r="C3" s="7" t="s">
        <v>13</v>
      </c>
      <c r="D3" s="7" t="s">
        <v>31</v>
      </c>
      <c r="E3" s="7" t="s">
        <v>27</v>
      </c>
    </row>
    <row r="4" spans="2:5">
      <c r="B4" s="3" t="s">
        <v>0</v>
      </c>
      <c r="C4" s="3">
        <v>3</v>
      </c>
      <c r="D4" s="6">
        <v>1000</v>
      </c>
      <c r="E4" s="6">
        <f>C4*D4</f>
        <v>3000</v>
      </c>
    </row>
    <row r="5" spans="2:5">
      <c r="B5" s="3" t="s">
        <v>1</v>
      </c>
      <c r="C5" s="3">
        <v>3</v>
      </c>
      <c r="D5" s="6">
        <v>800</v>
      </c>
      <c r="E5" s="6">
        <f t="shared" ref="E5:E17" si="0">C5*D5</f>
        <v>2400</v>
      </c>
    </row>
    <row r="6" spans="2:5">
      <c r="B6" s="3" t="s">
        <v>2</v>
      </c>
      <c r="C6" s="3">
        <v>3</v>
      </c>
      <c r="D6" s="6">
        <v>650</v>
      </c>
      <c r="E6" s="6">
        <f t="shared" si="0"/>
        <v>1950</v>
      </c>
    </row>
    <row r="7" spans="2:5">
      <c r="B7" s="3" t="s">
        <v>3</v>
      </c>
      <c r="C7" s="3">
        <v>3</v>
      </c>
      <c r="D7" s="6">
        <v>500</v>
      </c>
      <c r="E7" s="6">
        <f t="shared" si="0"/>
        <v>1500</v>
      </c>
    </row>
    <row r="8" spans="2:5">
      <c r="B8" s="3" t="s">
        <v>4</v>
      </c>
      <c r="C8" s="3">
        <v>3</v>
      </c>
      <c r="D8" s="6">
        <v>200</v>
      </c>
      <c r="E8" s="6">
        <f t="shared" si="0"/>
        <v>600</v>
      </c>
    </row>
    <row r="9" spans="2:5">
      <c r="B9" s="3" t="s">
        <v>5</v>
      </c>
      <c r="C9" s="3">
        <v>3</v>
      </c>
      <c r="D9" s="6">
        <v>600</v>
      </c>
      <c r="E9" s="6">
        <f t="shared" si="0"/>
        <v>1800</v>
      </c>
    </row>
    <row r="10" spans="2:5">
      <c r="B10" s="3" t="s">
        <v>6</v>
      </c>
      <c r="C10" s="3">
        <v>3</v>
      </c>
      <c r="D10" s="6">
        <v>350</v>
      </c>
      <c r="E10" s="6">
        <f t="shared" si="0"/>
        <v>1050</v>
      </c>
    </row>
    <row r="11" spans="2:5">
      <c r="B11" s="3" t="s">
        <v>7</v>
      </c>
      <c r="C11" s="3">
        <v>1</v>
      </c>
      <c r="D11" s="6">
        <v>7800</v>
      </c>
      <c r="E11" s="6">
        <f t="shared" si="0"/>
        <v>7800</v>
      </c>
    </row>
    <row r="12" spans="2:5">
      <c r="B12" s="3" t="s">
        <v>8</v>
      </c>
      <c r="C12" s="3"/>
      <c r="D12" s="6">
        <v>150</v>
      </c>
      <c r="E12" s="6">
        <f>D12</f>
        <v>150</v>
      </c>
    </row>
    <row r="13" spans="2:5">
      <c r="B13" s="3" t="s">
        <v>9</v>
      </c>
      <c r="C13" s="3">
        <v>1</v>
      </c>
      <c r="D13" s="6">
        <v>900</v>
      </c>
      <c r="E13" s="6">
        <f t="shared" si="0"/>
        <v>900</v>
      </c>
    </row>
    <row r="14" spans="2:5">
      <c r="B14" s="3" t="s">
        <v>33</v>
      </c>
      <c r="C14" s="3">
        <v>1</v>
      </c>
      <c r="D14" s="6">
        <v>90</v>
      </c>
      <c r="E14" s="6">
        <f t="shared" si="0"/>
        <v>90</v>
      </c>
    </row>
    <row r="15" spans="2:5">
      <c r="B15" s="3" t="s">
        <v>10</v>
      </c>
      <c r="C15" s="3">
        <v>2</v>
      </c>
      <c r="D15" s="6">
        <v>60</v>
      </c>
      <c r="E15" s="6">
        <f t="shared" si="0"/>
        <v>120</v>
      </c>
    </row>
    <row r="16" spans="2:5">
      <c r="B16" s="3" t="s">
        <v>187</v>
      </c>
      <c r="C16" s="3"/>
      <c r="D16" s="6">
        <v>60</v>
      </c>
      <c r="E16" s="6">
        <f>D16</f>
        <v>60</v>
      </c>
    </row>
    <row r="17" spans="2:5">
      <c r="B17" s="3" t="s">
        <v>11</v>
      </c>
      <c r="C17" s="3">
        <v>1</v>
      </c>
      <c r="D17" s="6">
        <v>80</v>
      </c>
      <c r="E17" s="6">
        <f t="shared" si="0"/>
        <v>80</v>
      </c>
    </row>
    <row r="18" spans="2:5">
      <c r="B18" s="183" t="s">
        <v>27</v>
      </c>
      <c r="C18" s="183"/>
      <c r="D18" s="183"/>
      <c r="E18" s="6">
        <f>SUM(E4:E17)</f>
        <v>21500</v>
      </c>
    </row>
    <row r="20" spans="2:5">
      <c r="B20" s="12"/>
      <c r="C20" s="7" t="s">
        <v>27</v>
      </c>
    </row>
    <row r="21" spans="2:5">
      <c r="B21" s="2" t="s">
        <v>32</v>
      </c>
      <c r="C21" s="6">
        <v>50</v>
      </c>
    </row>
    <row r="24" spans="2:5">
      <c r="B24" s="2" t="s">
        <v>37</v>
      </c>
      <c r="C24" s="2" t="s">
        <v>13</v>
      </c>
      <c r="D24" s="2" t="s">
        <v>31</v>
      </c>
      <c r="E24" s="2" t="s">
        <v>27</v>
      </c>
    </row>
    <row r="25" spans="2:5">
      <c r="B25" s="3" t="s">
        <v>38</v>
      </c>
      <c r="C25" s="3" t="s">
        <v>43</v>
      </c>
      <c r="D25" s="6">
        <v>15</v>
      </c>
      <c r="E25" s="6">
        <v>15</v>
      </c>
    </row>
    <row r="26" spans="2:5">
      <c r="B26" s="3" t="s">
        <v>39</v>
      </c>
      <c r="C26" s="3" t="s">
        <v>44</v>
      </c>
      <c r="D26" s="6">
        <v>10</v>
      </c>
      <c r="E26" s="6">
        <v>10</v>
      </c>
    </row>
    <row r="27" spans="2:5">
      <c r="B27" s="3" t="s">
        <v>40</v>
      </c>
      <c r="C27" s="3" t="s">
        <v>46</v>
      </c>
      <c r="D27" s="6">
        <v>15</v>
      </c>
      <c r="E27" s="6">
        <v>45</v>
      </c>
    </row>
    <row r="28" spans="2:5">
      <c r="B28" s="3" t="s">
        <v>41</v>
      </c>
      <c r="C28" s="3" t="s">
        <v>46</v>
      </c>
      <c r="D28" s="6">
        <v>20</v>
      </c>
      <c r="E28" s="6">
        <v>60</v>
      </c>
    </row>
    <row r="29" spans="2:5">
      <c r="B29" s="3" t="s">
        <v>42</v>
      </c>
      <c r="C29" s="3" t="s">
        <v>45</v>
      </c>
      <c r="D29" s="6">
        <v>15</v>
      </c>
      <c r="E29" s="6">
        <v>60</v>
      </c>
    </row>
    <row r="30" spans="2:5">
      <c r="B30" s="184" t="s">
        <v>27</v>
      </c>
      <c r="C30" s="184"/>
      <c r="D30" s="184"/>
      <c r="E30" s="6">
        <f>SUM(E25:E29)</f>
        <v>190</v>
      </c>
    </row>
    <row r="31" spans="2:5">
      <c r="B31" s="15"/>
      <c r="C31" s="15"/>
      <c r="D31" s="15"/>
      <c r="E31" s="10"/>
    </row>
    <row r="32" spans="2:5">
      <c r="B32" s="15"/>
      <c r="C32" s="15"/>
      <c r="D32" s="15"/>
      <c r="E32" s="10"/>
    </row>
    <row r="33" spans="2:5">
      <c r="B33" s="2" t="s">
        <v>55</v>
      </c>
      <c r="C33" s="2" t="s">
        <v>13</v>
      </c>
      <c r="D33" s="2" t="s">
        <v>31</v>
      </c>
      <c r="E33" s="2" t="s">
        <v>59</v>
      </c>
    </row>
    <row r="34" spans="2:5">
      <c r="B34" s="3" t="s">
        <v>47</v>
      </c>
      <c r="C34" s="16">
        <v>20</v>
      </c>
      <c r="D34" s="6">
        <v>0.25</v>
      </c>
      <c r="E34" s="6">
        <f>C34*D34</f>
        <v>5</v>
      </c>
    </row>
    <row r="35" spans="2:5">
      <c r="B35" s="3" t="s">
        <v>48</v>
      </c>
      <c r="C35" s="16">
        <v>1</v>
      </c>
      <c r="D35" s="6">
        <v>5</v>
      </c>
      <c r="E35" s="6">
        <f t="shared" ref="E35:E46" si="1">C35*D35</f>
        <v>5</v>
      </c>
    </row>
    <row r="36" spans="2:5">
      <c r="B36" s="3" t="s">
        <v>49</v>
      </c>
      <c r="C36" s="16">
        <v>2</v>
      </c>
      <c r="D36" s="6">
        <v>17</v>
      </c>
      <c r="E36" s="6">
        <f t="shared" si="1"/>
        <v>34</v>
      </c>
    </row>
    <row r="37" spans="2:5">
      <c r="B37" s="3" t="s">
        <v>56</v>
      </c>
      <c r="C37" s="16">
        <v>10</v>
      </c>
      <c r="D37" s="6">
        <v>0.3</v>
      </c>
      <c r="E37" s="6">
        <f t="shared" si="1"/>
        <v>3</v>
      </c>
    </row>
    <row r="38" spans="2:5">
      <c r="B38" s="3" t="s">
        <v>57</v>
      </c>
      <c r="C38" s="16">
        <v>10</v>
      </c>
      <c r="D38" s="6">
        <v>0.2</v>
      </c>
      <c r="E38" s="6">
        <f t="shared" si="1"/>
        <v>2</v>
      </c>
    </row>
    <row r="39" spans="2:5">
      <c r="B39" s="3" t="s">
        <v>61</v>
      </c>
      <c r="C39" s="16">
        <v>4</v>
      </c>
      <c r="D39" s="6">
        <v>0.25</v>
      </c>
      <c r="E39" s="6">
        <f t="shared" si="1"/>
        <v>1</v>
      </c>
    </row>
    <row r="40" spans="2:5">
      <c r="B40" s="3" t="s">
        <v>50</v>
      </c>
      <c r="C40" s="16">
        <v>4</v>
      </c>
      <c r="D40" s="6">
        <v>0.15</v>
      </c>
      <c r="E40" s="6">
        <f t="shared" si="1"/>
        <v>0.6</v>
      </c>
    </row>
    <row r="41" spans="2:5">
      <c r="B41" s="3" t="s">
        <v>51</v>
      </c>
      <c r="C41" s="16">
        <v>2</v>
      </c>
      <c r="D41" s="6">
        <v>2.1</v>
      </c>
      <c r="E41" s="6">
        <f t="shared" si="1"/>
        <v>4.2</v>
      </c>
    </row>
    <row r="42" spans="2:5">
      <c r="B42" s="3" t="s">
        <v>58</v>
      </c>
      <c r="C42" s="16">
        <v>2</v>
      </c>
      <c r="D42" s="6">
        <v>0.6</v>
      </c>
      <c r="E42" s="6">
        <f t="shared" si="1"/>
        <v>1.2</v>
      </c>
    </row>
    <row r="43" spans="2:5">
      <c r="B43" s="3" t="s">
        <v>52</v>
      </c>
      <c r="C43" s="16">
        <v>1</v>
      </c>
      <c r="D43" s="6">
        <v>1.5</v>
      </c>
      <c r="E43" s="6">
        <f t="shared" si="1"/>
        <v>1.5</v>
      </c>
    </row>
    <row r="44" spans="2:5">
      <c r="B44" s="3" t="s">
        <v>53</v>
      </c>
      <c r="C44" s="16">
        <v>2</v>
      </c>
      <c r="D44" s="6">
        <v>2</v>
      </c>
      <c r="E44" s="6">
        <f t="shared" si="1"/>
        <v>4</v>
      </c>
    </row>
    <row r="45" spans="2:5">
      <c r="B45" s="3" t="s">
        <v>54</v>
      </c>
      <c r="C45" s="16">
        <v>2</v>
      </c>
      <c r="D45" s="6">
        <v>1</v>
      </c>
      <c r="E45" s="6">
        <f t="shared" si="1"/>
        <v>2</v>
      </c>
    </row>
    <row r="46" spans="2:5">
      <c r="B46" s="17" t="s">
        <v>60</v>
      </c>
      <c r="C46" s="16">
        <v>1</v>
      </c>
      <c r="D46" s="6">
        <v>1</v>
      </c>
      <c r="E46" s="6">
        <f t="shared" si="1"/>
        <v>1</v>
      </c>
    </row>
    <row r="47" spans="2:5">
      <c r="B47" s="184" t="s">
        <v>27</v>
      </c>
      <c r="C47" s="184"/>
      <c r="D47" s="184"/>
      <c r="E47" s="6">
        <f>SUM(E34:E46)</f>
        <v>64.5</v>
      </c>
    </row>
  </sheetData>
  <mergeCells count="3">
    <mergeCell ref="B18:D18"/>
    <mergeCell ref="B30:D30"/>
    <mergeCell ref="B47:D47"/>
  </mergeCells>
  <pageMargins left="0.7" right="0.7" top="0.75" bottom="0.75" header="0.3" footer="0.3"/>
  <ignoredErrors>
    <ignoredError sqref="E12 E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2:H34"/>
  <sheetViews>
    <sheetView workbookViewId="0">
      <selection activeCell="C14" sqref="C14"/>
    </sheetView>
  </sheetViews>
  <sheetFormatPr baseColWidth="10" defaultRowHeight="15"/>
  <cols>
    <col min="2" max="2" width="26" bestFit="1" customWidth="1"/>
    <col min="5" max="5" width="13.7109375" bestFit="1" customWidth="1"/>
    <col min="6" max="6" width="10.5703125" bestFit="1" customWidth="1"/>
  </cols>
  <sheetData>
    <row r="2" spans="2:6">
      <c r="B2" s="1" t="s">
        <v>22</v>
      </c>
    </row>
    <row r="3" spans="2:6" ht="30">
      <c r="B3" s="4" t="s">
        <v>12</v>
      </c>
      <c r="C3" s="4" t="s">
        <v>13</v>
      </c>
      <c r="D3" s="5" t="s">
        <v>14</v>
      </c>
      <c r="E3" s="4" t="s">
        <v>15</v>
      </c>
      <c r="F3" s="4" t="s">
        <v>16</v>
      </c>
    </row>
    <row r="4" spans="2:6">
      <c r="B4" s="3" t="s">
        <v>18</v>
      </c>
      <c r="C4" s="3">
        <v>1</v>
      </c>
      <c r="D4" s="6">
        <v>450</v>
      </c>
      <c r="E4" s="6">
        <f>D4*C4</f>
        <v>450</v>
      </c>
      <c r="F4" s="6">
        <f>E4*12</f>
        <v>5400</v>
      </c>
    </row>
    <row r="5" spans="2:6">
      <c r="B5" s="3" t="s">
        <v>19</v>
      </c>
      <c r="C5" s="3">
        <v>1</v>
      </c>
      <c r="D5" s="6">
        <v>380</v>
      </c>
      <c r="E5" s="6">
        <f t="shared" ref="E5:E7" si="0">D5*C5</f>
        <v>380</v>
      </c>
      <c r="F5" s="6">
        <f t="shared" ref="F5:F7" si="1">E5*12</f>
        <v>4560</v>
      </c>
    </row>
    <row r="6" spans="2:6">
      <c r="B6" s="3" t="s">
        <v>20</v>
      </c>
      <c r="C6" s="3">
        <v>5</v>
      </c>
      <c r="D6" s="6">
        <v>292</v>
      </c>
      <c r="E6" s="6">
        <f t="shared" si="0"/>
        <v>1460</v>
      </c>
      <c r="F6" s="6">
        <f t="shared" si="1"/>
        <v>17520</v>
      </c>
    </row>
    <row r="7" spans="2:6">
      <c r="B7" s="3" t="s">
        <v>21</v>
      </c>
      <c r="C7" s="3">
        <v>1</v>
      </c>
      <c r="D7" s="6">
        <v>292</v>
      </c>
      <c r="E7" s="6">
        <f t="shared" si="0"/>
        <v>292</v>
      </c>
      <c r="F7" s="6">
        <f t="shared" si="1"/>
        <v>3504</v>
      </c>
    </row>
    <row r="8" spans="2:6">
      <c r="B8" s="183" t="s">
        <v>17</v>
      </c>
      <c r="C8" s="183"/>
      <c r="D8" s="183"/>
      <c r="E8" s="183"/>
      <c r="F8" s="6">
        <f>SUM(F4:F7)</f>
        <v>30984</v>
      </c>
    </row>
    <row r="9" spans="2:6">
      <c r="E9" s="50"/>
    </row>
    <row r="11" spans="2:6">
      <c r="B11" s="7" t="s">
        <v>23</v>
      </c>
      <c r="C11" s="7" t="s">
        <v>24</v>
      </c>
      <c r="D11" s="7" t="s">
        <v>16</v>
      </c>
    </row>
    <row r="12" spans="2:6">
      <c r="B12" s="3" t="s">
        <v>25</v>
      </c>
      <c r="C12" s="6">
        <v>30</v>
      </c>
      <c r="D12" s="6">
        <f>C12*12</f>
        <v>360</v>
      </c>
    </row>
    <row r="13" spans="2:6">
      <c r="B13" s="3" t="s">
        <v>10</v>
      </c>
      <c r="C13" s="6">
        <v>30</v>
      </c>
      <c r="D13" s="6">
        <f t="shared" ref="D13:D14" si="2">C13*12</f>
        <v>360</v>
      </c>
    </row>
    <row r="14" spans="2:6">
      <c r="B14" s="3" t="s">
        <v>26</v>
      </c>
      <c r="C14" s="6">
        <v>60</v>
      </c>
      <c r="D14" s="6">
        <f t="shared" si="2"/>
        <v>720</v>
      </c>
    </row>
    <row r="15" spans="2:6">
      <c r="B15" s="183" t="s">
        <v>27</v>
      </c>
      <c r="C15" s="183"/>
      <c r="D15" s="6">
        <f>SUM(D12:D14)</f>
        <v>1440</v>
      </c>
    </row>
    <row r="16" spans="2:6">
      <c r="B16" s="9"/>
      <c r="C16" s="9"/>
      <c r="D16" s="10"/>
    </row>
    <row r="17" spans="2:8">
      <c r="B17" s="9"/>
      <c r="C17" s="9"/>
      <c r="D17" s="10"/>
    </row>
    <row r="18" spans="2:8">
      <c r="C18" s="2" t="s">
        <v>15</v>
      </c>
      <c r="D18" s="2" t="s">
        <v>16</v>
      </c>
    </row>
    <row r="19" spans="2:8">
      <c r="B19" s="2" t="s">
        <v>28</v>
      </c>
      <c r="C19" s="11">
        <v>500</v>
      </c>
      <c r="D19" s="6">
        <f>C19*12</f>
        <v>6000</v>
      </c>
    </row>
    <row r="20" spans="2:8">
      <c r="B20" s="13"/>
      <c r="C20" s="8"/>
      <c r="D20" s="10"/>
    </row>
    <row r="21" spans="2:8">
      <c r="B21" s="13"/>
      <c r="C21" s="14"/>
      <c r="D21" s="14"/>
    </row>
    <row r="22" spans="2:8">
      <c r="C22" s="2" t="s">
        <v>15</v>
      </c>
      <c r="D22" s="2" t="s">
        <v>16</v>
      </c>
    </row>
    <row r="23" spans="2:8">
      <c r="B23" s="2" t="s">
        <v>55</v>
      </c>
      <c r="C23" s="11">
        <v>64.5</v>
      </c>
      <c r="D23" s="6">
        <f>C23*12</f>
        <v>774</v>
      </c>
    </row>
    <row r="27" spans="2:8">
      <c r="B27" s="55"/>
      <c r="C27" s="70"/>
      <c r="D27" s="70"/>
      <c r="E27" s="13"/>
      <c r="F27" s="55"/>
    </row>
    <row r="28" spans="2:8">
      <c r="B28" s="71"/>
      <c r="C28" s="57"/>
      <c r="D28" s="57"/>
      <c r="E28" s="72"/>
      <c r="F28" s="56"/>
      <c r="H28" s="54"/>
    </row>
    <row r="29" spans="2:8">
      <c r="B29" s="71"/>
      <c r="C29" s="57"/>
      <c r="D29" s="57"/>
      <c r="E29" s="73"/>
      <c r="F29" s="57"/>
    </row>
    <row r="30" spans="2:8">
      <c r="B30" s="71"/>
      <c r="C30" s="57"/>
      <c r="D30" s="57"/>
      <c r="E30" s="72"/>
      <c r="F30" s="57"/>
    </row>
    <row r="31" spans="2:8">
      <c r="B31" s="74"/>
      <c r="C31" s="57"/>
      <c r="D31" s="57"/>
      <c r="E31" s="72"/>
      <c r="F31" s="57"/>
    </row>
    <row r="32" spans="2:8">
      <c r="B32" s="71"/>
      <c r="C32" s="57"/>
      <c r="D32" s="57"/>
      <c r="E32" s="72"/>
      <c r="F32" s="57"/>
    </row>
    <row r="33" spans="2:5">
      <c r="B33" s="12"/>
      <c r="C33" s="12"/>
      <c r="D33" s="12"/>
      <c r="E33" s="12"/>
    </row>
    <row r="34" spans="2:5">
      <c r="B34" s="12"/>
      <c r="C34" s="12"/>
      <c r="D34" s="12"/>
      <c r="E34" s="12"/>
    </row>
  </sheetData>
  <mergeCells count="2">
    <mergeCell ref="B8:E8"/>
    <mergeCell ref="B15:C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F6"/>
  <sheetViews>
    <sheetView workbookViewId="0">
      <selection activeCell="C22" sqref="C22"/>
    </sheetView>
  </sheetViews>
  <sheetFormatPr baseColWidth="10" defaultRowHeight="15"/>
  <cols>
    <col min="2" max="2" width="14.5703125" customWidth="1"/>
    <col min="4" max="4" width="14.140625" customWidth="1"/>
  </cols>
  <sheetData>
    <row r="3" spans="2:6">
      <c r="B3" s="7" t="s">
        <v>34</v>
      </c>
      <c r="C3" s="7" t="s">
        <v>13</v>
      </c>
      <c r="D3" s="7" t="s">
        <v>31</v>
      </c>
      <c r="E3" s="7" t="s">
        <v>15</v>
      </c>
      <c r="F3" s="7" t="s">
        <v>16</v>
      </c>
    </row>
    <row r="4" spans="2:6">
      <c r="B4" s="3" t="s">
        <v>36</v>
      </c>
      <c r="C4" s="3">
        <v>30</v>
      </c>
      <c r="D4" s="6">
        <v>18</v>
      </c>
      <c r="E4" s="6">
        <f>D4*C4</f>
        <v>540</v>
      </c>
      <c r="F4" s="6">
        <f>E4*12</f>
        <v>6480</v>
      </c>
    </row>
    <row r="5" spans="2:6">
      <c r="B5" s="3" t="s">
        <v>35</v>
      </c>
      <c r="C5" s="3">
        <v>1</v>
      </c>
      <c r="D5" s="6">
        <v>12</v>
      </c>
      <c r="E5" s="6">
        <f>D5*C5</f>
        <v>12</v>
      </c>
      <c r="F5" s="6">
        <f>E5*12</f>
        <v>144</v>
      </c>
    </row>
    <row r="6" spans="2:6">
      <c r="B6" s="183" t="s">
        <v>27</v>
      </c>
      <c r="C6" s="183"/>
      <c r="D6" s="183"/>
      <c r="E6" s="183"/>
      <c r="F6" s="6">
        <f>SUM(F4:F5)</f>
        <v>6624</v>
      </c>
    </row>
  </sheetData>
  <mergeCells count="1">
    <mergeCell ref="B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C23" sqref="C23"/>
    </sheetView>
  </sheetViews>
  <sheetFormatPr baseColWidth="10" defaultRowHeight="15"/>
  <cols>
    <col min="1" max="1" width="19.140625" bestFit="1" customWidth="1"/>
  </cols>
  <sheetData>
    <row r="1" spans="1:14" ht="15.75" thickBot="1"/>
    <row r="2" spans="1:14" ht="15.75" thickBot="1">
      <c r="A2" s="1" t="s">
        <v>93</v>
      </c>
      <c r="B2" s="36" t="s">
        <v>78</v>
      </c>
      <c r="C2" s="36" t="s">
        <v>77</v>
      </c>
      <c r="D2" s="36" t="s">
        <v>76</v>
      </c>
      <c r="E2" s="37" t="s">
        <v>75</v>
      </c>
      <c r="F2" s="37" t="s">
        <v>74</v>
      </c>
      <c r="G2" s="37" t="s">
        <v>73</v>
      </c>
      <c r="H2" s="38" t="s">
        <v>72</v>
      </c>
      <c r="I2" s="38" t="s">
        <v>71</v>
      </c>
      <c r="J2" s="38" t="s">
        <v>70</v>
      </c>
      <c r="K2" s="39" t="s">
        <v>69</v>
      </c>
      <c r="L2" s="39" t="s">
        <v>68</v>
      </c>
      <c r="M2" s="40" t="s">
        <v>67</v>
      </c>
      <c r="N2" s="31" t="s">
        <v>17</v>
      </c>
    </row>
    <row r="3" spans="1:14">
      <c r="A3" s="44" t="s">
        <v>65</v>
      </c>
      <c r="B3" s="47">
        <f>INGRESOS!B14</f>
        <v>1163.0467484999999</v>
      </c>
      <c r="C3" s="47">
        <f>INGRESOS!C14</f>
        <v>1395.6560981999999</v>
      </c>
      <c r="D3" s="47">
        <f>INGRESOS!D14</f>
        <v>2093.4841472999997</v>
      </c>
      <c r="E3" s="47">
        <f>INGRESOS!E14</f>
        <v>2302.8325620299993</v>
      </c>
      <c r="F3" s="47">
        <f>INGRESOS!F14</f>
        <v>2442.3981718499995</v>
      </c>
      <c r="G3" s="47">
        <f>INGRESOS!G14</f>
        <v>2233.0497571199999</v>
      </c>
      <c r="H3" s="47">
        <f>INGRESOS!H14</f>
        <v>2035.3318098749999</v>
      </c>
      <c r="I3" s="47">
        <f>INGRESOS!I14</f>
        <v>1919.027135025</v>
      </c>
      <c r="J3" s="47">
        <f>INGRESOS!J14</f>
        <v>1860.8747975999995</v>
      </c>
      <c r="K3" s="47">
        <f>INGRESOS!K14</f>
        <v>2035.3318098749999</v>
      </c>
      <c r="L3" s="47">
        <f>INGRESOS!L14</f>
        <v>2209.7888221499998</v>
      </c>
      <c r="M3" s="47">
        <f>INGRESOS!M14</f>
        <v>1570.1131104749998</v>
      </c>
      <c r="N3" s="49">
        <f>SUM(B3:M3)</f>
        <v>23260.934969999995</v>
      </c>
    </row>
    <row r="4" spans="1:14">
      <c r="A4" s="45" t="s">
        <v>64</v>
      </c>
      <c r="B4" s="47">
        <f>INGRESOS!B15</f>
        <v>1361.0121524999997</v>
      </c>
      <c r="C4" s="47">
        <f>INGRESOS!C15</f>
        <v>1633.2145829999997</v>
      </c>
      <c r="D4" s="47">
        <f>INGRESOS!D15</f>
        <v>2449.8218744999999</v>
      </c>
      <c r="E4" s="47">
        <f>INGRESOS!E15</f>
        <v>2694.8040619499993</v>
      </c>
      <c r="F4" s="47">
        <f>INGRESOS!F15</f>
        <v>2858.1255202499997</v>
      </c>
      <c r="G4" s="47">
        <f>INGRESOS!G15</f>
        <v>2613.1433327999998</v>
      </c>
      <c r="H4" s="47">
        <f>INGRESOS!H15</f>
        <v>2381.7712668749996</v>
      </c>
      <c r="I4" s="47">
        <f>INGRESOS!I15</f>
        <v>2245.6700516249998</v>
      </c>
      <c r="J4" s="47">
        <f>INGRESOS!J15</f>
        <v>2177.6194439999995</v>
      </c>
      <c r="K4" s="47">
        <f>INGRESOS!K15</f>
        <v>2381.7712668749996</v>
      </c>
      <c r="L4" s="47">
        <f>INGRESOS!L15</f>
        <v>2585.9230897499997</v>
      </c>
      <c r="M4" s="47">
        <f>INGRESOS!M15</f>
        <v>1837.3664058749998</v>
      </c>
      <c r="N4" s="49">
        <f t="shared" ref="N4:N7" si="0">SUM(B4:M4)</f>
        <v>27220.243049999994</v>
      </c>
    </row>
    <row r="5" spans="1:14">
      <c r="A5" s="45" t="s">
        <v>63</v>
      </c>
      <c r="B5" s="47">
        <f>INGRESOS!B16</f>
        <v>954.47605499999986</v>
      </c>
      <c r="C5" s="47">
        <f>INGRESOS!C16</f>
        <v>1145.3712659999999</v>
      </c>
      <c r="D5" s="47">
        <f>INGRESOS!D16</f>
        <v>1718.0568989999999</v>
      </c>
      <c r="E5" s="47">
        <f>INGRESOS!E16</f>
        <v>1889.8625888999995</v>
      </c>
      <c r="F5" s="47">
        <f>INGRESOS!F16</f>
        <v>2004.3997154999997</v>
      </c>
      <c r="G5" s="47">
        <f>INGRESOS!G16</f>
        <v>1832.5940255999997</v>
      </c>
      <c r="H5" s="47">
        <f>INGRESOS!H16</f>
        <v>1670.3330962499999</v>
      </c>
      <c r="I5" s="47">
        <f>INGRESOS!I16</f>
        <v>1574.8854907499999</v>
      </c>
      <c r="J5" s="47">
        <f>INGRESOS!J16</f>
        <v>1527.1616879999997</v>
      </c>
      <c r="K5" s="47">
        <f>INGRESOS!K16</f>
        <v>1670.3330962499999</v>
      </c>
      <c r="L5" s="47">
        <f>INGRESOS!L16</f>
        <v>1813.5045044999997</v>
      </c>
      <c r="M5" s="47">
        <f>INGRESOS!M16</f>
        <v>1288.5426742499999</v>
      </c>
      <c r="N5" s="49">
        <f t="shared" si="0"/>
        <v>19089.521099999998</v>
      </c>
    </row>
    <row r="6" spans="1:14">
      <c r="A6" s="46"/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9"/>
    </row>
    <row r="7" spans="1:14" ht="15.75" thickBot="1">
      <c r="A7" s="63" t="s">
        <v>62</v>
      </c>
      <c r="B7" s="64">
        <f>B3+B4+B5</f>
        <v>3478.5349559999995</v>
      </c>
      <c r="C7" s="64">
        <f t="shared" ref="C7:M7" si="1">C3+C4+C5</f>
        <v>4174.2419471999992</v>
      </c>
      <c r="D7" s="64">
        <f t="shared" si="1"/>
        <v>6261.3629207999993</v>
      </c>
      <c r="E7" s="64">
        <f t="shared" si="1"/>
        <v>6887.4992128799986</v>
      </c>
      <c r="F7" s="64">
        <f t="shared" si="1"/>
        <v>7304.9234075999993</v>
      </c>
      <c r="G7" s="64">
        <f t="shared" si="1"/>
        <v>6678.7871155199991</v>
      </c>
      <c r="H7" s="64">
        <f t="shared" si="1"/>
        <v>6087.4361730000001</v>
      </c>
      <c r="I7" s="64">
        <f t="shared" si="1"/>
        <v>5739.5826773999997</v>
      </c>
      <c r="J7" s="64">
        <f t="shared" si="1"/>
        <v>5565.6559295999987</v>
      </c>
      <c r="K7" s="64">
        <f t="shared" si="1"/>
        <v>6087.4361730000001</v>
      </c>
      <c r="L7" s="64">
        <f t="shared" si="1"/>
        <v>6609.2164163999996</v>
      </c>
      <c r="M7" s="64">
        <f t="shared" si="1"/>
        <v>4696.0221905999988</v>
      </c>
      <c r="N7" s="89">
        <f t="shared" si="0"/>
        <v>69570.69911999999</v>
      </c>
    </row>
    <row r="8" spans="1:14">
      <c r="N8" s="53"/>
    </row>
    <row r="9" spans="1:14">
      <c r="N9" s="53"/>
    </row>
    <row r="10" spans="1:14">
      <c r="A10" s="1" t="s">
        <v>94</v>
      </c>
      <c r="N10" s="53"/>
    </row>
    <row r="11" spans="1:14">
      <c r="A11" s="43" t="s">
        <v>89</v>
      </c>
      <c r="B11" s="3">
        <f>$N$11/12</f>
        <v>552</v>
      </c>
      <c r="C11" s="3">
        <f t="shared" ref="C11:M11" si="2">$N$11/12</f>
        <v>552</v>
      </c>
      <c r="D11" s="3">
        <f t="shared" si="2"/>
        <v>552</v>
      </c>
      <c r="E11" s="3">
        <f t="shared" si="2"/>
        <v>552</v>
      </c>
      <c r="F11" s="3">
        <f t="shared" si="2"/>
        <v>552</v>
      </c>
      <c r="G11" s="3">
        <f t="shared" si="2"/>
        <v>552</v>
      </c>
      <c r="H11" s="3">
        <f t="shared" si="2"/>
        <v>552</v>
      </c>
      <c r="I11" s="3">
        <f t="shared" si="2"/>
        <v>552</v>
      </c>
      <c r="J11" s="3">
        <f t="shared" si="2"/>
        <v>552</v>
      </c>
      <c r="K11" s="3">
        <f t="shared" si="2"/>
        <v>552</v>
      </c>
      <c r="L11" s="3">
        <f t="shared" si="2"/>
        <v>552</v>
      </c>
      <c r="M11" s="3">
        <f t="shared" si="2"/>
        <v>552</v>
      </c>
      <c r="N11" s="51">
        <f>'Gastos de Ventas'!F6</f>
        <v>6624</v>
      </c>
    </row>
    <row r="12" spans="1:14">
      <c r="A12" s="43" t="s">
        <v>90</v>
      </c>
      <c r="B12" s="3">
        <f t="shared" ref="B12:L12" si="3">$N$12/12</f>
        <v>2582</v>
      </c>
      <c r="C12" s="3">
        <f t="shared" si="3"/>
        <v>2582</v>
      </c>
      <c r="D12" s="3">
        <f t="shared" si="3"/>
        <v>2582</v>
      </c>
      <c r="E12" s="3">
        <f t="shared" si="3"/>
        <v>2582</v>
      </c>
      <c r="F12" s="3">
        <f t="shared" si="3"/>
        <v>2582</v>
      </c>
      <c r="G12" s="3">
        <f t="shared" si="3"/>
        <v>2582</v>
      </c>
      <c r="H12" s="3">
        <f t="shared" si="3"/>
        <v>2582</v>
      </c>
      <c r="I12" s="3">
        <f t="shared" si="3"/>
        <v>2582</v>
      </c>
      <c r="J12" s="3">
        <f t="shared" si="3"/>
        <v>2582</v>
      </c>
      <c r="K12" s="3">
        <f t="shared" si="3"/>
        <v>2582</v>
      </c>
      <c r="L12" s="3">
        <f t="shared" si="3"/>
        <v>2582</v>
      </c>
      <c r="M12" s="3">
        <f>$N$12/12</f>
        <v>2582</v>
      </c>
      <c r="N12" s="52">
        <f>'Gastos Administrativos'!F8</f>
        <v>30984</v>
      </c>
    </row>
    <row r="13" spans="1:14">
      <c r="A13" s="43" t="s">
        <v>91</v>
      </c>
      <c r="B13" s="3">
        <f t="shared" ref="B13:L13" si="4">$N$13/12</f>
        <v>64.5</v>
      </c>
      <c r="C13" s="3">
        <f t="shared" si="4"/>
        <v>64.5</v>
      </c>
      <c r="D13" s="3">
        <f t="shared" si="4"/>
        <v>64.5</v>
      </c>
      <c r="E13" s="3">
        <f t="shared" si="4"/>
        <v>64.5</v>
      </c>
      <c r="F13" s="3">
        <f t="shared" si="4"/>
        <v>64.5</v>
      </c>
      <c r="G13" s="3">
        <f t="shared" si="4"/>
        <v>64.5</v>
      </c>
      <c r="H13" s="3">
        <f t="shared" si="4"/>
        <v>64.5</v>
      </c>
      <c r="I13" s="3">
        <f t="shared" si="4"/>
        <v>64.5</v>
      </c>
      <c r="J13" s="3">
        <f t="shared" si="4"/>
        <v>64.5</v>
      </c>
      <c r="K13" s="3">
        <f t="shared" si="4"/>
        <v>64.5</v>
      </c>
      <c r="L13" s="3">
        <f t="shared" si="4"/>
        <v>64.5</v>
      </c>
      <c r="M13" s="3">
        <f>$N$13/12</f>
        <v>64.5</v>
      </c>
      <c r="N13" s="52">
        <v>774</v>
      </c>
    </row>
    <row r="14" spans="1:14">
      <c r="A14" s="43" t="s">
        <v>92</v>
      </c>
      <c r="B14" s="3">
        <f t="shared" ref="B14:L14" si="5">$N$14/12</f>
        <v>120</v>
      </c>
      <c r="C14" s="3">
        <f t="shared" si="5"/>
        <v>120</v>
      </c>
      <c r="D14" s="3">
        <f t="shared" si="5"/>
        <v>120</v>
      </c>
      <c r="E14" s="3">
        <f t="shared" si="5"/>
        <v>120</v>
      </c>
      <c r="F14" s="3">
        <f t="shared" si="5"/>
        <v>120</v>
      </c>
      <c r="G14" s="3">
        <f t="shared" si="5"/>
        <v>120</v>
      </c>
      <c r="H14" s="3">
        <f t="shared" si="5"/>
        <v>120</v>
      </c>
      <c r="I14" s="3">
        <f t="shared" si="5"/>
        <v>120</v>
      </c>
      <c r="J14" s="3">
        <f t="shared" si="5"/>
        <v>120</v>
      </c>
      <c r="K14" s="3">
        <f t="shared" si="5"/>
        <v>120</v>
      </c>
      <c r="L14" s="3">
        <f t="shared" si="5"/>
        <v>120</v>
      </c>
      <c r="M14" s="3">
        <f>$N$14/12</f>
        <v>120</v>
      </c>
      <c r="N14" s="52">
        <f>'Gastos Administrativos'!D15</f>
        <v>1440</v>
      </c>
    </row>
    <row r="15" spans="1:14">
      <c r="A15" s="43" t="s">
        <v>95</v>
      </c>
      <c r="B15" s="3">
        <f t="shared" ref="B15:L15" si="6">$N$15/12</f>
        <v>500</v>
      </c>
      <c r="C15" s="3">
        <f t="shared" si="6"/>
        <v>500</v>
      </c>
      <c r="D15" s="3">
        <f t="shared" si="6"/>
        <v>500</v>
      </c>
      <c r="E15" s="3">
        <f t="shared" si="6"/>
        <v>500</v>
      </c>
      <c r="F15" s="3">
        <f t="shared" si="6"/>
        <v>500</v>
      </c>
      <c r="G15" s="3">
        <f t="shared" si="6"/>
        <v>500</v>
      </c>
      <c r="H15" s="3">
        <f t="shared" si="6"/>
        <v>500</v>
      </c>
      <c r="I15" s="3">
        <f t="shared" si="6"/>
        <v>500</v>
      </c>
      <c r="J15" s="3">
        <f t="shared" si="6"/>
        <v>500</v>
      </c>
      <c r="K15" s="3">
        <f t="shared" si="6"/>
        <v>500</v>
      </c>
      <c r="L15" s="3">
        <f t="shared" si="6"/>
        <v>500</v>
      </c>
      <c r="M15" s="3">
        <f>$N$15/12</f>
        <v>500</v>
      </c>
      <c r="N15" s="52">
        <f>'Gastos Administrativos'!D19</f>
        <v>6000</v>
      </c>
    </row>
    <row r="16" spans="1:14" ht="15.75" thickBot="1">
      <c r="A16" s="60" t="s">
        <v>96</v>
      </c>
      <c r="B16" s="59">
        <f>1.3*INGRESOS!B12</f>
        <v>919.12508999999989</v>
      </c>
      <c r="C16" s="59">
        <f>1.3*INGRESOS!C12</f>
        <v>1102.950108</v>
      </c>
      <c r="D16" s="59">
        <f>1.3*INGRESOS!D12</f>
        <v>1654.425162</v>
      </c>
      <c r="E16" s="59">
        <f>1.3*INGRESOS!E12</f>
        <v>1819.8676781999998</v>
      </c>
      <c r="F16" s="59">
        <f>1.3*INGRESOS!F12</f>
        <v>1930.1626889999998</v>
      </c>
      <c r="G16" s="59">
        <f>1.3*INGRESOS!G12</f>
        <v>1764.7201728</v>
      </c>
      <c r="H16" s="59">
        <f>1.3*INGRESOS!H12</f>
        <v>1608.4689074999999</v>
      </c>
      <c r="I16" s="59">
        <f>1.3*INGRESOS!I12</f>
        <v>1516.5563984999999</v>
      </c>
      <c r="J16" s="59">
        <f>1.3*INGRESOS!J12</f>
        <v>1470.6001439999998</v>
      </c>
      <c r="K16" s="59">
        <f>1.3*INGRESOS!K12</f>
        <v>1608.4689074999999</v>
      </c>
      <c r="L16" s="59">
        <f>1.3*INGRESOS!L12</f>
        <v>1746.337671</v>
      </c>
      <c r="M16" s="59">
        <f>1.3*INGRESOS!M12</f>
        <v>1240.8188715000001</v>
      </c>
      <c r="N16" s="68">
        <f>SUM(B16:M16)</f>
        <v>18382.501799999998</v>
      </c>
    </row>
    <row r="17" spans="1:14" ht="15.75" thickBot="1">
      <c r="A17" s="61" t="s">
        <v>97</v>
      </c>
      <c r="B17" s="62">
        <f>SUM(B11:B16)</f>
        <v>4737.6250899999995</v>
      </c>
      <c r="C17" s="62">
        <f t="shared" ref="C17:M17" si="7">SUM(C11:C16)</f>
        <v>4921.450108</v>
      </c>
      <c r="D17" s="62">
        <f t="shared" si="7"/>
        <v>5472.9251619999995</v>
      </c>
      <c r="E17" s="62">
        <f t="shared" si="7"/>
        <v>5638.3676782000002</v>
      </c>
      <c r="F17" s="62">
        <f t="shared" si="7"/>
        <v>5748.6626889999998</v>
      </c>
      <c r="G17" s="62">
        <f t="shared" si="7"/>
        <v>5583.2201728</v>
      </c>
      <c r="H17" s="62">
        <f t="shared" si="7"/>
        <v>5426.9689074999997</v>
      </c>
      <c r="I17" s="62">
        <f t="shared" si="7"/>
        <v>5335.0563984999999</v>
      </c>
      <c r="J17" s="62">
        <f t="shared" si="7"/>
        <v>5289.100144</v>
      </c>
      <c r="K17" s="62">
        <f t="shared" si="7"/>
        <v>5426.9689074999997</v>
      </c>
      <c r="L17" s="62">
        <f t="shared" si="7"/>
        <v>5564.8376710000002</v>
      </c>
      <c r="M17" s="67">
        <f t="shared" si="7"/>
        <v>5059.3188714999997</v>
      </c>
      <c r="N17" s="69">
        <f>SUM(B17:M17)</f>
        <v>64204.501799999991</v>
      </c>
    </row>
    <row r="19" spans="1:14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4">
      <c r="A20" s="2" t="s">
        <v>93</v>
      </c>
      <c r="B20" s="25">
        <f>B7</f>
        <v>3478.5349559999995</v>
      </c>
      <c r="C20" s="25">
        <f t="shared" ref="C20:M20" si="8">C7</f>
        <v>4174.2419471999992</v>
      </c>
      <c r="D20" s="25">
        <f t="shared" si="8"/>
        <v>6261.3629207999993</v>
      </c>
      <c r="E20" s="25">
        <f t="shared" si="8"/>
        <v>6887.4992128799986</v>
      </c>
      <c r="F20" s="25">
        <f t="shared" si="8"/>
        <v>7304.9234075999993</v>
      </c>
      <c r="G20" s="25">
        <f t="shared" si="8"/>
        <v>6678.7871155199991</v>
      </c>
      <c r="H20" s="25">
        <f t="shared" si="8"/>
        <v>6087.4361730000001</v>
      </c>
      <c r="I20" s="25">
        <f t="shared" si="8"/>
        <v>5739.5826773999997</v>
      </c>
      <c r="J20" s="25">
        <f t="shared" si="8"/>
        <v>5565.6559295999987</v>
      </c>
      <c r="K20" s="25">
        <f t="shared" si="8"/>
        <v>6087.4361730000001</v>
      </c>
      <c r="L20" s="25">
        <f t="shared" si="8"/>
        <v>6609.2164163999996</v>
      </c>
      <c r="M20" s="25">
        <f t="shared" si="8"/>
        <v>4696.0221905999988</v>
      </c>
      <c r="N20" s="20"/>
    </row>
    <row r="21" spans="1:14">
      <c r="A21" s="2" t="s">
        <v>94</v>
      </c>
      <c r="B21" s="59">
        <f>B17</f>
        <v>4737.6250899999995</v>
      </c>
      <c r="C21" s="59">
        <f t="shared" ref="C21:M21" si="9">C17</f>
        <v>4921.450108</v>
      </c>
      <c r="D21" s="59">
        <f t="shared" si="9"/>
        <v>5472.9251619999995</v>
      </c>
      <c r="E21" s="59">
        <f t="shared" si="9"/>
        <v>5638.3676782000002</v>
      </c>
      <c r="F21" s="59">
        <f t="shared" si="9"/>
        <v>5748.6626889999998</v>
      </c>
      <c r="G21" s="59">
        <f t="shared" si="9"/>
        <v>5583.2201728</v>
      </c>
      <c r="H21" s="59">
        <f t="shared" si="9"/>
        <v>5426.9689074999997</v>
      </c>
      <c r="I21" s="59">
        <f t="shared" si="9"/>
        <v>5335.0563984999999</v>
      </c>
      <c r="J21" s="59">
        <f t="shared" si="9"/>
        <v>5289.100144</v>
      </c>
      <c r="K21" s="59">
        <f t="shared" si="9"/>
        <v>5426.9689074999997</v>
      </c>
      <c r="L21" s="59">
        <f t="shared" si="9"/>
        <v>5564.8376710000002</v>
      </c>
      <c r="M21" s="59">
        <f t="shared" si="9"/>
        <v>5059.3188714999997</v>
      </c>
    </row>
    <row r="22" spans="1:14">
      <c r="A22" s="2" t="s">
        <v>98</v>
      </c>
      <c r="B22" s="59">
        <f>B20-B21</f>
        <v>-1259.090134</v>
      </c>
      <c r="C22" s="59">
        <f t="shared" ref="C22:M22" si="10">C20-C21</f>
        <v>-747.20816080000077</v>
      </c>
      <c r="D22" s="59">
        <f t="shared" si="10"/>
        <v>788.43775879999976</v>
      </c>
      <c r="E22" s="59">
        <f t="shared" si="10"/>
        <v>1249.1315346799984</v>
      </c>
      <c r="F22" s="59">
        <f t="shared" si="10"/>
        <v>1556.2607185999996</v>
      </c>
      <c r="G22" s="59">
        <f t="shared" si="10"/>
        <v>1095.5669427199991</v>
      </c>
      <c r="H22" s="59">
        <f t="shared" si="10"/>
        <v>660.46726550000039</v>
      </c>
      <c r="I22" s="59">
        <f t="shared" si="10"/>
        <v>404.52627889999985</v>
      </c>
      <c r="J22" s="59">
        <f t="shared" si="10"/>
        <v>276.55578559999867</v>
      </c>
      <c r="K22" s="59">
        <f t="shared" si="10"/>
        <v>660.46726550000039</v>
      </c>
      <c r="L22" s="59">
        <f t="shared" si="10"/>
        <v>1044.3787453999994</v>
      </c>
      <c r="M22" s="59">
        <f t="shared" si="10"/>
        <v>-363.29668090000087</v>
      </c>
    </row>
    <row r="23" spans="1:14">
      <c r="A23" s="75" t="s">
        <v>99</v>
      </c>
      <c r="B23" s="88">
        <f>B22</f>
        <v>-1259.090134</v>
      </c>
      <c r="C23" s="90">
        <f>B23+C22</f>
        <v>-2006.2982948000008</v>
      </c>
      <c r="D23" s="76">
        <f>C23+D22</f>
        <v>-1217.860536000001</v>
      </c>
      <c r="E23" s="76">
        <f t="shared" ref="E23:M23" si="11">D23+E22</f>
        <v>31.270998679997319</v>
      </c>
      <c r="F23" s="76">
        <f t="shared" si="11"/>
        <v>1587.5317172799969</v>
      </c>
      <c r="G23" s="76">
        <f t="shared" si="11"/>
        <v>2683.098659999996</v>
      </c>
      <c r="H23" s="76">
        <f t="shared" si="11"/>
        <v>3343.5659254999964</v>
      </c>
      <c r="I23" s="76">
        <f t="shared" si="11"/>
        <v>3748.0922043999963</v>
      </c>
      <c r="J23" s="76">
        <f t="shared" si="11"/>
        <v>4024.6479899999949</v>
      </c>
      <c r="K23" s="76">
        <f t="shared" si="11"/>
        <v>4685.1152554999953</v>
      </c>
      <c r="L23" s="76">
        <f t="shared" si="11"/>
        <v>5729.4940008999947</v>
      </c>
      <c r="M23" s="76">
        <f t="shared" si="11"/>
        <v>5366.1973199999939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I27"/>
  <sheetViews>
    <sheetView topLeftCell="B1" workbookViewId="0">
      <selection activeCell="E18" sqref="E18"/>
    </sheetView>
  </sheetViews>
  <sheetFormatPr baseColWidth="10" defaultRowHeight="15"/>
  <cols>
    <col min="1" max="1" width="20" bestFit="1" customWidth="1"/>
    <col min="2" max="2" width="51.85546875" bestFit="1" customWidth="1"/>
    <col min="3" max="3" width="11.42578125" customWidth="1"/>
    <col min="5" max="5" width="13.7109375" customWidth="1"/>
    <col min="6" max="6" width="14.42578125" customWidth="1"/>
    <col min="7" max="7" width="14.140625" customWidth="1"/>
    <col min="9" max="9" width="13" bestFit="1" customWidth="1"/>
  </cols>
  <sheetData>
    <row r="2" spans="1:9">
      <c r="B2" s="189" t="s">
        <v>156</v>
      </c>
      <c r="C2" s="189"/>
      <c r="D2" s="189"/>
      <c r="E2" s="189"/>
      <c r="F2" s="189"/>
      <c r="G2" s="189"/>
      <c r="H2" s="189"/>
    </row>
    <row r="3" spans="1:9" ht="30.75" customHeight="1">
      <c r="B3" s="104" t="s">
        <v>155</v>
      </c>
      <c r="C3" s="104" t="s">
        <v>154</v>
      </c>
      <c r="D3" s="104" t="s">
        <v>153</v>
      </c>
      <c r="E3" s="104" t="s">
        <v>144</v>
      </c>
      <c r="F3" s="104" t="s">
        <v>152</v>
      </c>
      <c r="G3" s="105" t="s">
        <v>151</v>
      </c>
      <c r="H3" s="104" t="s">
        <v>150</v>
      </c>
      <c r="I3" s="103" t="s">
        <v>149</v>
      </c>
    </row>
    <row r="4" spans="1:9" ht="15" customHeight="1">
      <c r="A4" s="43" t="s">
        <v>148</v>
      </c>
      <c r="B4" s="42" t="s">
        <v>7</v>
      </c>
      <c r="C4" s="6">
        <v>7800</v>
      </c>
      <c r="D4" s="102">
        <v>5</v>
      </c>
      <c r="E4" s="99">
        <f t="shared" ref="E4:E15" si="0">C4/D4</f>
        <v>1560</v>
      </c>
      <c r="F4" s="101">
        <v>5</v>
      </c>
      <c r="G4" s="100">
        <f t="shared" ref="G4:G15" si="1">E4*F4</f>
        <v>7800</v>
      </c>
      <c r="H4" s="99">
        <v>0</v>
      </c>
      <c r="I4" s="6">
        <f>E4</f>
        <v>1560</v>
      </c>
    </row>
    <row r="5" spans="1:9" ht="15" customHeight="1">
      <c r="A5" s="190" t="s">
        <v>147</v>
      </c>
      <c r="B5" s="42" t="s">
        <v>0</v>
      </c>
      <c r="C5" s="6">
        <v>3000</v>
      </c>
      <c r="D5" s="3">
        <v>10</v>
      </c>
      <c r="E5" s="99">
        <f t="shared" si="0"/>
        <v>300</v>
      </c>
      <c r="F5" s="101">
        <v>5</v>
      </c>
      <c r="G5" s="100">
        <f t="shared" si="1"/>
        <v>1500</v>
      </c>
      <c r="H5" s="99">
        <f t="shared" ref="H5:H11" si="2">C5-G5</f>
        <v>1500</v>
      </c>
      <c r="I5" s="185">
        <f>SUM(E5:E12)</f>
        <v>1280</v>
      </c>
    </row>
    <row r="6" spans="1:9">
      <c r="A6" s="190"/>
      <c r="B6" s="42" t="s">
        <v>1</v>
      </c>
      <c r="C6" s="6">
        <v>2400</v>
      </c>
      <c r="D6" s="3">
        <v>10</v>
      </c>
      <c r="E6" s="99">
        <f t="shared" si="0"/>
        <v>240</v>
      </c>
      <c r="F6" s="101">
        <v>5</v>
      </c>
      <c r="G6" s="100">
        <f t="shared" si="1"/>
        <v>1200</v>
      </c>
      <c r="H6" s="99">
        <f t="shared" si="2"/>
        <v>1200</v>
      </c>
      <c r="I6" s="185"/>
    </row>
    <row r="7" spans="1:9">
      <c r="A7" s="190"/>
      <c r="B7" s="42" t="s">
        <v>2</v>
      </c>
      <c r="C7" s="6">
        <v>1950</v>
      </c>
      <c r="D7" s="3">
        <v>10</v>
      </c>
      <c r="E7" s="99">
        <f t="shared" si="0"/>
        <v>195</v>
      </c>
      <c r="F7" s="101">
        <v>5</v>
      </c>
      <c r="G7" s="100">
        <f t="shared" si="1"/>
        <v>975</v>
      </c>
      <c r="H7" s="99">
        <f t="shared" si="2"/>
        <v>975</v>
      </c>
      <c r="I7" s="185"/>
    </row>
    <row r="8" spans="1:9">
      <c r="A8" s="190"/>
      <c r="B8" s="42" t="s">
        <v>3</v>
      </c>
      <c r="C8" s="6">
        <v>1500</v>
      </c>
      <c r="D8" s="3">
        <v>10</v>
      </c>
      <c r="E8" s="99">
        <f t="shared" si="0"/>
        <v>150</v>
      </c>
      <c r="F8" s="101">
        <v>5</v>
      </c>
      <c r="G8" s="100">
        <f t="shared" si="1"/>
        <v>750</v>
      </c>
      <c r="H8" s="99">
        <f t="shared" si="2"/>
        <v>750</v>
      </c>
      <c r="I8" s="185"/>
    </row>
    <row r="9" spans="1:9">
      <c r="A9" s="190"/>
      <c r="B9" s="42" t="s">
        <v>4</v>
      </c>
      <c r="C9" s="6">
        <v>600</v>
      </c>
      <c r="D9" s="3">
        <v>10</v>
      </c>
      <c r="E9" s="99">
        <f t="shared" si="0"/>
        <v>60</v>
      </c>
      <c r="F9" s="101">
        <v>5</v>
      </c>
      <c r="G9" s="100">
        <f t="shared" si="1"/>
        <v>300</v>
      </c>
      <c r="H9" s="99">
        <f t="shared" si="2"/>
        <v>300</v>
      </c>
      <c r="I9" s="185"/>
    </row>
    <row r="10" spans="1:9">
      <c r="A10" s="190"/>
      <c r="B10" s="42" t="s">
        <v>5</v>
      </c>
      <c r="C10" s="6">
        <v>1800</v>
      </c>
      <c r="D10" s="3">
        <v>10</v>
      </c>
      <c r="E10" s="99">
        <f t="shared" si="0"/>
        <v>180</v>
      </c>
      <c r="F10" s="101">
        <v>5</v>
      </c>
      <c r="G10" s="100">
        <f t="shared" si="1"/>
        <v>900</v>
      </c>
      <c r="H10" s="99">
        <f t="shared" si="2"/>
        <v>900</v>
      </c>
      <c r="I10" s="185"/>
    </row>
    <row r="11" spans="1:9">
      <c r="A11" s="190"/>
      <c r="B11" s="42" t="s">
        <v>6</v>
      </c>
      <c r="C11" s="6">
        <v>1050</v>
      </c>
      <c r="D11" s="3">
        <v>10</v>
      </c>
      <c r="E11" s="99">
        <f t="shared" si="0"/>
        <v>105</v>
      </c>
      <c r="F11" s="101">
        <v>5</v>
      </c>
      <c r="G11" s="100">
        <f t="shared" si="1"/>
        <v>525</v>
      </c>
      <c r="H11" s="99">
        <f t="shared" si="2"/>
        <v>525</v>
      </c>
      <c r="I11" s="185"/>
    </row>
    <row r="12" spans="1:9">
      <c r="A12" s="190"/>
      <c r="B12" s="42" t="s">
        <v>191</v>
      </c>
      <c r="C12" s="6">
        <v>150</v>
      </c>
      <c r="D12" s="3">
        <v>3</v>
      </c>
      <c r="E12" s="99">
        <f t="shared" si="0"/>
        <v>50</v>
      </c>
      <c r="F12" s="101">
        <v>5</v>
      </c>
      <c r="G12" s="100">
        <f t="shared" si="1"/>
        <v>250</v>
      </c>
      <c r="H12" s="99">
        <v>0</v>
      </c>
      <c r="I12" s="185"/>
    </row>
    <row r="13" spans="1:9">
      <c r="A13" s="190" t="s">
        <v>146</v>
      </c>
      <c r="B13" s="42" t="s">
        <v>9</v>
      </c>
      <c r="C13" s="6">
        <v>900</v>
      </c>
      <c r="D13" s="3">
        <v>3</v>
      </c>
      <c r="E13" s="99">
        <f t="shared" si="0"/>
        <v>300</v>
      </c>
      <c r="F13" s="101">
        <v>5</v>
      </c>
      <c r="G13" s="100">
        <f t="shared" si="1"/>
        <v>1500</v>
      </c>
      <c r="H13" s="99">
        <v>0</v>
      </c>
      <c r="I13" s="185">
        <f>SUM(E13:E15)</f>
        <v>342</v>
      </c>
    </row>
    <row r="14" spans="1:9">
      <c r="A14" s="190"/>
      <c r="B14" s="42" t="s">
        <v>33</v>
      </c>
      <c r="C14" s="6">
        <v>90</v>
      </c>
      <c r="D14" s="3">
        <v>3</v>
      </c>
      <c r="E14" s="99">
        <f t="shared" si="0"/>
        <v>30</v>
      </c>
      <c r="F14" s="101">
        <v>5</v>
      </c>
      <c r="G14" s="100">
        <f t="shared" si="1"/>
        <v>150</v>
      </c>
      <c r="H14" s="99">
        <v>0</v>
      </c>
      <c r="I14" s="185"/>
    </row>
    <row r="15" spans="1:9">
      <c r="A15" s="190"/>
      <c r="B15" s="42" t="s">
        <v>10</v>
      </c>
      <c r="C15" s="6">
        <v>120</v>
      </c>
      <c r="D15" s="3">
        <v>10</v>
      </c>
      <c r="E15" s="99">
        <f t="shared" si="0"/>
        <v>12</v>
      </c>
      <c r="F15" s="101">
        <v>5</v>
      </c>
      <c r="G15" s="100">
        <f t="shared" si="1"/>
        <v>60</v>
      </c>
      <c r="H15" s="99">
        <f>C15-G15</f>
        <v>60</v>
      </c>
      <c r="I15" s="185"/>
    </row>
    <row r="16" spans="1:9">
      <c r="A16" s="190" t="s">
        <v>145</v>
      </c>
      <c r="B16" s="42" t="s">
        <v>11</v>
      </c>
      <c r="C16" s="6">
        <v>80</v>
      </c>
      <c r="D16" s="3">
        <v>10</v>
      </c>
      <c r="E16" s="99">
        <f>C16/D16</f>
        <v>8</v>
      </c>
      <c r="F16" s="101">
        <v>5</v>
      </c>
      <c r="G16" s="100">
        <f>E16*F16</f>
        <v>40</v>
      </c>
      <c r="H16" s="99">
        <f>C16-G16</f>
        <v>40</v>
      </c>
      <c r="I16" s="147">
        <f>SUM(E16:E16)</f>
        <v>8</v>
      </c>
    </row>
    <row r="17" spans="1:9">
      <c r="A17" s="190"/>
      <c r="C17" s="186" t="s">
        <v>144</v>
      </c>
      <c r="D17" s="186"/>
      <c r="E17" s="6">
        <f>SUM(E4:E16)</f>
        <v>3190</v>
      </c>
      <c r="F17" s="186" t="s">
        <v>143</v>
      </c>
      <c r="G17" s="186"/>
      <c r="H17" s="6">
        <f>SUM(H4:H16)</f>
        <v>6250</v>
      </c>
      <c r="I17" s="148"/>
    </row>
    <row r="19" spans="1:9">
      <c r="C19" s="98"/>
      <c r="D19" s="98"/>
      <c r="E19" s="10"/>
      <c r="F19" s="98"/>
      <c r="G19" s="98"/>
      <c r="H19" s="10"/>
    </row>
    <row r="20" spans="1:9">
      <c r="B20" s="97"/>
      <c r="C20" s="97"/>
      <c r="D20" s="96"/>
    </row>
    <row r="21" spans="1:9">
      <c r="B21" s="188" t="s">
        <v>185</v>
      </c>
      <c r="C21" s="188"/>
      <c r="D21" s="92">
        <v>2000</v>
      </c>
    </row>
    <row r="22" spans="1:9">
      <c r="B22" s="95"/>
      <c r="C22" s="95"/>
      <c r="D22" s="94"/>
    </row>
    <row r="23" spans="1:9" ht="15" customHeight="1">
      <c r="B23" s="187" t="s">
        <v>142</v>
      </c>
      <c r="C23" s="93">
        <v>1</v>
      </c>
      <c r="D23" s="92">
        <f>$D$21/5</f>
        <v>400</v>
      </c>
    </row>
    <row r="24" spans="1:9">
      <c r="B24" s="187"/>
      <c r="C24" s="93">
        <v>2</v>
      </c>
      <c r="D24" s="92">
        <f>$D$21/5</f>
        <v>400</v>
      </c>
    </row>
    <row r="25" spans="1:9">
      <c r="B25" s="187"/>
      <c r="C25" s="93">
        <v>3</v>
      </c>
      <c r="D25" s="92">
        <f>$D$21/5</f>
        <v>400</v>
      </c>
    </row>
    <row r="26" spans="1:9">
      <c r="B26" s="187"/>
      <c r="C26" s="93">
        <v>4</v>
      </c>
      <c r="D26" s="92">
        <f>$D$21/5</f>
        <v>400</v>
      </c>
    </row>
    <row r="27" spans="1:9">
      <c r="B27" s="187"/>
      <c r="C27" s="93">
        <v>5</v>
      </c>
      <c r="D27" s="92">
        <f>$D$21/5</f>
        <v>400</v>
      </c>
    </row>
  </sheetData>
  <mergeCells count="10">
    <mergeCell ref="B2:H2"/>
    <mergeCell ref="A5:A12"/>
    <mergeCell ref="A13:A15"/>
    <mergeCell ref="A16:A17"/>
    <mergeCell ref="I5:I12"/>
    <mergeCell ref="I13:I15"/>
    <mergeCell ref="C17:D17"/>
    <mergeCell ref="F17:G17"/>
    <mergeCell ref="B23:B27"/>
    <mergeCell ref="B21:C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3:G85"/>
  <sheetViews>
    <sheetView workbookViewId="0">
      <selection activeCell="E10" sqref="E10"/>
    </sheetView>
  </sheetViews>
  <sheetFormatPr baseColWidth="10" defaultRowHeight="15"/>
  <cols>
    <col min="2" max="2" width="24.42578125" customWidth="1"/>
    <col min="3" max="3" width="12.85546875" customWidth="1"/>
    <col min="4" max="4" width="12.5703125" customWidth="1"/>
    <col min="5" max="5" width="11.85546875" bestFit="1" customWidth="1"/>
  </cols>
  <sheetData>
    <row r="3" spans="2:7">
      <c r="B3" s="116" t="s">
        <v>164</v>
      </c>
      <c r="C3" s="115">
        <f>SUM(C4:C7)</f>
        <v>23556.298294799999</v>
      </c>
      <c r="D3" s="97"/>
      <c r="E3" s="97"/>
    </row>
    <row r="4" spans="2:7">
      <c r="B4" s="108" t="s">
        <v>163</v>
      </c>
      <c r="C4" s="114">
        <f>'Inversión y Costos'!E18</f>
        <v>21500</v>
      </c>
      <c r="D4" s="97"/>
      <c r="E4" s="97"/>
    </row>
    <row r="5" spans="2:7">
      <c r="B5" s="108" t="s">
        <v>188</v>
      </c>
      <c r="C5" s="113">
        <f>'Inversión y Costos'!C21</f>
        <v>50</v>
      </c>
      <c r="D5" s="92">
        <f>D8-D7</f>
        <v>12127.480682079999</v>
      </c>
      <c r="E5" s="97"/>
    </row>
    <row r="6" spans="2:7">
      <c r="B6" s="108" t="s">
        <v>189</v>
      </c>
      <c r="C6" s="113"/>
      <c r="D6" s="92"/>
      <c r="E6" s="97"/>
    </row>
    <row r="7" spans="2:7">
      <c r="B7" s="108" t="s">
        <v>190</v>
      </c>
      <c r="C7" s="113">
        <f>-'Capital de Trabajo'!C23</f>
        <v>2006.2982948000008</v>
      </c>
      <c r="D7" s="92">
        <f>C7</f>
        <v>2006.2982948000008</v>
      </c>
      <c r="E7" s="97"/>
    </row>
    <row r="8" spans="2:7">
      <c r="B8" s="191" t="s">
        <v>162</v>
      </c>
      <c r="C8" s="192"/>
      <c r="D8" s="112">
        <f>C3*60%</f>
        <v>14133.778976879999</v>
      </c>
      <c r="E8" s="97"/>
    </row>
    <row r="9" spans="2:7">
      <c r="B9" s="97"/>
      <c r="C9" s="97"/>
      <c r="D9" s="97"/>
      <c r="E9" s="97"/>
      <c r="F9" s="97"/>
      <c r="G9" s="97"/>
    </row>
    <row r="10" spans="2:7">
      <c r="B10" s="111" t="s">
        <v>161</v>
      </c>
      <c r="C10" s="110">
        <v>0.1183</v>
      </c>
      <c r="D10" s="97"/>
      <c r="E10" s="182"/>
      <c r="F10" s="97"/>
      <c r="G10" s="97"/>
    </row>
    <row r="11" spans="2:7">
      <c r="B11" s="1" t="s">
        <v>186</v>
      </c>
      <c r="C11" s="144">
        <f>PMT(C10,5,-D14)</f>
        <v>3904.3487977613067</v>
      </c>
      <c r="D11" s="97"/>
      <c r="E11" s="97"/>
      <c r="F11" s="97"/>
      <c r="G11" s="97"/>
    </row>
    <row r="12" spans="2:7">
      <c r="B12" s="1"/>
      <c r="C12" s="144"/>
      <c r="D12" s="97"/>
      <c r="E12" s="97"/>
      <c r="F12" s="97"/>
      <c r="G12" s="97"/>
    </row>
    <row r="13" spans="2:7">
      <c r="B13" s="97"/>
      <c r="C13" s="109" t="s">
        <v>157</v>
      </c>
      <c r="D13" s="109" t="s">
        <v>160</v>
      </c>
      <c r="E13" s="109" t="s">
        <v>159</v>
      </c>
      <c r="F13" s="109" t="s">
        <v>158</v>
      </c>
      <c r="G13" s="109" t="s">
        <v>157</v>
      </c>
    </row>
    <row r="14" spans="2:7">
      <c r="B14" s="97"/>
      <c r="C14" s="108">
        <v>0</v>
      </c>
      <c r="D14" s="106">
        <f>D8</f>
        <v>14133.778976879999</v>
      </c>
      <c r="E14" s="108"/>
      <c r="F14" s="108"/>
      <c r="G14" s="108"/>
    </row>
    <row r="15" spans="2:7">
      <c r="B15" s="97"/>
      <c r="C15" s="108">
        <v>1</v>
      </c>
      <c r="D15" s="106">
        <f>D14-E15</f>
        <v>11901.456232083598</v>
      </c>
      <c r="E15" s="106">
        <f>G15-F15</f>
        <v>2232.3227447964027</v>
      </c>
      <c r="F15" s="106">
        <f>D14*$C$10</f>
        <v>1672.026052964904</v>
      </c>
      <c r="G15" s="106">
        <f>$C$11</f>
        <v>3904.3487977613067</v>
      </c>
    </row>
    <row r="16" spans="2:7">
      <c r="B16" s="97"/>
      <c r="C16" s="108">
        <v>2</v>
      </c>
      <c r="D16" s="106">
        <f>D15-E16</f>
        <v>9405.0497065777799</v>
      </c>
      <c r="E16" s="106">
        <f>G16-F16</f>
        <v>2496.4065255058172</v>
      </c>
      <c r="F16" s="106">
        <f>D15*$C$10</f>
        <v>1407.9422722554896</v>
      </c>
      <c r="G16" s="106">
        <f>$C$11</f>
        <v>3904.3487977613067</v>
      </c>
    </row>
    <row r="17" spans="2:7">
      <c r="B17" s="97"/>
      <c r="C17" s="108">
        <v>3</v>
      </c>
      <c r="D17" s="106">
        <f>D16-E17</f>
        <v>6613.3182891046245</v>
      </c>
      <c r="E17" s="106">
        <f>G17-F17</f>
        <v>2791.7314174731555</v>
      </c>
      <c r="F17" s="106">
        <f>D16*$C$10</f>
        <v>1112.6173802881515</v>
      </c>
      <c r="G17" s="106">
        <f>$C$11</f>
        <v>3904.3487977613067</v>
      </c>
    </row>
    <row r="18" spans="2:7">
      <c r="B18" s="97"/>
      <c r="C18" s="108">
        <v>4</v>
      </c>
      <c r="D18" s="106">
        <f>D17-E18</f>
        <v>3491.3250449443949</v>
      </c>
      <c r="E18" s="106">
        <f>G18-F18</f>
        <v>3121.9932441602296</v>
      </c>
      <c r="F18" s="106">
        <f>D17*$C$10</f>
        <v>782.35555360107708</v>
      </c>
      <c r="G18" s="106">
        <f>$C$11</f>
        <v>3904.3487977613067</v>
      </c>
    </row>
    <row r="19" spans="2:7">
      <c r="B19" s="97"/>
      <c r="C19" s="107">
        <v>5</v>
      </c>
      <c r="D19" s="106">
        <f>D18-E19</f>
        <v>1.0004441719502211E-11</v>
      </c>
      <c r="E19" s="106">
        <f>G19-F19</f>
        <v>3491.3250449443849</v>
      </c>
      <c r="F19" s="106">
        <f>D18*$C$10</f>
        <v>413.0237528169219</v>
      </c>
      <c r="G19" s="106">
        <f>$C$11</f>
        <v>3904.3487977613067</v>
      </c>
    </row>
    <row r="22" spans="2:7">
      <c r="B22" s="1" t="s">
        <v>186</v>
      </c>
      <c r="C22" s="144">
        <f>PMT(C10/12,60,-D25)</f>
        <v>313.18527115015587</v>
      </c>
    </row>
    <row r="24" spans="2:7">
      <c r="C24" s="109" t="s">
        <v>157</v>
      </c>
      <c r="D24" s="109" t="s">
        <v>160</v>
      </c>
      <c r="E24" s="109" t="s">
        <v>159</v>
      </c>
      <c r="F24" s="109" t="s">
        <v>158</v>
      </c>
      <c r="G24" s="109" t="s">
        <v>157</v>
      </c>
    </row>
    <row r="25" spans="2:7">
      <c r="C25" s="108">
        <v>0</v>
      </c>
      <c r="D25" s="106">
        <f>D8</f>
        <v>14133.778976879999</v>
      </c>
      <c r="E25" s="108"/>
      <c r="F25" s="108"/>
      <c r="G25" s="108"/>
    </row>
    <row r="26" spans="2:7">
      <c r="C26" s="108">
        <v>1</v>
      </c>
      <c r="D26" s="106">
        <f t="shared" ref="D26:D57" si="0">D25-E26</f>
        <v>13959.929210143586</v>
      </c>
      <c r="E26" s="106">
        <f t="shared" ref="E26:E57" si="1">G26-F26</f>
        <v>173.84976673641387</v>
      </c>
      <c r="F26" s="106">
        <f t="shared" ref="F26:F57" si="2">D25*($C$10/12)</f>
        <v>139.335504413742</v>
      </c>
      <c r="G26" s="106">
        <f t="shared" ref="G26:G57" si="3">$C$22</f>
        <v>313.18527115015587</v>
      </c>
    </row>
    <row r="27" spans="2:7">
      <c r="C27" s="108">
        <v>2</v>
      </c>
      <c r="D27" s="106">
        <f t="shared" si="0"/>
        <v>13784.365574456762</v>
      </c>
      <c r="E27" s="106">
        <f t="shared" si="1"/>
        <v>175.56363568682369</v>
      </c>
      <c r="F27" s="106">
        <f t="shared" si="2"/>
        <v>137.62163546333218</v>
      </c>
      <c r="G27" s="106">
        <f t="shared" si="3"/>
        <v>313.18527115015587</v>
      </c>
    </row>
    <row r="28" spans="2:7">
      <c r="C28" s="108">
        <v>3</v>
      </c>
      <c r="D28" s="106">
        <f t="shared" si="0"/>
        <v>13607.071173928125</v>
      </c>
      <c r="E28" s="106">
        <f t="shared" si="1"/>
        <v>177.29440052863629</v>
      </c>
      <c r="F28" s="106">
        <f t="shared" si="2"/>
        <v>135.89087062151958</v>
      </c>
      <c r="G28" s="106">
        <f t="shared" si="3"/>
        <v>313.18527115015587</v>
      </c>
    </row>
    <row r="29" spans="2:7">
      <c r="C29" s="108">
        <v>4</v>
      </c>
      <c r="D29" s="106">
        <f t="shared" si="0"/>
        <v>13428.028946100943</v>
      </c>
      <c r="E29" s="106">
        <f t="shared" si="1"/>
        <v>179.04222782718111</v>
      </c>
      <c r="F29" s="106">
        <f t="shared" si="2"/>
        <v>134.14304332297476</v>
      </c>
      <c r="G29" s="106">
        <f t="shared" si="3"/>
        <v>313.18527115015587</v>
      </c>
    </row>
    <row r="30" spans="2:7">
      <c r="C30" s="108">
        <v>5</v>
      </c>
      <c r="D30" s="106">
        <f t="shared" si="0"/>
        <v>13247.221660311099</v>
      </c>
      <c r="E30" s="106">
        <f t="shared" si="1"/>
        <v>180.80728578984406</v>
      </c>
      <c r="F30" s="106">
        <f t="shared" si="2"/>
        <v>132.37798536031181</v>
      </c>
      <c r="G30" s="106">
        <f t="shared" si="3"/>
        <v>313.18527115015587</v>
      </c>
    </row>
    <row r="31" spans="2:7">
      <c r="C31" s="108">
        <v>6</v>
      </c>
      <c r="D31" s="106">
        <f t="shared" si="0"/>
        <v>13064.631916028844</v>
      </c>
      <c r="E31" s="106">
        <f t="shared" si="1"/>
        <v>182.58974428225562</v>
      </c>
      <c r="F31" s="106">
        <f t="shared" si="2"/>
        <v>130.59552686790025</v>
      </c>
      <c r="G31" s="106">
        <f t="shared" si="3"/>
        <v>313.18527115015587</v>
      </c>
    </row>
    <row r="32" spans="2:7">
      <c r="C32" s="108">
        <v>7</v>
      </c>
      <c r="D32" s="106">
        <f t="shared" si="0"/>
        <v>12880.242141184206</v>
      </c>
      <c r="E32" s="106">
        <f t="shared" si="1"/>
        <v>184.38977484463817</v>
      </c>
      <c r="F32" s="106">
        <f t="shared" si="2"/>
        <v>128.7954963055177</v>
      </c>
      <c r="G32" s="106">
        <f t="shared" si="3"/>
        <v>313.18527115015587</v>
      </c>
    </row>
    <row r="33" spans="3:7">
      <c r="C33" s="108">
        <v>8</v>
      </c>
      <c r="D33" s="106">
        <f t="shared" si="0"/>
        <v>12694.034590475891</v>
      </c>
      <c r="E33" s="106">
        <f t="shared" si="1"/>
        <v>186.2075507083149</v>
      </c>
      <c r="F33" s="106">
        <f t="shared" si="2"/>
        <v>126.97772044184097</v>
      </c>
      <c r="G33" s="106">
        <f t="shared" si="3"/>
        <v>313.18527115015587</v>
      </c>
    </row>
    <row r="34" spans="3:7">
      <c r="C34" s="108">
        <v>9</v>
      </c>
      <c r="D34" s="106">
        <f t="shared" si="0"/>
        <v>12505.991343663509</v>
      </c>
      <c r="E34" s="106">
        <f t="shared" si="1"/>
        <v>188.04324681238103</v>
      </c>
      <c r="F34" s="106">
        <f t="shared" si="2"/>
        <v>125.14202433777483</v>
      </c>
      <c r="G34" s="106">
        <f t="shared" si="3"/>
        <v>313.18527115015587</v>
      </c>
    </row>
    <row r="35" spans="3:7">
      <c r="C35" s="108">
        <v>10</v>
      </c>
      <c r="D35" s="106">
        <f t="shared" si="0"/>
        <v>12316.094303842969</v>
      </c>
      <c r="E35" s="106">
        <f t="shared" si="1"/>
        <v>189.89703982053976</v>
      </c>
      <c r="F35" s="106">
        <f t="shared" si="2"/>
        <v>123.2882313296161</v>
      </c>
      <c r="G35" s="106">
        <f t="shared" si="3"/>
        <v>313.18527115015587</v>
      </c>
    </row>
    <row r="36" spans="3:7">
      <c r="C36" s="108">
        <v>11</v>
      </c>
      <c r="D36" s="106">
        <f t="shared" si="0"/>
        <v>12124.325195704865</v>
      </c>
      <c r="E36" s="106">
        <f t="shared" si="1"/>
        <v>191.76910813810395</v>
      </c>
      <c r="F36" s="106">
        <f t="shared" si="2"/>
        <v>121.41616301205194</v>
      </c>
      <c r="G36" s="106">
        <f t="shared" si="3"/>
        <v>313.18527115015587</v>
      </c>
    </row>
    <row r="37" spans="3:7">
      <c r="C37" s="108">
        <v>12</v>
      </c>
      <c r="D37" s="106">
        <f t="shared" si="0"/>
        <v>11930.665563775699</v>
      </c>
      <c r="E37" s="106">
        <f t="shared" si="1"/>
        <v>193.65963192916541</v>
      </c>
      <c r="F37" s="106">
        <f t="shared" si="2"/>
        <v>119.52563922099047</v>
      </c>
      <c r="G37" s="106">
        <f t="shared" si="3"/>
        <v>313.18527115015587</v>
      </c>
    </row>
    <row r="38" spans="3:7">
      <c r="C38" s="108">
        <v>13</v>
      </c>
      <c r="D38" s="106">
        <f t="shared" si="0"/>
        <v>11735.096770641765</v>
      </c>
      <c r="E38" s="106">
        <f t="shared" si="1"/>
        <v>195.56879313393375</v>
      </c>
      <c r="F38" s="106">
        <f t="shared" si="2"/>
        <v>117.6164780162221</v>
      </c>
      <c r="G38" s="106">
        <f t="shared" si="3"/>
        <v>313.18527115015587</v>
      </c>
    </row>
    <row r="39" spans="3:7">
      <c r="C39" s="108">
        <v>14</v>
      </c>
      <c r="D39" s="106">
        <f t="shared" si="0"/>
        <v>11537.599995155519</v>
      </c>
      <c r="E39" s="106">
        <f t="shared" si="1"/>
        <v>197.49677548624578</v>
      </c>
      <c r="F39" s="106">
        <f t="shared" si="2"/>
        <v>115.68849566391007</v>
      </c>
      <c r="G39" s="106">
        <f t="shared" si="3"/>
        <v>313.18527115015587</v>
      </c>
    </row>
    <row r="40" spans="3:7">
      <c r="C40" s="108">
        <v>15</v>
      </c>
      <c r="D40" s="106">
        <f t="shared" si="0"/>
        <v>11338.15623062427</v>
      </c>
      <c r="E40" s="106">
        <f t="shared" si="1"/>
        <v>199.44376453124772</v>
      </c>
      <c r="F40" s="106">
        <f t="shared" si="2"/>
        <v>113.74150661890816</v>
      </c>
      <c r="G40" s="106">
        <f t="shared" si="3"/>
        <v>313.18527115015587</v>
      </c>
    </row>
    <row r="41" spans="3:7">
      <c r="C41" s="108">
        <v>16</v>
      </c>
      <c r="D41" s="106">
        <f t="shared" si="0"/>
        <v>11136.746282981019</v>
      </c>
      <c r="E41" s="106">
        <f t="shared" si="1"/>
        <v>201.4099476432516</v>
      </c>
      <c r="F41" s="106">
        <f t="shared" si="2"/>
        <v>111.77532350690427</v>
      </c>
      <c r="G41" s="106">
        <f t="shared" si="3"/>
        <v>313.18527115015587</v>
      </c>
    </row>
    <row r="42" spans="3:7">
      <c r="C42" s="108">
        <v>17</v>
      </c>
      <c r="D42" s="106">
        <f t="shared" si="0"/>
        <v>10933.350768937251</v>
      </c>
      <c r="E42" s="106">
        <f t="shared" si="1"/>
        <v>203.395514043768</v>
      </c>
      <c r="F42" s="106">
        <f t="shared" si="2"/>
        <v>109.78975710638788</v>
      </c>
      <c r="G42" s="106">
        <f t="shared" si="3"/>
        <v>313.18527115015587</v>
      </c>
    </row>
    <row r="43" spans="3:7">
      <c r="C43" s="108">
        <v>18</v>
      </c>
      <c r="D43" s="106">
        <f t="shared" si="0"/>
        <v>10727.950114117535</v>
      </c>
      <c r="E43" s="106">
        <f t="shared" si="1"/>
        <v>205.40065481971612</v>
      </c>
      <c r="F43" s="106">
        <f t="shared" si="2"/>
        <v>107.78461633043973</v>
      </c>
      <c r="G43" s="106">
        <f t="shared" si="3"/>
        <v>313.18527115015587</v>
      </c>
    </row>
    <row r="44" spans="3:7">
      <c r="C44" s="108">
        <v>19</v>
      </c>
      <c r="D44" s="106">
        <f t="shared" si="0"/>
        <v>10520.524551175722</v>
      </c>
      <c r="E44" s="106">
        <f t="shared" si="1"/>
        <v>207.42556294181384</v>
      </c>
      <c r="F44" s="106">
        <f t="shared" si="2"/>
        <v>105.75970820834203</v>
      </c>
      <c r="G44" s="106">
        <f t="shared" si="3"/>
        <v>313.18527115015587</v>
      </c>
    </row>
    <row r="45" spans="3:7">
      <c r="C45" s="108">
        <v>20</v>
      </c>
      <c r="D45" s="106">
        <f t="shared" si="0"/>
        <v>10311.054117892574</v>
      </c>
      <c r="E45" s="106">
        <f t="shared" si="1"/>
        <v>209.47043328314854</v>
      </c>
      <c r="F45" s="106">
        <f t="shared" si="2"/>
        <v>103.71483786700733</v>
      </c>
      <c r="G45" s="106">
        <f t="shared" si="3"/>
        <v>313.18527115015587</v>
      </c>
    </row>
    <row r="46" spans="3:7">
      <c r="C46" s="108">
        <v>21</v>
      </c>
      <c r="D46" s="106">
        <f t="shared" si="0"/>
        <v>10099.518655254642</v>
      </c>
      <c r="E46" s="106">
        <f t="shared" si="1"/>
        <v>211.53546263793157</v>
      </c>
      <c r="F46" s="106">
        <f t="shared" si="2"/>
        <v>101.6498085122243</v>
      </c>
      <c r="G46" s="106">
        <f t="shared" si="3"/>
        <v>313.18527115015587</v>
      </c>
    </row>
    <row r="47" spans="3:7">
      <c r="C47" s="108">
        <v>22</v>
      </c>
      <c r="D47" s="106">
        <f t="shared" si="0"/>
        <v>9885.8978055142052</v>
      </c>
      <c r="E47" s="106">
        <f t="shared" si="1"/>
        <v>213.62084974043719</v>
      </c>
      <c r="F47" s="106">
        <f t="shared" si="2"/>
        <v>99.564421409718676</v>
      </c>
      <c r="G47" s="106">
        <f t="shared" si="3"/>
        <v>313.18527115015587</v>
      </c>
    </row>
    <row r="48" spans="3:7">
      <c r="C48" s="108">
        <v>23</v>
      </c>
      <c r="D48" s="106">
        <f t="shared" si="0"/>
        <v>9670.1710102300767</v>
      </c>
      <c r="E48" s="106">
        <f t="shared" si="1"/>
        <v>215.72679528412834</v>
      </c>
      <c r="F48" s="106">
        <f t="shared" si="2"/>
        <v>97.458475866027541</v>
      </c>
      <c r="G48" s="106">
        <f t="shared" si="3"/>
        <v>313.18527115015587</v>
      </c>
    </row>
    <row r="49" spans="3:7">
      <c r="C49" s="108">
        <v>24</v>
      </c>
      <c r="D49" s="106">
        <f t="shared" si="0"/>
        <v>9452.3175082891048</v>
      </c>
      <c r="E49" s="106">
        <f t="shared" si="1"/>
        <v>217.85350194097103</v>
      </c>
      <c r="F49" s="106">
        <f t="shared" si="2"/>
        <v>95.331769209184841</v>
      </c>
      <c r="G49" s="106">
        <f t="shared" si="3"/>
        <v>313.18527115015587</v>
      </c>
    </row>
    <row r="50" spans="3:7">
      <c r="C50" s="108">
        <v>25</v>
      </c>
      <c r="D50" s="106">
        <f t="shared" si="0"/>
        <v>9232.3163339081657</v>
      </c>
      <c r="E50" s="106">
        <f t="shared" si="1"/>
        <v>220.00117438093912</v>
      </c>
      <c r="F50" s="106">
        <f t="shared" si="2"/>
        <v>93.184096769216765</v>
      </c>
      <c r="G50" s="106">
        <f t="shared" si="3"/>
        <v>313.18527115015587</v>
      </c>
    </row>
    <row r="51" spans="3:7">
      <c r="C51" s="108">
        <v>26</v>
      </c>
      <c r="D51" s="106">
        <f t="shared" si="0"/>
        <v>9010.1463146164551</v>
      </c>
      <c r="E51" s="106">
        <f t="shared" si="1"/>
        <v>222.17001929171118</v>
      </c>
      <c r="F51" s="106">
        <f t="shared" si="2"/>
        <v>91.015251858444671</v>
      </c>
      <c r="G51" s="106">
        <f t="shared" si="3"/>
        <v>313.18527115015587</v>
      </c>
    </row>
    <row r="52" spans="3:7">
      <c r="C52" s="108">
        <v>27</v>
      </c>
      <c r="D52" s="106">
        <f t="shared" si="0"/>
        <v>8785.7860692178929</v>
      </c>
      <c r="E52" s="106">
        <f t="shared" si="1"/>
        <v>224.36024539856197</v>
      </c>
      <c r="F52" s="106">
        <f t="shared" si="2"/>
        <v>88.825025751593884</v>
      </c>
      <c r="G52" s="106">
        <f t="shared" si="3"/>
        <v>313.18527115015587</v>
      </c>
    </row>
    <row r="53" spans="3:7">
      <c r="C53" s="108">
        <v>28</v>
      </c>
      <c r="D53" s="106">
        <f t="shared" si="0"/>
        <v>8559.2140057334436</v>
      </c>
      <c r="E53" s="106">
        <f t="shared" si="1"/>
        <v>226.57206348444947</v>
      </c>
      <c r="F53" s="106">
        <f t="shared" si="2"/>
        <v>86.613207665706398</v>
      </c>
      <c r="G53" s="106">
        <f t="shared" si="3"/>
        <v>313.18527115015587</v>
      </c>
    </row>
    <row r="54" spans="3:7">
      <c r="C54" s="108">
        <v>29</v>
      </c>
      <c r="D54" s="106">
        <f t="shared" si="0"/>
        <v>8330.4083193231436</v>
      </c>
      <c r="E54" s="106">
        <f t="shared" si="1"/>
        <v>228.80568641030032</v>
      </c>
      <c r="F54" s="106">
        <f t="shared" si="2"/>
        <v>84.379584739855531</v>
      </c>
      <c r="G54" s="106">
        <f t="shared" si="3"/>
        <v>313.18527115015587</v>
      </c>
    </row>
    <row r="55" spans="3:7">
      <c r="C55" s="108">
        <v>30</v>
      </c>
      <c r="D55" s="106">
        <f t="shared" si="0"/>
        <v>8099.3469901876488</v>
      </c>
      <c r="E55" s="106">
        <f t="shared" si="1"/>
        <v>231.06132913549521</v>
      </c>
      <c r="F55" s="106">
        <f t="shared" si="2"/>
        <v>82.123942014660656</v>
      </c>
      <c r="G55" s="106">
        <f t="shared" si="3"/>
        <v>313.18527115015587</v>
      </c>
    </row>
    <row r="56" spans="3:7">
      <c r="C56" s="108">
        <v>31</v>
      </c>
      <c r="D56" s="106">
        <f t="shared" si="0"/>
        <v>7866.0077814490924</v>
      </c>
      <c r="E56" s="106">
        <f t="shared" si="1"/>
        <v>233.33920873855595</v>
      </c>
      <c r="F56" s="106">
        <f t="shared" si="2"/>
        <v>79.846062411599902</v>
      </c>
      <c r="G56" s="106">
        <f t="shared" si="3"/>
        <v>313.18527115015587</v>
      </c>
    </row>
    <row r="57" spans="3:7">
      <c r="C57" s="108">
        <v>32</v>
      </c>
      <c r="D57" s="106">
        <f t="shared" si="0"/>
        <v>7630.3682370110555</v>
      </c>
      <c r="E57" s="106">
        <f t="shared" si="1"/>
        <v>235.63954443803689</v>
      </c>
      <c r="F57" s="106">
        <f t="shared" si="2"/>
        <v>77.545726712118977</v>
      </c>
      <c r="G57" s="106">
        <f t="shared" si="3"/>
        <v>313.18527115015587</v>
      </c>
    </row>
    <row r="58" spans="3:7">
      <c r="C58" s="108">
        <v>33</v>
      </c>
      <c r="D58" s="106">
        <f t="shared" ref="D58:D85" si="4">D57-E58</f>
        <v>7392.4056793974332</v>
      </c>
      <c r="E58" s="106">
        <f t="shared" ref="E58:E85" si="5">G58-F58</f>
        <v>237.96255761362187</v>
      </c>
      <c r="F58" s="106">
        <f t="shared" ref="F58:F85" si="6">D57*($C$10/12)</f>
        <v>75.222713536533988</v>
      </c>
      <c r="G58" s="106">
        <f t="shared" ref="G58:G85" si="7">$C$22</f>
        <v>313.18527115015587</v>
      </c>
    </row>
    <row r="59" spans="3:7">
      <c r="C59" s="108">
        <v>34</v>
      </c>
      <c r="D59" s="106">
        <f t="shared" si="4"/>
        <v>7152.0972075700038</v>
      </c>
      <c r="E59" s="106">
        <f t="shared" si="5"/>
        <v>240.30847182742951</v>
      </c>
      <c r="F59" s="106">
        <f t="shared" si="6"/>
        <v>72.87679932272637</v>
      </c>
      <c r="G59" s="106">
        <f t="shared" si="7"/>
        <v>313.18527115015587</v>
      </c>
    </row>
    <row r="60" spans="3:7">
      <c r="C60" s="108">
        <v>35</v>
      </c>
      <c r="D60" s="106">
        <f t="shared" si="4"/>
        <v>6909.4196947244754</v>
      </c>
      <c r="E60" s="106">
        <f t="shared" si="5"/>
        <v>242.67751284552824</v>
      </c>
      <c r="F60" s="106">
        <f t="shared" si="6"/>
        <v>70.507758304627629</v>
      </c>
      <c r="G60" s="106">
        <f t="shared" si="7"/>
        <v>313.18527115015587</v>
      </c>
    </row>
    <row r="61" spans="3:7">
      <c r="C61" s="108">
        <v>36</v>
      </c>
      <c r="D61" s="106">
        <f t="shared" si="4"/>
        <v>6664.3497860648113</v>
      </c>
      <c r="E61" s="106">
        <f t="shared" si="5"/>
        <v>245.06990865966375</v>
      </c>
      <c r="F61" s="106">
        <f t="shared" si="6"/>
        <v>68.115362490492117</v>
      </c>
      <c r="G61" s="106">
        <f t="shared" si="7"/>
        <v>313.18527115015587</v>
      </c>
    </row>
    <row r="62" spans="3:7">
      <c r="C62" s="108">
        <v>37</v>
      </c>
      <c r="D62" s="106">
        <f t="shared" si="4"/>
        <v>6416.8638965556111</v>
      </c>
      <c r="E62" s="106">
        <f t="shared" si="5"/>
        <v>247.48588950920026</v>
      </c>
      <c r="F62" s="106">
        <f t="shared" si="6"/>
        <v>65.699381640955593</v>
      </c>
      <c r="G62" s="106">
        <f t="shared" si="7"/>
        <v>313.18527115015587</v>
      </c>
    </row>
    <row r="63" spans="3:7">
      <c r="C63" s="108">
        <v>38</v>
      </c>
      <c r="D63" s="106">
        <f t="shared" si="4"/>
        <v>6166.9382086523328</v>
      </c>
      <c r="E63" s="106">
        <f t="shared" si="5"/>
        <v>249.92568790327846</v>
      </c>
      <c r="F63" s="106">
        <f t="shared" si="6"/>
        <v>63.259583246877398</v>
      </c>
      <c r="G63" s="106">
        <f t="shared" si="7"/>
        <v>313.18527115015587</v>
      </c>
    </row>
    <row r="64" spans="3:7">
      <c r="C64" s="108">
        <v>39</v>
      </c>
      <c r="D64" s="106">
        <f t="shared" si="4"/>
        <v>5914.5486700091415</v>
      </c>
      <c r="E64" s="106">
        <f t="shared" si="5"/>
        <v>252.38953864319163</v>
      </c>
      <c r="F64" s="106">
        <f t="shared" si="6"/>
        <v>60.795732506964249</v>
      </c>
      <c r="G64" s="106">
        <f t="shared" si="7"/>
        <v>313.18527115015587</v>
      </c>
    </row>
    <row r="65" spans="3:7">
      <c r="C65" s="108">
        <v>40</v>
      </c>
      <c r="D65" s="106">
        <f t="shared" si="4"/>
        <v>5659.6709911641592</v>
      </c>
      <c r="E65" s="106">
        <f t="shared" si="5"/>
        <v>254.87767884498243</v>
      </c>
      <c r="F65" s="106">
        <f t="shared" si="6"/>
        <v>58.307592305173451</v>
      </c>
      <c r="G65" s="106">
        <f t="shared" si="7"/>
        <v>313.18527115015587</v>
      </c>
    </row>
    <row r="66" spans="3:7">
      <c r="C66" s="108">
        <v>41</v>
      </c>
      <c r="D66" s="106">
        <f t="shared" si="4"/>
        <v>5402.280643201897</v>
      </c>
      <c r="E66" s="106">
        <f t="shared" si="5"/>
        <v>257.39034796226252</v>
      </c>
      <c r="F66" s="106">
        <f t="shared" si="6"/>
        <v>55.794923187893339</v>
      </c>
      <c r="G66" s="106">
        <f t="shared" si="7"/>
        <v>313.18527115015587</v>
      </c>
    </row>
    <row r="67" spans="3:7">
      <c r="C67" s="108">
        <v>42</v>
      </c>
      <c r="D67" s="106">
        <f t="shared" si="4"/>
        <v>5142.3528553926399</v>
      </c>
      <c r="E67" s="106">
        <f t="shared" si="5"/>
        <v>259.92778780925715</v>
      </c>
      <c r="F67" s="106">
        <f t="shared" si="6"/>
        <v>53.257483340898702</v>
      </c>
      <c r="G67" s="106">
        <f t="shared" si="7"/>
        <v>313.18527115015587</v>
      </c>
    </row>
    <row r="68" spans="3:7">
      <c r="C68" s="108">
        <v>43</v>
      </c>
      <c r="D68" s="106">
        <f t="shared" si="4"/>
        <v>4879.8626128085634</v>
      </c>
      <c r="E68" s="106">
        <f t="shared" si="5"/>
        <v>262.49024258407678</v>
      </c>
      <c r="F68" s="106">
        <f t="shared" si="6"/>
        <v>50.69502856607911</v>
      </c>
      <c r="G68" s="106">
        <f t="shared" si="7"/>
        <v>313.18527115015587</v>
      </c>
    </row>
    <row r="69" spans="3:7">
      <c r="C69" s="108">
        <v>44</v>
      </c>
      <c r="D69" s="106">
        <f t="shared" si="4"/>
        <v>4614.7846539163456</v>
      </c>
      <c r="E69" s="106">
        <f t="shared" si="5"/>
        <v>265.07795889221813</v>
      </c>
      <c r="F69" s="106">
        <f t="shared" si="6"/>
        <v>48.107312257937757</v>
      </c>
      <c r="G69" s="106">
        <f t="shared" si="7"/>
        <v>313.18527115015587</v>
      </c>
    </row>
    <row r="70" spans="3:7">
      <c r="C70" s="108">
        <v>45</v>
      </c>
      <c r="D70" s="106">
        <f t="shared" si="4"/>
        <v>4347.0934681460485</v>
      </c>
      <c r="E70" s="106">
        <f t="shared" si="5"/>
        <v>267.69118577029724</v>
      </c>
      <c r="F70" s="106">
        <f t="shared" si="6"/>
        <v>45.494085379858639</v>
      </c>
      <c r="G70" s="106">
        <f t="shared" si="7"/>
        <v>313.18527115015587</v>
      </c>
    </row>
    <row r="71" spans="3:7">
      <c r="C71" s="108">
        <v>46</v>
      </c>
      <c r="D71" s="106">
        <f t="shared" si="4"/>
        <v>4076.7632934360327</v>
      </c>
      <c r="E71" s="106">
        <f t="shared" si="5"/>
        <v>270.33017471001608</v>
      </c>
      <c r="F71" s="106">
        <f t="shared" si="6"/>
        <v>42.855096440139796</v>
      </c>
      <c r="G71" s="106">
        <f t="shared" si="7"/>
        <v>313.18527115015587</v>
      </c>
    </row>
    <row r="72" spans="3:7">
      <c r="C72" s="108">
        <v>47</v>
      </c>
      <c r="D72" s="106">
        <f t="shared" si="4"/>
        <v>3803.768113753667</v>
      </c>
      <c r="E72" s="106">
        <f t="shared" si="5"/>
        <v>272.99517968236563</v>
      </c>
      <c r="F72" s="106">
        <f t="shared" si="6"/>
        <v>40.190091467790225</v>
      </c>
      <c r="G72" s="106">
        <f t="shared" si="7"/>
        <v>313.18527115015587</v>
      </c>
    </row>
    <row r="73" spans="3:7">
      <c r="C73" s="108">
        <v>48</v>
      </c>
      <c r="D73" s="106">
        <f t="shared" si="4"/>
        <v>3528.0816565915993</v>
      </c>
      <c r="E73" s="106">
        <f t="shared" si="5"/>
        <v>275.68645716206765</v>
      </c>
      <c r="F73" s="106">
        <f t="shared" si="6"/>
        <v>37.498813988088237</v>
      </c>
      <c r="G73" s="106">
        <f t="shared" si="7"/>
        <v>313.18527115015587</v>
      </c>
    </row>
    <row r="74" spans="3:7">
      <c r="C74" s="108">
        <v>49</v>
      </c>
      <c r="D74" s="106">
        <f t="shared" si="4"/>
        <v>3249.6773904393422</v>
      </c>
      <c r="E74" s="106">
        <f t="shared" si="5"/>
        <v>278.40426615225704</v>
      </c>
      <c r="F74" s="106">
        <f t="shared" si="6"/>
        <v>34.781004997898847</v>
      </c>
      <c r="G74" s="106">
        <f t="shared" si="7"/>
        <v>313.18527115015587</v>
      </c>
    </row>
    <row r="75" spans="3:7">
      <c r="C75" s="108">
        <v>50</v>
      </c>
      <c r="D75" s="106">
        <f t="shared" si="4"/>
        <v>2968.528522229934</v>
      </c>
      <c r="E75" s="106">
        <f t="shared" si="5"/>
        <v>281.14886820940802</v>
      </c>
      <c r="F75" s="106">
        <f t="shared" si="6"/>
        <v>32.036402940747848</v>
      </c>
      <c r="G75" s="106">
        <f t="shared" si="7"/>
        <v>313.18527115015587</v>
      </c>
    </row>
    <row r="76" spans="3:7">
      <c r="C76" s="108">
        <v>51</v>
      </c>
      <c r="D76" s="106">
        <f t="shared" si="4"/>
        <v>2684.607994761428</v>
      </c>
      <c r="E76" s="106">
        <f t="shared" si="5"/>
        <v>283.92052746850578</v>
      </c>
      <c r="F76" s="106">
        <f t="shared" si="6"/>
        <v>29.264743681650099</v>
      </c>
      <c r="G76" s="106">
        <f t="shared" si="7"/>
        <v>313.18527115015587</v>
      </c>
    </row>
    <row r="77" spans="3:7">
      <c r="C77" s="108">
        <v>52</v>
      </c>
      <c r="D77" s="106">
        <f t="shared" si="4"/>
        <v>2397.8884840929618</v>
      </c>
      <c r="E77" s="106">
        <f t="shared" si="5"/>
        <v>286.71951066846611</v>
      </c>
      <c r="F77" s="106">
        <f t="shared" si="6"/>
        <v>26.465760481689745</v>
      </c>
      <c r="G77" s="106">
        <f t="shared" si="7"/>
        <v>313.18527115015587</v>
      </c>
    </row>
    <row r="78" spans="3:7">
      <c r="C78" s="108">
        <v>53</v>
      </c>
      <c r="D78" s="106">
        <f t="shared" si="4"/>
        <v>2108.3423969151559</v>
      </c>
      <c r="E78" s="106">
        <f t="shared" si="5"/>
        <v>289.5460871778061</v>
      </c>
      <c r="F78" s="106">
        <f t="shared" si="6"/>
        <v>23.639183972349784</v>
      </c>
      <c r="G78" s="106">
        <f t="shared" si="7"/>
        <v>313.18527115015587</v>
      </c>
    </row>
    <row r="79" spans="3:7">
      <c r="C79" s="108">
        <v>54</v>
      </c>
      <c r="D79" s="106">
        <f t="shared" si="4"/>
        <v>1815.9418678945885</v>
      </c>
      <c r="E79" s="106">
        <f t="shared" si="5"/>
        <v>292.40052902056732</v>
      </c>
      <c r="F79" s="106">
        <f t="shared" si="6"/>
        <v>20.784742129588579</v>
      </c>
      <c r="G79" s="106">
        <f t="shared" si="7"/>
        <v>313.18527115015587</v>
      </c>
    </row>
    <row r="80" spans="3:7">
      <c r="C80" s="108">
        <v>55</v>
      </c>
      <c r="D80" s="106">
        <f t="shared" si="4"/>
        <v>1520.6587569920935</v>
      </c>
      <c r="E80" s="106">
        <f t="shared" si="5"/>
        <v>295.28311090249503</v>
      </c>
      <c r="F80" s="106">
        <f t="shared" si="6"/>
        <v>17.90216024766082</v>
      </c>
      <c r="G80" s="106">
        <f t="shared" si="7"/>
        <v>313.18527115015587</v>
      </c>
    </row>
    <row r="81" spans="3:7">
      <c r="C81" s="108">
        <v>56</v>
      </c>
      <c r="D81" s="106">
        <f t="shared" si="4"/>
        <v>1222.4646467546181</v>
      </c>
      <c r="E81" s="106">
        <f t="shared" si="5"/>
        <v>298.19411023747546</v>
      </c>
      <c r="F81" s="106">
        <f t="shared" si="6"/>
        <v>14.991160912680389</v>
      </c>
      <c r="G81" s="106">
        <f t="shared" si="7"/>
        <v>313.18527115015587</v>
      </c>
    </row>
    <row r="82" spans="3:7">
      <c r="C82" s="108">
        <v>57</v>
      </c>
      <c r="D82" s="106">
        <f t="shared" si="4"/>
        <v>921.33083958038492</v>
      </c>
      <c r="E82" s="106">
        <f t="shared" si="5"/>
        <v>301.13380717423325</v>
      </c>
      <c r="F82" s="106">
        <f t="shared" si="6"/>
        <v>12.05146397592261</v>
      </c>
      <c r="G82" s="106">
        <f t="shared" si="7"/>
        <v>313.18527115015587</v>
      </c>
    </row>
    <row r="83" spans="3:7">
      <c r="C83" s="108">
        <v>58</v>
      </c>
      <c r="D83" s="106">
        <f t="shared" si="4"/>
        <v>617.22835495709228</v>
      </c>
      <c r="E83" s="106">
        <f t="shared" si="5"/>
        <v>304.10248462329258</v>
      </c>
      <c r="F83" s="106">
        <f t="shared" si="6"/>
        <v>9.0827865268632948</v>
      </c>
      <c r="G83" s="106">
        <f t="shared" si="7"/>
        <v>313.18527115015587</v>
      </c>
    </row>
    <row r="84" spans="3:7">
      <c r="C84" s="108">
        <v>59</v>
      </c>
      <c r="D84" s="106">
        <f t="shared" si="4"/>
        <v>310.12792667288841</v>
      </c>
      <c r="E84" s="106">
        <f t="shared" si="5"/>
        <v>307.10042828420387</v>
      </c>
      <c r="F84" s="106">
        <f t="shared" si="6"/>
        <v>6.0848428659520017</v>
      </c>
      <c r="G84" s="106">
        <f t="shared" si="7"/>
        <v>313.18527115015587</v>
      </c>
    </row>
    <row r="85" spans="3:7">
      <c r="C85" s="108">
        <v>60</v>
      </c>
      <c r="D85" s="106">
        <f t="shared" si="4"/>
        <v>-1.5057821656228043E-10</v>
      </c>
      <c r="E85" s="106">
        <f t="shared" si="5"/>
        <v>310.12792667303898</v>
      </c>
      <c r="F85" s="106">
        <f t="shared" si="6"/>
        <v>3.0573444771168914</v>
      </c>
      <c r="G85" s="106">
        <f t="shared" si="7"/>
        <v>313.18527115015587</v>
      </c>
    </row>
  </sheetData>
  <mergeCells count="1">
    <mergeCell ref="B8:C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M26"/>
  <sheetViews>
    <sheetView topLeftCell="A4" workbookViewId="0">
      <selection activeCell="E9" sqref="E9"/>
    </sheetView>
  </sheetViews>
  <sheetFormatPr baseColWidth="10" defaultRowHeight="15"/>
  <cols>
    <col min="3" max="3" width="43.5703125" bestFit="1" customWidth="1"/>
    <col min="4" max="4" width="12" bestFit="1" customWidth="1"/>
  </cols>
  <sheetData>
    <row r="2" spans="1:13">
      <c r="A2" t="s">
        <v>165</v>
      </c>
      <c r="B2" s="91">
        <v>0.12</v>
      </c>
    </row>
    <row r="4" spans="1:13">
      <c r="C4" s="193" t="s">
        <v>100</v>
      </c>
      <c r="D4" s="193"/>
      <c r="E4" s="193"/>
      <c r="F4" s="193"/>
      <c r="G4" s="193"/>
      <c r="H4" s="193"/>
    </row>
    <row r="6" spans="1:13">
      <c r="C6" s="117" t="s">
        <v>101</v>
      </c>
      <c r="D6" s="117" t="s">
        <v>102</v>
      </c>
      <c r="E6" s="117" t="s">
        <v>103</v>
      </c>
      <c r="F6" s="117" t="s">
        <v>104</v>
      </c>
      <c r="G6" s="117" t="s">
        <v>105</v>
      </c>
      <c r="H6" s="117" t="s">
        <v>106</v>
      </c>
    </row>
    <row r="7" spans="1:13">
      <c r="C7" s="3" t="s">
        <v>107</v>
      </c>
      <c r="D7" s="25">
        <f>'Capital de Trabajo'!N7</f>
        <v>69570.69911999999</v>
      </c>
      <c r="E7" s="25">
        <f>D7*(1+$B$2)</f>
        <v>77919.183014399998</v>
      </c>
      <c r="F7" s="25">
        <f>E7*(1+$B$2)</f>
        <v>87269.484976128006</v>
      </c>
      <c r="G7" s="25">
        <f>F7*(1+$B$2)</f>
        <v>97741.823173263372</v>
      </c>
      <c r="H7" s="25">
        <f>G7*(1+$B$2)</f>
        <v>109470.84195405498</v>
      </c>
    </row>
    <row r="8" spans="1:13">
      <c r="C8" s="3" t="s">
        <v>108</v>
      </c>
      <c r="D8" s="25">
        <f>'Capital de Trabajo'!N16</f>
        <v>18382.501799999998</v>
      </c>
      <c r="E8" s="25">
        <f>D8*(1+$B$2)</f>
        <v>20588.402016</v>
      </c>
      <c r="F8" s="25">
        <f t="shared" ref="F8:H8" si="0">E8*(1+$B$2)</f>
        <v>23059.010257920003</v>
      </c>
      <c r="G8" s="25">
        <f t="shared" si="0"/>
        <v>25826.091488870406</v>
      </c>
      <c r="H8" s="25">
        <f t="shared" si="0"/>
        <v>28925.222467534859</v>
      </c>
    </row>
    <row r="9" spans="1:13">
      <c r="C9" s="77" t="s">
        <v>109</v>
      </c>
      <c r="D9" s="120">
        <f>D7-D8</f>
        <v>51188.197319999992</v>
      </c>
      <c r="E9" s="120">
        <f t="shared" ref="E9:H9" si="1">E7-E8</f>
        <v>57330.780998399998</v>
      </c>
      <c r="F9" s="120">
        <f t="shared" si="1"/>
        <v>64210.474718208003</v>
      </c>
      <c r="G9" s="120">
        <f t="shared" si="1"/>
        <v>71915.731684392958</v>
      </c>
      <c r="H9" s="120">
        <f t="shared" si="1"/>
        <v>80545.619486520125</v>
      </c>
    </row>
    <row r="10" spans="1:13">
      <c r="A10" s="12"/>
      <c r="C10" s="3" t="s">
        <v>110</v>
      </c>
      <c r="D10" s="3"/>
      <c r="E10" s="3"/>
      <c r="F10" s="3"/>
      <c r="G10" s="3"/>
      <c r="H10" s="3"/>
    </row>
    <row r="11" spans="1:13">
      <c r="A11" s="98"/>
      <c r="C11" s="3" t="s">
        <v>111</v>
      </c>
      <c r="D11" s="3">
        <f>'Capital de Trabajo'!$N$14</f>
        <v>1440</v>
      </c>
      <c r="E11" s="3">
        <f>'Capital de Trabajo'!$N$14</f>
        <v>1440</v>
      </c>
      <c r="F11" s="3">
        <f>'Capital de Trabajo'!$N$14</f>
        <v>1440</v>
      </c>
      <c r="G11" s="3">
        <f>'Capital de Trabajo'!$N$14</f>
        <v>1440</v>
      </c>
      <c r="H11" s="3">
        <f>'Capital de Trabajo'!$N$14</f>
        <v>1440</v>
      </c>
      <c r="I11" s="194" t="s">
        <v>112</v>
      </c>
      <c r="J11" s="195"/>
      <c r="K11" s="195"/>
      <c r="L11" s="195"/>
      <c r="M11" s="196"/>
    </row>
    <row r="12" spans="1:13">
      <c r="A12" s="98"/>
      <c r="C12" s="3" t="s">
        <v>95</v>
      </c>
      <c r="D12" s="3">
        <f>'Capital de Trabajo'!N15</f>
        <v>6000</v>
      </c>
      <c r="E12" s="3">
        <f>$D$12</f>
        <v>6000</v>
      </c>
      <c r="F12" s="3">
        <f t="shared" ref="F12:H12" si="2">$D$12</f>
        <v>6000</v>
      </c>
      <c r="G12" s="3">
        <f t="shared" si="2"/>
        <v>6000</v>
      </c>
      <c r="H12" s="3">
        <f t="shared" si="2"/>
        <v>6000</v>
      </c>
      <c r="I12" s="197"/>
      <c r="J12" s="198"/>
      <c r="K12" s="198"/>
      <c r="L12" s="198"/>
      <c r="M12" s="199"/>
    </row>
    <row r="13" spans="1:13">
      <c r="A13" s="98"/>
      <c r="C13" s="3" t="s">
        <v>166</v>
      </c>
      <c r="D13" s="3">
        <f>'Capital de Trabajo'!N13</f>
        <v>774</v>
      </c>
      <c r="E13" s="3">
        <f>$D$13</f>
        <v>774</v>
      </c>
      <c r="F13" s="3">
        <f t="shared" ref="F13:H13" si="3">$D$13</f>
        <v>774</v>
      </c>
      <c r="G13" s="3">
        <f t="shared" si="3"/>
        <v>774</v>
      </c>
      <c r="H13" s="3">
        <f t="shared" si="3"/>
        <v>774</v>
      </c>
      <c r="I13" s="197"/>
      <c r="J13" s="198"/>
      <c r="K13" s="198"/>
      <c r="L13" s="198"/>
      <c r="M13" s="199"/>
    </row>
    <row r="14" spans="1:13">
      <c r="A14" s="98"/>
      <c r="C14" s="3" t="s">
        <v>113</v>
      </c>
      <c r="D14" s="3">
        <f>'Capital de Trabajo'!$N$12</f>
        <v>30984</v>
      </c>
      <c r="E14" s="25">
        <f>D14*(1+2%)</f>
        <v>31603.68</v>
      </c>
      <c r="F14" s="25">
        <f t="shared" ref="F14:H14" si="4">E14*(1+2%)</f>
        <v>32235.7536</v>
      </c>
      <c r="G14" s="25">
        <f t="shared" si="4"/>
        <v>32880.468672000003</v>
      </c>
      <c r="H14" s="25">
        <f t="shared" si="4"/>
        <v>33538.078045440001</v>
      </c>
      <c r="I14" s="197"/>
      <c r="J14" s="198"/>
      <c r="K14" s="198"/>
      <c r="L14" s="198"/>
      <c r="M14" s="199"/>
    </row>
    <row r="15" spans="1:13">
      <c r="A15" s="98"/>
      <c r="C15" s="3" t="s">
        <v>114</v>
      </c>
      <c r="D15" s="128">
        <f>Depreciacion!D23</f>
        <v>400</v>
      </c>
      <c r="E15" s="128">
        <f>$D$15</f>
        <v>400</v>
      </c>
      <c r="F15" s="128">
        <f t="shared" ref="F15:H15" si="5">$D$15</f>
        <v>400</v>
      </c>
      <c r="G15" s="128">
        <f t="shared" si="5"/>
        <v>400</v>
      </c>
      <c r="H15" s="128">
        <f t="shared" si="5"/>
        <v>400</v>
      </c>
      <c r="I15" s="197"/>
      <c r="J15" s="198"/>
      <c r="K15" s="198"/>
      <c r="L15" s="198"/>
      <c r="M15" s="199"/>
    </row>
    <row r="16" spans="1:13">
      <c r="A16" s="98"/>
      <c r="C16" s="3" t="s">
        <v>115</v>
      </c>
      <c r="D16" s="3">
        <f>Depreciacion!$E$17</f>
        <v>3190</v>
      </c>
      <c r="E16" s="3">
        <f>Depreciacion!$E$17</f>
        <v>3190</v>
      </c>
      <c r="F16" s="3">
        <f>Depreciacion!$E$17</f>
        <v>3190</v>
      </c>
      <c r="G16" s="3">
        <f>Depreciacion!$E$17</f>
        <v>3190</v>
      </c>
      <c r="H16" s="3">
        <f>Depreciacion!$E$17</f>
        <v>3190</v>
      </c>
      <c r="I16" s="197"/>
      <c r="J16" s="198"/>
      <c r="K16" s="198"/>
      <c r="L16" s="198"/>
      <c r="M16" s="199"/>
    </row>
    <row r="17" spans="1:13">
      <c r="A17" s="98"/>
      <c r="C17" s="3" t="s">
        <v>116</v>
      </c>
      <c r="D17" s="25">
        <f>'Capital de Trabajo'!N11</f>
        <v>6624</v>
      </c>
      <c r="E17" s="25">
        <f>$D$17</f>
        <v>6624</v>
      </c>
      <c r="F17" s="25">
        <f t="shared" ref="F17:H17" si="6">$D$17</f>
        <v>6624</v>
      </c>
      <c r="G17" s="25">
        <f t="shared" si="6"/>
        <v>6624</v>
      </c>
      <c r="H17" s="25">
        <f t="shared" si="6"/>
        <v>6624</v>
      </c>
      <c r="I17" s="200"/>
      <c r="J17" s="201"/>
      <c r="K17" s="201"/>
      <c r="L17" s="201"/>
      <c r="M17" s="202"/>
    </row>
    <row r="18" spans="1:13">
      <c r="A18" s="121"/>
      <c r="C18" s="77" t="s">
        <v>117</v>
      </c>
      <c r="D18" s="120">
        <f>D9-(SUM(D11:D17))</f>
        <v>1776.197319999992</v>
      </c>
      <c r="E18" s="120">
        <f t="shared" ref="E18:G18" si="7">E9-(SUM(E11:E17))</f>
        <v>7299.1009983999975</v>
      </c>
      <c r="F18" s="120">
        <f t="shared" si="7"/>
        <v>13546.721118208006</v>
      </c>
      <c r="G18" s="120">
        <f t="shared" si="7"/>
        <v>20607.263012392956</v>
      </c>
      <c r="H18" s="120">
        <f>H9-(SUM(H11:H17))</f>
        <v>28579.541441080124</v>
      </c>
    </row>
    <row r="19" spans="1:13">
      <c r="C19" s="77" t="s">
        <v>118</v>
      </c>
      <c r="D19" s="3"/>
      <c r="E19" s="3"/>
      <c r="F19" s="3"/>
      <c r="G19" s="3"/>
      <c r="H19" s="3"/>
    </row>
    <row r="20" spans="1:13">
      <c r="C20" s="3" t="s">
        <v>119</v>
      </c>
      <c r="D20" s="118">
        <f>Amortizacion!F15</f>
        <v>1672.026052964904</v>
      </c>
      <c r="E20" s="118">
        <f>Amortizacion!F16</f>
        <v>1407.9422722554896</v>
      </c>
      <c r="F20" s="118">
        <f>Amortizacion!F17</f>
        <v>1112.6173802881515</v>
      </c>
      <c r="G20" s="118">
        <f>Amortizacion!F18</f>
        <v>782.35555360107708</v>
      </c>
      <c r="H20" s="118">
        <f>Amortizacion!F19</f>
        <v>413.0237528169219</v>
      </c>
      <c r="I20" s="194" t="s">
        <v>120</v>
      </c>
      <c r="J20" s="195"/>
      <c r="K20" s="195"/>
      <c r="L20" s="195"/>
      <c r="M20" s="196"/>
    </row>
    <row r="21" spans="1:13">
      <c r="C21" s="3" t="s">
        <v>121</v>
      </c>
      <c r="D21" s="3"/>
      <c r="E21" s="3"/>
      <c r="F21" s="3"/>
      <c r="G21" s="3"/>
      <c r="H21" s="3"/>
      <c r="I21" s="197"/>
      <c r="J21" s="198"/>
      <c r="K21" s="198"/>
      <c r="L21" s="198"/>
      <c r="M21" s="199"/>
    </row>
    <row r="22" spans="1:13">
      <c r="C22" s="77" t="s">
        <v>122</v>
      </c>
      <c r="D22" s="119">
        <f>D18-D20</f>
        <v>104.17126703508802</v>
      </c>
      <c r="E22" s="119">
        <f t="shared" ref="E22:H22" si="8">E18-E20</f>
        <v>5891.1587261445075</v>
      </c>
      <c r="F22" s="119">
        <f t="shared" si="8"/>
        <v>12434.103737919855</v>
      </c>
      <c r="G22" s="119">
        <f t="shared" si="8"/>
        <v>19824.90745879188</v>
      </c>
      <c r="H22" s="119">
        <f t="shared" si="8"/>
        <v>28166.5176882632</v>
      </c>
    </row>
    <row r="23" spans="1:13">
      <c r="C23" s="3" t="s">
        <v>123</v>
      </c>
      <c r="D23" s="59">
        <f>D22*0.15</f>
        <v>15.625690055263203</v>
      </c>
      <c r="E23" s="59">
        <f t="shared" ref="E23" si="9">E22*0.15</f>
        <v>883.67380892167614</v>
      </c>
      <c r="F23" s="59">
        <f t="shared" ref="F23" si="10">F22*0.15</f>
        <v>1865.1155606879781</v>
      </c>
      <c r="G23" s="59">
        <f t="shared" ref="G23" si="11">G22*0.15</f>
        <v>2973.736118818782</v>
      </c>
      <c r="H23" s="59">
        <f t="shared" ref="H23" si="12">H22*0.15</f>
        <v>4224.9776532394799</v>
      </c>
    </row>
    <row r="24" spans="1:13">
      <c r="C24" s="78" t="s">
        <v>124</v>
      </c>
      <c r="D24" s="119">
        <f>D22-D23</f>
        <v>88.545576979824816</v>
      </c>
      <c r="E24" s="119">
        <f t="shared" ref="E24:H24" si="13">E22-E23</f>
        <v>5007.4849172228314</v>
      </c>
      <c r="F24" s="119">
        <f t="shared" si="13"/>
        <v>10568.988177231877</v>
      </c>
      <c r="G24" s="119">
        <f t="shared" si="13"/>
        <v>16851.171339973098</v>
      </c>
      <c r="H24" s="119">
        <f t="shared" si="13"/>
        <v>23941.540035023721</v>
      </c>
    </row>
    <row r="25" spans="1:13">
      <c r="C25" s="3" t="s">
        <v>125</v>
      </c>
      <c r="D25" s="59">
        <f>D24*0.25</f>
        <v>22.136394244956204</v>
      </c>
      <c r="E25" s="59">
        <f t="shared" ref="E25:H25" si="14">E24*0.25</f>
        <v>1251.8712293057079</v>
      </c>
      <c r="F25" s="59">
        <f t="shared" si="14"/>
        <v>2642.2470443079692</v>
      </c>
      <c r="G25" s="59">
        <f t="shared" si="14"/>
        <v>4212.7928349932745</v>
      </c>
      <c r="H25" s="59">
        <f t="shared" si="14"/>
        <v>5985.3850087559304</v>
      </c>
    </row>
    <row r="26" spans="1:13">
      <c r="C26" s="77" t="s">
        <v>126</v>
      </c>
      <c r="D26" s="119">
        <f>D24-D25</f>
        <v>66.409182734868608</v>
      </c>
      <c r="E26" s="119">
        <f t="shared" ref="E26:H26" si="15">E24-E25</f>
        <v>3755.6136879171236</v>
      </c>
      <c r="F26" s="119">
        <f t="shared" si="15"/>
        <v>7926.7411329239076</v>
      </c>
      <c r="G26" s="119">
        <f t="shared" si="15"/>
        <v>12638.378504979824</v>
      </c>
      <c r="H26" s="119">
        <f t="shared" si="15"/>
        <v>17956.155026267792</v>
      </c>
    </row>
  </sheetData>
  <mergeCells count="3">
    <mergeCell ref="C4:H4"/>
    <mergeCell ref="I11:M17"/>
    <mergeCell ref="I20:M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45"/>
  <sheetViews>
    <sheetView topLeftCell="B16" workbookViewId="0">
      <selection activeCell="D36" sqref="D36"/>
    </sheetView>
  </sheetViews>
  <sheetFormatPr baseColWidth="10" defaultRowHeight="15"/>
  <cols>
    <col min="1" max="1" width="13.42578125" customWidth="1"/>
    <col min="3" max="3" width="43.5703125" bestFit="1" customWidth="1"/>
    <col min="4" max="4" width="12" bestFit="1" customWidth="1"/>
    <col min="12" max="12" width="18.85546875" bestFit="1" customWidth="1"/>
    <col min="13" max="13" width="12.42578125" customWidth="1"/>
    <col min="15" max="15" width="12.85546875" customWidth="1"/>
    <col min="16" max="16" width="15" bestFit="1" customWidth="1"/>
  </cols>
  <sheetData>
    <row r="1" spans="1:17">
      <c r="B1">
        <v>22.8</v>
      </c>
    </row>
    <row r="2" spans="1:17">
      <c r="A2" t="s">
        <v>184</v>
      </c>
      <c r="B2" s="91">
        <v>0.12</v>
      </c>
      <c r="M2" t="s">
        <v>176</v>
      </c>
      <c r="N2" t="s">
        <v>177</v>
      </c>
    </row>
    <row r="3" spans="1:17"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131</v>
      </c>
      <c r="I3" s="79" t="s">
        <v>132</v>
      </c>
      <c r="K3" s="1" t="s">
        <v>167</v>
      </c>
      <c r="M3" t="s">
        <v>170</v>
      </c>
      <c r="N3" t="s">
        <v>179</v>
      </c>
    </row>
    <row r="4" spans="1:17">
      <c r="C4" s="3" t="s">
        <v>107</v>
      </c>
      <c r="D4" s="3"/>
      <c r="E4" s="47">
        <f>'Capital de Trabajo'!N7</f>
        <v>69570.69911999999</v>
      </c>
      <c r="F4" s="48">
        <f>E4*(1+$B$2)</f>
        <v>77919.183014399998</v>
      </c>
      <c r="G4" s="48">
        <f t="shared" ref="G4:I5" si="0">F4*(1+$B$2)</f>
        <v>87269.484976128006</v>
      </c>
      <c r="H4" s="48">
        <f t="shared" si="0"/>
        <v>97741.823173263372</v>
      </c>
      <c r="I4" s="48">
        <f t="shared" si="0"/>
        <v>109470.84195405498</v>
      </c>
    </row>
    <row r="5" spans="1:17" ht="15" customHeight="1">
      <c r="C5" s="3" t="s">
        <v>108</v>
      </c>
      <c r="D5" s="3"/>
      <c r="E5" s="47">
        <f>'Capital de Trabajo'!N16</f>
        <v>18382.501799999998</v>
      </c>
      <c r="F5" s="48">
        <f>E5*(1+$B$2)</f>
        <v>20588.402016</v>
      </c>
      <c r="G5" s="48">
        <f t="shared" si="0"/>
        <v>23059.010257920003</v>
      </c>
      <c r="H5" s="48">
        <f t="shared" si="0"/>
        <v>25826.091488870406</v>
      </c>
      <c r="I5" s="48">
        <f t="shared" si="0"/>
        <v>28925.222467534859</v>
      </c>
      <c r="L5" s="2" t="s">
        <v>171</v>
      </c>
      <c r="M5" s="3"/>
      <c r="O5" s="203" t="s">
        <v>172</v>
      </c>
      <c r="P5" s="203"/>
      <c r="Q5" s="203"/>
    </row>
    <row r="6" spans="1:17">
      <c r="C6" s="77" t="s">
        <v>109</v>
      </c>
      <c r="D6" s="3"/>
      <c r="E6" s="126">
        <f>E4-E5</f>
        <v>51188.197319999992</v>
      </c>
      <c r="F6" s="122">
        <f>F4-F5</f>
        <v>57330.780998399998</v>
      </c>
      <c r="G6" s="122">
        <f>G4-G5</f>
        <v>64210.474718208003</v>
      </c>
      <c r="H6" s="122">
        <f>H4-H5</f>
        <v>71915.731684392958</v>
      </c>
      <c r="I6" s="122">
        <f t="shared" ref="I6" si="1">I4-I5</f>
        <v>80545.619486520125</v>
      </c>
      <c r="L6" s="2" t="s">
        <v>168</v>
      </c>
      <c r="M6" s="22">
        <v>0.6</v>
      </c>
      <c r="O6" s="141" t="s">
        <v>173</v>
      </c>
      <c r="P6" s="138">
        <v>0.68</v>
      </c>
      <c r="Q6" s="3"/>
    </row>
    <row r="7" spans="1:17">
      <c r="C7" s="3" t="s">
        <v>110</v>
      </c>
      <c r="D7" s="123"/>
      <c r="E7" s="127"/>
      <c r="F7" s="123"/>
      <c r="G7" s="123"/>
      <c r="H7" s="123"/>
      <c r="I7" s="123"/>
      <c r="L7" s="2" t="s">
        <v>169</v>
      </c>
      <c r="M7" s="22">
        <v>0.25</v>
      </c>
      <c r="O7" s="141" t="s">
        <v>174</v>
      </c>
      <c r="P7" s="138">
        <v>139610000</v>
      </c>
      <c r="Q7" s="3"/>
    </row>
    <row r="8" spans="1:17" ht="16.5" customHeight="1">
      <c r="C8" s="3" t="s">
        <v>111</v>
      </c>
      <c r="D8" s="3"/>
      <c r="E8" s="127">
        <f>'Capital de Trabajo'!N14</f>
        <v>1440</v>
      </c>
      <c r="F8" s="124">
        <f>$E$8</f>
        <v>1440</v>
      </c>
      <c r="G8" s="124">
        <f>$E$8</f>
        <v>1440</v>
      </c>
      <c r="H8" s="124">
        <f>$E$8</f>
        <v>1440</v>
      </c>
      <c r="I8" s="124">
        <f>$E$8</f>
        <v>1440</v>
      </c>
      <c r="J8" s="135"/>
      <c r="K8" s="135"/>
      <c r="L8" s="135"/>
      <c r="M8" s="135"/>
      <c r="N8" s="135"/>
      <c r="O8" s="141" t="s">
        <v>175</v>
      </c>
      <c r="P8" s="138">
        <v>85918000</v>
      </c>
      <c r="Q8" s="3"/>
    </row>
    <row r="9" spans="1:17">
      <c r="C9" s="3" t="s">
        <v>95</v>
      </c>
      <c r="D9" s="3"/>
      <c r="E9" s="127">
        <f>'Capital de Trabajo'!N15</f>
        <v>6000</v>
      </c>
      <c r="F9" s="124">
        <f>$E$9</f>
        <v>6000</v>
      </c>
      <c r="G9" s="124">
        <f>$E$9</f>
        <v>6000</v>
      </c>
      <c r="H9" s="124">
        <f>$E$9</f>
        <v>6000</v>
      </c>
      <c r="I9" s="124">
        <f>$E$9</f>
        <v>6000</v>
      </c>
      <c r="J9" s="135"/>
      <c r="K9" s="135"/>
      <c r="L9" s="142" t="s">
        <v>178</v>
      </c>
      <c r="M9" s="137">
        <f>P11*(1-M6*M7)/(1-M6)</f>
        <v>0.6815585068160297</v>
      </c>
      <c r="N9" s="135"/>
      <c r="O9" s="141" t="s">
        <v>168</v>
      </c>
      <c r="P9" s="139">
        <f>P8/P7</f>
        <v>0.61541436859823795</v>
      </c>
      <c r="Q9" s="3"/>
    </row>
    <row r="10" spans="1:17">
      <c r="C10" s="3" t="s">
        <v>166</v>
      </c>
      <c r="D10" s="3"/>
      <c r="E10">
        <f>'Capital de Trabajo'!N13</f>
        <v>774</v>
      </c>
      <c r="F10" s="124">
        <f>$E$10</f>
        <v>774</v>
      </c>
      <c r="G10" s="124">
        <f>$E$10</f>
        <v>774</v>
      </c>
      <c r="H10" s="124">
        <f>$E$10</f>
        <v>774</v>
      </c>
      <c r="I10" s="124">
        <f>$E$10</f>
        <v>774</v>
      </c>
      <c r="J10" s="135"/>
      <c r="K10" s="135"/>
      <c r="N10" s="135"/>
      <c r="O10" s="141" t="s">
        <v>169</v>
      </c>
      <c r="P10" s="22">
        <v>0.3</v>
      </c>
      <c r="Q10" s="3"/>
    </row>
    <row r="11" spans="1:17" ht="14.25" customHeight="1">
      <c r="C11" s="3" t="s">
        <v>113</v>
      </c>
      <c r="D11" s="3"/>
      <c r="E11" s="127">
        <f>'Capital de Trabajo'!N12</f>
        <v>30984</v>
      </c>
      <c r="F11" s="48">
        <f>E11*(1+2%)</f>
        <v>31603.68</v>
      </c>
      <c r="G11" s="48">
        <f>F11*(1+2%)</f>
        <v>32235.7536</v>
      </c>
      <c r="H11" s="48">
        <f>G11*(1+2%)</f>
        <v>32880.468672000003</v>
      </c>
      <c r="I11" s="48">
        <f>H11*(1+2%)</f>
        <v>33538.078045440001</v>
      </c>
      <c r="J11" s="135"/>
      <c r="K11" s="135"/>
      <c r="N11" s="135"/>
      <c r="O11" s="141" t="s">
        <v>176</v>
      </c>
      <c r="P11" s="140">
        <f>((1-P9)*P6)/(1-P9*P10)</f>
        <v>0.32073341497224928</v>
      </c>
      <c r="Q11" s="3"/>
    </row>
    <row r="12" spans="1:17">
      <c r="C12" s="3" t="s">
        <v>114</v>
      </c>
      <c r="D12" s="3"/>
      <c r="E12" s="149">
        <f>Depreciacion!D23</f>
        <v>400</v>
      </c>
      <c r="F12" s="129">
        <f>$E$12</f>
        <v>400</v>
      </c>
      <c r="G12" s="129">
        <f>$E$12</f>
        <v>400</v>
      </c>
      <c r="H12" s="129">
        <f>$E$12</f>
        <v>400</v>
      </c>
      <c r="I12" s="129">
        <f>$E$12</f>
        <v>400</v>
      </c>
      <c r="J12" s="135"/>
      <c r="K12" s="135"/>
      <c r="N12" s="135"/>
    </row>
    <row r="13" spans="1:17">
      <c r="C13" s="3" t="s">
        <v>115</v>
      </c>
      <c r="D13" s="3"/>
      <c r="E13" s="127">
        <f>Depreciacion!E17</f>
        <v>3190</v>
      </c>
      <c r="F13" s="124">
        <f>$E$13</f>
        <v>3190</v>
      </c>
      <c r="G13" s="124">
        <f>$E$13</f>
        <v>3190</v>
      </c>
      <c r="H13" s="124">
        <f>$E$13</f>
        <v>3190</v>
      </c>
      <c r="I13" s="124">
        <f>$E$13</f>
        <v>3190</v>
      </c>
      <c r="J13" s="135"/>
      <c r="K13" s="135"/>
      <c r="N13" s="135"/>
    </row>
    <row r="14" spans="1:17">
      <c r="C14" s="3" t="s">
        <v>116</v>
      </c>
      <c r="D14" s="3"/>
      <c r="E14" s="47">
        <f>'Capital de Trabajo'!N11</f>
        <v>6624</v>
      </c>
      <c r="F14" s="125">
        <f>$E$14</f>
        <v>6624</v>
      </c>
      <c r="G14" s="125">
        <f>$E$14</f>
        <v>6624</v>
      </c>
      <c r="H14" s="125">
        <f>$E$14</f>
        <v>6624</v>
      </c>
      <c r="I14" s="125">
        <f>$E$14</f>
        <v>6624</v>
      </c>
      <c r="J14" s="135"/>
      <c r="K14" s="135"/>
      <c r="L14" s="142" t="s">
        <v>180</v>
      </c>
      <c r="M14" s="135" t="s">
        <v>181</v>
      </c>
      <c r="N14" s="135"/>
      <c r="P14" s="1" t="s">
        <v>193</v>
      </c>
      <c r="Q14" s="169">
        <v>8.0400000000000003E-3</v>
      </c>
    </row>
    <row r="15" spans="1:17">
      <c r="C15" s="77" t="s">
        <v>117</v>
      </c>
      <c r="D15" s="3"/>
      <c r="E15" s="126">
        <f>E6-SUM(E8:E14)</f>
        <v>1776.197319999992</v>
      </c>
      <c r="F15" s="122">
        <f>F6-SUM(F8:F14)</f>
        <v>7299.1009983999975</v>
      </c>
      <c r="G15" s="122">
        <f>G6-SUM(G8:G14)</f>
        <v>13546.721118208006</v>
      </c>
      <c r="H15" s="122">
        <f>H6-SUM(H8:H14)</f>
        <v>20607.263012392956</v>
      </c>
      <c r="I15" s="122">
        <f t="shared" ref="I15" si="2">I6-SUM(I8:I14)</f>
        <v>28579.541441080124</v>
      </c>
      <c r="J15" s="134"/>
      <c r="K15" s="134"/>
      <c r="L15" s="58" t="s">
        <v>180</v>
      </c>
      <c r="M15" s="143">
        <f>Q14+M9*(Q15)+Q16</f>
        <v>0.15088026561344267</v>
      </c>
      <c r="N15" s="134"/>
      <c r="P15" s="1" t="s">
        <v>218</v>
      </c>
      <c r="Q15" s="19">
        <v>0.09</v>
      </c>
    </row>
    <row r="16" spans="1:17">
      <c r="C16" s="77" t="s">
        <v>118</v>
      </c>
      <c r="D16" s="3"/>
      <c r="E16" s="3"/>
      <c r="F16" s="3"/>
      <c r="G16" s="3"/>
      <c r="H16" s="3"/>
      <c r="I16" s="3"/>
      <c r="J16" s="134"/>
      <c r="K16" s="134"/>
      <c r="N16" s="134"/>
      <c r="P16" s="1" t="s">
        <v>192</v>
      </c>
      <c r="Q16" s="136">
        <v>8.1500000000000003E-2</v>
      </c>
    </row>
    <row r="17" spans="3:14">
      <c r="C17" s="3" t="s">
        <v>119</v>
      </c>
      <c r="E17" s="118">
        <f>'P&amp;G'!D20</f>
        <v>1672.026052964904</v>
      </c>
      <c r="F17" s="118">
        <f>'P&amp;G'!E20</f>
        <v>1407.9422722554896</v>
      </c>
      <c r="G17" s="118">
        <f>'P&amp;G'!F20</f>
        <v>1112.6173802881515</v>
      </c>
      <c r="H17" s="118">
        <f>'P&amp;G'!G20</f>
        <v>782.35555360107708</v>
      </c>
      <c r="I17" s="118">
        <f>'P&amp;G'!H20</f>
        <v>413.0237528169219</v>
      </c>
      <c r="J17" s="135"/>
      <c r="K17" s="135"/>
      <c r="L17" s="135"/>
      <c r="M17" s="135"/>
      <c r="N17" s="135"/>
    </row>
    <row r="18" spans="3:14">
      <c r="C18" s="3" t="s">
        <v>121</v>
      </c>
      <c r="D18" s="3"/>
      <c r="E18" s="3"/>
      <c r="F18" s="3"/>
      <c r="G18" s="3"/>
      <c r="H18" s="3"/>
      <c r="I18" s="3"/>
      <c r="J18" s="135"/>
      <c r="K18" s="135"/>
      <c r="L18" s="135"/>
      <c r="M18" s="135"/>
      <c r="N18" s="135"/>
    </row>
    <row r="19" spans="3:14">
      <c r="C19" s="77" t="s">
        <v>122</v>
      </c>
      <c r="D19" s="2"/>
      <c r="E19" s="130">
        <f>E15-E17</f>
        <v>104.17126703508802</v>
      </c>
      <c r="F19" s="130">
        <f t="shared" ref="F19:I19" si="3">F15-(F17+F18)</f>
        <v>5891.1587261445075</v>
      </c>
      <c r="G19" s="130">
        <f t="shared" si="3"/>
        <v>12434.103737919855</v>
      </c>
      <c r="H19" s="130">
        <f t="shared" si="3"/>
        <v>19824.90745879188</v>
      </c>
      <c r="I19" s="130">
        <f t="shared" si="3"/>
        <v>28166.5176882632</v>
      </c>
      <c r="M19" s="143"/>
    </row>
    <row r="20" spans="3:14">
      <c r="C20" s="3" t="s">
        <v>123</v>
      </c>
      <c r="D20" s="3"/>
      <c r="E20" s="59">
        <f>E19*0.15</f>
        <v>15.625690055263203</v>
      </c>
      <c r="F20" s="59">
        <f t="shared" ref="F20:I20" si="4">F19*0.15</f>
        <v>883.67380892167614</v>
      </c>
      <c r="G20" s="59">
        <f t="shared" si="4"/>
        <v>1865.1155606879781</v>
      </c>
      <c r="H20" s="59">
        <f t="shared" si="4"/>
        <v>2973.736118818782</v>
      </c>
      <c r="I20" s="59">
        <f t="shared" si="4"/>
        <v>4224.9776532394799</v>
      </c>
    </row>
    <row r="21" spans="3:14">
      <c r="C21" s="78" t="s">
        <v>124</v>
      </c>
      <c r="D21" s="3"/>
      <c r="E21" s="130">
        <f>E19-E20</f>
        <v>88.545576979824816</v>
      </c>
      <c r="F21" s="130">
        <f t="shared" ref="F21:I21" si="5">F19-F20</f>
        <v>5007.4849172228314</v>
      </c>
      <c r="G21" s="130">
        <f t="shared" si="5"/>
        <v>10568.988177231877</v>
      </c>
      <c r="H21" s="130">
        <f t="shared" si="5"/>
        <v>16851.171339973098</v>
      </c>
      <c r="I21" s="130">
        <f t="shared" si="5"/>
        <v>23941.540035023721</v>
      </c>
    </row>
    <row r="22" spans="3:14">
      <c r="C22" s="3" t="s">
        <v>125</v>
      </c>
      <c r="D22" s="3"/>
      <c r="E22" s="59">
        <f>E21*0.25</f>
        <v>22.136394244956204</v>
      </c>
      <c r="F22" s="59">
        <f t="shared" ref="F22:I22" si="6">F21*0.25</f>
        <v>1251.8712293057079</v>
      </c>
      <c r="G22" s="59">
        <f t="shared" si="6"/>
        <v>2642.2470443079692</v>
      </c>
      <c r="H22" s="59">
        <f t="shared" si="6"/>
        <v>4212.7928349932745</v>
      </c>
      <c r="I22" s="59">
        <f t="shared" si="6"/>
        <v>5985.3850087559304</v>
      </c>
    </row>
    <row r="23" spans="3:14">
      <c r="C23" s="77" t="s">
        <v>126</v>
      </c>
      <c r="D23" s="3"/>
      <c r="E23" s="130">
        <f>E21-E22</f>
        <v>66.409182734868608</v>
      </c>
      <c r="F23" s="130">
        <f t="shared" ref="F23:I23" si="7">F21-F22</f>
        <v>3755.6136879171236</v>
      </c>
      <c r="G23" s="130">
        <f t="shared" si="7"/>
        <v>7926.7411329239076</v>
      </c>
      <c r="H23" s="130">
        <f t="shared" si="7"/>
        <v>12638.378504979824</v>
      </c>
      <c r="I23" s="130">
        <f t="shared" si="7"/>
        <v>17956.155026267792</v>
      </c>
    </row>
    <row r="24" spans="3:14">
      <c r="C24" s="80" t="s">
        <v>133</v>
      </c>
      <c r="D24" s="81"/>
      <c r="E24" s="131">
        <f>E12</f>
        <v>400</v>
      </c>
      <c r="F24" s="131">
        <f t="shared" ref="F24:I24" si="8">F12</f>
        <v>400</v>
      </c>
      <c r="G24" s="131">
        <f t="shared" si="8"/>
        <v>400</v>
      </c>
      <c r="H24" s="131">
        <f t="shared" si="8"/>
        <v>400</v>
      </c>
      <c r="I24" s="131">
        <f t="shared" si="8"/>
        <v>400</v>
      </c>
    </row>
    <row r="25" spans="3:14">
      <c r="C25" s="80" t="s">
        <v>134</v>
      </c>
      <c r="D25" s="81"/>
      <c r="E25" s="81">
        <f>E13</f>
        <v>3190</v>
      </c>
      <c r="F25" s="81">
        <f t="shared" ref="F25:I25" si="9">F13</f>
        <v>3190</v>
      </c>
      <c r="G25" s="81">
        <f t="shared" si="9"/>
        <v>3190</v>
      </c>
      <c r="H25" s="81">
        <f t="shared" si="9"/>
        <v>3190</v>
      </c>
      <c r="I25" s="81">
        <f t="shared" si="9"/>
        <v>3190</v>
      </c>
    </row>
    <row r="26" spans="3:14">
      <c r="C26" s="82" t="s">
        <v>135</v>
      </c>
      <c r="D26" s="145">
        <f>-Amortizacion!C3</f>
        <v>-23556.298294799999</v>
      </c>
      <c r="E26" s="17"/>
      <c r="F26" s="17"/>
      <c r="G26" s="17">
        <f>-(Depreciacion!C12+Depreciacion!C13+Depreciacion!D14)</f>
        <v>-1053</v>
      </c>
      <c r="H26" s="17"/>
      <c r="I26" s="17"/>
    </row>
    <row r="27" spans="3:14">
      <c r="C27" s="83" t="s">
        <v>136</v>
      </c>
      <c r="D27" s="150">
        <f>Amortizacion!D8</f>
        <v>14133.778976879999</v>
      </c>
      <c r="E27" s="17"/>
      <c r="F27" s="17"/>
      <c r="G27" s="17"/>
      <c r="H27" s="17"/>
      <c r="I27" s="17"/>
    </row>
    <row r="28" spans="3:14">
      <c r="C28" s="80" t="s">
        <v>137</v>
      </c>
      <c r="D28" s="17"/>
      <c r="E28" s="132">
        <f>-Amortizacion!G15</f>
        <v>-3904.3487977613067</v>
      </c>
      <c r="F28" s="132">
        <f>$E$28</f>
        <v>-3904.3487977613067</v>
      </c>
      <c r="G28" s="132">
        <f t="shared" ref="G28:I28" si="10">$E$28</f>
        <v>-3904.3487977613067</v>
      </c>
      <c r="H28" s="132">
        <f t="shared" si="10"/>
        <v>-3904.3487977613067</v>
      </c>
      <c r="I28" s="132">
        <f t="shared" si="10"/>
        <v>-3904.3487977613067</v>
      </c>
    </row>
    <row r="29" spans="3:14">
      <c r="C29" s="84" t="s">
        <v>138</v>
      </c>
      <c r="D29" s="133">
        <f>'Capital de Trabajo'!C23</f>
        <v>-2006.2982948000008</v>
      </c>
      <c r="E29" s="17"/>
      <c r="F29" s="17"/>
      <c r="G29" s="17"/>
      <c r="H29" s="17"/>
      <c r="I29" s="17"/>
    </row>
    <row r="30" spans="3:14">
      <c r="C30" s="80" t="s">
        <v>139</v>
      </c>
      <c r="D30" s="17"/>
      <c r="E30" s="17"/>
      <c r="F30" s="17"/>
      <c r="G30" s="17"/>
      <c r="H30" s="17"/>
      <c r="I30" s="133">
        <f>-D29</f>
        <v>2006.2982948000008</v>
      </c>
    </row>
    <row r="31" spans="3:14">
      <c r="C31" s="85" t="s">
        <v>140</v>
      </c>
      <c r="D31" s="17"/>
      <c r="E31" s="17"/>
      <c r="F31" s="17"/>
      <c r="G31" s="17"/>
      <c r="H31" s="17"/>
      <c r="I31" s="86">
        <f>Depreciacion!H17</f>
        <v>6250</v>
      </c>
    </row>
    <row r="32" spans="3:14">
      <c r="C32" s="87" t="s">
        <v>141</v>
      </c>
      <c r="D32" s="146">
        <f>SUM(D26:D31)</f>
        <v>-11428.81761272</v>
      </c>
      <c r="E32" s="146">
        <f>SUM(E23:E31)</f>
        <v>-247.93961502643833</v>
      </c>
      <c r="F32" s="146">
        <f t="shared" ref="F32:I32" si="11">SUM(F23:F31)</f>
        <v>3441.2648901558168</v>
      </c>
      <c r="G32" s="146">
        <f>SUM(G23:G31)</f>
        <v>6559.3923351626008</v>
      </c>
      <c r="H32" s="146">
        <f t="shared" si="11"/>
        <v>12324.029707218517</v>
      </c>
      <c r="I32" s="146">
        <f t="shared" si="11"/>
        <v>25898.104523306487</v>
      </c>
    </row>
    <row r="33" spans="3:9">
      <c r="D33" s="18"/>
      <c r="E33" s="18"/>
      <c r="F33" s="18"/>
      <c r="G33" s="18"/>
      <c r="H33" s="18"/>
      <c r="I33" s="18"/>
    </row>
    <row r="35" spans="3:9">
      <c r="C35" s="2" t="s">
        <v>182</v>
      </c>
      <c r="D35" s="59">
        <f>NPV(M15,E32:I32)+D32</f>
        <v>15108.417052227427</v>
      </c>
    </row>
    <row r="36" spans="3:9">
      <c r="C36" s="2" t="s">
        <v>183</v>
      </c>
      <c r="D36" s="22">
        <f>IRR(D32:I32)</f>
        <v>0.41717959743474459</v>
      </c>
    </row>
    <row r="39" spans="3:9">
      <c r="C39" s="165" t="s">
        <v>213</v>
      </c>
      <c r="D39" s="18">
        <f>D32</f>
        <v>-11428.81761272</v>
      </c>
      <c r="E39" s="18">
        <f>E32</f>
        <v>-247.93961502643833</v>
      </c>
      <c r="F39" s="18">
        <f t="shared" ref="F39:I39" si="12">F32</f>
        <v>3441.2648901558168</v>
      </c>
      <c r="G39" s="18">
        <f t="shared" si="12"/>
        <v>6559.3923351626008</v>
      </c>
      <c r="H39" s="18">
        <f t="shared" si="12"/>
        <v>12324.029707218517</v>
      </c>
      <c r="I39" s="18">
        <f t="shared" si="12"/>
        <v>25898.104523306487</v>
      </c>
    </row>
    <row r="40" spans="3:9">
      <c r="C40" s="165" t="s">
        <v>214</v>
      </c>
      <c r="D40" s="18">
        <f>D39</f>
        <v>-11428.81761272</v>
      </c>
      <c r="E40" s="18">
        <f>E39/(1+$M$15)^1</f>
        <v>-215.43476105594829</v>
      </c>
      <c r="F40" s="18">
        <f t="shared" ref="F40:I40" si="13">F39/(1+$M$15)^1</f>
        <v>2990.1154733255871</v>
      </c>
      <c r="G40" s="18">
        <f t="shared" si="13"/>
        <v>5699.4567820365837</v>
      </c>
      <c r="H40" s="18">
        <f t="shared" si="13"/>
        <v>10708.350881878712</v>
      </c>
      <c r="I40" s="18">
        <f t="shared" si="13"/>
        <v>22502.866107885053</v>
      </c>
    </row>
    <row r="41" spans="3:9">
      <c r="C41" s="165" t="s">
        <v>215</v>
      </c>
      <c r="D41" s="18">
        <f>D40</f>
        <v>-11428.81761272</v>
      </c>
      <c r="E41" s="18">
        <f>D41+E40</f>
        <v>-11644.252373775949</v>
      </c>
      <c r="F41" s="18">
        <f t="shared" ref="F41:I41" si="14">E41+F40</f>
        <v>-8654.1369004503613</v>
      </c>
      <c r="G41" s="18">
        <f>F41+G40</f>
        <v>-2954.6801184137776</v>
      </c>
      <c r="H41" s="18">
        <f t="shared" si="14"/>
        <v>7753.6707634649347</v>
      </c>
      <c r="I41" s="18">
        <f t="shared" si="14"/>
        <v>30256.536871349988</v>
      </c>
    </row>
    <row r="42" spans="3:9" ht="15.75" thickBot="1"/>
    <row r="43" spans="3:9" ht="15.75" thickBot="1">
      <c r="F43" s="166" t="s">
        <v>217</v>
      </c>
      <c r="G43" s="168">
        <f>3+(-G41/H41)</f>
        <v>3.38106855559771</v>
      </c>
      <c r="H43" s="167" t="s">
        <v>216</v>
      </c>
    </row>
    <row r="45" spans="3:9">
      <c r="D45" s="19"/>
    </row>
  </sheetData>
  <scenarios current="0" show="0" sqref="D35">
    <scenario name="Crece en 5%" locked="1" count="1" user="Usuario" comment="Creado por Usuario el 22/01/2012_x000a_Modificado por Usuario el 22/01/2012">
      <inputCells r="B2" val="0,05" numFmtId="10"/>
    </scenario>
    <scenario name="Crece en 15%" locked="1" count="1" user="Usuario" comment="Creado por Usuario el 22/01/2012">
      <inputCells r="B2" val="0,15" numFmtId="10"/>
    </scenario>
    <scenario name="Crece en 20%" locked="1" count="1" user="Usuario" comment="Creado por Usuario el 22/01/2012">
      <inputCells r="B2" val="0,2" numFmtId="10"/>
    </scenario>
    <scenario name="No crece" locked="1" count="1" user="Usuario" comment="Creado por Usuario el 22/01/2012">
      <inputCells r="B2" val="0" numFmtId="10"/>
    </scenario>
    <scenario name="Decrece en 5%" locked="1" count="1" user="Usuario" comment="Creado por Usuario el 22/01/2012">
      <inputCells r="B2" val="-0,05" numFmtId="10"/>
    </scenario>
    <scenario name="Decrece en 15% " locked="1" count="1" user="Usuario" comment="Creado por Usuario el 22/01/2012_x000a_Modificado por Usuario el 22/01/2012">
      <inputCells r="B2" val="-0,15" numFmtId="10"/>
    </scenario>
    <scenario name="Decrece en 20%" locked="1" count="1" user="Usuario" comment="Creado por Usuario el 22/01/2012_x000a_Modificado por Usuario el 22/01/2012">
      <inputCells r="B2" val="-0,2" numFmtId="10"/>
    </scenario>
  </scenarios>
  <mergeCells count="1">
    <mergeCell ref="O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INGRESOS</vt:lpstr>
      <vt:lpstr>Inversión y Costos</vt:lpstr>
      <vt:lpstr>Gastos Administrativos</vt:lpstr>
      <vt:lpstr>Gastos de Ventas</vt:lpstr>
      <vt:lpstr>Capital de Trabajo</vt:lpstr>
      <vt:lpstr>Depreciacion</vt:lpstr>
      <vt:lpstr>Amortizacion</vt:lpstr>
      <vt:lpstr>P&amp;G</vt:lpstr>
      <vt:lpstr>Flujo efectivo</vt:lpstr>
      <vt:lpstr>Resumen de escenario</vt:lpstr>
      <vt:lpstr>Payback</vt:lpstr>
      <vt:lpstr>Flujo efectivo (2)</vt:lpstr>
      <vt:lpstr>Sensibilidad</vt:lpstr>
      <vt:lpstr>Hoja1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JULIONARANJO</dc:creator>
  <cp:lastModifiedBy>JULIONARANJO</cp:lastModifiedBy>
  <dcterms:created xsi:type="dcterms:W3CDTF">2012-01-10T16:41:11Z</dcterms:created>
  <dcterms:modified xsi:type="dcterms:W3CDTF">2012-03-01T04:29:14Z</dcterms:modified>
</cp:coreProperties>
</file>