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5480" windowHeight="9240" tabRatio="892" firstSheet="3" activeTab="5"/>
  </bookViews>
  <sheets>
    <sheet name="INVERSION INICIAL" sheetId="3" r:id="rId1"/>
    <sheet name="DERMANDA - INGRESOS" sheetId="4" r:id="rId2"/>
    <sheet name="DEPRECIACIONES" sheetId="2" r:id="rId3"/>
    <sheet name="VALOR DE DESECHO" sheetId="12" r:id="rId4"/>
    <sheet name="GASTOS ADMINISTRATIVOS" sheetId="1" r:id="rId5"/>
    <sheet name="CAP. TRABAJO" sheetId="7" r:id="rId6"/>
    <sheet name="FLUJO DE CAJA" sheetId="21" r:id="rId7"/>
    <sheet name="EST. RESULTADO" sheetId="20" r:id="rId8"/>
    <sheet name="AMORTIZACIÓN" sheetId="8" r:id="rId9"/>
    <sheet name="COSTOS" sheetId="18" r:id="rId10"/>
    <sheet name="GASTOS ADMINISTRATIVOS (2)" sheetId="25" r:id="rId11"/>
    <sheet name="capm y prestamo" sheetId="17" r:id="rId12"/>
    <sheet name="FLUJO DE CAJA (2)" sheetId="24" r:id="rId13"/>
    <sheet name="ANALISIS SENSIB" sheetId="10" r:id="rId14"/>
  </sheets>
  <calcPr calcId="125725"/>
</workbook>
</file>

<file path=xl/calcChain.xml><?xml version="1.0" encoding="utf-8"?>
<calcChain xmlns="http://schemas.openxmlformats.org/spreadsheetml/2006/main">
  <c r="X29" i="4"/>
  <c r="E20" i="25"/>
  <c r="F20" s="1"/>
  <c r="D20"/>
  <c r="E19"/>
  <c r="F19" s="1"/>
  <c r="D19"/>
  <c r="E18"/>
  <c r="F18" s="1"/>
  <c r="D18"/>
  <c r="E17"/>
  <c r="F17" s="1"/>
  <c r="D17"/>
  <c r="E16"/>
  <c r="F16" s="1"/>
  <c r="D16"/>
  <c r="E15"/>
  <c r="F15" s="1"/>
  <c r="D15"/>
  <c r="E14"/>
  <c r="F14" s="1"/>
  <c r="D14"/>
  <c r="E13"/>
  <c r="F13" s="1"/>
  <c r="D13"/>
  <c r="E12"/>
  <c r="F12" s="1"/>
  <c r="D12"/>
  <c r="E11"/>
  <c r="F11" s="1"/>
  <c r="D11"/>
  <c r="E10"/>
  <c r="F10" s="1"/>
  <c r="D10"/>
  <c r="E9"/>
  <c r="F9" s="1"/>
  <c r="D9"/>
  <c r="E8"/>
  <c r="F8" s="1"/>
  <c r="D8"/>
  <c r="G8" l="1"/>
  <c r="H8" s="1"/>
  <c r="G9"/>
  <c r="H9" s="1"/>
  <c r="I9" s="1"/>
  <c r="G10"/>
  <c r="H10" s="1"/>
  <c r="I10" s="1"/>
  <c r="G11"/>
  <c r="H11" s="1"/>
  <c r="I11" s="1"/>
  <c r="G12"/>
  <c r="H12" s="1"/>
  <c r="I12" s="1"/>
  <c r="G13"/>
  <c r="H13" s="1"/>
  <c r="I13" s="1"/>
  <c r="G14"/>
  <c r="H14" s="1"/>
  <c r="I14" s="1"/>
  <c r="G15"/>
  <c r="H15" s="1"/>
  <c r="I15" s="1"/>
  <c r="G16"/>
  <c r="H16" s="1"/>
  <c r="I16" s="1"/>
  <c r="G17"/>
  <c r="H17" s="1"/>
  <c r="I17" s="1"/>
  <c r="G18"/>
  <c r="H18" s="1"/>
  <c r="I18" s="1"/>
  <c r="G19"/>
  <c r="H19" s="1"/>
  <c r="I19" s="1"/>
  <c r="G20"/>
  <c r="H20" s="1"/>
  <c r="I20" s="1"/>
  <c r="H21" l="1"/>
  <c r="I21" s="1"/>
  <c r="D26" s="1"/>
  <c r="E26" s="1"/>
  <c r="F26" s="1"/>
  <c r="G26" s="1"/>
  <c r="H26" s="1"/>
  <c r="I8"/>
  <c r="F28" i="24" l="1"/>
  <c r="D17"/>
  <c r="E17" s="1"/>
  <c r="F17" s="1"/>
  <c r="G17" s="1"/>
  <c r="A8"/>
  <c r="A7"/>
  <c r="H23" i="17"/>
  <c r="C21"/>
  <c r="C15" i="20" l="1"/>
  <c r="D15" s="1"/>
  <c r="E15" s="1"/>
  <c r="F15" s="1"/>
  <c r="D14" i="21"/>
  <c r="E14" s="1"/>
  <c r="F14" s="1"/>
  <c r="G14" s="1"/>
  <c r="C6" i="18"/>
  <c r="T39" i="4"/>
  <c r="C9" i="24" s="1"/>
  <c r="D9" s="1"/>
  <c r="E9" s="1"/>
  <c r="F9" s="1"/>
  <c r="G9" s="1"/>
  <c r="J26" i="4"/>
  <c r="L26"/>
  <c r="M26"/>
  <c r="N26"/>
  <c r="P26"/>
  <c r="Q26"/>
  <c r="R26"/>
  <c r="S26"/>
  <c r="H26"/>
  <c r="E28" i="3"/>
  <c r="B8" i="20" l="1"/>
  <c r="C8" s="1"/>
  <c r="D8" s="1"/>
  <c r="E8" s="1"/>
  <c r="F8" s="1"/>
  <c r="C6" i="21"/>
  <c r="D6" s="1"/>
  <c r="E6" s="1"/>
  <c r="F6" s="1"/>
  <c r="G6" s="1"/>
  <c r="C8" i="17"/>
  <c r="F25" i="21"/>
  <c r="A5"/>
  <c r="A4"/>
  <c r="A7" i="20"/>
  <c r="A6"/>
  <c r="F8" i="7" l="1"/>
  <c r="C11" i="18"/>
  <c r="C16" i="24" s="1"/>
  <c r="D16" s="1"/>
  <c r="E16" s="1"/>
  <c r="F16" s="1"/>
  <c r="G16" s="1"/>
  <c r="C13" i="21" l="1"/>
  <c r="D13" s="1"/>
  <c r="E13" s="1"/>
  <c r="F13" s="1"/>
  <c r="G13" s="1"/>
  <c r="B16" i="20"/>
  <c r="C16" s="1"/>
  <c r="D16" s="1"/>
  <c r="E16" s="1"/>
  <c r="F16" s="1"/>
  <c r="D18" i="18"/>
  <c r="E18"/>
  <c r="F18"/>
  <c r="G18"/>
  <c r="H18"/>
  <c r="I18"/>
  <c r="J18"/>
  <c r="K18"/>
  <c r="L18"/>
  <c r="M18"/>
  <c r="N18"/>
  <c r="C18"/>
  <c r="B8"/>
  <c r="I8"/>
  <c r="B20" s="1"/>
  <c r="F4"/>
  <c r="I25" i="4"/>
  <c r="J25"/>
  <c r="K25"/>
  <c r="L25"/>
  <c r="M25"/>
  <c r="N25"/>
  <c r="O25"/>
  <c r="P25"/>
  <c r="Q25"/>
  <c r="R25"/>
  <c r="S25"/>
  <c r="H25"/>
  <c r="T25" s="1"/>
  <c r="C7" i="24" s="1"/>
  <c r="D7" l="1"/>
  <c r="C4" i="21"/>
  <c r="B6" i="20"/>
  <c r="D20" i="4"/>
  <c r="I10"/>
  <c r="I26" s="1"/>
  <c r="K10"/>
  <c r="K26" s="1"/>
  <c r="O10"/>
  <c r="O26" s="1"/>
  <c r="F6" i="18"/>
  <c r="F11" l="1"/>
  <c r="B19" s="1"/>
  <c r="T26" i="4"/>
  <c r="C8" i="24" s="1"/>
  <c r="E7"/>
  <c r="D4" i="21"/>
  <c r="E4" s="1"/>
  <c r="F4" s="1"/>
  <c r="G4" s="1"/>
  <c r="C6" i="20"/>
  <c r="D6" s="1"/>
  <c r="E6" s="1"/>
  <c r="F6" s="1"/>
  <c r="H12" i="4"/>
  <c r="C17" i="18"/>
  <c r="H27" i="4"/>
  <c r="B13" i="7" s="1"/>
  <c r="S12" i="4"/>
  <c r="N17" i="18"/>
  <c r="S27" i="4"/>
  <c r="M13" i="7" s="1"/>
  <c r="Q12" i="4"/>
  <c r="L17" i="18"/>
  <c r="Q27" i="4"/>
  <c r="K13" i="7" s="1"/>
  <c r="O12" i="4"/>
  <c r="J17" i="18"/>
  <c r="O27" i="4"/>
  <c r="I13" i="7" s="1"/>
  <c r="N12" i="4"/>
  <c r="I17" i="18"/>
  <c r="N27" i="4"/>
  <c r="H13" i="7" s="1"/>
  <c r="M12" i="4"/>
  <c r="H17" i="18"/>
  <c r="M27" i="4"/>
  <c r="G13" i="7" s="1"/>
  <c r="L12" i="4"/>
  <c r="G17" i="18"/>
  <c r="L27" i="4"/>
  <c r="F13" i="7" s="1"/>
  <c r="K12" i="4"/>
  <c r="F17" i="18"/>
  <c r="K27" i="4"/>
  <c r="E13" i="7" s="1"/>
  <c r="J12" i="4"/>
  <c r="E17" i="18"/>
  <c r="J27" i="4"/>
  <c r="D13" i="7" s="1"/>
  <c r="I12" i="4"/>
  <c r="D17" i="18"/>
  <c r="I27" i="4"/>
  <c r="R12"/>
  <c r="M17" i="18"/>
  <c r="R27" i="4"/>
  <c r="L13" i="7" s="1"/>
  <c r="P12" i="4"/>
  <c r="K17" i="18"/>
  <c r="C10"/>
  <c r="C9"/>
  <c r="C3"/>
  <c r="D8" i="24" l="1"/>
  <c r="C10"/>
  <c r="F7"/>
  <c r="C8" i="18"/>
  <c r="C14" i="24" s="1"/>
  <c r="D14" s="1"/>
  <c r="E14" s="1"/>
  <c r="F14" s="1"/>
  <c r="G14" s="1"/>
  <c r="P27" i="4"/>
  <c r="C5" i="18"/>
  <c r="D20"/>
  <c r="E20"/>
  <c r="F20"/>
  <c r="H20"/>
  <c r="I20"/>
  <c r="J20"/>
  <c r="K20"/>
  <c r="L20"/>
  <c r="M20"/>
  <c r="N20"/>
  <c r="C20"/>
  <c r="E19"/>
  <c r="F19"/>
  <c r="H19"/>
  <c r="I19"/>
  <c r="J19"/>
  <c r="K19"/>
  <c r="L19"/>
  <c r="M19"/>
  <c r="N19"/>
  <c r="D19"/>
  <c r="C19"/>
  <c r="B21"/>
  <c r="B13" i="20" l="1"/>
  <c r="C13" s="1"/>
  <c r="D13" s="1"/>
  <c r="E13" s="1"/>
  <c r="F13" s="1"/>
  <c r="C11" i="21"/>
  <c r="D11" s="1"/>
  <c r="E11" s="1"/>
  <c r="F11" s="1"/>
  <c r="G11" s="1"/>
  <c r="E8" i="24"/>
  <c r="D10"/>
  <c r="G7"/>
  <c r="C5" i="21"/>
  <c r="B7" i="20"/>
  <c r="J13" i="7"/>
  <c r="T27" i="4"/>
  <c r="N21" i="18"/>
  <c r="M8" i="7" s="1"/>
  <c r="J21" i="18"/>
  <c r="I8" i="7" s="1"/>
  <c r="M21" i="18"/>
  <c r="L8" i="7" s="1"/>
  <c r="I21" i="18"/>
  <c r="H8" i="7" s="1"/>
  <c r="E21" i="18"/>
  <c r="D8" i="7" s="1"/>
  <c r="F21" i="18"/>
  <c r="E8" i="7" s="1"/>
  <c r="K21" i="18"/>
  <c r="J8" i="7" s="1"/>
  <c r="D21" i="18"/>
  <c r="H21"/>
  <c r="G8" i="7" s="1"/>
  <c r="L21" i="18"/>
  <c r="K8" i="7" s="1"/>
  <c r="F8" i="24" l="1"/>
  <c r="E10"/>
  <c r="D5" i="21"/>
  <c r="E5" s="1"/>
  <c r="F5" s="1"/>
  <c r="G5" s="1"/>
  <c r="C7" i="20"/>
  <c r="D7" s="1"/>
  <c r="E7" s="1"/>
  <c r="F7" s="1"/>
  <c r="B9"/>
  <c r="C7" i="21"/>
  <c r="O20" i="18"/>
  <c r="O19"/>
  <c r="C21"/>
  <c r="B8" i="7" s="1"/>
  <c r="G8" i="24" l="1"/>
  <c r="G10" s="1"/>
  <c r="F10"/>
  <c r="D7" i="21"/>
  <c r="C9" i="20"/>
  <c r="O21" i="18"/>
  <c r="C11" i="24" s="1"/>
  <c r="D11" l="1"/>
  <c r="C1"/>
  <c r="C12"/>
  <c r="D9" i="20"/>
  <c r="E7" i="21"/>
  <c r="C8"/>
  <c r="B10" i="20"/>
  <c r="C7" i="17"/>
  <c r="C11" s="1"/>
  <c r="C10" i="20" l="1"/>
  <c r="B11"/>
  <c r="C2" i="24"/>
  <c r="C3" s="1"/>
  <c r="D8" i="21"/>
  <c r="C9"/>
  <c r="E11" i="24"/>
  <c r="D1"/>
  <c r="D12"/>
  <c r="G7" i="21"/>
  <c r="F7"/>
  <c r="F9" i="20"/>
  <c r="E9"/>
  <c r="B16" i="12"/>
  <c r="C87" i="2"/>
  <c r="A16" i="12" s="1"/>
  <c r="C86" i="2"/>
  <c r="A15" i="12" s="1"/>
  <c r="C85" i="2"/>
  <c r="A14" i="12" s="1"/>
  <c r="C84" i="2"/>
  <c r="A13" i="12" s="1"/>
  <c r="C83" i="2"/>
  <c r="A12" i="12" s="1"/>
  <c r="C82" i="2"/>
  <c r="A11" i="12" s="1"/>
  <c r="C81" i="2"/>
  <c r="A10" i="12" s="1"/>
  <c r="C80" i="2"/>
  <c r="A9" i="12" s="1"/>
  <c r="B13" i="4"/>
  <c r="B15" s="1"/>
  <c r="D34"/>
  <c r="D35"/>
  <c r="D36"/>
  <c r="D37"/>
  <c r="D43"/>
  <c r="B47" s="1"/>
  <c r="D63"/>
  <c r="G63"/>
  <c r="B64"/>
  <c r="D64" s="1"/>
  <c r="E64"/>
  <c r="G64" s="1"/>
  <c r="E36" i="3"/>
  <c r="F11" i="24" l="1"/>
  <c r="E1"/>
  <c r="E12"/>
  <c r="E8" i="21"/>
  <c r="F8" s="1"/>
  <c r="G8" s="1"/>
  <c r="D9"/>
  <c r="D10" i="20"/>
  <c r="E10" s="1"/>
  <c r="F10" s="1"/>
  <c r="C11"/>
  <c r="D2" i="24"/>
  <c r="D3" s="1"/>
  <c r="E9" i="21"/>
  <c r="D38" i="4"/>
  <c r="H64"/>
  <c r="H63"/>
  <c r="E65"/>
  <c r="B65"/>
  <c r="E2" i="24" l="1"/>
  <c r="E3" s="1"/>
  <c r="G11"/>
  <c r="F1"/>
  <c r="F12"/>
  <c r="D11" i="20"/>
  <c r="E11"/>
  <c r="F9" i="21"/>
  <c r="B46" i="4"/>
  <c r="B48" s="1"/>
  <c r="E38"/>
  <c r="F38" s="1"/>
  <c r="G65"/>
  <c r="E66"/>
  <c r="D65"/>
  <c r="H65" s="1"/>
  <c r="B66"/>
  <c r="F2" i="24" l="1"/>
  <c r="F3" s="1"/>
  <c r="G1"/>
  <c r="G12"/>
  <c r="G9" i="21"/>
  <c r="F11" i="20"/>
  <c r="D66" i="4"/>
  <c r="B67"/>
  <c r="D67" s="1"/>
  <c r="G66"/>
  <c r="E67"/>
  <c r="G67" s="1"/>
  <c r="G2" i="24" l="1"/>
  <c r="G3" s="1"/>
  <c r="C5" s="1"/>
  <c r="H66" i="4"/>
  <c r="H67"/>
  <c r="E17" i="1" l="1"/>
  <c r="F17"/>
  <c r="G17"/>
  <c r="H17" l="1"/>
  <c r="I17" s="1"/>
  <c r="J17" s="1"/>
  <c r="E39" i="3" l="1"/>
  <c r="E38"/>
  <c r="E37"/>
  <c r="E35"/>
  <c r="E30"/>
  <c r="J47" i="2" s="1"/>
  <c r="E29" i="3"/>
  <c r="E27"/>
  <c r="E26"/>
  <c r="E25"/>
  <c r="E24"/>
  <c r="E23"/>
  <c r="E18"/>
  <c r="E47" i="2" s="1"/>
  <c r="E17" i="3"/>
  <c r="B14" i="12" s="1"/>
  <c r="E16" i="3"/>
  <c r="E11"/>
  <c r="E10"/>
  <c r="E9"/>
  <c r="E8"/>
  <c r="B10" i="12" l="1"/>
  <c r="B12"/>
  <c r="H57" i="2"/>
  <c r="H53"/>
  <c r="H49"/>
  <c r="H56"/>
  <c r="H52"/>
  <c r="H55"/>
  <c r="H51"/>
  <c r="H48"/>
  <c r="J48" s="1"/>
  <c r="H54"/>
  <c r="H50"/>
  <c r="B9" i="12"/>
  <c r="B11"/>
  <c r="E40" i="2"/>
  <c r="C42" s="1"/>
  <c r="B13" i="12"/>
  <c r="E40" i="3"/>
  <c r="J23" i="2"/>
  <c r="H25" s="1"/>
  <c r="E19" i="3"/>
  <c r="E23" i="2"/>
  <c r="C32" s="1"/>
  <c r="J40"/>
  <c r="H41" s="1"/>
  <c r="E9"/>
  <c r="C19" s="1"/>
  <c r="F19" s="1"/>
  <c r="J9"/>
  <c r="H10" s="1"/>
  <c r="E12" i="3"/>
  <c r="E31"/>
  <c r="C50" i="2"/>
  <c r="F50" s="1"/>
  <c r="C48"/>
  <c r="D48" s="1"/>
  <c r="E48" s="1"/>
  <c r="C49"/>
  <c r="J49" l="1"/>
  <c r="J50" s="1"/>
  <c r="J51" s="1"/>
  <c r="J52" s="1"/>
  <c r="J53" s="1"/>
  <c r="J54" s="1"/>
  <c r="J55" s="1"/>
  <c r="J56" s="1"/>
  <c r="J57" s="1"/>
  <c r="C41"/>
  <c r="C43"/>
  <c r="F43" s="1"/>
  <c r="C10"/>
  <c r="F80" s="1"/>
  <c r="C29"/>
  <c r="C12"/>
  <c r="C26"/>
  <c r="C17"/>
  <c r="C24"/>
  <c r="F82" s="1"/>
  <c r="H29"/>
  <c r="H28"/>
  <c r="I48"/>
  <c r="I49" s="1"/>
  <c r="I50" s="1"/>
  <c r="I51" s="1"/>
  <c r="I52" s="1"/>
  <c r="I53" s="1"/>
  <c r="I54" s="1"/>
  <c r="I55" s="1"/>
  <c r="I56" s="1"/>
  <c r="I57" s="1"/>
  <c r="F87"/>
  <c r="B15" i="12"/>
  <c r="E9"/>
  <c r="G9" s="1"/>
  <c r="G80" i="2"/>
  <c r="D24"/>
  <c r="E24" s="1"/>
  <c r="I10"/>
  <c r="F81"/>
  <c r="I41"/>
  <c r="F85"/>
  <c r="D41"/>
  <c r="D42" s="1"/>
  <c r="F84"/>
  <c r="C16"/>
  <c r="C13"/>
  <c r="C25"/>
  <c r="C33"/>
  <c r="F33" s="1"/>
  <c r="C30"/>
  <c r="H33"/>
  <c r="K33" s="1"/>
  <c r="H32"/>
  <c r="H17"/>
  <c r="H14"/>
  <c r="H13"/>
  <c r="H18"/>
  <c r="H42"/>
  <c r="I42" s="1"/>
  <c r="J42" s="1"/>
  <c r="C14"/>
  <c r="C18"/>
  <c r="C11"/>
  <c r="C15"/>
  <c r="J10"/>
  <c r="C27"/>
  <c r="C31"/>
  <c r="H11"/>
  <c r="I11" s="1"/>
  <c r="H15"/>
  <c r="H19"/>
  <c r="C28"/>
  <c r="H12"/>
  <c r="H16"/>
  <c r="H27"/>
  <c r="H31"/>
  <c r="H26"/>
  <c r="H30"/>
  <c r="H24"/>
  <c r="D47" i="3"/>
  <c r="H43" i="2"/>
  <c r="K43" s="1"/>
  <c r="K50" s="1"/>
  <c r="J41"/>
  <c r="K19"/>
  <c r="D10"/>
  <c r="D11" s="1"/>
  <c r="E11" s="1"/>
  <c r="E64"/>
  <c r="C65" s="1"/>
  <c r="E41"/>
  <c r="I43"/>
  <c r="J43" s="1"/>
  <c r="D49"/>
  <c r="D43"/>
  <c r="E43" s="1"/>
  <c r="E42"/>
  <c r="D25"/>
  <c r="E16" i="12" l="1"/>
  <c r="G16" s="1"/>
  <c r="H16" s="1"/>
  <c r="G87" i="2"/>
  <c r="H9" i="12"/>
  <c r="G84" i="2"/>
  <c r="E13" i="12"/>
  <c r="G13" s="1"/>
  <c r="H13" s="1"/>
  <c r="E14"/>
  <c r="G14" s="1"/>
  <c r="H14" s="1"/>
  <c r="G85" i="2"/>
  <c r="E10" i="12"/>
  <c r="G10" s="1"/>
  <c r="G81" i="2"/>
  <c r="G82"/>
  <c r="E11" i="12"/>
  <c r="G11" s="1"/>
  <c r="H11" s="1"/>
  <c r="D65" i="2"/>
  <c r="E65" s="1"/>
  <c r="F86"/>
  <c r="I24"/>
  <c r="J24" s="1"/>
  <c r="F83"/>
  <c r="F88" s="1"/>
  <c r="C15" i="24" s="1"/>
  <c r="C72" i="2"/>
  <c r="D12"/>
  <c r="D13" s="1"/>
  <c r="C71"/>
  <c r="C74"/>
  <c r="C69"/>
  <c r="E10"/>
  <c r="C67"/>
  <c r="C73"/>
  <c r="C68"/>
  <c r="C66"/>
  <c r="C70"/>
  <c r="D50"/>
  <c r="E50" s="1"/>
  <c r="E49"/>
  <c r="I12"/>
  <c r="J11"/>
  <c r="D26"/>
  <c r="E25"/>
  <c r="E12"/>
  <c r="C25" i="24" l="1"/>
  <c r="D15"/>
  <c r="I25" i="2"/>
  <c r="J25" s="1"/>
  <c r="C12" i="21"/>
  <c r="B14" i="20"/>
  <c r="C14" s="1"/>
  <c r="D14" s="1"/>
  <c r="E14" s="1"/>
  <c r="F14" s="1"/>
  <c r="D66" i="2"/>
  <c r="E66" s="1"/>
  <c r="H10" i="12"/>
  <c r="E12"/>
  <c r="G12" s="1"/>
  <c r="H12" s="1"/>
  <c r="G83" i="2"/>
  <c r="G86"/>
  <c r="E15" i="12"/>
  <c r="G15" s="1"/>
  <c r="H15" s="1"/>
  <c r="I26" i="2"/>
  <c r="D67"/>
  <c r="D68" s="1"/>
  <c r="D27"/>
  <c r="E26"/>
  <c r="I13"/>
  <c r="J12"/>
  <c r="D14"/>
  <c r="E13"/>
  <c r="E67" l="1"/>
  <c r="D25" i="24"/>
  <c r="E15"/>
  <c r="D12" i="21"/>
  <c r="C22"/>
  <c r="G88" i="2"/>
  <c r="B7" i="18" s="1"/>
  <c r="C7" s="1"/>
  <c r="H17" i="12"/>
  <c r="G30" i="24" s="1"/>
  <c r="G17" i="12"/>
  <c r="I27" i="2"/>
  <c r="J26"/>
  <c r="D69"/>
  <c r="E68"/>
  <c r="I14"/>
  <c r="J13"/>
  <c r="D28"/>
  <c r="E27"/>
  <c r="D15"/>
  <c r="E14"/>
  <c r="F15" i="24" l="1"/>
  <c r="E25"/>
  <c r="G27" i="21"/>
  <c r="E12"/>
  <c r="D22"/>
  <c r="I28" i="2"/>
  <c r="J27"/>
  <c r="D70"/>
  <c r="E69"/>
  <c r="D29"/>
  <c r="E28"/>
  <c r="I15"/>
  <c r="J14"/>
  <c r="D16"/>
  <c r="E15"/>
  <c r="F25" i="24" l="1"/>
  <c r="G15"/>
  <c r="G25" s="1"/>
  <c r="F12" i="21"/>
  <c r="E22"/>
  <c r="I29" i="2"/>
  <c r="J28"/>
  <c r="D71"/>
  <c r="E70"/>
  <c r="I16"/>
  <c r="J15"/>
  <c r="D30"/>
  <c r="E29"/>
  <c r="D17"/>
  <c r="E16"/>
  <c r="G12" i="21" l="1"/>
  <c r="G22" s="1"/>
  <c r="F22"/>
  <c r="J29" i="2"/>
  <c r="I30"/>
  <c r="D72"/>
  <c r="E71"/>
  <c r="D31"/>
  <c r="E30"/>
  <c r="I17"/>
  <c r="J16"/>
  <c r="D18"/>
  <c r="E17"/>
  <c r="J30" l="1"/>
  <c r="I31"/>
  <c r="D73"/>
  <c r="E72"/>
  <c r="I18"/>
  <c r="J17"/>
  <c r="D32"/>
  <c r="E31"/>
  <c r="D19"/>
  <c r="E19" s="1"/>
  <c r="E18"/>
  <c r="J31" l="1"/>
  <c r="I32"/>
  <c r="D74"/>
  <c r="E74" s="1"/>
  <c r="E73"/>
  <c r="D33"/>
  <c r="E33" s="1"/>
  <c r="E32"/>
  <c r="I19"/>
  <c r="J18"/>
  <c r="F13" i="1"/>
  <c r="G13" s="1"/>
  <c r="F14"/>
  <c r="G14" s="1"/>
  <c r="F15"/>
  <c r="G15" s="1"/>
  <c r="F16"/>
  <c r="G16" s="1"/>
  <c r="F18"/>
  <c r="G18" s="1"/>
  <c r="F19"/>
  <c r="G19" s="1"/>
  <c r="F20"/>
  <c r="G20" s="1"/>
  <c r="F21"/>
  <c r="G21" s="1"/>
  <c r="F22"/>
  <c r="G22" s="1"/>
  <c r="F23"/>
  <c r="G23" s="1"/>
  <c r="F24"/>
  <c r="G24" s="1"/>
  <c r="F12"/>
  <c r="G12" s="1"/>
  <c r="E13"/>
  <c r="E14"/>
  <c r="E15"/>
  <c r="H15" s="1"/>
  <c r="I15" s="1"/>
  <c r="J15" s="1"/>
  <c r="E16"/>
  <c r="E18"/>
  <c r="E19"/>
  <c r="H19" s="1"/>
  <c r="I19" s="1"/>
  <c r="J19" s="1"/>
  <c r="E20"/>
  <c r="E21"/>
  <c r="E22"/>
  <c r="E23"/>
  <c r="H23" s="1"/>
  <c r="I23" s="1"/>
  <c r="J23" s="1"/>
  <c r="E24"/>
  <c r="H24" s="1"/>
  <c r="I24" s="1"/>
  <c r="J24" s="1"/>
  <c r="E12"/>
  <c r="J32" i="2" l="1"/>
  <c r="I33"/>
  <c r="J33" s="1"/>
  <c r="J19"/>
  <c r="H18" i="1"/>
  <c r="I18" s="1"/>
  <c r="J18" s="1"/>
  <c r="H13"/>
  <c r="I13" s="1"/>
  <c r="J13" s="1"/>
  <c r="H16"/>
  <c r="I16" s="1"/>
  <c r="J16" s="1"/>
  <c r="H21"/>
  <c r="I21" s="1"/>
  <c r="J21" s="1"/>
  <c r="H22"/>
  <c r="I22" s="1"/>
  <c r="J22" s="1"/>
  <c r="H20"/>
  <c r="I20" s="1"/>
  <c r="J20" s="1"/>
  <c r="H14"/>
  <c r="I14" s="1"/>
  <c r="J14" s="1"/>
  <c r="H12"/>
  <c r="I12" s="1"/>
  <c r="J12" l="1"/>
  <c r="I25"/>
  <c r="B4" i="18" s="1"/>
  <c r="C4" l="1"/>
  <c r="C2" s="1"/>
  <c r="B2"/>
  <c r="B12" s="1"/>
  <c r="J25" i="1"/>
  <c r="E30" s="1"/>
  <c r="F30" s="1"/>
  <c r="G30" s="1"/>
  <c r="H30" s="1"/>
  <c r="I30" s="1"/>
  <c r="C12" i="18" l="1"/>
  <c r="C13" i="24"/>
  <c r="C10" i="21"/>
  <c r="B12" i="20"/>
  <c r="D10" i="21" l="1"/>
  <c r="C15"/>
  <c r="B17" i="20"/>
  <c r="C12"/>
  <c r="D12" s="1"/>
  <c r="E12" s="1"/>
  <c r="F12" s="1"/>
  <c r="D13" i="24"/>
  <c r="C18"/>
  <c r="C17" i="20" l="1"/>
  <c r="E13" i="24"/>
  <c r="D18"/>
  <c r="E10" i="21"/>
  <c r="F10" s="1"/>
  <c r="G10" s="1"/>
  <c r="D15"/>
  <c r="D17" i="20"/>
  <c r="E15" i="21" l="1"/>
  <c r="F13" i="24"/>
  <c r="E18"/>
  <c r="E17" i="20"/>
  <c r="F15" i="21"/>
  <c r="G13" i="24" l="1"/>
  <c r="G18" s="1"/>
  <c r="F18"/>
  <c r="G15" i="21"/>
  <c r="F17" i="20"/>
  <c r="B9" i="7" l="1"/>
  <c r="C9" l="1"/>
  <c r="B10"/>
  <c r="B14" s="1"/>
  <c r="B15" s="1"/>
  <c r="B16" s="1"/>
  <c r="D49" i="3" l="1"/>
  <c r="D50" s="1"/>
  <c r="B28" i="24" s="1"/>
  <c r="G29"/>
  <c r="B29"/>
  <c r="G26" i="21"/>
  <c r="B26"/>
  <c r="D9" i="7"/>
  <c r="C10"/>
  <c r="C14" s="1"/>
  <c r="C15" s="1"/>
  <c r="C16" s="1"/>
  <c r="B6" i="8" l="1"/>
  <c r="B7" s="1"/>
  <c r="E19" s="1"/>
  <c r="B27" i="24" s="1"/>
  <c r="B31" s="1"/>
  <c r="B25" i="21"/>
  <c r="B8" i="8"/>
  <c r="E9" i="7"/>
  <c r="D10"/>
  <c r="D14" s="1"/>
  <c r="D15" s="1"/>
  <c r="D16" s="1"/>
  <c r="C37" i="24" l="1"/>
  <c r="B24" i="21"/>
  <c r="B28" s="1"/>
  <c r="C20" i="8"/>
  <c r="C19" i="24" s="1"/>
  <c r="C20" s="1"/>
  <c r="C21" s="1"/>
  <c r="C22" s="1"/>
  <c r="C23" s="1"/>
  <c r="C24" s="1"/>
  <c r="B21" i="8"/>
  <c r="B22"/>
  <c r="B23"/>
  <c r="B24"/>
  <c r="B20"/>
  <c r="B12"/>
  <c r="B13"/>
  <c r="B11"/>
  <c r="F9" i="7"/>
  <c r="E10"/>
  <c r="E14" s="1"/>
  <c r="E15" s="1"/>
  <c r="E16" s="1"/>
  <c r="D20" i="8" l="1"/>
  <c r="C16" i="21"/>
  <c r="C17" s="1"/>
  <c r="C18" s="1"/>
  <c r="C19" s="1"/>
  <c r="C20" s="1"/>
  <c r="C21" s="1"/>
  <c r="B18" i="20"/>
  <c r="B19" s="1"/>
  <c r="B20" s="1"/>
  <c r="B21" s="1"/>
  <c r="B22" s="1"/>
  <c r="B23" s="1"/>
  <c r="C37" i="21"/>
  <c r="G9" i="7"/>
  <c r="F10"/>
  <c r="F14" s="1"/>
  <c r="F15" s="1"/>
  <c r="F16" s="1"/>
  <c r="E20" i="8" l="1"/>
  <c r="C21" s="1"/>
  <c r="D16" i="21" s="1"/>
  <c r="D17" s="1"/>
  <c r="D18" s="1"/>
  <c r="D19" s="1"/>
  <c r="D20" s="1"/>
  <c r="D21" s="1"/>
  <c r="C26" i="24"/>
  <c r="C31" s="1"/>
  <c r="C23" i="21"/>
  <c r="C28" s="1"/>
  <c r="D37" s="1"/>
  <c r="H9" i="7"/>
  <c r="G10"/>
  <c r="G14" s="1"/>
  <c r="G15" s="1"/>
  <c r="G16" s="1"/>
  <c r="C18" i="20" l="1"/>
  <c r="C19" s="1"/>
  <c r="C20" s="1"/>
  <c r="C21" s="1"/>
  <c r="C22" s="1"/>
  <c r="C23" s="1"/>
  <c r="D21" i="8"/>
  <c r="D19" i="24"/>
  <c r="D20" s="1"/>
  <c r="D21" s="1"/>
  <c r="D22" s="1"/>
  <c r="D23" s="1"/>
  <c r="D24" s="1"/>
  <c r="D37"/>
  <c r="E37" s="1"/>
  <c r="F37" s="1"/>
  <c r="C38" s="1"/>
  <c r="E37" i="21"/>
  <c r="F37" s="1"/>
  <c r="C38" s="1"/>
  <c r="I9" i="7"/>
  <c r="H10"/>
  <c r="H14" s="1"/>
  <c r="H15" s="1"/>
  <c r="H16" s="1"/>
  <c r="D26" i="24" l="1"/>
  <c r="D31" s="1"/>
  <c r="E21" i="8"/>
  <c r="C22" s="1"/>
  <c r="E19" i="24" s="1"/>
  <c r="E20" s="1"/>
  <c r="D23" i="21"/>
  <c r="D28" s="1"/>
  <c r="D38" s="1"/>
  <c r="E38" s="1"/>
  <c r="F38" s="1"/>
  <c r="C39" s="1"/>
  <c r="E16"/>
  <c r="E17" s="1"/>
  <c r="E18" s="1"/>
  <c r="E19" s="1"/>
  <c r="E20" s="1"/>
  <c r="E21" s="1"/>
  <c r="J9" i="7"/>
  <c r="I10"/>
  <c r="I14" s="1"/>
  <c r="I15" s="1"/>
  <c r="I16" s="1"/>
  <c r="D22" i="8" l="1"/>
  <c r="E26" i="24" s="1"/>
  <c r="D18" i="20"/>
  <c r="D19" s="1"/>
  <c r="D20" s="1"/>
  <c r="D21" s="1"/>
  <c r="D22" s="1"/>
  <c r="D23" s="1"/>
  <c r="D38" i="24"/>
  <c r="E38" s="1"/>
  <c r="F38" s="1"/>
  <c r="C39" s="1"/>
  <c r="E21"/>
  <c r="E22" s="1"/>
  <c r="E23" s="1"/>
  <c r="E24" s="1"/>
  <c r="E23" i="21"/>
  <c r="E28" s="1"/>
  <c r="K9" i="7"/>
  <c r="J10"/>
  <c r="J14" s="1"/>
  <c r="J15" s="1"/>
  <c r="J16" s="1"/>
  <c r="E22" i="8" l="1"/>
  <c r="E31" i="24"/>
  <c r="D39"/>
  <c r="E39" s="1"/>
  <c r="F39" s="1"/>
  <c r="C40" s="1"/>
  <c r="D39" i="21"/>
  <c r="C23" i="8"/>
  <c r="F19" i="24" s="1"/>
  <c r="F20" s="1"/>
  <c r="F21" s="1"/>
  <c r="F22" s="1"/>
  <c r="F23" s="1"/>
  <c r="F24" s="1"/>
  <c r="L9" i="7"/>
  <c r="K10"/>
  <c r="K14" s="1"/>
  <c r="K15" s="1"/>
  <c r="K16" s="1"/>
  <c r="F16" i="21" l="1"/>
  <c r="F17" s="1"/>
  <c r="F18" s="1"/>
  <c r="F19" s="1"/>
  <c r="F20" s="1"/>
  <c r="F21" s="1"/>
  <c r="E18" i="20"/>
  <c r="E19" s="1"/>
  <c r="E20" s="1"/>
  <c r="E21" s="1"/>
  <c r="E22" s="1"/>
  <c r="E23" s="1"/>
  <c r="D23" i="8"/>
  <c r="F26" i="24" s="1"/>
  <c r="F31" s="1"/>
  <c r="E39" i="21"/>
  <c r="F39" s="1"/>
  <c r="C40" s="1"/>
  <c r="M9" i="7"/>
  <c r="M10" s="1"/>
  <c r="M14" s="1"/>
  <c r="M15" s="1"/>
  <c r="L10"/>
  <c r="L14" s="1"/>
  <c r="L15" s="1"/>
  <c r="L16" s="1"/>
  <c r="M16" l="1"/>
  <c r="D40" i="24"/>
  <c r="E40" s="1"/>
  <c r="F40" s="1"/>
  <c r="C41" s="1"/>
  <c r="F23" i="21"/>
  <c r="E23" i="8"/>
  <c r="F28" i="21"/>
  <c r="D40" l="1"/>
  <c r="C24" i="8"/>
  <c r="G19" i="24" s="1"/>
  <c r="G20" s="1"/>
  <c r="G21" s="1"/>
  <c r="G22" s="1"/>
  <c r="G23" s="1"/>
  <c r="G24" s="1"/>
  <c r="G16" i="21" l="1"/>
  <c r="G17" s="1"/>
  <c r="G18" s="1"/>
  <c r="G19" s="1"/>
  <c r="G20" s="1"/>
  <c r="G21" s="1"/>
  <c r="F18" i="20"/>
  <c r="F19" s="1"/>
  <c r="F20" s="1"/>
  <c r="F21" s="1"/>
  <c r="F22" s="1"/>
  <c r="F23" s="1"/>
  <c r="D24" i="8"/>
  <c r="G26" i="24" s="1"/>
  <c r="G31" s="1"/>
  <c r="E40" i="21"/>
  <c r="F40" s="1"/>
  <c r="C41" s="1"/>
  <c r="D41" i="24" l="1"/>
  <c r="E41" s="1"/>
  <c r="F41" s="1"/>
  <c r="B32"/>
  <c r="B34"/>
  <c r="G23" i="21"/>
  <c r="E24" i="8"/>
  <c r="G28" i="21"/>
  <c r="D41" l="1"/>
  <c r="B32"/>
  <c r="D6" i="10" s="1"/>
  <c r="D18" s="1"/>
  <c r="B30" i="21"/>
  <c r="C6" i="10" s="1"/>
  <c r="C18" s="1"/>
  <c r="E41" i="21" l="1"/>
  <c r="F41" s="1"/>
</calcChain>
</file>

<file path=xl/sharedStrings.xml><?xml version="1.0" encoding="utf-8"?>
<sst xmlns="http://schemas.openxmlformats.org/spreadsheetml/2006/main" count="516" uniqueCount="297">
  <si>
    <t>Sueldos y Salarios</t>
  </si>
  <si>
    <t>Director del Centro</t>
  </si>
  <si>
    <t>Ejecutivo Administrativo</t>
  </si>
  <si>
    <t>Senior De Servicio Corporativo (Cuentas)</t>
  </si>
  <si>
    <t>Asesor Investigativo del Consumidor</t>
  </si>
  <si>
    <t>Asesor Investigativo De La Competencia</t>
  </si>
  <si>
    <t>Asesor Investigativo De la Empresa</t>
  </si>
  <si>
    <t>Senior Relaciones Públicas y Publicidad</t>
  </si>
  <si>
    <t>Senior en Marketing Operativo y Estratégico</t>
  </si>
  <si>
    <t>Sueldo Anual</t>
  </si>
  <si>
    <t>Décimo Tercero</t>
  </si>
  <si>
    <t>Décimo Cuarto</t>
  </si>
  <si>
    <t>Sueldo Mensual por Empleado</t>
  </si>
  <si>
    <t>Sueldo base Mensual</t>
  </si>
  <si>
    <t>Recepcionista</t>
  </si>
  <si>
    <t xml:space="preserve"> </t>
  </si>
  <si>
    <t>DEP. ANUAL</t>
  </si>
  <si>
    <t>Costo Unitario</t>
  </si>
  <si>
    <t>Costo Total</t>
  </si>
  <si>
    <t>Maquinaria Seguimiento Ocular</t>
  </si>
  <si>
    <t xml:space="preserve">Electromiografía </t>
  </si>
  <si>
    <t>Tecnología Polígrafo</t>
  </si>
  <si>
    <t>Neurobit Lite Set</t>
  </si>
  <si>
    <t>Computadoras de Escritorio</t>
  </si>
  <si>
    <t>Impresora Multifuncional</t>
  </si>
  <si>
    <t>Central telefónica y teléfonos</t>
  </si>
  <si>
    <t>Materiales de Oficina</t>
  </si>
  <si>
    <t>Escritorios unipersonal</t>
  </si>
  <si>
    <t>Escritorios dobles</t>
  </si>
  <si>
    <t>Sillas gerente</t>
  </si>
  <si>
    <t>Sillas ejecutivas</t>
  </si>
  <si>
    <t>Muebles de espera</t>
  </si>
  <si>
    <t>Counter recepción</t>
  </si>
  <si>
    <t>Archivadores</t>
  </si>
  <si>
    <t>Inversión en Otros Activos</t>
  </si>
  <si>
    <t>Central de aire acondicionado</t>
  </si>
  <si>
    <t>Dispensador de agua</t>
  </si>
  <si>
    <t>Router</t>
  </si>
  <si>
    <t>Extintores de incendio</t>
  </si>
  <si>
    <t>Rubro</t>
  </si>
  <si>
    <t>Valor en USD</t>
  </si>
  <si>
    <t xml:space="preserve">Maquinaria Electromiografía </t>
  </si>
  <si>
    <t>Asistente  Financiero</t>
  </si>
  <si>
    <t>Precio</t>
  </si>
  <si>
    <t>Clientes</t>
  </si>
  <si>
    <t>Ingreso</t>
  </si>
  <si>
    <t>Estudio marca</t>
  </si>
  <si>
    <t>Estudio plaza</t>
  </si>
  <si>
    <t>Estudio precio y promoción</t>
  </si>
  <si>
    <t>Estudio personas</t>
  </si>
  <si>
    <t>Capacitaciones</t>
  </si>
  <si>
    <t>Estimando un promedio de 2 capacitaciones mensuales</t>
  </si>
  <si>
    <t>Clientes al año</t>
  </si>
  <si>
    <t>RUBRO</t>
  </si>
  <si>
    <t>VALOR</t>
  </si>
  <si>
    <t>Ingreso por Estudios</t>
  </si>
  <si>
    <t>Ingresos por Capacitaciones</t>
  </si>
  <si>
    <t>Estudios</t>
  </si>
  <si>
    <t>Precios</t>
  </si>
  <si>
    <t>Total Ingresos</t>
  </si>
  <si>
    <t>Demanda año 1</t>
  </si>
  <si>
    <t>Demanda año 2</t>
  </si>
  <si>
    <t>Demanda año 3</t>
  </si>
  <si>
    <t>Demanda año 4</t>
  </si>
  <si>
    <t>Demanda año 5</t>
  </si>
  <si>
    <t>Precios y demanda estimada para el primer año por estudio:</t>
  </si>
  <si>
    <t>GASTOS</t>
  </si>
  <si>
    <t>Asistente Talento Humano</t>
  </si>
  <si>
    <t>Totales</t>
  </si>
  <si>
    <t>Sueldo Mensual
 Total</t>
  </si>
  <si>
    <t>AMORTIZACIÓN</t>
  </si>
  <si>
    <t>Capital de Trabajo</t>
  </si>
  <si>
    <t>ACTIVIDAD</t>
  </si>
  <si>
    <t>Saldo Mensual</t>
  </si>
  <si>
    <t>E</t>
  </si>
  <si>
    <t>F</t>
  </si>
  <si>
    <t>M</t>
  </si>
  <si>
    <t>A</t>
  </si>
  <si>
    <t>J</t>
  </si>
  <si>
    <t>JL</t>
  </si>
  <si>
    <t>AG</t>
  </si>
  <si>
    <t>S</t>
  </si>
  <si>
    <t>O</t>
  </si>
  <si>
    <t>N</t>
  </si>
  <si>
    <t>D</t>
  </si>
  <si>
    <t>TIR</t>
  </si>
  <si>
    <t>TOTAL DE INVERSIÓN INICIAL</t>
  </si>
  <si>
    <t>TABLA DE AMORTIZACIÓN</t>
  </si>
  <si>
    <t>PERIODO</t>
  </si>
  <si>
    <t>CUOTA</t>
  </si>
  <si>
    <t>INTERÉS</t>
  </si>
  <si>
    <t>CAPITAL VIVO</t>
  </si>
  <si>
    <t>Préstamo</t>
  </si>
  <si>
    <t>Depreciación Maquinarias de Investigación</t>
  </si>
  <si>
    <t>Depreciación Muebles de Oficina</t>
  </si>
  <si>
    <t>Depreciación en Equipos de Oficina</t>
  </si>
  <si>
    <t>CALCULOS INGRESOS Y DEMANDA PROYECTADA</t>
  </si>
  <si>
    <t>VAN</t>
  </si>
  <si>
    <t xml:space="preserve"> Maquinarias de Investigación</t>
  </si>
  <si>
    <t>Equipos de Oficina</t>
  </si>
  <si>
    <t>Muebles de Oficina</t>
  </si>
  <si>
    <t>TOTALES</t>
  </si>
  <si>
    <t>INVERSION EN ACTIVOS</t>
  </si>
  <si>
    <t>GASTOS DE CONSTITUCION</t>
  </si>
  <si>
    <t>TOTAL INVERSION INICIAL</t>
  </si>
  <si>
    <t>Activas</t>
  </si>
  <si>
    <t>Sociedad Anónima</t>
  </si>
  <si>
    <t>Responsabilidad Limitada</t>
  </si>
  <si>
    <t>Economía Mixta</t>
  </si>
  <si>
    <t>Total</t>
  </si>
  <si>
    <t>Mercado Objetivo</t>
  </si>
  <si>
    <t>Mercado Potencial</t>
  </si>
  <si>
    <t>Demanda Objetiva</t>
  </si>
  <si>
    <t xml:space="preserve">empresas </t>
  </si>
  <si>
    <t>para calcular nuestra demanda del primer año</t>
  </si>
  <si>
    <t>Aporte al IESS
 11.15%</t>
  </si>
  <si>
    <t>TOTAL</t>
  </si>
  <si>
    <t>DEP. MENSUAL</t>
  </si>
  <si>
    <t>ACTIVO FIJO</t>
  </si>
  <si>
    <t xml:space="preserve">Vida Contable
</t>
  </si>
  <si>
    <t>Valor de 
Re-adquisición</t>
  </si>
  <si>
    <t>Valor de 
Adquisición</t>
  </si>
  <si>
    <t>Valor en 
Libros</t>
  </si>
  <si>
    <t>Año</t>
  </si>
  <si>
    <t>Sueldo</t>
  </si>
  <si>
    <t xml:space="preserve"> Tasa de Proyección</t>
  </si>
  <si>
    <t>Proyector</t>
  </si>
  <si>
    <t>Considerando el incremento de un 2% en los salarios tenemos la siguiente proyección:</t>
  </si>
  <si>
    <t xml:space="preserve">TOTAL </t>
  </si>
  <si>
    <t>Rf</t>
  </si>
  <si>
    <t>Rm</t>
  </si>
  <si>
    <t>Ri= rf + Bd(rm – rf) + rp</t>
  </si>
  <si>
    <t>Rm-Rf</t>
  </si>
  <si>
    <t>Rp</t>
  </si>
  <si>
    <t>B</t>
  </si>
  <si>
    <t>Ri=</t>
  </si>
  <si>
    <t>forester research en nasdaq tenemos:</t>
  </si>
  <si>
    <t xml:space="preserve">Tomando como referencia la tasa de riesgo país del Banco Central y el Beta </t>
  </si>
  <si>
    <t>Valor de Desecho</t>
  </si>
  <si>
    <t>V. Anual</t>
  </si>
  <si>
    <t>TOTAL GASTOS VARIABLES</t>
  </si>
  <si>
    <t>GASTOS OPERATIVOS</t>
  </si>
  <si>
    <t>Q. estudios</t>
  </si>
  <si>
    <t>Q Capacitaciones</t>
  </si>
  <si>
    <t>Serv. Básicos</t>
  </si>
  <si>
    <t>Suministros</t>
  </si>
  <si>
    <t>Mensual</t>
  </si>
  <si>
    <t>Anual</t>
  </si>
  <si>
    <t>GASTOS POR DEPRECIACIÓN</t>
  </si>
  <si>
    <t>GASTOS INDIRECTOS</t>
  </si>
  <si>
    <t>Mantenimiento</t>
  </si>
  <si>
    <t>Limpieza</t>
  </si>
  <si>
    <t>TOTAL COSTOS FIJOS</t>
  </si>
  <si>
    <t>COSTOS FIJOS</t>
  </si>
  <si>
    <t>Pago a encuestadores</t>
  </si>
  <si>
    <t>Transporte de Capacitador</t>
  </si>
  <si>
    <t>Honorarios de Capacitador</t>
  </si>
  <si>
    <t>Transporte de Participantes</t>
  </si>
  <si>
    <t>Impresiones de Encuestas</t>
  </si>
  <si>
    <t>Premios / Incentivos para participantes</t>
  </si>
  <si>
    <t xml:space="preserve">De esta demanda objetiva, consideramos el 9% equivalente a </t>
  </si>
  <si>
    <t xml:space="preserve">Compra de productos para muestras </t>
  </si>
  <si>
    <t xml:space="preserve"> Empresas más importantes del país</t>
  </si>
  <si>
    <t xml:space="preserve"> Ubicadas en la ciudad de Guayaquil</t>
  </si>
  <si>
    <t xml:space="preserve">Demanda % </t>
  </si>
  <si>
    <t>Clientes 
al año</t>
  </si>
  <si>
    <t>Demanda Total</t>
  </si>
  <si>
    <t>Precios de Capacitaciones</t>
  </si>
  <si>
    <t>Estudio de Promoción</t>
  </si>
  <si>
    <t>Ingresos por capacitaciones</t>
  </si>
  <si>
    <t>Ingresos por estudios</t>
  </si>
  <si>
    <t>ANUAL</t>
  </si>
  <si>
    <t>Costo</t>
  </si>
  <si>
    <t>CV. ESTUDIO</t>
  </si>
  <si>
    <t>CV. CAPACITACIÓN</t>
  </si>
  <si>
    <t>C.V</t>
  </si>
  <si>
    <t>PUBLICIDAD</t>
  </si>
  <si>
    <t>CAPITAL A AMORTIZAR 55%</t>
  </si>
  <si>
    <t>Inversionista 1</t>
  </si>
  <si>
    <t>Inversionista 2</t>
  </si>
  <si>
    <t>Inversionista 3</t>
  </si>
  <si>
    <t>CAPITAL PROPIO 45%</t>
  </si>
  <si>
    <t>Inversión</t>
  </si>
  <si>
    <t>Participación</t>
  </si>
  <si>
    <t>Costos Variables</t>
  </si>
  <si>
    <t>UTILIDAD BRUTA</t>
  </si>
  <si>
    <t>(-) 15% Participación de Trabajadores</t>
  </si>
  <si>
    <t>(=) Utilidad antes de Impuestos</t>
  </si>
  <si>
    <t>(-) 25% Impuesto a la Renta</t>
  </si>
  <si>
    <t>Gastos Operativos</t>
  </si>
  <si>
    <t>Gastos Indirectos</t>
  </si>
  <si>
    <t>Depreciaciones</t>
  </si>
  <si>
    <t>Gastos de Publicidad</t>
  </si>
  <si>
    <t>Gastos Financieros</t>
  </si>
  <si>
    <t>UTILIDAD OPERACIONAL</t>
  </si>
  <si>
    <t>Amortizaciones</t>
  </si>
  <si>
    <t>UTILIDAD ANTES DE IMPUESTOS</t>
  </si>
  <si>
    <t>UTILIDAD NETA</t>
  </si>
  <si>
    <t>Flujo de Caja</t>
  </si>
  <si>
    <t>TMAR</t>
  </si>
  <si>
    <t xml:space="preserve"> Período (años)</t>
  </si>
  <si>
    <t>Saldo Inversión</t>
  </si>
  <si>
    <t>Flujo de caja</t>
  </si>
  <si>
    <t>Rentabilidad exigida</t>
  </si>
  <si>
    <t>Recuperación inversión</t>
  </si>
  <si>
    <r>
      <t>Ejecutivo de Análisis e Información de Datos</t>
    </r>
    <r>
      <rPr>
        <sz val="10"/>
        <color theme="1"/>
        <rFont val="Arial"/>
        <family val="2"/>
      </rPr>
      <t xml:space="preserve"> </t>
    </r>
  </si>
  <si>
    <t>Ejecutivo De Marketing y Comportamiento del Consumidor</t>
  </si>
  <si>
    <t>RESULTADO</t>
  </si>
  <si>
    <t>FACTIBLE</t>
  </si>
  <si>
    <t>NO FACTIBLE</t>
  </si>
  <si>
    <t>Variación</t>
  </si>
  <si>
    <t>Resultado</t>
  </si>
  <si>
    <t>U. ANTES DE PARTICIPACIÓN E IMPUESTOS</t>
  </si>
  <si>
    <t xml:space="preserve">Para cubrir  la inversión inicial requerida, hemos considerado financiar el 55% del proyecto vía </t>
  </si>
  <si>
    <t>Comisión a ESPOL</t>
  </si>
  <si>
    <t>Comisiones Pagadas a ESPOL</t>
  </si>
  <si>
    <t>CAPITAL DE TRABAJO</t>
  </si>
  <si>
    <r>
      <t>préstamo a</t>
    </r>
    <r>
      <rPr>
        <sz val="11"/>
        <color theme="1"/>
        <rFont val="Calibri"/>
        <family val="2"/>
        <scheme val="minor"/>
      </rPr>
      <t xml:space="preserve"> a una tasa del 15,93% y el 45% restante con capital propio.</t>
    </r>
  </si>
  <si>
    <t>Gastos de Alquiler</t>
  </si>
  <si>
    <t>Estudio competencia estratégica</t>
  </si>
  <si>
    <t>Considerando que cada empresa pedir{a uo m{as barato y el m{as caro ser{ia un ingreso de 8000 por empresa</t>
  </si>
  <si>
    <t>Considerando que el costo por prestamo de las maquinarias para no tenerlas en ocio, a un precio de $100,00 por sesion/persona y que al mes las empresas quieran aplicar estas pruebas a 15 personas.</t>
  </si>
  <si>
    <t>Uso de maquinarias</t>
  </si>
  <si>
    <t>Material Didáctico</t>
  </si>
  <si>
    <t>Refrigerios</t>
  </si>
  <si>
    <t>Presentación de resultados</t>
  </si>
  <si>
    <t>Otros ingresos</t>
  </si>
  <si>
    <t>Otros Ingresos</t>
  </si>
  <si>
    <t>rk = rd * L * (1-T) + re (1-L)</t>
  </si>
  <si>
    <t>VALORACIÓN DE ACTIVOS DE CAPITAL (CAPM)</t>
  </si>
  <si>
    <t>COSTO DE CAPITAL PROMEDIO PONDERADO (CCPP)</t>
  </si>
  <si>
    <t xml:space="preserve">Rm </t>
  </si>
  <si>
    <t>Rentabilidad sobre la deuda (Rd)</t>
  </si>
  <si>
    <t>Beta</t>
  </si>
  <si>
    <t xml:space="preserve">Nivel de endeudamiento (L) </t>
  </si>
  <si>
    <t xml:space="preserve">Rf (T-Bonds) </t>
  </si>
  <si>
    <t xml:space="preserve">Tasa impositiva (T) </t>
  </si>
  <si>
    <t xml:space="preserve">Riesgo País (Ecuador) </t>
  </si>
  <si>
    <t xml:space="preserve">Escudo Fiscal (1-T) </t>
  </si>
  <si>
    <t>Re</t>
  </si>
  <si>
    <t>Porcentaje de capital propio (1-L)</t>
  </si>
  <si>
    <t xml:space="preserve">Rentabilidad del accionista (Re) </t>
  </si>
  <si>
    <t>Rk</t>
  </si>
  <si>
    <t>tir</t>
  </si>
  <si>
    <t>van</t>
  </si>
  <si>
    <t xml:space="preserve">Ejecutivo de Análisis e Información de Datos </t>
  </si>
  <si>
    <t xml:space="preserve">Ejecutivo De Marketing </t>
  </si>
  <si>
    <t>Sueldos y Salarios del personal</t>
  </si>
  <si>
    <t>Elaborado por los autores</t>
  </si>
  <si>
    <t>Dep. 
Acumulada</t>
  </si>
  <si>
    <t>Años 
Dep.</t>
  </si>
  <si>
    <t>Dep. Anual</t>
  </si>
  <si>
    <t>Valor de desecho de Activos Fijos</t>
  </si>
  <si>
    <t>Elaborada por los autores</t>
  </si>
  <si>
    <t>Dep.
 Anual</t>
  </si>
  <si>
    <t>Dep. 
Acum</t>
  </si>
  <si>
    <t>Valor en 
libros</t>
  </si>
  <si>
    <t>Elaborados por los autores</t>
  </si>
  <si>
    <t>Depreciación de Activos Fijos</t>
  </si>
  <si>
    <t>Elaborado por los autores.</t>
  </si>
  <si>
    <t>Flujo de Caja Proyectado 5 años</t>
  </si>
  <si>
    <t xml:space="preserve">FLUJO DE CAJA </t>
  </si>
  <si>
    <t>Utilidad Bruta</t>
  </si>
  <si>
    <t>Utilidad Operacional</t>
  </si>
  <si>
    <t>Utilidad antes de Participación e Imptos.</t>
  </si>
  <si>
    <t>Utilidad antes de participación e imptos.</t>
  </si>
  <si>
    <t>Utilidad antes de impuestos</t>
  </si>
  <si>
    <t>Utilidad Neta</t>
  </si>
  <si>
    <t>Estado de Resultados proyectado 5 años</t>
  </si>
  <si>
    <t>Inversión Inicial en Activos Fijos</t>
  </si>
  <si>
    <t>Ingresos por alquiler</t>
  </si>
  <si>
    <t>TOTAL INGRESOS AL AÑO</t>
  </si>
  <si>
    <t>Tabla No.2</t>
  </si>
  <si>
    <t>Alquiler Polígrafo</t>
  </si>
  <si>
    <t>Tabla No.3</t>
  </si>
  <si>
    <t>Tabla No.4</t>
  </si>
  <si>
    <t>Proyección Demanda Año 1</t>
  </si>
  <si>
    <t>Proyección Demanda alquiler Año 1</t>
  </si>
  <si>
    <t>Proyección ingresos año 1</t>
  </si>
  <si>
    <t>Ingresos $</t>
  </si>
  <si>
    <t>Tabla No.5</t>
  </si>
  <si>
    <t>Tabla No. 6</t>
  </si>
  <si>
    <t>Tabla No. 7</t>
  </si>
  <si>
    <t>G. VAR.</t>
  </si>
  <si>
    <t xml:space="preserve">G. FIJOS </t>
  </si>
  <si>
    <t>Ing. Mensuales</t>
  </si>
  <si>
    <t>Eg. Mensuales</t>
  </si>
  <si>
    <t>DÉFICIT MAX.
 ACUMULADO</t>
  </si>
  <si>
    <t xml:space="preserve">Cálculo Capital de Trabajo </t>
  </si>
  <si>
    <t>Tabla No. 8</t>
  </si>
  <si>
    <t>Tabla No. 9</t>
  </si>
  <si>
    <t>Tabla de Amortización</t>
  </si>
  <si>
    <t>Tabla No.10</t>
  </si>
  <si>
    <t>Tabla No. 12</t>
  </si>
  <si>
    <t>Tabla No. 2</t>
  </si>
  <si>
    <t>ANEXO # 6</t>
  </si>
  <si>
    <t>CÁLCULOS FINANCIEROS</t>
  </si>
</sst>
</file>

<file path=xl/styles.xml><?xml version="1.0" encoding="utf-8"?>
<styleSheet xmlns="http://schemas.openxmlformats.org/spreadsheetml/2006/main">
  <numFmts count="8"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&quot;$&quot;\ #,##0.00"/>
    <numFmt numFmtId="165" formatCode="_-[$$-409]* #,##0.00_ ;_-[$$-409]* \-#,##0.00\ ;_-[$$-409]* &quot;-&quot;??_ ;_-@_ "/>
    <numFmt numFmtId="166" formatCode="&quot;$&quot;\ #,##0.0_);[Red]\(&quot;$&quot;\ #,##0.0\)"/>
    <numFmt numFmtId="167" formatCode="[$$-409]#,##0.00"/>
    <numFmt numFmtId="168" formatCode="&quot;$&quot;\ #,##0.00;[Red]&quot;$&quot;\ #,##0.00"/>
    <numFmt numFmtId="169" formatCode="_([$$-300A]\ * #,##0.00_);_([$$-300A]\ * \(#,##0.00\);_([$$-300A]\ 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 val="doubleAccounting"/>
      <sz val="10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u val="singleAccounting"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rgb="FF4BACC6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rgb="FF4BACC6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7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0" xfId="0" applyFill="1"/>
    <xf numFmtId="0" fontId="7" fillId="0" borderId="0" xfId="0" applyFont="1"/>
    <xf numFmtId="8" fontId="4" fillId="0" borderId="26" xfId="0" applyNumberFormat="1" applyFont="1" applyBorder="1" applyAlignment="1">
      <alignment horizontal="right"/>
    </xf>
    <xf numFmtId="8" fontId="0" fillId="0" borderId="0" xfId="0" applyNumberFormat="1"/>
    <xf numFmtId="0" fontId="3" fillId="0" borderId="1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6" fillId="6" borderId="11" xfId="0" applyNumberFormat="1" applyFont="1" applyFill="1" applyBorder="1"/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0" xfId="0" applyFont="1" applyBorder="1"/>
    <xf numFmtId="0" fontId="6" fillId="0" borderId="17" xfId="0" applyFont="1" applyBorder="1" applyAlignment="1">
      <alignment horizontal="center"/>
    </xf>
    <xf numFmtId="0" fontId="7" fillId="0" borderId="1" xfId="0" applyFont="1" applyBorder="1"/>
    <xf numFmtId="0" fontId="6" fillId="0" borderId="32" xfId="0" applyFont="1" applyBorder="1" applyAlignment="1">
      <alignment horizontal="center"/>
    </xf>
    <xf numFmtId="0" fontId="7" fillId="0" borderId="33" xfId="0" applyFont="1" applyBorder="1"/>
    <xf numFmtId="164" fontId="7" fillId="0" borderId="11" xfId="0" applyNumberFormat="1" applyFont="1" applyBorder="1"/>
    <xf numFmtId="0" fontId="6" fillId="0" borderId="16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164" fontId="7" fillId="0" borderId="0" xfId="0" applyNumberFormat="1" applyFont="1" applyBorder="1"/>
    <xf numFmtId="0" fontId="6" fillId="0" borderId="17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32" xfId="0" applyFont="1" applyFill="1" applyBorder="1" applyAlignment="1">
      <alignment horizontal="center"/>
    </xf>
    <xf numFmtId="0" fontId="7" fillId="0" borderId="33" xfId="0" applyFont="1" applyFill="1" applyBorder="1"/>
    <xf numFmtId="0" fontId="6" fillId="0" borderId="0" xfId="0" applyFont="1"/>
    <xf numFmtId="0" fontId="6" fillId="4" borderId="30" xfId="0" applyFont="1" applyFill="1" applyBorder="1"/>
    <xf numFmtId="164" fontId="7" fillId="0" borderId="35" xfId="0" applyNumberFormat="1" applyFont="1" applyBorder="1"/>
    <xf numFmtId="0" fontId="6" fillId="4" borderId="11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Fill="1" applyBorder="1"/>
    <xf numFmtId="164" fontId="7" fillId="0" borderId="2" xfId="0" applyNumberFormat="1" applyFont="1" applyBorder="1"/>
    <xf numFmtId="164" fontId="7" fillId="0" borderId="50" xfId="0" applyNumberFormat="1" applyFont="1" applyBorder="1"/>
    <xf numFmtId="164" fontId="7" fillId="0" borderId="51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64" fontId="7" fillId="0" borderId="0" xfId="0" applyNumberFormat="1" applyFont="1" applyFill="1" applyBorder="1"/>
    <xf numFmtId="164" fontId="7" fillId="0" borderId="12" xfId="0" applyNumberFormat="1" applyFont="1" applyBorder="1"/>
    <xf numFmtId="164" fontId="7" fillId="0" borderId="13" xfId="0" applyNumberFormat="1" applyFont="1" applyBorder="1"/>
    <xf numFmtId="164" fontId="7" fillId="0" borderId="48" xfId="0" applyNumberFormat="1" applyFont="1" applyBorder="1"/>
    <xf numFmtId="0" fontId="5" fillId="0" borderId="0" xfId="0" applyFont="1"/>
    <xf numFmtId="0" fontId="9" fillId="8" borderId="16" xfId="0" applyFont="1" applyFill="1" applyBorder="1" applyAlignment="1">
      <alignment horizontal="center" vertical="top" wrapText="1"/>
    </xf>
    <xf numFmtId="0" fontId="9" fillId="8" borderId="20" xfId="0" applyFont="1" applyFill="1" applyBorder="1" applyAlignment="1">
      <alignment horizontal="center" vertical="top" wrapText="1"/>
    </xf>
    <xf numFmtId="0" fontId="9" fillId="8" borderId="21" xfId="0" applyFont="1" applyFill="1" applyBorder="1" applyAlignment="1">
      <alignment horizontal="center" vertical="top" wrapText="1"/>
    </xf>
    <xf numFmtId="0" fontId="9" fillId="0" borderId="17" xfId="0" applyFont="1" applyBorder="1" applyAlignment="1">
      <alignment horizontal="justify" vertical="top" wrapText="1"/>
    </xf>
    <xf numFmtId="44" fontId="5" fillId="0" borderId="1" xfId="1" applyFont="1" applyBorder="1"/>
    <xf numFmtId="0" fontId="8" fillId="8" borderId="24" xfId="0" applyFont="1" applyFill="1" applyBorder="1" applyAlignment="1">
      <alignment horizontal="right"/>
    </xf>
    <xf numFmtId="44" fontId="5" fillId="0" borderId="18" xfId="0" applyNumberFormat="1" applyFont="1" applyBorder="1"/>
    <xf numFmtId="44" fontId="5" fillId="0" borderId="22" xfId="0" applyNumberFormat="1" applyFont="1" applyBorder="1"/>
    <xf numFmtId="44" fontId="5" fillId="0" borderId="23" xfId="0" applyNumberFormat="1" applyFont="1" applyBorder="1"/>
    <xf numFmtId="0" fontId="8" fillId="0" borderId="0" xfId="0" applyFont="1" applyBorder="1" applyAlignment="1">
      <alignment horizontal="right"/>
    </xf>
    <xf numFmtId="0" fontId="9" fillId="8" borderId="62" xfId="0" applyFont="1" applyFill="1" applyBorder="1" applyAlignment="1">
      <alignment horizontal="center" vertical="top" wrapText="1"/>
    </xf>
    <xf numFmtId="0" fontId="9" fillId="8" borderId="63" xfId="0" applyFont="1" applyFill="1" applyBorder="1" applyAlignment="1">
      <alignment horizontal="center" vertical="top" wrapText="1"/>
    </xf>
    <xf numFmtId="0" fontId="9" fillId="8" borderId="35" xfId="0" applyFont="1" applyFill="1" applyBorder="1" applyAlignment="1">
      <alignment horizontal="center" vertical="top" wrapText="1"/>
    </xf>
    <xf numFmtId="0" fontId="9" fillId="0" borderId="54" xfId="0" applyFont="1" applyBorder="1" applyAlignment="1">
      <alignment horizontal="justify" vertical="top" wrapText="1"/>
    </xf>
    <xf numFmtId="44" fontId="5" fillId="0" borderId="1" xfId="0" applyNumberFormat="1" applyFont="1" applyBorder="1"/>
    <xf numFmtId="0" fontId="9" fillId="0" borderId="24" xfId="0" applyFont="1" applyBorder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9" fillId="7" borderId="37" xfId="0" applyFont="1" applyFill="1" applyBorder="1" applyAlignment="1">
      <alignment horizontal="center" vertical="top" wrapText="1"/>
    </xf>
    <xf numFmtId="0" fontId="9" fillId="7" borderId="38" xfId="0" applyFont="1" applyFill="1" applyBorder="1" applyAlignment="1">
      <alignment horizontal="center" vertical="top" wrapText="1"/>
    </xf>
    <xf numFmtId="0" fontId="9" fillId="7" borderId="39" xfId="0" applyFont="1" applyFill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9" fillId="0" borderId="42" xfId="0" applyFont="1" applyBorder="1" applyAlignment="1">
      <alignment horizontal="center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9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9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10" fillId="0" borderId="9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4" fontId="5" fillId="0" borderId="10" xfId="0" applyNumberFormat="1" applyFont="1" applyBorder="1"/>
    <xf numFmtId="44" fontId="5" fillId="0" borderId="11" xfId="0" applyNumberFormat="1" applyFont="1" applyBorder="1"/>
    <xf numFmtId="44" fontId="5" fillId="0" borderId="0" xfId="0" applyNumberFormat="1" applyFont="1" applyBorder="1"/>
    <xf numFmtId="0" fontId="5" fillId="0" borderId="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44" fontId="5" fillId="2" borderId="1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2" applyNumberFormat="1" applyFont="1" applyBorder="1"/>
    <xf numFmtId="0" fontId="1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9" fontId="1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9" fillId="0" borderId="0" xfId="0" applyFont="1" applyAlignment="1"/>
    <xf numFmtId="9" fontId="9" fillId="0" borderId="0" xfId="0" applyNumberFormat="1" applyFont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7" fontId="5" fillId="0" borderId="1" xfId="0" applyNumberFormat="1" applyFont="1" applyBorder="1"/>
    <xf numFmtId="167" fontId="9" fillId="0" borderId="1" xfId="0" applyNumberFormat="1" applyFont="1" applyBorder="1"/>
    <xf numFmtId="0" fontId="12" fillId="8" borderId="1" xfId="0" applyFont="1" applyFill="1" applyBorder="1"/>
    <xf numFmtId="0" fontId="14" fillId="0" borderId="0" xfId="0" applyFont="1"/>
    <xf numFmtId="44" fontId="12" fillId="0" borderId="1" xfId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4" fontId="14" fillId="0" borderId="1" xfId="1" applyFont="1" applyBorder="1" applyAlignment="1">
      <alignment horizontal="left"/>
    </xf>
    <xf numFmtId="44" fontId="14" fillId="0" borderId="1" xfId="0" applyNumberFormat="1" applyFont="1" applyBorder="1" applyAlignment="1">
      <alignment horizontal="left"/>
    </xf>
    <xf numFmtId="0" fontId="12" fillId="8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1" xfId="0" applyFont="1" applyBorder="1"/>
    <xf numFmtId="0" fontId="14" fillId="0" borderId="0" xfId="0" applyFont="1" applyBorder="1" applyAlignment="1">
      <alignment horizontal="center" vertical="center"/>
    </xf>
    <xf numFmtId="0" fontId="12" fillId="0" borderId="1" xfId="0" applyFont="1" applyFill="1" applyBorder="1"/>
    <xf numFmtId="165" fontId="12" fillId="0" borderId="1" xfId="0" applyNumberFormat="1" applyFont="1" applyBorder="1" applyAlignment="1">
      <alignment horizontal="center"/>
    </xf>
    <xf numFmtId="165" fontId="14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Border="1" applyAlignment="1">
      <alignment horizontal="center" vertical="center"/>
    </xf>
    <xf numFmtId="8" fontId="12" fillId="0" borderId="64" xfId="0" applyNumberFormat="1" applyFont="1" applyFill="1" applyBorder="1"/>
    <xf numFmtId="8" fontId="12" fillId="0" borderId="31" xfId="0" applyNumberFormat="1" applyFont="1" applyFill="1" applyBorder="1"/>
    <xf numFmtId="0" fontId="14" fillId="0" borderId="0" xfId="0" applyFont="1" applyBorder="1"/>
    <xf numFmtId="0" fontId="12" fillId="0" borderId="0" xfId="0" applyFont="1"/>
    <xf numFmtId="0" fontId="12" fillId="0" borderId="18" xfId="0" applyFont="1" applyFill="1" applyBorder="1"/>
    <xf numFmtId="0" fontId="12" fillId="0" borderId="0" xfId="0" applyFont="1" applyBorder="1"/>
    <xf numFmtId="1" fontId="12" fillId="0" borderId="15" xfId="0" applyNumberFormat="1" applyFont="1" applyFill="1" applyBorder="1" applyAlignment="1">
      <alignment horizontal="center" vertical="top" wrapText="1"/>
    </xf>
    <xf numFmtId="8" fontId="14" fillId="0" borderId="1" xfId="0" applyNumberFormat="1" applyFont="1" applyFill="1" applyBorder="1" applyAlignment="1">
      <alignment horizontal="center"/>
    </xf>
    <xf numFmtId="8" fontId="12" fillId="0" borderId="22" xfId="0" applyNumberFormat="1" applyFont="1" applyFill="1" applyBorder="1" applyAlignment="1">
      <alignment horizontal="center"/>
    </xf>
    <xf numFmtId="8" fontId="12" fillId="0" borderId="23" xfId="0" applyNumberFormat="1" applyFont="1" applyFill="1" applyBorder="1" applyAlignment="1">
      <alignment horizontal="center"/>
    </xf>
    <xf numFmtId="8" fontId="17" fillId="0" borderId="0" xfId="0" applyNumberFormat="1" applyFont="1" applyBorder="1" applyAlignment="1">
      <alignment horizontal="right"/>
    </xf>
    <xf numFmtId="8" fontId="14" fillId="0" borderId="0" xfId="0" applyNumberFormat="1" applyFont="1" applyBorder="1"/>
    <xf numFmtId="0" fontId="18" fillId="0" borderId="0" xfId="0" applyFont="1" applyBorder="1" applyAlignment="1"/>
    <xf numFmtId="0" fontId="17" fillId="0" borderId="0" xfId="0" applyFont="1" applyBorder="1"/>
    <xf numFmtId="0" fontId="9" fillId="8" borderId="30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8" fontId="8" fillId="0" borderId="18" xfId="0" applyNumberFormat="1" applyFont="1" applyBorder="1" applyAlignment="1">
      <alignment horizontal="left" wrapText="1"/>
    </xf>
    <xf numFmtId="0" fontId="9" fillId="0" borderId="18" xfId="0" applyFont="1" applyBorder="1" applyAlignment="1">
      <alignment horizontal="left"/>
    </xf>
    <xf numFmtId="8" fontId="12" fillId="0" borderId="35" xfId="0" applyNumberFormat="1" applyFont="1" applyBorder="1" applyAlignment="1">
      <alignment horizontal="center"/>
    </xf>
    <xf numFmtId="8" fontId="0" fillId="0" borderId="1" xfId="0" applyNumberFormat="1" applyBorder="1"/>
    <xf numFmtId="8" fontId="2" fillId="0" borderId="1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44" fontId="14" fillId="0" borderId="0" xfId="0" applyNumberFormat="1" applyFont="1" applyBorder="1" applyAlignment="1">
      <alignment horizontal="center" vertical="center"/>
    </xf>
    <xf numFmtId="168" fontId="2" fillId="0" borderId="1" xfId="0" applyNumberFormat="1" applyFont="1" applyBorder="1"/>
    <xf numFmtId="8" fontId="0" fillId="0" borderId="1" xfId="0" applyNumberFormat="1" applyFont="1" applyBorder="1"/>
    <xf numFmtId="44" fontId="0" fillId="0" borderId="1" xfId="0" applyNumberFormat="1" applyFont="1" applyBorder="1"/>
    <xf numFmtId="165" fontId="0" fillId="0" borderId="1" xfId="0" applyNumberFormat="1" applyBorder="1"/>
    <xf numFmtId="0" fontId="9" fillId="0" borderId="65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8" fontId="0" fillId="0" borderId="3" xfId="0" applyNumberFormat="1" applyFont="1" applyBorder="1"/>
    <xf numFmtId="8" fontId="2" fillId="0" borderId="3" xfId="0" applyNumberFormat="1" applyFont="1" applyBorder="1"/>
    <xf numFmtId="44" fontId="0" fillId="0" borderId="3" xfId="0" applyNumberFormat="1" applyBorder="1"/>
    <xf numFmtId="0" fontId="0" fillId="0" borderId="3" xfId="0" applyBorder="1"/>
    <xf numFmtId="0" fontId="9" fillId="0" borderId="30" xfId="0" applyFont="1" applyBorder="1" applyAlignment="1">
      <alignment horizontal="center"/>
    </xf>
    <xf numFmtId="8" fontId="0" fillId="0" borderId="13" xfId="0" applyNumberFormat="1" applyBorder="1"/>
    <xf numFmtId="8" fontId="2" fillId="0" borderId="13" xfId="0" applyNumberFormat="1" applyFont="1" applyBorder="1"/>
    <xf numFmtId="8" fontId="0" fillId="0" borderId="13" xfId="0" applyNumberFormat="1" applyFont="1" applyBorder="1"/>
    <xf numFmtId="44" fontId="0" fillId="0" borderId="13" xfId="0" applyNumberFormat="1" applyBorder="1"/>
    <xf numFmtId="0" fontId="0" fillId="0" borderId="13" xfId="0" applyBorder="1"/>
    <xf numFmtId="0" fontId="0" fillId="0" borderId="52" xfId="0" applyBorder="1"/>
    <xf numFmtId="0" fontId="2" fillId="0" borderId="3" xfId="0" applyFont="1" applyBorder="1"/>
    <xf numFmtId="0" fontId="0" fillId="0" borderId="3" xfId="0" applyFont="1" applyBorder="1"/>
    <xf numFmtId="165" fontId="0" fillId="0" borderId="3" xfId="0" applyNumberFormat="1" applyBorder="1"/>
    <xf numFmtId="0" fontId="9" fillId="0" borderId="7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9" fillId="0" borderId="13" xfId="0" applyFont="1" applyBorder="1"/>
    <xf numFmtId="0" fontId="21" fillId="0" borderId="13" xfId="0" applyFont="1" applyBorder="1"/>
    <xf numFmtId="0" fontId="15" fillId="0" borderId="13" xfId="0" applyFont="1" applyBorder="1"/>
    <xf numFmtId="0" fontId="15" fillId="0" borderId="48" xfId="0" applyFont="1" applyFill="1" applyBorder="1"/>
    <xf numFmtId="0" fontId="21" fillId="0" borderId="24" xfId="0" applyFont="1" applyFill="1" applyBorder="1" applyAlignment="1">
      <alignment horizontal="center"/>
    </xf>
    <xf numFmtId="0" fontId="0" fillId="0" borderId="19" xfId="0" applyBorder="1"/>
    <xf numFmtId="44" fontId="0" fillId="0" borderId="19" xfId="0" applyNumberFormat="1" applyBorder="1"/>
    <xf numFmtId="165" fontId="0" fillId="0" borderId="11" xfId="0" applyNumberFormat="1" applyBorder="1"/>
    <xf numFmtId="0" fontId="15" fillId="0" borderId="1" xfId="0" applyFont="1" applyFill="1" applyBorder="1" applyAlignment="1">
      <alignment horizontal="right"/>
    </xf>
    <xf numFmtId="9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9" fontId="0" fillId="0" borderId="1" xfId="2" applyFont="1" applyBorder="1"/>
    <xf numFmtId="0" fontId="5" fillId="0" borderId="8" xfId="0" applyFont="1" applyBorder="1"/>
    <xf numFmtId="0" fontId="9" fillId="0" borderId="12" xfId="0" applyFont="1" applyBorder="1" applyAlignment="1">
      <alignment horizontal="left"/>
    </xf>
    <xf numFmtId="44" fontId="5" fillId="0" borderId="12" xfId="1" applyFont="1" applyBorder="1" applyAlignment="1">
      <alignment horizontal="left"/>
    </xf>
    <xf numFmtId="44" fontId="5" fillId="0" borderId="12" xfId="0" applyNumberFormat="1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44" fontId="5" fillId="0" borderId="13" xfId="1" applyFont="1" applyBorder="1" applyAlignment="1">
      <alignment horizontal="left"/>
    </xf>
    <xf numFmtId="44" fontId="5" fillId="0" borderId="13" xfId="0" applyNumberFormat="1" applyFont="1" applyBorder="1" applyAlignment="1">
      <alignment horizontal="left"/>
    </xf>
    <xf numFmtId="44" fontId="5" fillId="0" borderId="13" xfId="1" applyFont="1" applyFill="1" applyBorder="1" applyAlignment="1">
      <alignment horizontal="left"/>
    </xf>
    <xf numFmtId="0" fontId="5" fillId="0" borderId="48" xfId="0" applyFont="1" applyBorder="1"/>
    <xf numFmtId="0" fontId="9" fillId="0" borderId="48" xfId="0" applyFont="1" applyBorder="1" applyAlignment="1">
      <alignment horizontal="left"/>
    </xf>
    <xf numFmtId="44" fontId="5" fillId="0" borderId="48" xfId="1" applyFont="1" applyFill="1" applyBorder="1" applyAlignment="1">
      <alignment horizontal="left"/>
    </xf>
    <xf numFmtId="44" fontId="5" fillId="0" borderId="48" xfId="1" applyFont="1" applyBorder="1" applyAlignment="1">
      <alignment horizontal="left"/>
    </xf>
    <xf numFmtId="44" fontId="5" fillId="0" borderId="48" xfId="0" applyNumberFormat="1" applyFont="1" applyBorder="1" applyAlignment="1">
      <alignment horizontal="left"/>
    </xf>
    <xf numFmtId="0" fontId="9" fillId="0" borderId="0" xfId="0" applyFont="1" applyBorder="1" applyAlignment="1"/>
    <xf numFmtId="0" fontId="9" fillId="0" borderId="11" xfId="0" applyFont="1" applyBorder="1" applyAlignment="1">
      <alignment horizontal="center"/>
    </xf>
    <xf numFmtId="44" fontId="5" fillId="0" borderId="9" xfId="0" applyNumberFormat="1" applyFont="1" applyBorder="1"/>
    <xf numFmtId="44" fontId="9" fillId="5" borderId="9" xfId="0" applyNumberFormat="1" applyFont="1" applyFill="1" applyBorder="1"/>
    <xf numFmtId="0" fontId="9" fillId="5" borderId="18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10" fontId="5" fillId="0" borderId="0" xfId="0" applyNumberFormat="1" applyFont="1"/>
    <xf numFmtId="0" fontId="9" fillId="5" borderId="59" xfId="0" applyFont="1" applyFill="1" applyBorder="1" applyAlignment="1">
      <alignment horizontal="center"/>
    </xf>
    <xf numFmtId="164" fontId="5" fillId="0" borderId="6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5" xfId="0" applyBorder="1"/>
    <xf numFmtId="0" fontId="5" fillId="3" borderId="13" xfId="0" applyFont="1" applyFill="1" applyBorder="1"/>
    <xf numFmtId="0" fontId="20" fillId="3" borderId="3" xfId="0" applyFont="1" applyFill="1" applyBorder="1"/>
    <xf numFmtId="8" fontId="0" fillId="3" borderId="13" xfId="0" applyNumberFormat="1" applyFont="1" applyFill="1" applyBorder="1"/>
    <xf numFmtId="8" fontId="0" fillId="3" borderId="3" xfId="0" applyNumberFormat="1" applyFont="1" applyFill="1" applyBorder="1"/>
    <xf numFmtId="0" fontId="6" fillId="0" borderId="0" xfId="0" applyFont="1" applyAlignment="1">
      <alignment horizontal="center"/>
    </xf>
    <xf numFmtId="9" fontId="22" fillId="0" borderId="1" xfId="0" applyNumberFormat="1" applyFont="1" applyFill="1" applyBorder="1" applyAlignment="1">
      <alignment horizontal="center"/>
    </xf>
    <xf numFmtId="169" fontId="5" fillId="0" borderId="1" xfId="0" applyNumberFormat="1" applyFont="1" applyBorder="1"/>
    <xf numFmtId="44" fontId="0" fillId="0" borderId="49" xfId="0" applyNumberFormat="1" applyFont="1" applyBorder="1"/>
    <xf numFmtId="0" fontId="12" fillId="8" borderId="10" xfId="0" applyFont="1" applyFill="1" applyBorder="1"/>
    <xf numFmtId="44" fontId="14" fillId="0" borderId="10" xfId="1" applyFont="1" applyBorder="1" applyAlignment="1">
      <alignment horizontal="left"/>
    </xf>
    <xf numFmtId="44" fontId="14" fillId="0" borderId="10" xfId="0" applyNumberFormat="1" applyFont="1" applyBorder="1" applyAlignment="1">
      <alignment horizontal="left"/>
    </xf>
    <xf numFmtId="44" fontId="12" fillId="9" borderId="67" xfId="0" applyNumberFormat="1" applyFont="1" applyFill="1" applyBorder="1" applyAlignment="1">
      <alignment horizontal="center" vertical="center"/>
    </xf>
    <xf numFmtId="44" fontId="12" fillId="9" borderId="23" xfId="0" applyNumberFormat="1" applyFont="1" applyFill="1" applyBorder="1" applyAlignment="1">
      <alignment horizontal="center" vertical="center"/>
    </xf>
    <xf numFmtId="168" fontId="2" fillId="2" borderId="13" xfId="0" applyNumberFormat="1" applyFont="1" applyFill="1" applyBorder="1"/>
    <xf numFmtId="168" fontId="2" fillId="2" borderId="3" xfId="0" applyNumberFormat="1" applyFont="1" applyFill="1" applyBorder="1"/>
    <xf numFmtId="8" fontId="2" fillId="2" borderId="13" xfId="0" applyNumberFormat="1" applyFont="1" applyFill="1" applyBorder="1"/>
    <xf numFmtId="8" fontId="0" fillId="0" borderId="68" xfId="0" applyNumberFormat="1" applyBorder="1"/>
    <xf numFmtId="165" fontId="0" fillId="0" borderId="0" xfId="0" applyNumberFormat="1"/>
    <xf numFmtId="0" fontId="9" fillId="0" borderId="62" xfId="0" applyFont="1" applyBorder="1" applyAlignment="1">
      <alignment horizontal="left"/>
    </xf>
    <xf numFmtId="165" fontId="5" fillId="0" borderId="10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2" fontId="14" fillId="0" borderId="1" xfId="2" applyNumberFormat="1" applyFont="1" applyBorder="1"/>
    <xf numFmtId="2" fontId="14" fillId="0" borderId="1" xfId="0" applyNumberFormat="1" applyFon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0" fontId="0" fillId="11" borderId="1" xfId="0" applyFill="1" applyBorder="1" applyAlignment="1">
      <alignment horizontal="center"/>
    </xf>
    <xf numFmtId="164" fontId="0" fillId="11" borderId="1" xfId="0" applyNumberFormat="1" applyFill="1" applyBorder="1"/>
    <xf numFmtId="44" fontId="0" fillId="0" borderId="68" xfId="0" applyNumberFormat="1" applyFont="1" applyBorder="1"/>
    <xf numFmtId="168" fontId="2" fillId="0" borderId="68" xfId="0" applyNumberFormat="1" applyFont="1" applyBorder="1"/>
    <xf numFmtId="44" fontId="0" fillId="0" borderId="0" xfId="0" applyNumberFormat="1"/>
    <xf numFmtId="0" fontId="9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left"/>
    </xf>
    <xf numFmtId="44" fontId="14" fillId="0" borderId="12" xfId="1" applyFont="1" applyBorder="1" applyAlignment="1">
      <alignment horizontal="left"/>
    </xf>
    <xf numFmtId="44" fontId="14" fillId="0" borderId="12" xfId="0" applyNumberFormat="1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44" fontId="14" fillId="0" borderId="13" xfId="1" applyFont="1" applyBorder="1" applyAlignment="1">
      <alignment horizontal="left"/>
    </xf>
    <xf numFmtId="44" fontId="14" fillId="0" borderId="13" xfId="0" applyNumberFormat="1" applyFont="1" applyBorder="1" applyAlignment="1">
      <alignment horizontal="left"/>
    </xf>
    <xf numFmtId="44" fontId="14" fillId="0" borderId="13" xfId="1" applyFont="1" applyFill="1" applyBorder="1" applyAlignment="1">
      <alignment horizontal="left"/>
    </xf>
    <xf numFmtId="0" fontId="14" fillId="0" borderId="48" xfId="0" applyFont="1" applyBorder="1" applyAlignment="1">
      <alignment horizontal="left"/>
    </xf>
    <xf numFmtId="44" fontId="14" fillId="0" borderId="48" xfId="1" applyFont="1" applyFill="1" applyBorder="1" applyAlignment="1">
      <alignment horizontal="left"/>
    </xf>
    <xf numFmtId="44" fontId="14" fillId="0" borderId="48" xfId="1" applyFont="1" applyBorder="1" applyAlignment="1">
      <alignment horizontal="left"/>
    </xf>
    <xf numFmtId="44" fontId="14" fillId="0" borderId="48" xfId="0" applyNumberFormat="1" applyFont="1" applyBorder="1" applyAlignment="1">
      <alignment horizontal="left"/>
    </xf>
    <xf numFmtId="0" fontId="14" fillId="0" borderId="0" xfId="0" applyFont="1" applyBorder="1" applyAlignment="1"/>
    <xf numFmtId="0" fontId="12" fillId="0" borderId="0" xfId="0" applyFont="1" applyBorder="1" applyAlignment="1"/>
    <xf numFmtId="0" fontId="12" fillId="0" borderId="11" xfId="0" applyFont="1" applyBorder="1" applyAlignment="1">
      <alignment horizontal="center"/>
    </xf>
    <xf numFmtId="44" fontId="14" fillId="0" borderId="9" xfId="0" applyNumberFormat="1" applyFont="1" applyBorder="1"/>
    <xf numFmtId="44" fontId="12" fillId="5" borderId="9" xfId="0" applyNumberFormat="1" applyFont="1" applyFill="1" applyBorder="1"/>
    <xf numFmtId="0" fontId="14" fillId="0" borderId="0" xfId="0" applyFont="1" applyAlignment="1">
      <alignment horizontal="right" wrapText="1"/>
    </xf>
    <xf numFmtId="0" fontId="12" fillId="5" borderId="18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10" fontId="14" fillId="0" borderId="0" xfId="0" applyNumberFormat="1" applyFont="1"/>
    <xf numFmtId="0" fontId="12" fillId="5" borderId="59" xfId="0" applyFont="1" applyFill="1" applyBorder="1" applyAlignment="1">
      <alignment horizontal="center"/>
    </xf>
    <xf numFmtId="164" fontId="14" fillId="0" borderId="6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4" fontId="25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165" fontId="25" fillId="0" borderId="1" xfId="1" applyNumberFormat="1" applyFont="1" applyBorder="1" applyAlignment="1">
      <alignment horizontal="center" vertical="center" wrapText="1"/>
    </xf>
    <xf numFmtId="8" fontId="14" fillId="0" borderId="1" xfId="0" applyNumberFormat="1" applyFont="1" applyBorder="1" applyAlignment="1">
      <alignment horizontal="center" vertical="center" wrapText="1"/>
    </xf>
    <xf numFmtId="8" fontId="12" fillId="0" borderId="0" xfId="0" applyNumberFormat="1" applyFont="1" applyBorder="1" applyAlignment="1">
      <alignment horizontal="center" vertical="center"/>
    </xf>
    <xf numFmtId="165" fontId="12" fillId="0" borderId="59" xfId="0" applyNumberFormat="1" applyFont="1" applyBorder="1" applyAlignment="1">
      <alignment horizontal="center" vertical="center" wrapText="1"/>
    </xf>
    <xf numFmtId="165" fontId="12" fillId="0" borderId="6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/>
    <xf numFmtId="0" fontId="17" fillId="0" borderId="11" xfId="0" applyFont="1" applyBorder="1" applyAlignment="1">
      <alignment vertical="top"/>
    </xf>
    <xf numFmtId="0" fontId="16" fillId="0" borderId="11" xfId="0" applyFont="1" applyBorder="1" applyAlignment="1">
      <alignment horizontal="center" vertical="top" wrapText="1"/>
    </xf>
    <xf numFmtId="0" fontId="16" fillId="0" borderId="56" xfId="0" applyFont="1" applyBorder="1" applyAlignment="1">
      <alignment horizontal="center" vertical="top"/>
    </xf>
    <xf numFmtId="44" fontId="17" fillId="0" borderId="56" xfId="1" applyFont="1" applyBorder="1" applyAlignment="1">
      <alignment vertical="top"/>
    </xf>
    <xf numFmtId="8" fontId="17" fillId="0" borderId="56" xfId="1" applyNumberFormat="1" applyFont="1" applyBorder="1" applyAlignment="1">
      <alignment horizontal="right" vertical="top"/>
    </xf>
    <xf numFmtId="44" fontId="17" fillId="0" borderId="56" xfId="1" applyFont="1" applyBorder="1" applyAlignment="1">
      <alignment horizontal="center" vertical="top"/>
    </xf>
    <xf numFmtId="44" fontId="17" fillId="0" borderId="56" xfId="1" applyFont="1" applyBorder="1" applyAlignment="1">
      <alignment horizontal="right" vertical="top"/>
    </xf>
    <xf numFmtId="0" fontId="16" fillId="0" borderId="9" xfId="0" applyFont="1" applyBorder="1" applyAlignment="1">
      <alignment horizontal="center" vertical="top"/>
    </xf>
    <xf numFmtId="44" fontId="17" fillId="0" borderId="9" xfId="1" applyFont="1" applyBorder="1" applyAlignment="1">
      <alignment horizontal="center" vertical="top"/>
    </xf>
    <xf numFmtId="44" fontId="17" fillId="0" borderId="9" xfId="1" applyFont="1" applyBorder="1" applyAlignment="1">
      <alignment horizontal="right" vertical="top"/>
    </xf>
    <xf numFmtId="44" fontId="28" fillId="0" borderId="0" xfId="0" applyNumberFormat="1" applyFont="1"/>
    <xf numFmtId="0" fontId="16" fillId="0" borderId="30" xfId="0" applyFont="1" applyBorder="1" applyAlignment="1">
      <alignment horizontal="center" vertical="top"/>
    </xf>
    <xf numFmtId="44" fontId="17" fillId="0" borderId="30" xfId="1" applyFont="1" applyBorder="1" applyAlignment="1">
      <alignment vertical="top"/>
    </xf>
    <xf numFmtId="8" fontId="17" fillId="0" borderId="30" xfId="1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center" vertical="top"/>
    </xf>
    <xf numFmtId="44" fontId="17" fillId="0" borderId="0" xfId="1" applyFont="1" applyBorder="1" applyAlignment="1">
      <alignment horizontal="center" vertical="top"/>
    </xf>
    <xf numFmtId="44" fontId="17" fillId="0" borderId="0" xfId="1" applyFont="1" applyBorder="1" applyAlignment="1">
      <alignment horizontal="right" vertical="top"/>
    </xf>
    <xf numFmtId="0" fontId="12" fillId="0" borderId="0" xfId="0" applyFont="1" applyAlignment="1">
      <alignment horizontal="center"/>
    </xf>
    <xf numFmtId="0" fontId="29" fillId="0" borderId="0" xfId="0" applyFont="1"/>
    <xf numFmtId="44" fontId="29" fillId="0" borderId="0" xfId="0" applyNumberFormat="1" applyFont="1"/>
    <xf numFmtId="44" fontId="29" fillId="3" borderId="0" xfId="0" applyNumberFormat="1" applyFont="1" applyFill="1"/>
    <xf numFmtId="0" fontId="7" fillId="5" borderId="30" xfId="0" applyFont="1" applyFill="1" applyBorder="1"/>
    <xf numFmtId="0" fontId="7" fillId="5" borderId="29" xfId="0" applyFont="1" applyFill="1" applyBorder="1"/>
    <xf numFmtId="44" fontId="7" fillId="0" borderId="52" xfId="0" applyNumberFormat="1" applyFont="1" applyBorder="1"/>
    <xf numFmtId="44" fontId="7" fillId="0" borderId="12" xfId="0" applyNumberFormat="1" applyFont="1" applyBorder="1"/>
    <xf numFmtId="44" fontId="7" fillId="0" borderId="3" xfId="0" applyNumberFormat="1" applyFont="1" applyBorder="1"/>
    <xf numFmtId="44" fontId="7" fillId="0" borderId="13" xfId="0" applyNumberFormat="1" applyFont="1" applyBorder="1"/>
    <xf numFmtId="44" fontId="7" fillId="0" borderId="0" xfId="0" applyNumberFormat="1" applyFont="1" applyBorder="1"/>
    <xf numFmtId="44" fontId="7" fillId="0" borderId="11" xfId="0" applyNumberFormat="1" applyFont="1" applyBorder="1"/>
    <xf numFmtId="44" fontId="29" fillId="0" borderId="0" xfId="0" applyNumberFormat="1" applyFont="1" applyBorder="1"/>
    <xf numFmtId="8" fontId="5" fillId="0" borderId="1" xfId="0" applyNumberFormat="1" applyFont="1" applyBorder="1"/>
    <xf numFmtId="165" fontId="5" fillId="0" borderId="1" xfId="0" applyNumberFormat="1" applyFont="1" applyBorder="1"/>
    <xf numFmtId="0" fontId="21" fillId="0" borderId="1" xfId="0" applyFont="1" applyFill="1" applyBorder="1" applyAlignment="1">
      <alignment horizontal="right"/>
    </xf>
    <xf numFmtId="44" fontId="14" fillId="0" borderId="1" xfId="1" applyFont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7" fillId="11" borderId="1" xfId="0" applyFont="1" applyFill="1" applyBorder="1" applyAlignment="1">
      <alignment horizontal="center"/>
    </xf>
    <xf numFmtId="164" fontId="7" fillId="11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/>
    <xf numFmtId="9" fontId="5" fillId="0" borderId="1" xfId="2" applyFont="1" applyBorder="1" applyAlignment="1">
      <alignment horizontal="center"/>
    </xf>
    <xf numFmtId="0" fontId="5" fillId="3" borderId="1" xfId="0" applyFont="1" applyFill="1" applyBorder="1"/>
    <xf numFmtId="0" fontId="22" fillId="3" borderId="1" xfId="0" applyFont="1" applyFill="1" applyBorder="1"/>
    <xf numFmtId="44" fontId="5" fillId="3" borderId="1" xfId="1" applyFont="1" applyFill="1" applyBorder="1"/>
    <xf numFmtId="169" fontId="5" fillId="3" borderId="1" xfId="0" applyNumberFormat="1" applyFont="1" applyFill="1" applyBorder="1"/>
    <xf numFmtId="0" fontId="15" fillId="0" borderId="1" xfId="0" applyFont="1" applyBorder="1"/>
    <xf numFmtId="0" fontId="15" fillId="0" borderId="1" xfId="0" applyFont="1" applyFill="1" applyBorder="1"/>
    <xf numFmtId="0" fontId="9" fillId="0" borderId="0" xfId="0" applyFont="1" applyBorder="1" applyAlignment="1">
      <alignment horizontal="center" vertical="center"/>
    </xf>
    <xf numFmtId="0" fontId="5" fillId="0" borderId="15" xfId="0" applyFont="1" applyBorder="1"/>
    <xf numFmtId="44" fontId="5" fillId="0" borderId="15" xfId="1" applyFont="1" applyBorder="1"/>
    <xf numFmtId="169" fontId="5" fillId="0" borderId="15" xfId="0" applyNumberFormat="1" applyFont="1" applyBorder="1"/>
    <xf numFmtId="0" fontId="9" fillId="0" borderId="2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165" fontId="9" fillId="0" borderId="15" xfId="0" applyNumberFormat="1" applyFont="1" applyBorder="1"/>
    <xf numFmtId="0" fontId="5" fillId="0" borderId="33" xfId="0" applyFont="1" applyBorder="1"/>
    <xf numFmtId="44" fontId="5" fillId="0" borderId="33" xfId="0" applyNumberFormat="1" applyFont="1" applyBorder="1"/>
    <xf numFmtId="0" fontId="14" fillId="0" borderId="1" xfId="0" applyFont="1" applyFill="1" applyBorder="1"/>
    <xf numFmtId="165" fontId="9" fillId="0" borderId="0" xfId="0" applyNumberFormat="1" applyFont="1" applyBorder="1"/>
    <xf numFmtId="0" fontId="21" fillId="0" borderId="10" xfId="0" applyFont="1" applyFill="1" applyBorder="1" applyAlignment="1">
      <alignment horizontal="right"/>
    </xf>
    <xf numFmtId="8" fontId="5" fillId="0" borderId="14" xfId="0" applyNumberFormat="1" applyFont="1" applyBorder="1"/>
    <xf numFmtId="0" fontId="21" fillId="0" borderId="0" xfId="0" applyFont="1" applyFill="1" applyBorder="1" applyAlignment="1">
      <alignment horizontal="right"/>
    </xf>
    <xf numFmtId="8" fontId="5" fillId="0" borderId="0" xfId="0" applyNumberFormat="1" applyFont="1" applyBorder="1"/>
    <xf numFmtId="44" fontId="14" fillId="0" borderId="15" xfId="1" applyFont="1" applyBorder="1"/>
    <xf numFmtId="44" fontId="14" fillId="0" borderId="1" xfId="1" applyFont="1" applyFill="1" applyBorder="1"/>
    <xf numFmtId="44" fontId="14" fillId="0" borderId="15" xfId="1" applyFont="1" applyFill="1" applyBorder="1"/>
    <xf numFmtId="44" fontId="14" fillId="0" borderId="33" xfId="1" applyFont="1" applyFill="1" applyBorder="1"/>
    <xf numFmtId="44" fontId="14" fillId="0" borderId="33" xfId="1" applyFont="1" applyBorder="1"/>
    <xf numFmtId="0" fontId="30" fillId="0" borderId="1" xfId="0" applyFont="1" applyBorder="1" applyAlignment="1">
      <alignment horizontal="center"/>
    </xf>
    <xf numFmtId="44" fontId="5" fillId="0" borderId="15" xfId="1" applyFont="1" applyFill="1" applyBorder="1"/>
    <xf numFmtId="169" fontId="5" fillId="0" borderId="15" xfId="0" applyNumberFormat="1" applyFont="1" applyFill="1" applyBorder="1"/>
    <xf numFmtId="44" fontId="5" fillId="0" borderId="33" xfId="1" applyFont="1" applyBorder="1"/>
    <xf numFmtId="169" fontId="5" fillId="0" borderId="33" xfId="0" applyNumberFormat="1" applyFont="1" applyBorder="1"/>
    <xf numFmtId="0" fontId="31" fillId="0" borderId="0" xfId="0" applyFont="1" applyFill="1" applyBorder="1" applyAlignment="1">
      <alignment horizontal="center"/>
    </xf>
    <xf numFmtId="0" fontId="16" fillId="0" borderId="69" xfId="0" applyFont="1" applyBorder="1" applyAlignment="1">
      <alignment horizontal="center" vertical="top"/>
    </xf>
    <xf numFmtId="44" fontId="17" fillId="0" borderId="69" xfId="1" applyFont="1" applyBorder="1" applyAlignment="1">
      <alignment horizontal="center" vertical="top"/>
    </xf>
    <xf numFmtId="44" fontId="17" fillId="0" borderId="69" xfId="1" applyFont="1" applyBorder="1" applyAlignment="1">
      <alignment horizontal="right" vertical="top"/>
    </xf>
    <xf numFmtId="44" fontId="28" fillId="0" borderId="0" xfId="0" applyNumberFormat="1" applyFont="1" applyBorder="1"/>
    <xf numFmtId="0" fontId="23" fillId="0" borderId="0" xfId="0" applyFont="1" applyAlignment="1"/>
    <xf numFmtId="0" fontId="29" fillId="0" borderId="0" xfId="0" applyFont="1" applyBorder="1"/>
    <xf numFmtId="0" fontId="12" fillId="0" borderId="6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7" fillId="0" borderId="0" xfId="0" applyFont="1" applyFill="1"/>
    <xf numFmtId="0" fontId="14" fillId="0" borderId="13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9" fontId="0" fillId="10" borderId="1" xfId="0" applyNumberFormat="1" applyFill="1" applyBorder="1" applyAlignment="1">
      <alignment horizontal="center"/>
    </xf>
    <xf numFmtId="165" fontId="0" fillId="10" borderId="1" xfId="0" applyNumberFormat="1" applyFill="1" applyBorder="1"/>
    <xf numFmtId="10" fontId="0" fillId="10" borderId="1" xfId="2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9" fontId="0" fillId="11" borderId="1" xfId="0" applyNumberFormat="1" applyFill="1" applyBorder="1" applyAlignment="1">
      <alignment horizontal="center"/>
    </xf>
    <xf numFmtId="44" fontId="0" fillId="11" borderId="1" xfId="1" applyFont="1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5" fillId="0" borderId="2" xfId="0" applyFont="1" applyBorder="1"/>
    <xf numFmtId="169" fontId="5" fillId="0" borderId="10" xfId="0" applyNumberFormat="1" applyFont="1" applyBorder="1"/>
    <xf numFmtId="169" fontId="5" fillId="0" borderId="11" xfId="0" applyNumberFormat="1" applyFont="1" applyBorder="1"/>
    <xf numFmtId="0" fontId="9" fillId="10" borderId="1" xfId="0" applyFont="1" applyFill="1" applyBorder="1" applyAlignment="1">
      <alignment horizontal="center"/>
    </xf>
    <xf numFmtId="44" fontId="0" fillId="0" borderId="1" xfId="1" applyFont="1" applyBorder="1"/>
    <xf numFmtId="0" fontId="12" fillId="10" borderId="1" xfId="0" applyFont="1" applyFill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/>
    <xf numFmtId="0" fontId="32" fillId="0" borderId="0" xfId="0" applyFont="1" applyAlignment="1">
      <alignment horizontal="left"/>
    </xf>
    <xf numFmtId="0" fontId="32" fillId="0" borderId="1" xfId="0" applyFont="1" applyBorder="1"/>
    <xf numFmtId="167" fontId="32" fillId="0" borderId="1" xfId="0" applyNumberFormat="1" applyFont="1" applyBorder="1"/>
    <xf numFmtId="167" fontId="33" fillId="0" borderId="1" xfId="0" applyNumberFormat="1" applyFont="1" applyBorder="1"/>
    <xf numFmtId="0" fontId="32" fillId="0" borderId="0" xfId="0" applyFont="1"/>
    <xf numFmtId="0" fontId="5" fillId="10" borderId="1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/>
    </xf>
    <xf numFmtId="169" fontId="9" fillId="10" borderId="10" xfId="0" applyNumberFormat="1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8" fontId="14" fillId="0" borderId="4" xfId="0" applyNumberFormat="1" applyFont="1" applyFill="1" applyBorder="1" applyAlignment="1">
      <alignment horizontal="center" vertical="center"/>
    </xf>
    <xf numFmtId="166" fontId="14" fillId="0" borderId="4" xfId="0" applyNumberFormat="1" applyFont="1" applyFill="1" applyBorder="1" applyAlignment="1">
      <alignment horizontal="center" vertical="center"/>
    </xf>
    <xf numFmtId="8" fontId="12" fillId="0" borderId="72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/>
    <xf numFmtId="0" fontId="16" fillId="0" borderId="13" xfId="0" applyFont="1" applyFill="1" applyBorder="1" applyAlignment="1"/>
    <xf numFmtId="0" fontId="12" fillId="0" borderId="48" xfId="0" applyFont="1" applyFill="1" applyBorder="1"/>
    <xf numFmtId="0" fontId="12" fillId="0" borderId="11" xfId="0" applyFont="1" applyFill="1" applyBorder="1" applyAlignment="1">
      <alignment horizontal="left" vertical="center"/>
    </xf>
    <xf numFmtId="0" fontId="12" fillId="10" borderId="18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top" wrapText="1"/>
    </xf>
    <xf numFmtId="0" fontId="9" fillId="8" borderId="58" xfId="0" applyFont="1" applyFill="1" applyBorder="1" applyAlignment="1">
      <alignment horizontal="justify" vertical="center" wrapText="1"/>
    </xf>
    <xf numFmtId="44" fontId="19" fillId="9" borderId="1" xfId="0" applyNumberFormat="1" applyFont="1" applyFill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10" borderId="57" xfId="0" applyFont="1" applyFill="1" applyBorder="1"/>
    <xf numFmtId="0" fontId="6" fillId="10" borderId="30" xfId="0" applyFont="1" applyFill="1" applyBorder="1"/>
    <xf numFmtId="0" fontId="12" fillId="10" borderId="62" xfId="0" applyFont="1" applyFill="1" applyBorder="1" applyAlignment="1">
      <alignment horizontal="center"/>
    </xf>
    <xf numFmtId="0" fontId="12" fillId="10" borderId="63" xfId="0" applyFont="1" applyFill="1" applyBorder="1" applyAlignment="1">
      <alignment horizontal="center"/>
    </xf>
    <xf numFmtId="0" fontId="12" fillId="10" borderId="35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10" borderId="18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2" fillId="5" borderId="57" xfId="0" applyFont="1" applyFill="1" applyBorder="1" applyAlignment="1">
      <alignment horizontal="center" vertical="center"/>
    </xf>
    <xf numFmtId="0" fontId="0" fillId="0" borderId="66" xfId="0" applyFont="1" applyBorder="1"/>
    <xf numFmtId="0" fontId="0" fillId="0" borderId="29" xfId="0" applyFont="1" applyBorder="1"/>
    <xf numFmtId="0" fontId="0" fillId="0" borderId="58" xfId="0" applyFont="1" applyBorder="1"/>
    <xf numFmtId="0" fontId="0" fillId="0" borderId="69" xfId="0" applyFont="1" applyBorder="1"/>
    <xf numFmtId="0" fontId="0" fillId="0" borderId="26" xfId="0" applyFont="1" applyBorder="1"/>
    <xf numFmtId="0" fontId="12" fillId="5" borderId="24" xfId="0" applyFont="1" applyFill="1" applyBorder="1" applyAlignment="1">
      <alignment horizontal="center"/>
    </xf>
    <xf numFmtId="0" fontId="12" fillId="5" borderId="27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/>
    </xf>
    <xf numFmtId="0" fontId="12" fillId="5" borderId="66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58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0" fontId="23" fillId="0" borderId="66" xfId="0" applyFont="1" applyBorder="1" applyAlignment="1">
      <alignment horizontal="left"/>
    </xf>
    <xf numFmtId="8" fontId="12" fillId="0" borderId="0" xfId="0" applyNumberFormat="1" applyFont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54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/>
    </xf>
    <xf numFmtId="0" fontId="26" fillId="5" borderId="49" xfId="0" applyFont="1" applyFill="1" applyBorder="1" applyAlignment="1">
      <alignment horizontal="center" vertical="center" wrapText="1"/>
    </xf>
    <xf numFmtId="0" fontId="26" fillId="5" borderId="54" xfId="0" applyFont="1" applyFill="1" applyBorder="1" applyAlignment="1">
      <alignment horizontal="center" vertical="center"/>
    </xf>
    <xf numFmtId="0" fontId="24" fillId="5" borderId="53" xfId="0" applyFont="1" applyFill="1" applyBorder="1" applyAlignment="1">
      <alignment horizontal="center" vertical="center" wrapText="1"/>
    </xf>
    <xf numFmtId="0" fontId="24" fillId="5" borderId="55" xfId="0" applyFont="1" applyFill="1" applyBorder="1" applyAlignment="1">
      <alignment horizontal="center" vertical="center"/>
    </xf>
    <xf numFmtId="8" fontId="12" fillId="0" borderId="0" xfId="0" applyNumberFormat="1" applyFont="1" applyBorder="1" applyAlignment="1">
      <alignment horizontal="center" vertical="center" wrapText="1"/>
    </xf>
    <xf numFmtId="165" fontId="24" fillId="5" borderId="12" xfId="1" applyNumberFormat="1" applyFont="1" applyFill="1" applyBorder="1" applyAlignment="1">
      <alignment horizontal="center" vertical="center" wrapText="1"/>
    </xf>
    <xf numFmtId="165" fontId="24" fillId="5" borderId="19" xfId="1" applyNumberFormat="1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 wrapText="1"/>
    </xf>
    <xf numFmtId="0" fontId="12" fillId="8" borderId="4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3" fillId="0" borderId="5" xfId="0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9" fillId="8" borderId="12" xfId="0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/>
    </xf>
    <xf numFmtId="0" fontId="9" fillId="0" borderId="49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2" name="Picture 1" descr="https://www.portfoliopersonal.com/grafica/dummi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7425" y="2695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3" name="Picture 2" descr="https://www.portfoliopersonal.com/grafica/dummi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26955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workbookViewId="0">
      <selection activeCell="G11" sqref="G11"/>
    </sheetView>
  </sheetViews>
  <sheetFormatPr baseColWidth="10" defaultRowHeight="15.75"/>
  <cols>
    <col min="1" max="1" width="1.42578125" style="4" customWidth="1"/>
    <col min="2" max="2" width="3.85546875" style="16" bestFit="1" customWidth="1"/>
    <col min="3" max="3" width="33.42578125" style="4" bestFit="1" customWidth="1"/>
    <col min="4" max="4" width="17.140625" style="4" bestFit="1" customWidth="1"/>
    <col min="5" max="5" width="13.85546875" style="4" bestFit="1" customWidth="1"/>
    <col min="6" max="6" width="1.140625" style="37" customWidth="1"/>
    <col min="7" max="7" width="33.42578125" style="4" customWidth="1"/>
    <col min="8" max="8" width="21.140625" style="4" customWidth="1"/>
    <col min="9" max="9" width="11.42578125" style="4"/>
    <col min="10" max="10" width="23.85546875" style="4" bestFit="1" customWidth="1"/>
    <col min="11" max="11" width="20.5703125" style="4" bestFit="1" customWidth="1"/>
    <col min="12" max="16384" width="11.42578125" style="4"/>
  </cols>
  <sheetData>
    <row r="1" spans="1:13" ht="17.25" customHeight="1">
      <c r="A1" s="432" t="s">
        <v>295</v>
      </c>
      <c r="B1" s="432"/>
      <c r="C1" s="432"/>
      <c r="D1" s="432"/>
      <c r="E1" s="432"/>
      <c r="F1" s="432"/>
    </row>
    <row r="2" spans="1:13" ht="17.25" customHeight="1">
      <c r="A2" s="432" t="s">
        <v>296</v>
      </c>
      <c r="B2" s="432"/>
      <c r="C2" s="432"/>
      <c r="D2" s="432"/>
      <c r="E2" s="432"/>
      <c r="F2" s="432"/>
    </row>
    <row r="3" spans="1:13" ht="20.25" customHeight="1">
      <c r="A3" s="434" t="s">
        <v>294</v>
      </c>
      <c r="B3" s="434"/>
      <c r="C3" s="434"/>
      <c r="D3" s="434"/>
      <c r="E3" s="434"/>
      <c r="F3" s="434"/>
    </row>
    <row r="4" spans="1:13">
      <c r="A4" s="434" t="s">
        <v>269</v>
      </c>
      <c r="B4" s="434"/>
      <c r="C4" s="434"/>
      <c r="D4" s="434"/>
      <c r="E4" s="434"/>
      <c r="F4" s="370"/>
      <c r="G4" s="435" t="s">
        <v>103</v>
      </c>
      <c r="H4" s="435"/>
      <c r="I4" s="435"/>
      <c r="J4" s="435"/>
      <c r="K4" s="435"/>
      <c r="L4" s="435"/>
      <c r="M4" s="435"/>
    </row>
    <row r="5" spans="1:13" ht="11.25" customHeight="1" thickBot="1"/>
    <row r="6" spans="1:13" ht="16.5" thickBot="1">
      <c r="B6" s="436" t="s">
        <v>98</v>
      </c>
      <c r="C6" s="437"/>
      <c r="D6" s="437"/>
      <c r="E6" s="438"/>
      <c r="F6" s="41"/>
    </row>
    <row r="7" spans="1:13" ht="16.5" thickBot="1">
      <c r="D7" s="427" t="s">
        <v>17</v>
      </c>
      <c r="E7" s="428" t="s">
        <v>18</v>
      </c>
      <c r="F7" s="42"/>
    </row>
    <row r="8" spans="1:13">
      <c r="B8" s="17">
        <v>2</v>
      </c>
      <c r="C8" s="18" t="s">
        <v>19</v>
      </c>
      <c r="D8" s="39">
        <v>3804</v>
      </c>
      <c r="E8" s="44">
        <f>B8*D8</f>
        <v>7608</v>
      </c>
      <c r="F8" s="43"/>
    </row>
    <row r="9" spans="1:13">
      <c r="B9" s="19">
        <v>2</v>
      </c>
      <c r="C9" s="20" t="s">
        <v>20</v>
      </c>
      <c r="D9" s="38">
        <v>5262</v>
      </c>
      <c r="E9" s="45">
        <f>B9*D9</f>
        <v>10524</v>
      </c>
      <c r="F9" s="43"/>
    </row>
    <row r="10" spans="1:13">
      <c r="B10" s="19">
        <v>2</v>
      </c>
      <c r="C10" s="20" t="s">
        <v>21</v>
      </c>
      <c r="D10" s="38">
        <v>4995</v>
      </c>
      <c r="E10" s="45">
        <f>B10*D10</f>
        <v>9990</v>
      </c>
      <c r="F10" s="43"/>
    </row>
    <row r="11" spans="1:13" ht="16.5" thickBot="1">
      <c r="B11" s="21">
        <v>2</v>
      </c>
      <c r="C11" s="22" t="s">
        <v>22</v>
      </c>
      <c r="D11" s="40">
        <v>1156.32</v>
      </c>
      <c r="E11" s="46">
        <f>B11*D11</f>
        <v>2312.64</v>
      </c>
      <c r="F11" s="43"/>
    </row>
    <row r="12" spans="1:13" ht="16.5" thickBot="1">
      <c r="E12" s="23">
        <f>SUM(E8:E11)</f>
        <v>30434.639999999999</v>
      </c>
      <c r="F12" s="43"/>
    </row>
    <row r="13" spans="1:13" ht="8.25" customHeight="1" thickBot="1"/>
    <row r="14" spans="1:13" ht="16.5" thickBot="1">
      <c r="B14" s="436" t="s">
        <v>99</v>
      </c>
      <c r="C14" s="437"/>
      <c r="D14" s="437"/>
      <c r="E14" s="438"/>
      <c r="F14" s="41"/>
    </row>
    <row r="15" spans="1:13" ht="16.5" thickBot="1">
      <c r="D15" s="427" t="s">
        <v>17</v>
      </c>
      <c r="E15" s="428" t="s">
        <v>18</v>
      </c>
      <c r="F15" s="42"/>
    </row>
    <row r="16" spans="1:13">
      <c r="B16" s="24">
        <v>14</v>
      </c>
      <c r="C16" s="18" t="s">
        <v>23</v>
      </c>
      <c r="D16" s="39">
        <v>400</v>
      </c>
      <c r="E16" s="44">
        <f>B16*D16</f>
        <v>5600</v>
      </c>
      <c r="F16" s="43"/>
    </row>
    <row r="17" spans="2:9">
      <c r="B17" s="19">
        <v>2</v>
      </c>
      <c r="C17" s="20" t="s">
        <v>24</v>
      </c>
      <c r="D17" s="38">
        <v>150</v>
      </c>
      <c r="E17" s="45">
        <f t="shared" ref="E17:E18" si="0">B17*D17</f>
        <v>300</v>
      </c>
      <c r="F17" s="43"/>
    </row>
    <row r="18" spans="2:9" ht="17.25" customHeight="1" thickBot="1">
      <c r="B18" s="19">
        <v>1</v>
      </c>
      <c r="C18" s="20" t="s">
        <v>25</v>
      </c>
      <c r="D18" s="38">
        <v>500</v>
      </c>
      <c r="E18" s="45">
        <f t="shared" si="0"/>
        <v>500</v>
      </c>
      <c r="F18" s="43"/>
    </row>
    <row r="19" spans="2:9" ht="16.5" thickBot="1">
      <c r="E19" s="23">
        <f>SUM(E16:E18)</f>
        <v>6400</v>
      </c>
      <c r="F19" s="43"/>
    </row>
    <row r="20" spans="2:9" ht="21" customHeight="1" thickBot="1"/>
    <row r="21" spans="2:9" ht="16.5" thickBot="1">
      <c r="B21" s="436" t="s">
        <v>100</v>
      </c>
      <c r="C21" s="437"/>
      <c r="D21" s="437"/>
      <c r="E21" s="438"/>
      <c r="F21" s="41"/>
    </row>
    <row r="22" spans="2:9" ht="16.5" thickBot="1">
      <c r="D22" s="427" t="s">
        <v>17</v>
      </c>
      <c r="E22" s="428" t="s">
        <v>18</v>
      </c>
      <c r="F22" s="42"/>
    </row>
    <row r="23" spans="2:9">
      <c r="B23" s="17">
        <v>4</v>
      </c>
      <c r="C23" s="18" t="s">
        <v>27</v>
      </c>
      <c r="D23" s="39">
        <v>120</v>
      </c>
      <c r="E23" s="44">
        <f>B23*D23</f>
        <v>480</v>
      </c>
      <c r="F23" s="43"/>
    </row>
    <row r="24" spans="2:9">
      <c r="B24" s="19">
        <v>4</v>
      </c>
      <c r="C24" s="20" t="s">
        <v>28</v>
      </c>
      <c r="D24" s="38">
        <v>240</v>
      </c>
      <c r="E24" s="45">
        <f>B24*D24</f>
        <v>960</v>
      </c>
      <c r="F24" s="43"/>
    </row>
    <row r="25" spans="2:9">
      <c r="B25" s="19">
        <v>4</v>
      </c>
      <c r="C25" s="20" t="s">
        <v>29</v>
      </c>
      <c r="D25" s="38">
        <v>198</v>
      </c>
      <c r="E25" s="45">
        <f t="shared" ref="E25:E30" si="1">B25*D25</f>
        <v>792</v>
      </c>
      <c r="F25" s="43"/>
    </row>
    <row r="26" spans="2:9">
      <c r="B26" s="19">
        <v>10</v>
      </c>
      <c r="C26" s="20" t="s">
        <v>30</v>
      </c>
      <c r="D26" s="38">
        <v>98</v>
      </c>
      <c r="E26" s="45">
        <f t="shared" si="1"/>
        <v>980</v>
      </c>
      <c r="F26" s="43"/>
    </row>
    <row r="27" spans="2:9">
      <c r="B27" s="19">
        <v>2</v>
      </c>
      <c r="C27" s="20" t="s">
        <v>31</v>
      </c>
      <c r="D27" s="38">
        <v>236</v>
      </c>
      <c r="E27" s="45">
        <f t="shared" si="1"/>
        <v>472</v>
      </c>
      <c r="F27" s="43"/>
    </row>
    <row r="28" spans="2:9">
      <c r="B28" s="19">
        <v>1</v>
      </c>
      <c r="C28" s="20" t="s">
        <v>32</v>
      </c>
      <c r="D28" s="38">
        <v>450</v>
      </c>
      <c r="E28" s="45">
        <f>+D28*B28</f>
        <v>450</v>
      </c>
      <c r="F28" s="43"/>
    </row>
    <row r="29" spans="2:9">
      <c r="B29" s="19">
        <v>4</v>
      </c>
      <c r="C29" s="20" t="s">
        <v>33</v>
      </c>
      <c r="D29" s="38">
        <v>150</v>
      </c>
      <c r="E29" s="45">
        <f t="shared" si="1"/>
        <v>600</v>
      </c>
      <c r="F29" s="43"/>
    </row>
    <row r="30" spans="2:9" ht="16.5" thickBot="1">
      <c r="B30" s="21">
        <v>1</v>
      </c>
      <c r="C30" s="22" t="s">
        <v>126</v>
      </c>
      <c r="D30" s="40">
        <v>700</v>
      </c>
      <c r="E30" s="46">
        <f t="shared" si="1"/>
        <v>700</v>
      </c>
      <c r="F30" s="43"/>
      <c r="I30" s="4" t="s">
        <v>15</v>
      </c>
    </row>
    <row r="31" spans="2:9" ht="16.5" thickBot="1">
      <c r="B31" s="25"/>
      <c r="C31" s="26"/>
      <c r="D31" s="27"/>
      <c r="E31" s="23">
        <f>SUM(E23:E30)</f>
        <v>5434</v>
      </c>
      <c r="F31" s="43"/>
    </row>
    <row r="32" spans="2:9" ht="16.5" thickBot="1">
      <c r="B32" s="25"/>
      <c r="C32" s="26"/>
      <c r="D32" s="27"/>
      <c r="E32" s="27"/>
      <c r="F32" s="43"/>
    </row>
    <row r="33" spans="2:6" ht="16.5" thickBot="1">
      <c r="B33" s="436" t="s">
        <v>34</v>
      </c>
      <c r="C33" s="437"/>
      <c r="D33" s="437"/>
      <c r="E33" s="438"/>
      <c r="F33" s="41"/>
    </row>
    <row r="34" spans="2:6" ht="16.5" thickBot="1">
      <c r="D34" s="427" t="s">
        <v>17</v>
      </c>
      <c r="E34" s="428" t="s">
        <v>18</v>
      </c>
      <c r="F34" s="42"/>
    </row>
    <row r="35" spans="2:6">
      <c r="B35" s="17">
        <v>1</v>
      </c>
      <c r="C35" s="18" t="s">
        <v>35</v>
      </c>
      <c r="D35" s="39">
        <v>1500</v>
      </c>
      <c r="E35" s="44">
        <f>B35*D35</f>
        <v>1500</v>
      </c>
      <c r="F35" s="43"/>
    </row>
    <row r="36" spans="2:6">
      <c r="B36" s="19">
        <v>1</v>
      </c>
      <c r="C36" s="20" t="s">
        <v>26</v>
      </c>
      <c r="D36" s="38">
        <v>500</v>
      </c>
      <c r="E36" s="45">
        <f>B36*D36</f>
        <v>500</v>
      </c>
      <c r="F36" s="43"/>
    </row>
    <row r="37" spans="2:6">
      <c r="B37" s="19">
        <v>3</v>
      </c>
      <c r="C37" s="20" t="s">
        <v>36</v>
      </c>
      <c r="D37" s="38">
        <v>300</v>
      </c>
      <c r="E37" s="45">
        <f>B37*D37</f>
        <v>900</v>
      </c>
      <c r="F37" s="43"/>
    </row>
    <row r="38" spans="2:6">
      <c r="B38" s="28">
        <v>1</v>
      </c>
      <c r="C38" s="29" t="s">
        <v>37</v>
      </c>
      <c r="D38" s="38">
        <v>150</v>
      </c>
      <c r="E38" s="45">
        <f>B38*D38</f>
        <v>150</v>
      </c>
      <c r="F38" s="43"/>
    </row>
    <row r="39" spans="2:6" ht="16.5" thickBot="1">
      <c r="B39" s="30">
        <v>3</v>
      </c>
      <c r="C39" s="31" t="s">
        <v>38</v>
      </c>
      <c r="D39" s="40">
        <v>40</v>
      </c>
      <c r="E39" s="46">
        <f>B39*D39</f>
        <v>120</v>
      </c>
      <c r="F39" s="43"/>
    </row>
    <row r="40" spans="2:6" thickBot="1">
      <c r="B40" s="433" t="s">
        <v>259</v>
      </c>
      <c r="C40" s="433"/>
      <c r="E40" s="23">
        <f>SUM(E35:E39)</f>
        <v>3170</v>
      </c>
      <c r="F40" s="43"/>
    </row>
    <row r="41" spans="2:6" ht="15">
      <c r="B41" s="4"/>
      <c r="E41" s="27"/>
      <c r="F41" s="43"/>
    </row>
    <row r="42" spans="2:6">
      <c r="B42" s="235"/>
      <c r="E42" s="27"/>
      <c r="F42" s="43"/>
    </row>
    <row r="44" spans="2:6">
      <c r="C44" s="32" t="s">
        <v>101</v>
      </c>
    </row>
    <row r="45" spans="2:6" ht="16.5" thickBot="1">
      <c r="C45" s="32"/>
    </row>
    <row r="46" spans="2:6" ht="16.5" thickBot="1">
      <c r="C46" s="33" t="s">
        <v>39</v>
      </c>
      <c r="D46" s="33" t="s">
        <v>40</v>
      </c>
    </row>
    <row r="47" spans="2:6" ht="16.5" thickBot="1">
      <c r="C47" s="33" t="s">
        <v>102</v>
      </c>
      <c r="D47" s="34">
        <f>E40+E31+E19+E12</f>
        <v>45438.64</v>
      </c>
    </row>
    <row r="48" spans="2:6" ht="16.5" thickBot="1">
      <c r="C48" s="33" t="s">
        <v>103</v>
      </c>
      <c r="D48" s="34">
        <v>1000</v>
      </c>
    </row>
    <row r="49" spans="3:4" ht="16.5" thickBot="1">
      <c r="C49" s="33" t="s">
        <v>216</v>
      </c>
      <c r="D49" s="34">
        <f>-+'CAP. TRABAJO'!B16</f>
        <v>2268.0833333333321</v>
      </c>
    </row>
    <row r="50" spans="3:4" ht="16.5" thickBot="1">
      <c r="C50" s="35" t="s">
        <v>104</v>
      </c>
      <c r="D50" s="15">
        <f>+SUM(D47:D49)</f>
        <v>48706.723333333328</v>
      </c>
    </row>
  </sheetData>
  <mergeCells count="10">
    <mergeCell ref="A1:F1"/>
    <mergeCell ref="A2:F2"/>
    <mergeCell ref="B40:C40"/>
    <mergeCell ref="A3:F3"/>
    <mergeCell ref="G4:M4"/>
    <mergeCell ref="B6:E6"/>
    <mergeCell ref="B14:E14"/>
    <mergeCell ref="B21:E21"/>
    <mergeCell ref="B33:E33"/>
    <mergeCell ref="A4:E4"/>
  </mergeCells>
  <pageMargins left="1.5748031496062993" right="0.98425196850393704" top="1.3779527559055118" bottom="1.3779527559055118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"/>
  <sheetViews>
    <sheetView topLeftCell="A16" workbookViewId="0">
      <selection activeCell="B27" sqref="B27"/>
    </sheetView>
  </sheetViews>
  <sheetFormatPr baseColWidth="10" defaultRowHeight="14.25"/>
  <cols>
    <col min="1" max="1" width="35.140625" style="126" customWidth="1"/>
    <col min="2" max="2" width="13.5703125" style="126" customWidth="1"/>
    <col min="3" max="3" width="14.42578125" style="126" customWidth="1"/>
    <col min="4" max="4" width="12.140625" style="126" customWidth="1"/>
    <col min="5" max="5" width="41" style="126" bestFit="1" customWidth="1"/>
    <col min="6" max="6" width="11.5703125" style="126" customWidth="1"/>
    <col min="7" max="7" width="14.42578125" style="126" customWidth="1"/>
    <col min="8" max="8" width="29.7109375" style="126" customWidth="1"/>
    <col min="9" max="9" width="11.42578125" style="126"/>
    <col min="10" max="10" width="11.42578125" style="126" customWidth="1"/>
    <col min="11" max="11" width="12" style="126" customWidth="1"/>
    <col min="12" max="12" width="11.42578125" style="126"/>
    <col min="13" max="13" width="12" style="126" bestFit="1" customWidth="1"/>
    <col min="14" max="14" width="12.140625" style="126" bestFit="1" customWidth="1"/>
    <col min="15" max="15" width="13.5703125" style="126" customWidth="1"/>
    <col min="16" max="16384" width="11.42578125" style="126"/>
  </cols>
  <sheetData>
    <row r="1" spans="1:15" ht="15">
      <c r="A1" s="147" t="s">
        <v>153</v>
      </c>
      <c r="B1" s="125" t="s">
        <v>146</v>
      </c>
      <c r="C1" s="125" t="s">
        <v>147</v>
      </c>
    </row>
    <row r="2" spans="1:15" ht="15">
      <c r="A2" s="125" t="s">
        <v>141</v>
      </c>
      <c r="B2" s="127">
        <f>+SUM(B3:B5)</f>
        <v>8608.0833333333321</v>
      </c>
      <c r="C2" s="128">
        <f>+SUM(C3:C5)</f>
        <v>103296.99999999999</v>
      </c>
    </row>
    <row r="3" spans="1:15" ht="15">
      <c r="A3" s="129" t="s">
        <v>144</v>
      </c>
      <c r="B3" s="130">
        <v>200</v>
      </c>
      <c r="C3" s="131">
        <f>B3*12</f>
        <v>2400</v>
      </c>
      <c r="E3" s="125" t="s">
        <v>39</v>
      </c>
      <c r="F3" s="132" t="s">
        <v>172</v>
      </c>
      <c r="G3" s="133"/>
      <c r="H3" s="125" t="s">
        <v>39</v>
      </c>
      <c r="I3" s="132" t="s">
        <v>172</v>
      </c>
    </row>
    <row r="4" spans="1:15" ht="15">
      <c r="A4" s="129" t="s">
        <v>0</v>
      </c>
      <c r="B4" s="130">
        <f>+'GASTOS ADMINISTRATIVOS'!I25</f>
        <v>8308.0833333333321</v>
      </c>
      <c r="C4" s="131">
        <f t="shared" ref="C4:C5" si="0">B4*12</f>
        <v>99696.999999999985</v>
      </c>
      <c r="E4" s="134" t="s">
        <v>159</v>
      </c>
      <c r="F4" s="135">
        <f>15*20</f>
        <v>300</v>
      </c>
      <c r="G4" s="136"/>
      <c r="H4" s="137" t="s">
        <v>155</v>
      </c>
      <c r="I4" s="135">
        <v>10</v>
      </c>
    </row>
    <row r="5" spans="1:15" ht="15">
      <c r="A5" s="129" t="s">
        <v>145</v>
      </c>
      <c r="B5" s="130">
        <v>100</v>
      </c>
      <c r="C5" s="131">
        <f t="shared" si="0"/>
        <v>1200</v>
      </c>
      <c r="E5" s="137" t="s">
        <v>158</v>
      </c>
      <c r="F5" s="135">
        <v>20</v>
      </c>
      <c r="G5" s="136"/>
      <c r="H5" s="137" t="s">
        <v>156</v>
      </c>
      <c r="I5" s="135">
        <v>200</v>
      </c>
    </row>
    <row r="6" spans="1:15" ht="15">
      <c r="A6" s="129" t="s">
        <v>218</v>
      </c>
      <c r="B6" s="130">
        <v>1000</v>
      </c>
      <c r="C6" s="131">
        <f>+B6*12</f>
        <v>12000</v>
      </c>
      <c r="E6" s="137" t="s">
        <v>154</v>
      </c>
      <c r="F6" s="135">
        <f>5*12</f>
        <v>60</v>
      </c>
      <c r="G6" s="136"/>
      <c r="H6" s="137" t="s">
        <v>223</v>
      </c>
      <c r="I6" s="135">
        <v>75</v>
      </c>
    </row>
    <row r="7" spans="1:15" ht="15">
      <c r="A7" s="125" t="s">
        <v>148</v>
      </c>
      <c r="B7" s="128">
        <f>+DEPRECIACIONES!G88</f>
        <v>468.62755555555549</v>
      </c>
      <c r="C7" s="128">
        <f>+B7*12</f>
        <v>5623.5306666666656</v>
      </c>
      <c r="D7" s="138"/>
      <c r="E7" s="137" t="s">
        <v>161</v>
      </c>
      <c r="F7" s="141">
        <v>100</v>
      </c>
      <c r="G7" s="136"/>
      <c r="H7" s="137" t="s">
        <v>224</v>
      </c>
      <c r="I7" s="135">
        <v>25</v>
      </c>
    </row>
    <row r="8" spans="1:15" ht="15">
      <c r="A8" s="125" t="s">
        <v>149</v>
      </c>
      <c r="B8" s="128">
        <f>+SUM(B9:B10)</f>
        <v>200</v>
      </c>
      <c r="C8" s="128">
        <f>+SUM(C9:C10)</f>
        <v>2400</v>
      </c>
      <c r="D8" s="138"/>
      <c r="E8" s="137" t="s">
        <v>157</v>
      </c>
      <c r="F8" s="141">
        <v>25</v>
      </c>
      <c r="G8" s="138"/>
      <c r="H8" s="139" t="s">
        <v>174</v>
      </c>
      <c r="I8" s="140">
        <f>+SUM(I4:I5)</f>
        <v>210</v>
      </c>
    </row>
    <row r="9" spans="1:15" ht="15">
      <c r="A9" s="129" t="s">
        <v>150</v>
      </c>
      <c r="B9" s="130">
        <v>100</v>
      </c>
      <c r="C9" s="131">
        <f>+B9*12</f>
        <v>1200</v>
      </c>
      <c r="D9" s="138"/>
      <c r="E9" s="134" t="s">
        <v>225</v>
      </c>
      <c r="F9" s="141">
        <v>350</v>
      </c>
      <c r="G9" s="138"/>
    </row>
    <row r="10" spans="1:15" ht="15">
      <c r="A10" s="129" t="s">
        <v>151</v>
      </c>
      <c r="B10" s="130">
        <v>100</v>
      </c>
      <c r="C10" s="131">
        <f>+B10*12</f>
        <v>1200</v>
      </c>
      <c r="D10" s="138"/>
      <c r="E10" s="134" t="s">
        <v>222</v>
      </c>
      <c r="F10" s="141">
        <v>150</v>
      </c>
      <c r="G10" s="138"/>
    </row>
    <row r="11" spans="1:15" ht="15.75" thickBot="1">
      <c r="A11" s="239" t="s">
        <v>176</v>
      </c>
      <c r="B11" s="240">
        <v>250</v>
      </c>
      <c r="C11" s="241">
        <f>+B11*12</f>
        <v>3000</v>
      </c>
      <c r="D11" s="138"/>
      <c r="E11" s="139" t="s">
        <v>173</v>
      </c>
      <c r="F11" s="140">
        <f>+SUM(F4:F10)</f>
        <v>1005</v>
      </c>
      <c r="G11" s="138"/>
    </row>
    <row r="12" spans="1:15" ht="15.75" thickBot="1">
      <c r="A12" s="148" t="s">
        <v>152</v>
      </c>
      <c r="B12" s="242">
        <f>+B2+B7+B8+B6+B11</f>
        <v>10526.710888888887</v>
      </c>
      <c r="C12" s="243">
        <f>+C2+C7+C8+C6+C11</f>
        <v>126320.53066666666</v>
      </c>
      <c r="D12" s="138"/>
    </row>
    <row r="13" spans="1:15">
      <c r="D13" s="138"/>
      <c r="F13" s="138"/>
      <c r="G13" s="138"/>
    </row>
    <row r="14" spans="1:15" ht="15">
      <c r="A14" s="142"/>
      <c r="B14" s="143"/>
      <c r="C14" s="138"/>
      <c r="D14" s="138"/>
      <c r="F14" s="138"/>
      <c r="G14" s="138"/>
    </row>
    <row r="15" spans="1:15" ht="15.75" thickBot="1">
      <c r="A15" s="149"/>
      <c r="B15" s="143"/>
      <c r="C15" s="138"/>
      <c r="D15" s="138"/>
      <c r="F15" s="138"/>
      <c r="G15" s="138"/>
    </row>
    <row r="16" spans="1:15" ht="15.75" thickBot="1">
      <c r="A16" s="412"/>
      <c r="B16" s="421" t="s">
        <v>175</v>
      </c>
      <c r="C16" s="422" t="s">
        <v>74</v>
      </c>
      <c r="D16" s="422" t="s">
        <v>75</v>
      </c>
      <c r="E16" s="422" t="s">
        <v>76</v>
      </c>
      <c r="F16" s="422" t="s">
        <v>77</v>
      </c>
      <c r="G16" s="422" t="s">
        <v>76</v>
      </c>
      <c r="H16" s="422" t="s">
        <v>78</v>
      </c>
      <c r="I16" s="422" t="s">
        <v>78</v>
      </c>
      <c r="J16" s="422" t="s">
        <v>77</v>
      </c>
      <c r="K16" s="422" t="s">
        <v>81</v>
      </c>
      <c r="L16" s="422" t="s">
        <v>82</v>
      </c>
      <c r="M16" s="422" t="s">
        <v>83</v>
      </c>
      <c r="N16" s="422" t="s">
        <v>84</v>
      </c>
      <c r="O16" s="411" t="s">
        <v>139</v>
      </c>
    </row>
    <row r="17" spans="1:15" ht="15">
      <c r="A17" s="417" t="s">
        <v>142</v>
      </c>
      <c r="B17" s="413"/>
      <c r="C17" s="150">
        <f>+'DERMANDA - INGRESOS'!H10</f>
        <v>1</v>
      </c>
      <c r="D17" s="150">
        <f>+'DERMANDA - INGRESOS'!I10</f>
        <v>1</v>
      </c>
      <c r="E17" s="150">
        <f>+'DERMANDA - INGRESOS'!J10</f>
        <v>2</v>
      </c>
      <c r="F17" s="150">
        <f>+'DERMANDA - INGRESOS'!K10</f>
        <v>3</v>
      </c>
      <c r="G17" s="150">
        <f>+'DERMANDA - INGRESOS'!L10</f>
        <v>2</v>
      </c>
      <c r="H17" s="150">
        <f>+'DERMANDA - INGRESOS'!M10</f>
        <v>2</v>
      </c>
      <c r="I17" s="150">
        <f>+'DERMANDA - INGRESOS'!N10</f>
        <v>2</v>
      </c>
      <c r="J17" s="150">
        <f>+'DERMANDA - INGRESOS'!O10</f>
        <v>4</v>
      </c>
      <c r="K17" s="150">
        <f>+'DERMANDA - INGRESOS'!P10</f>
        <v>4</v>
      </c>
      <c r="L17" s="150">
        <f>+'DERMANDA - INGRESOS'!Q10</f>
        <v>3</v>
      </c>
      <c r="M17" s="150">
        <f>+'DERMANDA - INGRESOS'!R10</f>
        <v>2</v>
      </c>
      <c r="N17" s="150">
        <f>+'DERMANDA - INGRESOS'!S10</f>
        <v>2</v>
      </c>
      <c r="O17" s="144"/>
    </row>
    <row r="18" spans="1:15" ht="15">
      <c r="A18" s="418" t="s">
        <v>143</v>
      </c>
      <c r="B18" s="413"/>
      <c r="C18" s="150">
        <f>+'DERMANDA - INGRESOS'!H11</f>
        <v>1</v>
      </c>
      <c r="D18" s="150">
        <f>+'DERMANDA - INGRESOS'!I11</f>
        <v>2</v>
      </c>
      <c r="E18" s="150">
        <f>+'DERMANDA - INGRESOS'!J11</f>
        <v>2</v>
      </c>
      <c r="F18" s="150">
        <f>+'DERMANDA - INGRESOS'!K11</f>
        <v>2</v>
      </c>
      <c r="G18" s="150">
        <f>+'DERMANDA - INGRESOS'!L11</f>
        <v>2</v>
      </c>
      <c r="H18" s="150">
        <f>+'DERMANDA - INGRESOS'!M11</f>
        <v>2</v>
      </c>
      <c r="I18" s="150">
        <f>+'DERMANDA - INGRESOS'!N11</f>
        <v>2</v>
      </c>
      <c r="J18" s="150">
        <f>+'DERMANDA - INGRESOS'!O11</f>
        <v>2</v>
      </c>
      <c r="K18" s="150">
        <f>+'DERMANDA - INGRESOS'!P11</f>
        <v>2</v>
      </c>
      <c r="L18" s="150">
        <f>+'DERMANDA - INGRESOS'!Q11</f>
        <v>2</v>
      </c>
      <c r="M18" s="150">
        <f>+'DERMANDA - INGRESOS'!R11</f>
        <v>2</v>
      </c>
      <c r="N18" s="150">
        <f>+'DERMANDA - INGRESOS'!S11</f>
        <v>2</v>
      </c>
      <c r="O18" s="144"/>
    </row>
    <row r="19" spans="1:15" ht="15">
      <c r="A19" s="418" t="s">
        <v>57</v>
      </c>
      <c r="B19" s="414">
        <f>+F11</f>
        <v>1005</v>
      </c>
      <c r="C19" s="151">
        <f>+B59*C17</f>
        <v>0</v>
      </c>
      <c r="D19" s="151">
        <f>$B$19*D17</f>
        <v>1005</v>
      </c>
      <c r="E19" s="151">
        <f>$B$19*E17</f>
        <v>2010</v>
      </c>
      <c r="F19" s="151">
        <f>$B$19*F17</f>
        <v>3015</v>
      </c>
      <c r="G19" s="151"/>
      <c r="H19" s="151">
        <f t="shared" ref="H19:N19" si="1">$B$19*H17</f>
        <v>2010</v>
      </c>
      <c r="I19" s="151">
        <f t="shared" si="1"/>
        <v>2010</v>
      </c>
      <c r="J19" s="151">
        <f t="shared" si="1"/>
        <v>4020</v>
      </c>
      <c r="K19" s="151">
        <f t="shared" si="1"/>
        <v>4020</v>
      </c>
      <c r="L19" s="151">
        <f t="shared" si="1"/>
        <v>3015</v>
      </c>
      <c r="M19" s="151">
        <f t="shared" si="1"/>
        <v>2010</v>
      </c>
      <c r="N19" s="151">
        <f t="shared" si="1"/>
        <v>2010</v>
      </c>
      <c r="O19" s="145">
        <f>SUM(C19:N19)</f>
        <v>25125</v>
      </c>
    </row>
    <row r="20" spans="1:15" ht="15.75" thickBot="1">
      <c r="A20" s="419" t="s">
        <v>50</v>
      </c>
      <c r="B20" s="415">
        <f>+I8</f>
        <v>210</v>
      </c>
      <c r="C20" s="151">
        <f>+$B$20*C18</f>
        <v>210</v>
      </c>
      <c r="D20" s="151">
        <f>+$B$20*D18</f>
        <v>420</v>
      </c>
      <c r="E20" s="151">
        <f>+$B$20*E18</f>
        <v>420</v>
      </c>
      <c r="F20" s="151">
        <f>+$B$20*F18</f>
        <v>420</v>
      </c>
      <c r="G20" s="151"/>
      <c r="H20" s="151">
        <f t="shared" ref="H20:N20" si="2">+$B$20*H18</f>
        <v>420</v>
      </c>
      <c r="I20" s="151">
        <f t="shared" si="2"/>
        <v>420</v>
      </c>
      <c r="J20" s="151">
        <f t="shared" si="2"/>
        <v>420</v>
      </c>
      <c r="K20" s="151">
        <f t="shared" si="2"/>
        <v>420</v>
      </c>
      <c r="L20" s="151">
        <f t="shared" si="2"/>
        <v>420</v>
      </c>
      <c r="M20" s="151">
        <f t="shared" si="2"/>
        <v>420</v>
      </c>
      <c r="N20" s="151">
        <f t="shared" si="2"/>
        <v>420</v>
      </c>
      <c r="O20" s="145">
        <f>SUM(C20:N20)</f>
        <v>4410</v>
      </c>
    </row>
    <row r="21" spans="1:15" ht="15.75" thickBot="1">
      <c r="A21" s="420" t="s">
        <v>140</v>
      </c>
      <c r="B21" s="416">
        <f>SUM(B19:B20)</f>
        <v>1215</v>
      </c>
      <c r="C21" s="152">
        <f>SUM(C19:C20)</f>
        <v>210</v>
      </c>
      <c r="D21" s="152">
        <f t="shared" ref="D21:O21" si="3">SUM(D19:D20)</f>
        <v>1425</v>
      </c>
      <c r="E21" s="152">
        <f t="shared" si="3"/>
        <v>2430</v>
      </c>
      <c r="F21" s="152">
        <f t="shared" si="3"/>
        <v>3435</v>
      </c>
      <c r="G21" s="152"/>
      <c r="H21" s="152">
        <f t="shared" si="3"/>
        <v>2430</v>
      </c>
      <c r="I21" s="152">
        <f t="shared" si="3"/>
        <v>2430</v>
      </c>
      <c r="J21" s="152">
        <f t="shared" si="3"/>
        <v>4440</v>
      </c>
      <c r="K21" s="152">
        <f t="shared" si="3"/>
        <v>4440</v>
      </c>
      <c r="L21" s="152">
        <f t="shared" si="3"/>
        <v>3435</v>
      </c>
      <c r="M21" s="152">
        <f t="shared" si="3"/>
        <v>2430</v>
      </c>
      <c r="N21" s="152">
        <f t="shared" si="3"/>
        <v>2430</v>
      </c>
      <c r="O21" s="153">
        <f t="shared" si="3"/>
        <v>29535</v>
      </c>
    </row>
    <row r="22" spans="1:15" ht="15">
      <c r="A22" s="147"/>
      <c r="B22" s="143"/>
      <c r="C22" s="138"/>
      <c r="D22" s="138"/>
      <c r="E22" s="138"/>
      <c r="F22" s="138"/>
      <c r="G22" s="138"/>
    </row>
    <row r="23" spans="1:15" ht="15">
      <c r="A23" s="147"/>
      <c r="B23" s="143"/>
      <c r="C23" s="138"/>
      <c r="D23" s="138"/>
      <c r="E23" s="138"/>
      <c r="F23" s="138"/>
      <c r="G23" s="138"/>
    </row>
    <row r="24" spans="1:15" ht="15">
      <c r="A24" s="147"/>
      <c r="B24" s="143"/>
      <c r="C24" s="167"/>
      <c r="D24" s="138"/>
      <c r="E24" s="138"/>
      <c r="F24" s="138"/>
      <c r="G24" s="138"/>
    </row>
    <row r="25" spans="1:15" ht="15">
      <c r="A25" s="147"/>
      <c r="B25" s="143"/>
      <c r="C25" s="138"/>
      <c r="D25" s="138"/>
      <c r="E25" s="138"/>
      <c r="F25" s="138"/>
      <c r="G25" s="138"/>
    </row>
    <row r="26" spans="1:15" ht="15">
      <c r="A26" s="147"/>
      <c r="B26" s="143"/>
      <c r="C26" s="138"/>
      <c r="D26" s="138"/>
      <c r="E26" s="138"/>
      <c r="F26" s="138"/>
      <c r="G26" s="138"/>
    </row>
    <row r="27" spans="1:15" s="146" customFormat="1">
      <c r="B27" s="136"/>
      <c r="C27" s="154"/>
      <c r="D27" s="154"/>
      <c r="E27" s="155"/>
    </row>
    <row r="28" spans="1:15">
      <c r="A28" s="156"/>
      <c r="B28" s="146"/>
      <c r="C28" s="157"/>
      <c r="D28" s="146"/>
      <c r="E28" s="146"/>
    </row>
    <row r="29" spans="1:15">
      <c r="A29" s="146"/>
      <c r="B29" s="146"/>
      <c r="C29" s="157"/>
      <c r="D29" s="146"/>
      <c r="E29" s="146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4:I26"/>
  <sheetViews>
    <sheetView workbookViewId="0">
      <selection activeCell="M7" sqref="M7"/>
    </sheetView>
  </sheetViews>
  <sheetFormatPr baseColWidth="10" defaultRowHeight="12.75"/>
  <cols>
    <col min="1" max="1" width="2" style="47" bestFit="1" customWidth="1"/>
    <col min="2" max="2" width="53.85546875" style="47" customWidth="1"/>
    <col min="3" max="3" width="12.85546875" style="229" hidden="1" customWidth="1"/>
    <col min="4" max="4" width="10.7109375" style="229" hidden="1" customWidth="1"/>
    <col min="5" max="6" width="11.5703125" style="229" hidden="1" customWidth="1"/>
    <col min="7" max="7" width="11.85546875" style="229" hidden="1" customWidth="1"/>
    <col min="8" max="8" width="11.5703125" style="47" customWidth="1"/>
    <col min="9" max="9" width="12.5703125" style="47" customWidth="1"/>
    <col min="10" max="16384" width="11.42578125" style="47"/>
  </cols>
  <sheetData>
    <row r="4" spans="1:9">
      <c r="B4" s="204"/>
    </row>
    <row r="5" spans="1:9" ht="13.5" thickBot="1">
      <c r="B5" s="499" t="s">
        <v>0</v>
      </c>
      <c r="C5" s="499"/>
      <c r="D5" s="499"/>
      <c r="E5" s="499"/>
      <c r="F5" s="499"/>
      <c r="G5" s="499"/>
    </row>
    <row r="6" spans="1:9" ht="15" customHeight="1">
      <c r="B6" s="500"/>
      <c r="C6" s="497" t="s">
        <v>13</v>
      </c>
      <c r="D6" s="497" t="s">
        <v>115</v>
      </c>
      <c r="E6" s="497" t="s">
        <v>10</v>
      </c>
      <c r="F6" s="497" t="s">
        <v>11</v>
      </c>
      <c r="G6" s="497" t="s">
        <v>12</v>
      </c>
      <c r="H6" s="497" t="s">
        <v>69</v>
      </c>
      <c r="I6" s="497" t="s">
        <v>9</v>
      </c>
    </row>
    <row r="7" spans="1:9" ht="33.75" customHeight="1" thickBot="1">
      <c r="B7" s="501"/>
      <c r="C7" s="498"/>
      <c r="D7" s="498"/>
      <c r="E7" s="498"/>
      <c r="F7" s="498"/>
      <c r="G7" s="498" t="s">
        <v>9</v>
      </c>
      <c r="H7" s="498" t="s">
        <v>9</v>
      </c>
      <c r="I7" s="498"/>
    </row>
    <row r="8" spans="1:9">
      <c r="A8" s="189">
        <v>1</v>
      </c>
      <c r="B8" s="205" t="s">
        <v>1</v>
      </c>
      <c r="C8" s="206">
        <v>700</v>
      </c>
      <c r="D8" s="206">
        <f>+C8*0.1115</f>
        <v>78.05</v>
      </c>
      <c r="E8" s="206">
        <f>+C8/12</f>
        <v>58.333333333333336</v>
      </c>
      <c r="F8" s="206">
        <f>+E8</f>
        <v>58.333333333333336</v>
      </c>
      <c r="G8" s="206">
        <f>SUM(C8:F8)</f>
        <v>894.7166666666667</v>
      </c>
      <c r="H8" s="207">
        <f>G8*A8</f>
        <v>894.7166666666667</v>
      </c>
      <c r="I8" s="207">
        <f>H8*12</f>
        <v>10736.6</v>
      </c>
    </row>
    <row r="9" spans="1:9">
      <c r="A9" s="190">
        <v>1</v>
      </c>
      <c r="B9" s="208" t="s">
        <v>2</v>
      </c>
      <c r="C9" s="209">
        <v>500</v>
      </c>
      <c r="D9" s="209">
        <f t="shared" ref="D9:D20" si="0">+C9*0.1115</f>
        <v>55.75</v>
      </c>
      <c r="E9" s="209">
        <f t="shared" ref="E9:E20" si="1">+C9/12</f>
        <v>41.666666666666664</v>
      </c>
      <c r="F9" s="209">
        <f t="shared" ref="F9:F20" si="2">+E9</f>
        <v>41.666666666666664</v>
      </c>
      <c r="G9" s="209">
        <f t="shared" ref="G9:G20" si="3">SUM(C9:F9)</f>
        <v>639.08333333333326</v>
      </c>
      <c r="H9" s="210">
        <f t="shared" ref="H9:H20" si="4">G9*A9</f>
        <v>639.08333333333326</v>
      </c>
      <c r="I9" s="210">
        <f t="shared" ref="I9:I21" si="5">H9*12</f>
        <v>7668.9999999999991</v>
      </c>
    </row>
    <row r="10" spans="1:9">
      <c r="A10" s="190">
        <v>1</v>
      </c>
      <c r="B10" s="208" t="s">
        <v>205</v>
      </c>
      <c r="C10" s="209">
        <v>500</v>
      </c>
      <c r="D10" s="209">
        <f t="shared" si="0"/>
        <v>55.75</v>
      </c>
      <c r="E10" s="209">
        <f t="shared" si="1"/>
        <v>41.666666666666664</v>
      </c>
      <c r="F10" s="209">
        <f t="shared" si="2"/>
        <v>41.666666666666664</v>
      </c>
      <c r="G10" s="209">
        <f t="shared" si="3"/>
        <v>639.08333333333326</v>
      </c>
      <c r="H10" s="210">
        <f t="shared" si="4"/>
        <v>639.08333333333326</v>
      </c>
      <c r="I10" s="210">
        <f t="shared" si="5"/>
        <v>7668.9999999999991</v>
      </c>
    </row>
    <row r="11" spans="1:9">
      <c r="A11" s="190">
        <v>1</v>
      </c>
      <c r="B11" s="208" t="s">
        <v>206</v>
      </c>
      <c r="C11" s="209">
        <v>500</v>
      </c>
      <c r="D11" s="209">
        <f t="shared" si="0"/>
        <v>55.75</v>
      </c>
      <c r="E11" s="209">
        <f t="shared" si="1"/>
        <v>41.666666666666664</v>
      </c>
      <c r="F11" s="209">
        <f t="shared" si="2"/>
        <v>41.666666666666664</v>
      </c>
      <c r="G11" s="209">
        <f t="shared" si="3"/>
        <v>639.08333333333326</v>
      </c>
      <c r="H11" s="210">
        <f t="shared" si="4"/>
        <v>639.08333333333326</v>
      </c>
      <c r="I11" s="210">
        <f t="shared" si="5"/>
        <v>7668.9999999999991</v>
      </c>
    </row>
    <row r="12" spans="1:9">
      <c r="A12" s="190">
        <v>1</v>
      </c>
      <c r="B12" s="208" t="s">
        <v>42</v>
      </c>
      <c r="C12" s="209">
        <v>400</v>
      </c>
      <c r="D12" s="209">
        <f t="shared" si="0"/>
        <v>44.6</v>
      </c>
      <c r="E12" s="209">
        <f t="shared" si="1"/>
        <v>33.333333333333336</v>
      </c>
      <c r="F12" s="209">
        <f t="shared" si="2"/>
        <v>33.333333333333336</v>
      </c>
      <c r="G12" s="209">
        <f t="shared" si="3"/>
        <v>511.26666666666665</v>
      </c>
      <c r="H12" s="210">
        <f t="shared" si="4"/>
        <v>511.26666666666665</v>
      </c>
      <c r="I12" s="210">
        <f t="shared" si="5"/>
        <v>6135.2</v>
      </c>
    </row>
    <row r="13" spans="1:9">
      <c r="A13" s="190">
        <v>1</v>
      </c>
      <c r="B13" s="208" t="s">
        <v>67</v>
      </c>
      <c r="C13" s="211">
        <v>400</v>
      </c>
      <c r="D13" s="211">
        <f t="shared" si="0"/>
        <v>44.6</v>
      </c>
      <c r="E13" s="209">
        <f t="shared" si="1"/>
        <v>33.333333333333336</v>
      </c>
      <c r="F13" s="209">
        <f t="shared" si="2"/>
        <v>33.333333333333336</v>
      </c>
      <c r="G13" s="209">
        <f t="shared" si="3"/>
        <v>511.26666666666665</v>
      </c>
      <c r="H13" s="210">
        <f t="shared" si="4"/>
        <v>511.26666666666665</v>
      </c>
      <c r="I13" s="210">
        <f t="shared" si="5"/>
        <v>6135.2</v>
      </c>
    </row>
    <row r="14" spans="1:9">
      <c r="A14" s="190">
        <v>1</v>
      </c>
      <c r="B14" s="208" t="s">
        <v>3</v>
      </c>
      <c r="C14" s="209">
        <v>400</v>
      </c>
      <c r="D14" s="209">
        <f t="shared" si="0"/>
        <v>44.6</v>
      </c>
      <c r="E14" s="209">
        <f t="shared" si="1"/>
        <v>33.333333333333336</v>
      </c>
      <c r="F14" s="209">
        <f t="shared" si="2"/>
        <v>33.333333333333336</v>
      </c>
      <c r="G14" s="209">
        <f t="shared" si="3"/>
        <v>511.26666666666665</v>
      </c>
      <c r="H14" s="210">
        <f t="shared" si="4"/>
        <v>511.26666666666665</v>
      </c>
      <c r="I14" s="210">
        <f t="shared" si="5"/>
        <v>6135.2</v>
      </c>
    </row>
    <row r="15" spans="1:9">
      <c r="A15" s="190">
        <v>1</v>
      </c>
      <c r="B15" s="208" t="s">
        <v>4</v>
      </c>
      <c r="C15" s="209">
        <v>400</v>
      </c>
      <c r="D15" s="209">
        <f t="shared" si="0"/>
        <v>44.6</v>
      </c>
      <c r="E15" s="209">
        <f t="shared" si="1"/>
        <v>33.333333333333336</v>
      </c>
      <c r="F15" s="209">
        <f t="shared" si="2"/>
        <v>33.333333333333336</v>
      </c>
      <c r="G15" s="209">
        <f t="shared" si="3"/>
        <v>511.26666666666665</v>
      </c>
      <c r="H15" s="210">
        <f t="shared" si="4"/>
        <v>511.26666666666665</v>
      </c>
      <c r="I15" s="210">
        <f t="shared" si="5"/>
        <v>6135.2</v>
      </c>
    </row>
    <row r="16" spans="1:9">
      <c r="A16" s="190">
        <v>2</v>
      </c>
      <c r="B16" s="208" t="s">
        <v>5</v>
      </c>
      <c r="C16" s="209">
        <v>400</v>
      </c>
      <c r="D16" s="209">
        <f t="shared" si="0"/>
        <v>44.6</v>
      </c>
      <c r="E16" s="209">
        <f t="shared" si="1"/>
        <v>33.333333333333336</v>
      </c>
      <c r="F16" s="209">
        <f t="shared" si="2"/>
        <v>33.333333333333336</v>
      </c>
      <c r="G16" s="209">
        <f t="shared" si="3"/>
        <v>511.26666666666665</v>
      </c>
      <c r="H16" s="210">
        <f t="shared" si="4"/>
        <v>1022.5333333333333</v>
      </c>
      <c r="I16" s="210">
        <f t="shared" si="5"/>
        <v>12270.4</v>
      </c>
    </row>
    <row r="17" spans="1:9">
      <c r="A17" s="190">
        <v>2</v>
      </c>
      <c r="B17" s="208" t="s">
        <v>6</v>
      </c>
      <c r="C17" s="209">
        <v>400</v>
      </c>
      <c r="D17" s="209">
        <f t="shared" si="0"/>
        <v>44.6</v>
      </c>
      <c r="E17" s="209">
        <f t="shared" si="1"/>
        <v>33.333333333333336</v>
      </c>
      <c r="F17" s="209">
        <f t="shared" si="2"/>
        <v>33.333333333333336</v>
      </c>
      <c r="G17" s="209">
        <f t="shared" si="3"/>
        <v>511.26666666666665</v>
      </c>
      <c r="H17" s="210">
        <f t="shared" si="4"/>
        <v>1022.5333333333333</v>
      </c>
      <c r="I17" s="210">
        <f t="shared" si="5"/>
        <v>12270.4</v>
      </c>
    </row>
    <row r="18" spans="1:9">
      <c r="A18" s="190">
        <v>1</v>
      </c>
      <c r="B18" s="208" t="s">
        <v>7</v>
      </c>
      <c r="C18" s="209">
        <v>400</v>
      </c>
      <c r="D18" s="209">
        <f t="shared" si="0"/>
        <v>44.6</v>
      </c>
      <c r="E18" s="209">
        <f t="shared" si="1"/>
        <v>33.333333333333336</v>
      </c>
      <c r="F18" s="209">
        <f t="shared" si="2"/>
        <v>33.333333333333336</v>
      </c>
      <c r="G18" s="209">
        <f t="shared" si="3"/>
        <v>511.26666666666665</v>
      </c>
      <c r="H18" s="210">
        <f t="shared" si="4"/>
        <v>511.26666666666665</v>
      </c>
      <c r="I18" s="210">
        <f t="shared" si="5"/>
        <v>6135.2</v>
      </c>
    </row>
    <row r="19" spans="1:9">
      <c r="A19" s="190">
        <v>1</v>
      </c>
      <c r="B19" s="208" t="s">
        <v>8</v>
      </c>
      <c r="C19" s="209">
        <v>400</v>
      </c>
      <c r="D19" s="209">
        <f t="shared" si="0"/>
        <v>44.6</v>
      </c>
      <c r="E19" s="209">
        <f t="shared" si="1"/>
        <v>33.333333333333336</v>
      </c>
      <c r="F19" s="209">
        <f t="shared" si="2"/>
        <v>33.333333333333336</v>
      </c>
      <c r="G19" s="209">
        <f t="shared" si="3"/>
        <v>511.26666666666665</v>
      </c>
      <c r="H19" s="210">
        <f t="shared" si="4"/>
        <v>511.26666666666665</v>
      </c>
      <c r="I19" s="210">
        <f t="shared" si="5"/>
        <v>6135.2</v>
      </c>
    </row>
    <row r="20" spans="1:9" ht="13.5" thickBot="1">
      <c r="A20" s="212">
        <v>1</v>
      </c>
      <c r="B20" s="213" t="s">
        <v>14</v>
      </c>
      <c r="C20" s="214">
        <v>300</v>
      </c>
      <c r="D20" s="215">
        <f t="shared" si="0"/>
        <v>33.450000000000003</v>
      </c>
      <c r="E20" s="215">
        <f t="shared" si="1"/>
        <v>25</v>
      </c>
      <c r="F20" s="215">
        <f t="shared" si="2"/>
        <v>25</v>
      </c>
      <c r="G20" s="215">
        <f t="shared" si="3"/>
        <v>383.45</v>
      </c>
      <c r="H20" s="216">
        <f t="shared" si="4"/>
        <v>383.45</v>
      </c>
      <c r="I20" s="216">
        <f t="shared" si="5"/>
        <v>4601.3999999999996</v>
      </c>
    </row>
    <row r="21" spans="1:9" ht="13.5" thickBot="1">
      <c r="B21" s="217"/>
      <c r="C21" s="217"/>
      <c r="D21" s="217"/>
      <c r="E21" s="217"/>
      <c r="F21" s="217"/>
      <c r="G21" s="218" t="s">
        <v>116</v>
      </c>
      <c r="H21" s="219">
        <f>SUM(H8:H20)</f>
        <v>8308.0833333333321</v>
      </c>
      <c r="I21" s="220">
        <f t="shared" si="5"/>
        <v>99696.999999999985</v>
      </c>
    </row>
    <row r="22" spans="1:9">
      <c r="B22" s="111"/>
      <c r="C22" s="112"/>
      <c r="D22" s="112"/>
      <c r="E22" s="112"/>
      <c r="F22" s="112"/>
    </row>
    <row r="23" spans="1:9">
      <c r="B23" s="47" t="s">
        <v>127</v>
      </c>
    </row>
    <row r="24" spans="1:9" ht="13.5" thickBot="1"/>
    <row r="25" spans="1:9" ht="13.5" thickBot="1">
      <c r="B25" s="261" t="s">
        <v>125</v>
      </c>
      <c r="C25" s="221" t="s">
        <v>123</v>
      </c>
      <c r="D25" s="222">
        <v>1</v>
      </c>
      <c r="E25" s="222">
        <v>2</v>
      </c>
      <c r="F25" s="222">
        <v>3</v>
      </c>
      <c r="G25" s="222">
        <v>4</v>
      </c>
      <c r="H25" s="223">
        <v>5</v>
      </c>
    </row>
    <row r="26" spans="1:9" ht="13.5" thickBot="1">
      <c r="B26" s="224"/>
      <c r="C26" s="225" t="s">
        <v>124</v>
      </c>
      <c r="D26" s="226">
        <f>+I21</f>
        <v>99696.999999999985</v>
      </c>
      <c r="E26" s="226">
        <f>+D26*1.02</f>
        <v>101690.93999999999</v>
      </c>
      <c r="F26" s="226">
        <f t="shared" ref="F26:H26" si="6">+E26*1.02</f>
        <v>103724.7588</v>
      </c>
      <c r="G26" s="226">
        <f t="shared" si="6"/>
        <v>105799.25397599999</v>
      </c>
      <c r="H26" s="226">
        <f t="shared" si="6"/>
        <v>107915.23905552</v>
      </c>
    </row>
  </sheetData>
  <mergeCells count="9">
    <mergeCell ref="H6:H7"/>
    <mergeCell ref="I6:I7"/>
    <mergeCell ref="B5:G5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H23"/>
  <sheetViews>
    <sheetView topLeftCell="A4" workbookViewId="0">
      <selection activeCell="C27" sqref="C27"/>
    </sheetView>
  </sheetViews>
  <sheetFormatPr baseColWidth="10" defaultRowHeight="15"/>
  <cols>
    <col min="1" max="1" width="26.140625" customWidth="1"/>
    <col min="2" max="2" width="23" bestFit="1" customWidth="1"/>
    <col min="3" max="3" width="12" bestFit="1" customWidth="1"/>
    <col min="4" max="4" width="15" bestFit="1" customWidth="1"/>
    <col min="5" max="5" width="13.28515625" bestFit="1" customWidth="1"/>
  </cols>
  <sheetData>
    <row r="2" spans="1:8">
      <c r="A2" t="s">
        <v>137</v>
      </c>
    </row>
    <row r="3" spans="1:8">
      <c r="A3" t="s">
        <v>136</v>
      </c>
    </row>
    <row r="5" spans="1:8">
      <c r="B5" s="1" t="s">
        <v>129</v>
      </c>
      <c r="C5" s="105">
        <v>0.01</v>
      </c>
    </row>
    <row r="6" spans="1:8">
      <c r="B6" s="1" t="s">
        <v>130</v>
      </c>
      <c r="C6" s="106">
        <v>0.15</v>
      </c>
      <c r="E6" s="503" t="s">
        <v>131</v>
      </c>
      <c r="F6" s="503"/>
    </row>
    <row r="7" spans="1:8">
      <c r="B7" s="1" t="s">
        <v>132</v>
      </c>
      <c r="C7" s="106">
        <f>C6-C5</f>
        <v>0.13999999999999999</v>
      </c>
    </row>
    <row r="8" spans="1:8">
      <c r="B8" s="1" t="s">
        <v>133</v>
      </c>
      <c r="C8" s="106">
        <f>8.08/100</f>
        <v>8.0799999999999997E-2</v>
      </c>
    </row>
    <row r="9" spans="1:8">
      <c r="B9" s="1" t="s">
        <v>134</v>
      </c>
      <c r="C9" s="107">
        <v>1.43</v>
      </c>
    </row>
    <row r="11" spans="1:8">
      <c r="B11" s="108" t="s">
        <v>135</v>
      </c>
      <c r="C11" s="109">
        <f>C5+(C9*C7)+C8</f>
        <v>0.29099999999999998</v>
      </c>
      <c r="D11" s="110"/>
    </row>
    <row r="15" spans="1:8">
      <c r="E15" t="s">
        <v>228</v>
      </c>
    </row>
    <row r="16" spans="1:8">
      <c r="B16" s="504" t="s">
        <v>229</v>
      </c>
      <c r="C16" s="504"/>
      <c r="E16" s="505" t="s">
        <v>230</v>
      </c>
      <c r="F16" s="505"/>
      <c r="G16" s="505"/>
      <c r="H16" s="505"/>
    </row>
    <row r="17" spans="2:8">
      <c r="B17" s="129" t="s">
        <v>231</v>
      </c>
      <c r="C17" s="1">
        <v>5.28</v>
      </c>
      <c r="E17" s="502" t="s">
        <v>232</v>
      </c>
      <c r="F17" s="502"/>
      <c r="G17" s="502"/>
      <c r="H17" s="1">
        <v>15.91</v>
      </c>
    </row>
    <row r="18" spans="2:8">
      <c r="B18" s="129" t="s">
        <v>233</v>
      </c>
      <c r="C18" s="1">
        <v>1.43</v>
      </c>
      <c r="E18" s="502" t="s">
        <v>234</v>
      </c>
      <c r="F18" s="502"/>
      <c r="G18" s="502"/>
      <c r="H18" s="1">
        <v>0.55000000000000004</v>
      </c>
    </row>
    <row r="19" spans="2:8">
      <c r="B19" s="129" t="s">
        <v>235</v>
      </c>
      <c r="C19" s="1">
        <v>0.79</v>
      </c>
      <c r="E19" s="502" t="s">
        <v>236</v>
      </c>
      <c r="F19" s="502"/>
      <c r="G19" s="502"/>
      <c r="H19" s="1">
        <v>0.25</v>
      </c>
    </row>
    <row r="20" spans="2:8">
      <c r="B20" s="129" t="s">
        <v>237</v>
      </c>
      <c r="C20" s="1">
        <v>8.08</v>
      </c>
      <c r="E20" s="502" t="s">
        <v>238</v>
      </c>
      <c r="F20" s="502"/>
      <c r="G20" s="502"/>
      <c r="H20" s="1">
        <v>0.75</v>
      </c>
    </row>
    <row r="21" spans="2:8">
      <c r="B21" s="129" t="s">
        <v>239</v>
      </c>
      <c r="C21" s="252">
        <f>C17+(C18*(C19-C17)+C20)</f>
        <v>6.9393000000000002</v>
      </c>
      <c r="E21" s="502" t="s">
        <v>240</v>
      </c>
      <c r="F21" s="502"/>
      <c r="G21" s="502"/>
      <c r="H21" s="1">
        <v>0.45</v>
      </c>
    </row>
    <row r="22" spans="2:8">
      <c r="E22" s="502" t="s">
        <v>241</v>
      </c>
      <c r="F22" s="502"/>
      <c r="G22" s="502"/>
      <c r="H22" s="1">
        <v>7.06</v>
      </c>
    </row>
    <row r="23" spans="2:8">
      <c r="E23" s="502" t="s">
        <v>242</v>
      </c>
      <c r="F23" s="502"/>
      <c r="G23" s="502"/>
      <c r="H23" s="253">
        <f>(H17*H18*H20)+(H22*H21)</f>
        <v>9.7398749999999996</v>
      </c>
    </row>
  </sheetData>
  <mergeCells count="10">
    <mergeCell ref="E6:F6"/>
    <mergeCell ref="B16:C16"/>
    <mergeCell ref="E16:H16"/>
    <mergeCell ref="E17:G17"/>
    <mergeCell ref="E18:G18"/>
    <mergeCell ref="E19:G19"/>
    <mergeCell ref="E20:G20"/>
    <mergeCell ref="E21:G21"/>
    <mergeCell ref="E22:G22"/>
    <mergeCell ref="E23:G23"/>
  </mergeCells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"/>
  <sheetViews>
    <sheetView topLeftCell="A16" workbookViewId="0">
      <selection activeCell="G35" sqref="G35"/>
    </sheetView>
  </sheetViews>
  <sheetFormatPr baseColWidth="10" defaultRowHeight="15"/>
  <cols>
    <col min="1" max="1" width="40.7109375" customWidth="1"/>
    <col min="2" max="3" width="13" bestFit="1" customWidth="1"/>
    <col min="4" max="4" width="12.5703125" bestFit="1" customWidth="1"/>
    <col min="5" max="7" width="13.7109375" bestFit="1" customWidth="1"/>
  </cols>
  <sheetData>
    <row r="1" spans="1:7">
      <c r="C1" s="260">
        <f>+C11</f>
        <v>29535</v>
      </c>
      <c r="D1" s="260">
        <f t="shared" ref="D1:G1" si="0">+D11</f>
        <v>31011.75</v>
      </c>
      <c r="E1" s="260">
        <f t="shared" si="0"/>
        <v>32562.337500000001</v>
      </c>
      <c r="F1" s="260">
        <f t="shared" si="0"/>
        <v>34190.454375000001</v>
      </c>
      <c r="G1" s="260">
        <f t="shared" si="0"/>
        <v>35899.97709375</v>
      </c>
    </row>
    <row r="2" spans="1:7">
      <c r="C2" s="260">
        <f>+C1*0.95</f>
        <v>28058.25</v>
      </c>
      <c r="D2" s="260">
        <f t="shared" ref="D2:G2" si="1">+D1*0.95</f>
        <v>29461.162499999999</v>
      </c>
      <c r="E2" s="260">
        <f t="shared" si="1"/>
        <v>30934.220625000002</v>
      </c>
      <c r="F2" s="260">
        <f t="shared" si="1"/>
        <v>32480.931656249999</v>
      </c>
      <c r="G2" s="260">
        <f t="shared" si="1"/>
        <v>34104.978239062497</v>
      </c>
    </row>
    <row r="3" spans="1:7">
      <c r="C3" s="260">
        <f>+C1-C2</f>
        <v>1476.75</v>
      </c>
      <c r="D3" s="260">
        <f t="shared" ref="D3:G3" si="2">+D1-D2</f>
        <v>1550.5875000000015</v>
      </c>
      <c r="E3" s="260">
        <f t="shared" si="2"/>
        <v>1628.1168749999997</v>
      </c>
      <c r="F3" s="260">
        <f t="shared" si="2"/>
        <v>1709.5227187500022</v>
      </c>
      <c r="G3" s="260">
        <f t="shared" si="2"/>
        <v>1794.9988546875029</v>
      </c>
    </row>
    <row r="4" spans="1:7">
      <c r="B4" t="s">
        <v>243</v>
      </c>
    </row>
    <row r="5" spans="1:7" ht="15.75" thickBot="1">
      <c r="B5" t="s">
        <v>244</v>
      </c>
      <c r="C5" s="6">
        <f>NPV(B33,C3:G3)</f>
        <v>6171.7316007276722</v>
      </c>
    </row>
    <row r="6" spans="1:7" ht="15.75" thickBot="1">
      <c r="A6" s="188"/>
      <c r="B6" s="172">
        <v>0</v>
      </c>
      <c r="C6" s="178">
        <v>1</v>
      </c>
      <c r="D6" s="173">
        <v>2</v>
      </c>
      <c r="E6" s="178">
        <v>3</v>
      </c>
      <c r="F6" s="173">
        <v>4</v>
      </c>
      <c r="G6" s="178">
        <v>5</v>
      </c>
    </row>
    <row r="7" spans="1:7">
      <c r="A7" s="189" t="str">
        <f>+'DERMANDA - INGRESOS'!G25</f>
        <v>Capacitaciones</v>
      </c>
      <c r="B7" s="184"/>
      <c r="C7" s="238">
        <f>+'DERMANDA - INGRESOS'!T25</f>
        <v>46000</v>
      </c>
      <c r="D7" s="169">
        <f>+C7*1.1</f>
        <v>50600.000000000007</v>
      </c>
      <c r="E7" s="169">
        <f t="shared" ref="E7:G7" si="3">+D7*1.1</f>
        <v>55660.000000000015</v>
      </c>
      <c r="F7" s="169">
        <f t="shared" si="3"/>
        <v>61226.000000000022</v>
      </c>
      <c r="G7" s="169">
        <f t="shared" si="3"/>
        <v>67348.600000000035</v>
      </c>
    </row>
    <row r="8" spans="1:7">
      <c r="A8" s="190" t="str">
        <f>+'DERMANDA - INGRESOS'!G26</f>
        <v>Estudios</v>
      </c>
      <c r="B8" s="177"/>
      <c r="C8" s="258">
        <f>+'DERMANDA - INGRESOS'!T26</f>
        <v>168000</v>
      </c>
      <c r="D8" s="169">
        <f>+C8*1.05</f>
        <v>176400</v>
      </c>
      <c r="E8" s="169">
        <f t="shared" ref="E8:G9" si="4">+D8*1.05</f>
        <v>185220</v>
      </c>
      <c r="F8" s="169">
        <f t="shared" si="4"/>
        <v>194481</v>
      </c>
      <c r="G8" s="169">
        <f t="shared" si="4"/>
        <v>204205.05000000002</v>
      </c>
    </row>
    <row r="9" spans="1:7">
      <c r="A9" s="190" t="s">
        <v>227</v>
      </c>
      <c r="B9" s="177"/>
      <c r="C9" s="258">
        <f>+'DERMANDA - INGRESOS'!T39</f>
        <v>15140</v>
      </c>
      <c r="D9" s="169">
        <f>+C9*1.05</f>
        <v>15897</v>
      </c>
      <c r="E9" s="169">
        <f t="shared" si="4"/>
        <v>16691.850000000002</v>
      </c>
      <c r="F9" s="169">
        <f t="shared" si="4"/>
        <v>17526.442500000005</v>
      </c>
      <c r="G9" s="169">
        <f t="shared" si="4"/>
        <v>18402.764625000007</v>
      </c>
    </row>
    <row r="10" spans="1:7">
      <c r="A10" s="190" t="s">
        <v>214</v>
      </c>
      <c r="B10" s="177"/>
      <c r="C10" s="258">
        <f>+(C8+C7)*0.283</f>
        <v>60561.999999999993</v>
      </c>
      <c r="D10" s="170">
        <f t="shared" ref="D10:G10" si="5">+(D8+D7)*0.283</f>
        <v>64240.999999999993</v>
      </c>
      <c r="E10" s="170">
        <f t="shared" si="5"/>
        <v>68169.039999999994</v>
      </c>
      <c r="F10" s="170">
        <f t="shared" si="5"/>
        <v>72365.081000000006</v>
      </c>
      <c r="G10" s="170">
        <f t="shared" si="5"/>
        <v>76849.682950000002</v>
      </c>
    </row>
    <row r="11" spans="1:7">
      <c r="A11" s="190" t="s">
        <v>184</v>
      </c>
      <c r="B11" s="177"/>
      <c r="C11" s="258">
        <f>+COSTOS!O21</f>
        <v>29535</v>
      </c>
      <c r="D11" s="169">
        <f>+C11*1.05</f>
        <v>31011.75</v>
      </c>
      <c r="E11" s="169">
        <f t="shared" ref="E11:G11" si="6">+D11*1.05</f>
        <v>32562.337500000001</v>
      </c>
      <c r="F11" s="169">
        <f t="shared" si="6"/>
        <v>34190.454375000001</v>
      </c>
      <c r="G11" s="169">
        <f t="shared" si="6"/>
        <v>35899.97709375</v>
      </c>
    </row>
    <row r="12" spans="1:7">
      <c r="A12" s="191" t="s">
        <v>185</v>
      </c>
      <c r="B12" s="177"/>
      <c r="C12" s="259">
        <f>C7+C8+C9-C10-C11</f>
        <v>139043</v>
      </c>
      <c r="D12" s="168">
        <f t="shared" ref="D12:G12" si="7">D7+D8+D9-D10-D11</f>
        <v>147644.25</v>
      </c>
      <c r="E12" s="168">
        <f t="shared" si="7"/>
        <v>156840.4725</v>
      </c>
      <c r="F12" s="168">
        <f t="shared" si="7"/>
        <v>166677.907125</v>
      </c>
      <c r="G12" s="168">
        <f t="shared" si="7"/>
        <v>177206.75458125005</v>
      </c>
    </row>
    <row r="13" spans="1:7">
      <c r="A13" s="190" t="s">
        <v>189</v>
      </c>
      <c r="B13" s="177"/>
      <c r="C13" s="247">
        <f>+COSTOS!C2</f>
        <v>103296.99999999999</v>
      </c>
      <c r="D13" s="163">
        <f>C13*1.05</f>
        <v>108461.84999999999</v>
      </c>
      <c r="E13" s="163">
        <f t="shared" ref="E13:G13" si="8">D13*1.05</f>
        <v>113884.94249999999</v>
      </c>
      <c r="F13" s="163">
        <f t="shared" si="8"/>
        <v>119579.189625</v>
      </c>
      <c r="G13" s="163">
        <f t="shared" si="8"/>
        <v>125558.14910625</v>
      </c>
    </row>
    <row r="14" spans="1:7">
      <c r="A14" s="190" t="s">
        <v>190</v>
      </c>
      <c r="B14" s="177"/>
      <c r="C14" s="247">
        <f>+COSTOS!C8</f>
        <v>2400</v>
      </c>
      <c r="D14" s="163">
        <f>+C14*1.02</f>
        <v>2448</v>
      </c>
      <c r="E14" s="163">
        <f t="shared" ref="E14:G14" si="9">+D14*1.02</f>
        <v>2496.96</v>
      </c>
      <c r="F14" s="163">
        <f t="shared" si="9"/>
        <v>2546.8992000000003</v>
      </c>
      <c r="G14" s="163">
        <f t="shared" si="9"/>
        <v>2597.8371840000004</v>
      </c>
    </row>
    <row r="15" spans="1:7">
      <c r="A15" s="190" t="s">
        <v>191</v>
      </c>
      <c r="B15" s="177"/>
      <c r="C15" s="258">
        <f>+DEPRECIACIONES!F88</f>
        <v>5623.5306666666665</v>
      </c>
      <c r="D15" s="170">
        <f>C15</f>
        <v>5623.5306666666665</v>
      </c>
      <c r="E15" s="170">
        <f t="shared" ref="E15:G15" si="10">D15</f>
        <v>5623.5306666666665</v>
      </c>
      <c r="F15" s="170">
        <f t="shared" si="10"/>
        <v>5623.5306666666665</v>
      </c>
      <c r="G15" s="170">
        <f t="shared" si="10"/>
        <v>5623.5306666666665</v>
      </c>
    </row>
    <row r="16" spans="1:7">
      <c r="A16" s="190" t="s">
        <v>192</v>
      </c>
      <c r="B16" s="177"/>
      <c r="C16" s="247">
        <f>+COSTOS!C11</f>
        <v>3000</v>
      </c>
      <c r="D16" s="163">
        <f>+C16*1.1</f>
        <v>3300.0000000000005</v>
      </c>
      <c r="E16" s="163">
        <f t="shared" ref="E16:G17" si="11">+D16*1.1</f>
        <v>3630.0000000000009</v>
      </c>
      <c r="F16" s="163">
        <f t="shared" si="11"/>
        <v>3993.0000000000014</v>
      </c>
      <c r="G16" s="163">
        <f t="shared" si="11"/>
        <v>4392.300000000002</v>
      </c>
    </row>
    <row r="17" spans="1:7">
      <c r="A17" s="190" t="s">
        <v>218</v>
      </c>
      <c r="B17" s="177"/>
      <c r="C17" s="179">
        <v>1000</v>
      </c>
      <c r="D17" s="179">
        <f>+C17*1.1</f>
        <v>1100</v>
      </c>
      <c r="E17" s="179">
        <f t="shared" si="11"/>
        <v>1210</v>
      </c>
      <c r="F17" s="179">
        <f t="shared" si="11"/>
        <v>1331</v>
      </c>
      <c r="G17" s="179">
        <f t="shared" si="11"/>
        <v>1464.1000000000001</v>
      </c>
    </row>
    <row r="18" spans="1:7">
      <c r="A18" s="191" t="s">
        <v>194</v>
      </c>
      <c r="B18" s="177"/>
      <c r="C18" s="246">
        <f>C12-C13-C14-C15-C16-C17</f>
        <v>23722.469333333349</v>
      </c>
      <c r="D18" s="246">
        <f t="shared" ref="D18:G18" si="12">D12-D13-D14-D15-D16-D17</f>
        <v>26710.869333333343</v>
      </c>
      <c r="E18" s="246">
        <f t="shared" si="12"/>
        <v>29995.039333333349</v>
      </c>
      <c r="F18" s="246">
        <f t="shared" si="12"/>
        <v>33604.287633333333</v>
      </c>
      <c r="G18" s="246">
        <f t="shared" si="12"/>
        <v>37570.837624333377</v>
      </c>
    </row>
    <row r="19" spans="1:7">
      <c r="A19" s="190" t="s">
        <v>193</v>
      </c>
      <c r="B19" s="177"/>
      <c r="C19" s="181">
        <f>+AMORTIZACIÓN!C20</f>
        <v>4267.4395648499994</v>
      </c>
      <c r="D19" s="174">
        <f>+AMORTIZACIÓN!C21</f>
        <v>3646.0541658321531</v>
      </c>
      <c r="E19" s="181">
        <f>+AMORTIZACIÓN!C22</f>
        <v>2925.6820727507638</v>
      </c>
      <c r="F19" s="174">
        <f>+AMORTIZACIÓN!C23</f>
        <v>2090.5547052415091</v>
      </c>
      <c r="G19" s="181">
        <f>+AMORTIZACIÓN!C24</f>
        <v>1122.3915480880298</v>
      </c>
    </row>
    <row r="20" spans="1:7">
      <c r="A20" s="191" t="s">
        <v>212</v>
      </c>
      <c r="B20" s="185"/>
      <c r="C20" s="180">
        <f>C18-C19</f>
        <v>19455.029768483349</v>
      </c>
      <c r="D20" s="175">
        <f t="shared" ref="D20:G20" si="13">D18-D19</f>
        <v>23064.81516750119</v>
      </c>
      <c r="E20" s="180">
        <f t="shared" si="13"/>
        <v>27069.357260582583</v>
      </c>
      <c r="F20" s="175">
        <f t="shared" si="13"/>
        <v>31513.732928091824</v>
      </c>
      <c r="G20" s="180">
        <f t="shared" si="13"/>
        <v>36448.446076245345</v>
      </c>
    </row>
    <row r="21" spans="1:7">
      <c r="A21" s="231" t="s">
        <v>186</v>
      </c>
      <c r="B21" s="232"/>
      <c r="C21" s="233">
        <f>+C20*0.15</f>
        <v>2918.2544652725023</v>
      </c>
      <c r="D21" s="234">
        <f t="shared" ref="D21:F21" si="14">D20*0.15</f>
        <v>3459.7222751251784</v>
      </c>
      <c r="E21" s="233">
        <f t="shared" si="14"/>
        <v>4060.4035890873874</v>
      </c>
      <c r="F21" s="234">
        <f t="shared" si="14"/>
        <v>4727.0599392137738</v>
      </c>
      <c r="G21" s="233">
        <f>G20*0.15</f>
        <v>5467.2669114368018</v>
      </c>
    </row>
    <row r="22" spans="1:7">
      <c r="A22" s="191" t="s">
        <v>196</v>
      </c>
      <c r="B22" s="177"/>
      <c r="C22" s="180">
        <f>C20-C21</f>
        <v>16536.775303210849</v>
      </c>
      <c r="D22" s="175">
        <f t="shared" ref="D22:G22" si="15">D20-D21</f>
        <v>19605.092892376011</v>
      </c>
      <c r="E22" s="180">
        <f t="shared" si="15"/>
        <v>23008.953671495197</v>
      </c>
      <c r="F22" s="175">
        <f t="shared" si="15"/>
        <v>26786.67298887805</v>
      </c>
      <c r="G22" s="180">
        <f t="shared" si="15"/>
        <v>30981.179164808542</v>
      </c>
    </row>
    <row r="23" spans="1:7">
      <c r="A23" s="190" t="s">
        <v>188</v>
      </c>
      <c r="B23" s="186"/>
      <c r="C23" s="181">
        <f>+C22*0.25</f>
        <v>4134.1938258027121</v>
      </c>
      <c r="D23" s="174">
        <f t="shared" ref="D23:G23" si="16">D22*0.25</f>
        <v>4901.2732230940028</v>
      </c>
      <c r="E23" s="181">
        <f t="shared" si="16"/>
        <v>5752.2384178737993</v>
      </c>
      <c r="F23" s="174">
        <f t="shared" si="16"/>
        <v>6696.6682472195125</v>
      </c>
      <c r="G23" s="181">
        <f t="shared" si="16"/>
        <v>7745.2947912021355</v>
      </c>
    </row>
    <row r="24" spans="1:7">
      <c r="A24" s="192" t="s">
        <v>197</v>
      </c>
      <c r="B24" s="177"/>
      <c r="C24" s="244">
        <f>C22-C23</f>
        <v>12402.581477408137</v>
      </c>
      <c r="D24" s="245">
        <f t="shared" ref="D24:G24" si="17">D22-D23</f>
        <v>14703.819669282009</v>
      </c>
      <c r="E24" s="244">
        <f t="shared" si="17"/>
        <v>17256.715253621398</v>
      </c>
      <c r="F24" s="245">
        <f t="shared" si="17"/>
        <v>20090.004741658537</v>
      </c>
      <c r="G24" s="244">
        <f t="shared" si="17"/>
        <v>23235.884373606408</v>
      </c>
    </row>
    <row r="25" spans="1:7">
      <c r="A25" s="193" t="s">
        <v>191</v>
      </c>
      <c r="B25" s="177"/>
      <c r="C25" s="182">
        <f>+C15</f>
        <v>5623.5306666666665</v>
      </c>
      <c r="D25" s="176">
        <f t="shared" ref="D25:G25" si="18">+D15</f>
        <v>5623.5306666666665</v>
      </c>
      <c r="E25" s="182">
        <f t="shared" si="18"/>
        <v>5623.5306666666665</v>
      </c>
      <c r="F25" s="176">
        <f t="shared" si="18"/>
        <v>5623.5306666666665</v>
      </c>
      <c r="G25" s="182">
        <f t="shared" si="18"/>
        <v>5623.5306666666665</v>
      </c>
    </row>
    <row r="26" spans="1:7">
      <c r="A26" s="193" t="s">
        <v>195</v>
      </c>
      <c r="B26" s="177"/>
      <c r="C26" s="181">
        <f>+-AMORTIZACIÓN!D20</f>
        <v>-3900.7244131691568</v>
      </c>
      <c r="D26" s="174">
        <f>+-AMORTIZACIÓN!D21</f>
        <v>-4522.1098121870036</v>
      </c>
      <c r="E26" s="181">
        <f>+-AMORTIZACIÓN!D22</f>
        <v>-5242.4819052683924</v>
      </c>
      <c r="F26" s="174">
        <f>+-AMORTIZACIÓN!D23</f>
        <v>-6077.6092727776468</v>
      </c>
      <c r="G26" s="181">
        <f>+-AMORTIZACIÓN!D24</f>
        <v>-7045.7724299311267</v>
      </c>
    </row>
    <row r="27" spans="1:7">
      <c r="A27" s="193" t="s">
        <v>92</v>
      </c>
      <c r="B27" s="187">
        <f>+AMORTIZACIÓN!E19</f>
        <v>26788.697833333332</v>
      </c>
      <c r="C27" s="181"/>
      <c r="D27" s="174"/>
      <c r="E27" s="181"/>
      <c r="F27" s="174"/>
      <c r="G27" s="181"/>
    </row>
    <row r="28" spans="1:7">
      <c r="A28" s="193" t="s">
        <v>182</v>
      </c>
      <c r="B28" s="174">
        <f>+-'INVERSION INICIAL'!D50</f>
        <v>-48706.723333333328</v>
      </c>
      <c r="C28" s="183"/>
      <c r="D28" s="177"/>
      <c r="E28" s="183"/>
      <c r="F28" s="174">
        <f>+-'VALOR DE DESECHO'!C13-'VALOR DE DESECHO'!C14</f>
        <v>-6200</v>
      </c>
      <c r="G28" s="183"/>
    </row>
    <row r="29" spans="1:7">
      <c r="A29" s="193" t="s">
        <v>71</v>
      </c>
      <c r="B29" s="174">
        <f>+'CAP. TRABAJO'!B16</f>
        <v>-2268.0833333333321</v>
      </c>
      <c r="C29" s="183"/>
      <c r="D29" s="177"/>
      <c r="E29" s="183"/>
      <c r="F29" s="177"/>
      <c r="G29" s="182">
        <f>+-'CAP. TRABAJO'!B16</f>
        <v>2268.0833333333321</v>
      </c>
    </row>
    <row r="30" spans="1:7" ht="15.75" thickBot="1">
      <c r="A30" s="194" t="s">
        <v>138</v>
      </c>
      <c r="B30" s="230"/>
      <c r="C30" s="196"/>
      <c r="D30" s="230"/>
      <c r="E30" s="196"/>
      <c r="F30" s="230"/>
      <c r="G30" s="197">
        <f>+'VALOR DE DESECHO'!H17</f>
        <v>20550.986666666664</v>
      </c>
    </row>
    <row r="31" spans="1:7" ht="15.75" thickBot="1">
      <c r="A31" s="195" t="s">
        <v>198</v>
      </c>
      <c r="B31" s="198">
        <f>+SUM(B24:B29)</f>
        <v>-24186.108833333328</v>
      </c>
      <c r="C31" s="198">
        <f t="shared" ref="C31:G31" si="19">+SUM(C24:C29)</f>
        <v>14125.387730905646</v>
      </c>
      <c r="D31" s="198">
        <f t="shared" si="19"/>
        <v>15805.240523761671</v>
      </c>
      <c r="E31" s="198">
        <f t="shared" si="19"/>
        <v>17637.764015019671</v>
      </c>
      <c r="F31" s="198">
        <f t="shared" si="19"/>
        <v>13435.926135547554</v>
      </c>
      <c r="G31" s="198">
        <f t="shared" si="19"/>
        <v>24081.725943675279</v>
      </c>
    </row>
    <row r="32" spans="1:7">
      <c r="A32" s="199" t="s">
        <v>97</v>
      </c>
      <c r="B32" s="171">
        <f>NPV(B33,C31:G31)-B31</f>
        <v>87922.898940104351</v>
      </c>
    </row>
    <row r="33" spans="1:6">
      <c r="A33" s="199" t="s">
        <v>199</v>
      </c>
      <c r="B33" s="203">
        <v>9.74E-2</v>
      </c>
    </row>
    <row r="34" spans="1:6">
      <c r="A34" s="199" t="s">
        <v>85</v>
      </c>
      <c r="B34" s="200">
        <f>+IRR(B31:G31)</f>
        <v>0.58451015586269905</v>
      </c>
    </row>
    <row r="36" spans="1:6" ht="33" customHeight="1">
      <c r="B36" s="201" t="s">
        <v>200</v>
      </c>
      <c r="C36" s="201" t="s">
        <v>201</v>
      </c>
      <c r="D36" s="201" t="s">
        <v>202</v>
      </c>
      <c r="E36" s="201" t="s">
        <v>203</v>
      </c>
      <c r="F36" s="201" t="s">
        <v>204</v>
      </c>
    </row>
    <row r="37" spans="1:6" ht="12" customHeight="1">
      <c r="B37" s="104">
        <v>1</v>
      </c>
      <c r="C37" s="202">
        <f>-B31</f>
        <v>24186.108833333328</v>
      </c>
      <c r="D37" s="202">
        <f>+C31</f>
        <v>14125.387730905646</v>
      </c>
      <c r="E37" s="202">
        <f>+D37*$B$33</f>
        <v>1375.8127649902099</v>
      </c>
      <c r="F37" s="202">
        <f>D37-E37</f>
        <v>12749.574965915435</v>
      </c>
    </row>
    <row r="38" spans="1:6" ht="12.75" customHeight="1">
      <c r="B38" s="104">
        <v>2</v>
      </c>
      <c r="C38" s="202">
        <f>C37-F37</f>
        <v>11436.533867417893</v>
      </c>
      <c r="D38" s="202">
        <f>+D31</f>
        <v>15805.240523761671</v>
      </c>
      <c r="E38" s="202">
        <f t="shared" ref="E38:E41" si="20">+D38*$B$33</f>
        <v>1539.4304270143869</v>
      </c>
      <c r="F38" s="202">
        <f>D38-E38</f>
        <v>14265.810096747284</v>
      </c>
    </row>
    <row r="39" spans="1:6" ht="12.75" customHeight="1">
      <c r="B39" s="256">
        <v>3</v>
      </c>
      <c r="C39" s="257">
        <f>C38-F38</f>
        <v>-2829.2762293293908</v>
      </c>
      <c r="D39" s="257">
        <f>+E31</f>
        <v>17637.764015019671</v>
      </c>
      <c r="E39" s="257">
        <f t="shared" si="20"/>
        <v>1717.918215062916</v>
      </c>
      <c r="F39" s="257">
        <f t="shared" ref="F39:F41" si="21">D39-E39</f>
        <v>15919.845799956754</v>
      </c>
    </row>
    <row r="40" spans="1:6" ht="13.5" customHeight="1">
      <c r="B40" s="254">
        <v>4</v>
      </c>
      <c r="C40" s="255">
        <f t="shared" ref="C40:C41" si="22">C39-F39</f>
        <v>-18749.122029286147</v>
      </c>
      <c r="D40" s="255">
        <f>+F31</f>
        <v>13435.926135547554</v>
      </c>
      <c r="E40" s="255">
        <f t="shared" si="20"/>
        <v>1308.6592056023317</v>
      </c>
      <c r="F40" s="255">
        <f t="shared" si="21"/>
        <v>12127.266929945223</v>
      </c>
    </row>
    <row r="41" spans="1:6" ht="13.5" customHeight="1">
      <c r="B41" s="104">
        <v>5</v>
      </c>
      <c r="C41" s="202">
        <f t="shared" si="22"/>
        <v>-30876.388959231372</v>
      </c>
      <c r="D41" s="202">
        <f>+G31</f>
        <v>24081.725943675279</v>
      </c>
      <c r="E41" s="202">
        <f t="shared" si="20"/>
        <v>2345.560106913972</v>
      </c>
      <c r="F41" s="202">
        <f t="shared" si="21"/>
        <v>21736.165836761305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3:F19"/>
  <sheetViews>
    <sheetView topLeftCell="D1" workbookViewId="0">
      <selection activeCell="J1" sqref="J1:S1048576"/>
    </sheetView>
  </sheetViews>
  <sheetFormatPr baseColWidth="10" defaultRowHeight="15"/>
  <cols>
    <col min="2" max="2" width="11.42578125" style="3"/>
    <col min="3" max="3" width="18.7109375" bestFit="1" customWidth="1"/>
    <col min="4" max="4" width="11.5703125" bestFit="1" customWidth="1"/>
    <col min="5" max="5" width="11.5703125" customWidth="1"/>
    <col min="6" max="6" width="12.28515625" bestFit="1" customWidth="1"/>
  </cols>
  <sheetData>
    <row r="3" spans="2:6">
      <c r="B3" s="506"/>
      <c r="C3" s="506"/>
      <c r="D3" s="506"/>
      <c r="E3" s="506"/>
      <c r="F3" s="506"/>
    </row>
    <row r="4" spans="2:6">
      <c r="B4" s="385" t="s">
        <v>210</v>
      </c>
      <c r="C4" s="385" t="s">
        <v>97</v>
      </c>
      <c r="D4" s="385" t="s">
        <v>85</v>
      </c>
      <c r="E4" s="385" t="s">
        <v>199</v>
      </c>
      <c r="F4" s="385" t="s">
        <v>211</v>
      </c>
    </row>
    <row r="5" spans="2:6">
      <c r="B5" s="227">
        <v>0.1</v>
      </c>
      <c r="C5" s="228">
        <v>98451.987417546392</v>
      </c>
      <c r="D5" s="386">
        <v>0.69629009701979494</v>
      </c>
      <c r="E5" s="386">
        <v>0.1</v>
      </c>
      <c r="F5" s="104" t="s">
        <v>208</v>
      </c>
    </row>
    <row r="6" spans="2:6">
      <c r="B6" s="104">
        <v>0</v>
      </c>
      <c r="C6" s="228">
        <f>+'FLUJO DE CAJA'!B30</f>
        <v>87922.898940104351</v>
      </c>
      <c r="D6" s="227">
        <f>+'FLUJO DE CAJA'!B32</f>
        <v>0.58451015586269905</v>
      </c>
      <c r="E6" s="386">
        <v>0.1</v>
      </c>
      <c r="F6" s="104" t="s">
        <v>208</v>
      </c>
    </row>
    <row r="7" spans="2:6">
      <c r="B7" s="227">
        <v>-0.1</v>
      </c>
      <c r="C7" s="228">
        <v>66864.721985220342</v>
      </c>
      <c r="D7" s="386">
        <v>0.34441767018238023</v>
      </c>
      <c r="E7" s="386">
        <v>0.1</v>
      </c>
      <c r="F7" s="104" t="s">
        <v>208</v>
      </c>
    </row>
    <row r="8" spans="2:6">
      <c r="B8" s="227">
        <v>-0.2</v>
      </c>
      <c r="C8" s="171">
        <v>45806.545030336318</v>
      </c>
      <c r="D8" s="227">
        <v>5.7959475238589811E-2</v>
      </c>
      <c r="E8" s="386">
        <v>0.1</v>
      </c>
      <c r="F8" s="104" t="s">
        <v>208</v>
      </c>
    </row>
    <row r="9" spans="2:6">
      <c r="B9" s="387">
        <v>-0.25</v>
      </c>
      <c r="C9" s="388">
        <v>35277.456552894299</v>
      </c>
      <c r="D9" s="387">
        <v>-0.13075481908910422</v>
      </c>
      <c r="E9" s="389">
        <v>0.1</v>
      </c>
      <c r="F9" s="390" t="s">
        <v>209</v>
      </c>
    </row>
    <row r="10" spans="2:6">
      <c r="B10"/>
    </row>
    <row r="11" spans="2:6">
      <c r="B11"/>
    </row>
    <row r="12" spans="2:6">
      <c r="B12" s="506"/>
      <c r="C12" s="506"/>
      <c r="D12" s="506"/>
      <c r="E12" s="506"/>
      <c r="F12" s="506"/>
    </row>
    <row r="13" spans="2:6" ht="15" customHeight="1">
      <c r="B13" s="385" t="s">
        <v>210</v>
      </c>
      <c r="C13" s="385" t="s">
        <v>97</v>
      </c>
      <c r="D13" s="385" t="s">
        <v>85</v>
      </c>
      <c r="E13" s="385" t="s">
        <v>199</v>
      </c>
      <c r="F13" s="385" t="s">
        <v>207</v>
      </c>
    </row>
    <row r="14" spans="2:6">
      <c r="B14" s="391">
        <v>0.4</v>
      </c>
      <c r="C14" s="392">
        <v>38549.046134283024</v>
      </c>
      <c r="D14" s="391">
        <v>-5.3601468708818566E-2</v>
      </c>
      <c r="E14" s="389">
        <v>0.1</v>
      </c>
      <c r="F14" s="256" t="s">
        <v>209</v>
      </c>
    </row>
    <row r="15" spans="2:6">
      <c r="B15" s="227">
        <v>0.3</v>
      </c>
      <c r="C15" s="228">
        <v>50892.509335738352</v>
      </c>
      <c r="D15" s="227">
        <v>0.13292436646372058</v>
      </c>
      <c r="E15" s="386">
        <v>0.1</v>
      </c>
      <c r="F15" s="104" t="s">
        <v>208</v>
      </c>
    </row>
    <row r="16" spans="2:6">
      <c r="B16" s="227">
        <v>0.2</v>
      </c>
      <c r="C16" s="228">
        <v>63235.972537193695</v>
      </c>
      <c r="D16" s="227">
        <v>0.29491492770632288</v>
      </c>
      <c r="E16" s="386">
        <v>0.1</v>
      </c>
      <c r="F16" s="104" t="s">
        <v>208</v>
      </c>
    </row>
    <row r="17" spans="2:6">
      <c r="B17" s="227">
        <v>0.1</v>
      </c>
      <c r="C17" s="228">
        <v>75579.43573864903</v>
      </c>
      <c r="D17" s="227">
        <v>0.44370088637633115</v>
      </c>
      <c r="E17" s="386">
        <v>0.1</v>
      </c>
      <c r="F17" s="104" t="s">
        <v>208</v>
      </c>
    </row>
    <row r="18" spans="2:6">
      <c r="B18" s="104">
        <v>0</v>
      </c>
      <c r="C18" s="228">
        <f>+C6</f>
        <v>87922.898940104351</v>
      </c>
      <c r="D18" s="393">
        <f>+D6</f>
        <v>0.58451015586269905</v>
      </c>
      <c r="E18" s="386">
        <v>0.1</v>
      </c>
      <c r="F18" s="104" t="s">
        <v>208</v>
      </c>
    </row>
    <row r="19" spans="2:6">
      <c r="B19" s="227">
        <v>-0.05</v>
      </c>
      <c r="C19" s="228">
        <v>94094.630540832048</v>
      </c>
      <c r="D19" s="227">
        <v>0.65285279082219472</v>
      </c>
      <c r="E19" s="386">
        <v>0.1</v>
      </c>
      <c r="F19" s="104" t="s">
        <v>208</v>
      </c>
    </row>
  </sheetData>
  <mergeCells count="2">
    <mergeCell ref="B3:F3"/>
    <mergeCell ref="B12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67"/>
  <sheetViews>
    <sheetView topLeftCell="H1" workbookViewId="0">
      <selection activeCell="J2" sqref="J2"/>
    </sheetView>
  </sheetViews>
  <sheetFormatPr baseColWidth="10" defaultRowHeight="12.75"/>
  <cols>
    <col min="1" max="1" width="31.5703125" style="47" hidden="1" customWidth="1"/>
    <col min="2" max="2" width="16" style="47" hidden="1" customWidth="1"/>
    <col min="3" max="3" width="15.85546875" style="47" hidden="1" customWidth="1"/>
    <col min="4" max="4" width="16" style="47" hidden="1" customWidth="1"/>
    <col min="5" max="5" width="14.140625" style="47" hidden="1" customWidth="1"/>
    <col min="6" max="6" width="12.7109375" style="47" hidden="1" customWidth="1"/>
    <col min="7" max="7" width="17.42578125" style="47" customWidth="1"/>
    <col min="8" max="9" width="10.7109375" style="47" customWidth="1"/>
    <col min="10" max="10" width="11" style="47" customWidth="1"/>
    <col min="11" max="12" width="10.7109375" style="47" customWidth="1"/>
    <col min="13" max="13" width="10.85546875" style="47" customWidth="1"/>
    <col min="14" max="14" width="10.7109375" style="47" customWidth="1"/>
    <col min="15" max="17" width="10.5703125" style="47" customWidth="1"/>
    <col min="18" max="19" width="10.140625" style="47" bestFit="1" customWidth="1"/>
    <col min="20" max="20" width="11.5703125" style="47" customWidth="1"/>
    <col min="21" max="22" width="11.42578125" style="47"/>
    <col min="23" max="23" width="24.42578125" style="47" bestFit="1" customWidth="1"/>
    <col min="24" max="24" width="12.85546875" style="47" bestFit="1" customWidth="1"/>
    <col min="25" max="16384" width="11.42578125" style="47"/>
  </cols>
  <sheetData>
    <row r="3" spans="1:21" ht="60" customHeight="1"/>
    <row r="4" spans="1:21">
      <c r="G4" s="441" t="s">
        <v>272</v>
      </c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02"/>
      <c r="U4" s="402"/>
    </row>
    <row r="5" spans="1:21">
      <c r="G5" s="441" t="s">
        <v>276</v>
      </c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</row>
    <row r="7" spans="1:21" ht="25.5" hidden="1">
      <c r="A7" s="117" t="s">
        <v>96</v>
      </c>
      <c r="B7" s="117"/>
      <c r="C7" s="117"/>
      <c r="D7" s="117"/>
      <c r="E7" s="117"/>
      <c r="F7" s="117"/>
      <c r="G7" s="117"/>
      <c r="H7" s="120" t="s">
        <v>165</v>
      </c>
      <c r="I7" s="90">
        <v>20</v>
      </c>
    </row>
    <row r="8" spans="1:21" ht="13.5" thickBot="1">
      <c r="A8" s="64"/>
      <c r="B8" s="64"/>
      <c r="C8" s="64"/>
      <c r="D8" s="64"/>
      <c r="E8" s="64"/>
      <c r="F8" s="64"/>
      <c r="H8" s="408" t="s">
        <v>74</v>
      </c>
      <c r="I8" s="408" t="s">
        <v>75</v>
      </c>
      <c r="J8" s="408" t="s">
        <v>76</v>
      </c>
      <c r="K8" s="408" t="s">
        <v>77</v>
      </c>
      <c r="L8" s="408" t="s">
        <v>76</v>
      </c>
      <c r="M8" s="408" t="s">
        <v>78</v>
      </c>
      <c r="N8" s="408" t="s">
        <v>78</v>
      </c>
      <c r="O8" s="408" t="s">
        <v>77</v>
      </c>
      <c r="P8" s="408" t="s">
        <v>81</v>
      </c>
      <c r="Q8" s="408" t="s">
        <v>82</v>
      </c>
      <c r="R8" s="408" t="s">
        <v>83</v>
      </c>
      <c r="S8" s="408" t="s">
        <v>84</v>
      </c>
    </row>
    <row r="9" spans="1:21" ht="13.5" thickBot="1">
      <c r="A9" s="65"/>
      <c r="B9" s="66" t="s">
        <v>105</v>
      </c>
      <c r="C9" s="67" t="s">
        <v>68</v>
      </c>
      <c r="D9" s="64"/>
      <c r="E9" s="64"/>
      <c r="F9" s="64"/>
      <c r="G9" s="88" t="s">
        <v>164</v>
      </c>
      <c r="H9" s="119">
        <v>0.01</v>
      </c>
      <c r="I9" s="113">
        <v>0.05</v>
      </c>
      <c r="J9" s="114">
        <v>0.15</v>
      </c>
      <c r="K9" s="114">
        <v>0.15</v>
      </c>
      <c r="L9" s="115">
        <v>0.05</v>
      </c>
      <c r="M9" s="115">
        <v>0.05</v>
      </c>
      <c r="N9" s="115">
        <v>0.05</v>
      </c>
      <c r="O9" s="236">
        <v>0.2</v>
      </c>
      <c r="P9" s="236">
        <v>0.1</v>
      </c>
      <c r="Q9" s="114">
        <v>0.1</v>
      </c>
      <c r="R9" s="113">
        <v>0.05</v>
      </c>
      <c r="S9" s="113">
        <v>0.05</v>
      </c>
    </row>
    <row r="10" spans="1:21" ht="13.5" thickBot="1">
      <c r="A10" s="68" t="s">
        <v>106</v>
      </c>
      <c r="B10" s="69">
        <v>40604</v>
      </c>
      <c r="C10" s="70">
        <v>98417</v>
      </c>
      <c r="D10" s="64"/>
      <c r="E10" s="64"/>
      <c r="F10" s="64"/>
      <c r="G10" s="401" t="s">
        <v>57</v>
      </c>
      <c r="H10" s="88">
        <v>1</v>
      </c>
      <c r="I10" s="88">
        <f t="shared" ref="I10:O10" si="0">+I9*$I$7</f>
        <v>1</v>
      </c>
      <c r="J10" s="88">
        <v>2</v>
      </c>
      <c r="K10" s="88">
        <f t="shared" si="0"/>
        <v>3</v>
      </c>
      <c r="L10" s="88">
        <v>2</v>
      </c>
      <c r="M10" s="88">
        <v>2</v>
      </c>
      <c r="N10" s="88">
        <v>2</v>
      </c>
      <c r="O10" s="88">
        <f t="shared" si="0"/>
        <v>4</v>
      </c>
      <c r="P10" s="88">
        <v>4</v>
      </c>
      <c r="Q10" s="88">
        <v>3</v>
      </c>
      <c r="R10" s="88">
        <v>2</v>
      </c>
      <c r="S10" s="88">
        <v>2</v>
      </c>
    </row>
    <row r="11" spans="1:21" ht="13.5" thickBot="1">
      <c r="A11" s="71" t="s">
        <v>107</v>
      </c>
      <c r="B11" s="72">
        <v>17597</v>
      </c>
      <c r="C11" s="73">
        <v>43734</v>
      </c>
      <c r="D11" s="64"/>
      <c r="E11" s="64"/>
      <c r="F11" s="64"/>
      <c r="G11" s="401" t="s">
        <v>50</v>
      </c>
      <c r="H11" s="88">
        <v>1</v>
      </c>
      <c r="I11" s="90">
        <v>2</v>
      </c>
      <c r="J11" s="90">
        <v>2</v>
      </c>
      <c r="K11" s="90">
        <v>2</v>
      </c>
      <c r="L11" s="90">
        <v>2</v>
      </c>
      <c r="M11" s="90">
        <v>2</v>
      </c>
      <c r="N11" s="90">
        <v>2</v>
      </c>
      <c r="O11" s="90">
        <v>2</v>
      </c>
      <c r="P11" s="90">
        <v>2</v>
      </c>
      <c r="Q11" s="90">
        <v>2</v>
      </c>
      <c r="R11" s="90">
        <v>2</v>
      </c>
      <c r="S11" s="90">
        <v>2</v>
      </c>
    </row>
    <row r="12" spans="1:21" ht="13.5" thickBot="1">
      <c r="A12" s="74" t="s">
        <v>108</v>
      </c>
      <c r="B12" s="72">
        <v>42</v>
      </c>
      <c r="C12" s="75">
        <v>110</v>
      </c>
      <c r="D12" s="64"/>
      <c r="E12" s="64"/>
      <c r="F12" s="64"/>
      <c r="G12" s="401" t="s">
        <v>166</v>
      </c>
      <c r="H12" s="88">
        <f>SUM(H10:H11)</f>
        <v>2</v>
      </c>
      <c r="I12" s="88">
        <f t="shared" ref="I12:S12" si="1">SUM(I10:I11)</f>
        <v>3</v>
      </c>
      <c r="J12" s="88">
        <f t="shared" si="1"/>
        <v>4</v>
      </c>
      <c r="K12" s="88">
        <f t="shared" si="1"/>
        <v>5</v>
      </c>
      <c r="L12" s="88">
        <f t="shared" si="1"/>
        <v>4</v>
      </c>
      <c r="M12" s="88">
        <f t="shared" si="1"/>
        <v>4</v>
      </c>
      <c r="N12" s="88">
        <f t="shared" si="1"/>
        <v>4</v>
      </c>
      <c r="O12" s="88">
        <f t="shared" si="1"/>
        <v>6</v>
      </c>
      <c r="P12" s="88">
        <f t="shared" si="1"/>
        <v>6</v>
      </c>
      <c r="Q12" s="88">
        <f t="shared" si="1"/>
        <v>5</v>
      </c>
      <c r="R12" s="88">
        <f t="shared" si="1"/>
        <v>4</v>
      </c>
      <c r="S12" s="88">
        <f t="shared" si="1"/>
        <v>4</v>
      </c>
    </row>
    <row r="13" spans="1:21" ht="13.5" thickBot="1">
      <c r="A13" s="76" t="s">
        <v>109</v>
      </c>
      <c r="B13" s="77">
        <f>SUM(B10:B12)</f>
        <v>58243</v>
      </c>
      <c r="C13" s="64"/>
      <c r="D13" s="64"/>
      <c r="E13" s="64"/>
      <c r="F13" s="64"/>
      <c r="G13" s="403" t="s">
        <v>253</v>
      </c>
      <c r="H13" s="64"/>
    </row>
    <row r="14" spans="1:21" ht="13.5" hidden="1" thickBot="1">
      <c r="A14" s="64"/>
      <c r="B14" s="78"/>
      <c r="C14" s="64"/>
      <c r="D14" s="64"/>
      <c r="E14" s="64"/>
      <c r="F14" s="64"/>
      <c r="H14" s="64"/>
    </row>
    <row r="15" spans="1:21" ht="13.5" hidden="1" thickBot="1">
      <c r="A15" s="79" t="s">
        <v>110</v>
      </c>
      <c r="B15" s="80">
        <f>B13</f>
        <v>58243</v>
      </c>
      <c r="C15" s="64"/>
      <c r="D15" s="64"/>
      <c r="E15" s="64"/>
      <c r="F15" s="64"/>
      <c r="G15" s="401" t="s">
        <v>167</v>
      </c>
      <c r="H15" s="121">
        <v>2000</v>
      </c>
    </row>
    <row r="16" spans="1:21" ht="13.5" hidden="1" thickBot="1">
      <c r="A16" s="81" t="s">
        <v>111</v>
      </c>
      <c r="B16" s="82">
        <v>500</v>
      </c>
      <c r="C16" s="83" t="s">
        <v>162</v>
      </c>
      <c r="D16" s="64"/>
      <c r="E16" s="64"/>
      <c r="F16" s="64"/>
      <c r="G16" s="116" t="s">
        <v>46</v>
      </c>
      <c r="H16" s="121">
        <v>4000</v>
      </c>
      <c r="I16" s="47">
        <v>4</v>
      </c>
      <c r="J16" s="47" t="s">
        <v>220</v>
      </c>
    </row>
    <row r="17" spans="1:24" ht="13.5" hidden="1" thickBot="1">
      <c r="A17" s="84" t="s">
        <v>112</v>
      </c>
      <c r="B17" s="85">
        <v>170</v>
      </c>
      <c r="C17" s="83" t="s">
        <v>163</v>
      </c>
      <c r="D17" s="64"/>
      <c r="E17" s="64"/>
      <c r="F17" s="64"/>
      <c r="G17" s="116" t="s">
        <v>47</v>
      </c>
      <c r="H17" s="121">
        <v>2000</v>
      </c>
      <c r="I17" s="47">
        <v>4</v>
      </c>
      <c r="J17" s="121">
        <v>6000</v>
      </c>
    </row>
    <row r="18" spans="1:24" hidden="1">
      <c r="A18" s="64"/>
      <c r="B18" s="78"/>
      <c r="C18" s="64"/>
      <c r="D18" s="64"/>
      <c r="E18" s="64"/>
      <c r="F18" s="64"/>
      <c r="G18" s="116" t="s">
        <v>219</v>
      </c>
      <c r="H18" s="121">
        <v>4000</v>
      </c>
      <c r="I18" s="47">
        <v>4</v>
      </c>
    </row>
    <row r="19" spans="1:24" hidden="1">
      <c r="A19" s="64"/>
      <c r="B19" s="78"/>
      <c r="C19" s="64"/>
      <c r="D19" s="64"/>
      <c r="E19" s="64"/>
      <c r="F19" s="64"/>
      <c r="G19" s="116" t="s">
        <v>168</v>
      </c>
      <c r="H19" s="121">
        <v>2000</v>
      </c>
      <c r="I19" s="47">
        <v>4</v>
      </c>
    </row>
    <row r="20" spans="1:24" hidden="1">
      <c r="A20" s="83" t="s">
        <v>160</v>
      </c>
      <c r="B20" s="78"/>
      <c r="C20" s="64"/>
      <c r="D20" s="86">
        <f>+B17*0.12</f>
        <v>20.399999999999999</v>
      </c>
      <c r="E20" s="87" t="s">
        <v>113</v>
      </c>
      <c r="F20" s="118">
        <v>0.12</v>
      </c>
      <c r="G20" s="116" t="s">
        <v>49</v>
      </c>
      <c r="H20" s="121">
        <v>4000</v>
      </c>
      <c r="I20" s="47">
        <v>4</v>
      </c>
    </row>
    <row r="21" spans="1:24">
      <c r="A21" s="83"/>
      <c r="B21" s="78"/>
      <c r="C21" s="64"/>
      <c r="D21" s="86"/>
      <c r="E21" s="384"/>
      <c r="F21" s="118"/>
      <c r="G21" s="441" t="s">
        <v>274</v>
      </c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</row>
    <row r="22" spans="1:24">
      <c r="A22" s="83"/>
      <c r="B22" s="78"/>
      <c r="C22" s="64"/>
      <c r="D22" s="86"/>
      <c r="E22" s="384"/>
      <c r="F22" s="118"/>
      <c r="G22" s="441" t="s">
        <v>278</v>
      </c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</row>
    <row r="23" spans="1:24">
      <c r="A23" s="83" t="s">
        <v>114</v>
      </c>
      <c r="B23" s="78"/>
      <c r="C23" s="64"/>
      <c r="D23" s="64"/>
      <c r="E23" s="64"/>
      <c r="F23" s="64"/>
      <c r="G23" s="64"/>
      <c r="H23" s="122"/>
    </row>
    <row r="24" spans="1:24">
      <c r="A24" s="83"/>
      <c r="G24" s="88" t="s">
        <v>279</v>
      </c>
      <c r="H24" s="409" t="s">
        <v>74</v>
      </c>
      <c r="I24" s="409" t="s">
        <v>75</v>
      </c>
      <c r="J24" s="409" t="s">
        <v>76</v>
      </c>
      <c r="K24" s="409" t="s">
        <v>77</v>
      </c>
      <c r="L24" s="409" t="s">
        <v>76</v>
      </c>
      <c r="M24" s="409" t="s">
        <v>78</v>
      </c>
      <c r="N24" s="409" t="s">
        <v>78</v>
      </c>
      <c r="O24" s="409" t="s">
        <v>77</v>
      </c>
      <c r="P24" s="409" t="s">
        <v>81</v>
      </c>
      <c r="Q24" s="409" t="s">
        <v>82</v>
      </c>
      <c r="R24" s="409" t="s">
        <v>83</v>
      </c>
      <c r="S24" s="409" t="s">
        <v>84</v>
      </c>
      <c r="T24" s="409" t="s">
        <v>171</v>
      </c>
    </row>
    <row r="25" spans="1:24">
      <c r="A25" s="83"/>
      <c r="G25" s="116" t="s">
        <v>50</v>
      </c>
      <c r="H25" s="123">
        <f>+$H$15*H11</f>
        <v>2000</v>
      </c>
      <c r="I25" s="123">
        <f t="shared" ref="I25:S25" si="2">+$H$15*I11</f>
        <v>4000</v>
      </c>
      <c r="J25" s="123">
        <f t="shared" si="2"/>
        <v>4000</v>
      </c>
      <c r="K25" s="123">
        <f t="shared" si="2"/>
        <v>4000</v>
      </c>
      <c r="L25" s="123">
        <f t="shared" si="2"/>
        <v>4000</v>
      </c>
      <c r="M25" s="123">
        <f t="shared" si="2"/>
        <v>4000</v>
      </c>
      <c r="N25" s="123">
        <f t="shared" si="2"/>
        <v>4000</v>
      </c>
      <c r="O25" s="123">
        <f t="shared" si="2"/>
        <v>4000</v>
      </c>
      <c r="P25" s="123">
        <f t="shared" si="2"/>
        <v>4000</v>
      </c>
      <c r="Q25" s="123">
        <f t="shared" si="2"/>
        <v>4000</v>
      </c>
      <c r="R25" s="123">
        <f t="shared" si="2"/>
        <v>4000</v>
      </c>
      <c r="S25" s="123">
        <f t="shared" si="2"/>
        <v>4000</v>
      </c>
      <c r="T25" s="124">
        <f>+SUM(H25:S25)</f>
        <v>46000</v>
      </c>
      <c r="W25" s="397" t="s">
        <v>53</v>
      </c>
    </row>
    <row r="26" spans="1:24">
      <c r="A26" s="83"/>
      <c r="G26" s="116" t="s">
        <v>57</v>
      </c>
      <c r="H26" s="123">
        <f>+$J$17*H10</f>
        <v>6000</v>
      </c>
      <c r="I26" s="123">
        <f t="shared" ref="I26:S26" si="3">+$J$17*I10</f>
        <v>6000</v>
      </c>
      <c r="J26" s="123">
        <f t="shared" si="3"/>
        <v>12000</v>
      </c>
      <c r="K26" s="123">
        <f t="shared" si="3"/>
        <v>18000</v>
      </c>
      <c r="L26" s="123">
        <f t="shared" si="3"/>
        <v>12000</v>
      </c>
      <c r="M26" s="123">
        <f t="shared" si="3"/>
        <v>12000</v>
      </c>
      <c r="N26" s="123">
        <f t="shared" si="3"/>
        <v>12000</v>
      </c>
      <c r="O26" s="123">
        <f t="shared" si="3"/>
        <v>24000</v>
      </c>
      <c r="P26" s="123">
        <f t="shared" si="3"/>
        <v>24000</v>
      </c>
      <c r="Q26" s="123">
        <f t="shared" si="3"/>
        <v>18000</v>
      </c>
      <c r="R26" s="123">
        <f t="shared" si="3"/>
        <v>12000</v>
      </c>
      <c r="S26" s="123">
        <f t="shared" si="3"/>
        <v>12000</v>
      </c>
      <c r="T26" s="123">
        <f>+SUM(H26:S26)</f>
        <v>168000</v>
      </c>
      <c r="W26" s="2" t="s">
        <v>170</v>
      </c>
      <c r="X26" s="237">
        <v>46000</v>
      </c>
    </row>
    <row r="27" spans="1:24">
      <c r="A27" s="83"/>
      <c r="H27" s="124">
        <f>+SUM(H25:H26)</f>
        <v>8000</v>
      </c>
      <c r="I27" s="124">
        <f t="shared" ref="I27:S27" si="4">+SUM(I25:I26)</f>
        <v>10000</v>
      </c>
      <c r="J27" s="124">
        <f t="shared" si="4"/>
        <v>16000</v>
      </c>
      <c r="K27" s="124">
        <f t="shared" si="4"/>
        <v>22000</v>
      </c>
      <c r="L27" s="124">
        <f t="shared" si="4"/>
        <v>16000</v>
      </c>
      <c r="M27" s="124">
        <f t="shared" si="4"/>
        <v>16000</v>
      </c>
      <c r="N27" s="124">
        <f t="shared" si="4"/>
        <v>16000</v>
      </c>
      <c r="O27" s="124">
        <f t="shared" si="4"/>
        <v>28000</v>
      </c>
      <c r="P27" s="124">
        <f t="shared" si="4"/>
        <v>28000</v>
      </c>
      <c r="Q27" s="124">
        <f t="shared" si="4"/>
        <v>22000</v>
      </c>
      <c r="R27" s="124">
        <f t="shared" si="4"/>
        <v>16000</v>
      </c>
      <c r="S27" s="124">
        <f t="shared" si="4"/>
        <v>16000</v>
      </c>
      <c r="T27" s="124">
        <f>+SUM(H27:S27)</f>
        <v>214000</v>
      </c>
      <c r="W27" s="2" t="s">
        <v>169</v>
      </c>
      <c r="X27" s="237">
        <v>168000</v>
      </c>
    </row>
    <row r="28" spans="1:24" ht="13.5" thickBot="1">
      <c r="A28" s="83"/>
      <c r="G28" s="403" t="s">
        <v>253</v>
      </c>
      <c r="W28" s="2" t="s">
        <v>270</v>
      </c>
      <c r="X28" s="395">
        <v>15140</v>
      </c>
    </row>
    <row r="29" spans="1:24" ht="13.5" thickBot="1">
      <c r="A29" s="83"/>
      <c r="W29" s="394" t="s">
        <v>271</v>
      </c>
      <c r="X29" s="396">
        <f>+SUM(X26:X28)</f>
        <v>229140</v>
      </c>
    </row>
    <row r="30" spans="1:24">
      <c r="G30" s="441" t="s">
        <v>275</v>
      </c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</row>
    <row r="31" spans="1:24" ht="15" hidden="1" customHeight="1">
      <c r="A31" s="439" t="s">
        <v>65</v>
      </c>
      <c r="B31" s="64"/>
      <c r="C31" s="64"/>
      <c r="G31" s="441"/>
      <c r="H31" s="441"/>
      <c r="I31" s="441"/>
      <c r="J31" s="441"/>
      <c r="K31" s="441"/>
      <c r="L31" s="441"/>
      <c r="M31" s="441"/>
      <c r="N31" s="441"/>
      <c r="O31" s="441"/>
      <c r="P31" s="441"/>
      <c r="Q31" s="441"/>
      <c r="R31" s="441"/>
      <c r="S31" s="441"/>
    </row>
    <row r="32" spans="1:24" hidden="1">
      <c r="A32" s="439"/>
      <c r="B32" s="64"/>
      <c r="C32" s="64"/>
      <c r="G32" s="404" t="s">
        <v>169</v>
      </c>
      <c r="H32" s="405">
        <v>4000</v>
      </c>
      <c r="I32" s="405">
        <v>4000</v>
      </c>
      <c r="J32" s="405">
        <v>4000</v>
      </c>
      <c r="K32" s="405">
        <v>4000</v>
      </c>
      <c r="L32" s="405">
        <v>4000</v>
      </c>
      <c r="M32" s="405">
        <v>4000</v>
      </c>
      <c r="N32" s="406">
        <v>40000</v>
      </c>
      <c r="O32" s="407"/>
      <c r="P32" s="407"/>
      <c r="Q32" s="407"/>
      <c r="R32" s="407"/>
      <c r="S32" s="407"/>
    </row>
    <row r="33" spans="1:20" hidden="1">
      <c r="B33" s="88" t="s">
        <v>43</v>
      </c>
      <c r="C33" s="88" t="s">
        <v>44</v>
      </c>
      <c r="D33" s="88" t="s">
        <v>45</v>
      </c>
      <c r="G33" s="404" t="s">
        <v>170</v>
      </c>
      <c r="H33" s="405">
        <v>6000</v>
      </c>
      <c r="I33" s="405">
        <v>6000</v>
      </c>
      <c r="J33" s="405">
        <v>6000</v>
      </c>
      <c r="K33" s="405">
        <v>24000</v>
      </c>
      <c r="L33" s="405">
        <v>12000</v>
      </c>
      <c r="M33" s="405">
        <v>12000</v>
      </c>
      <c r="N33" s="406">
        <v>120000</v>
      </c>
      <c r="O33" s="407"/>
      <c r="P33" s="407"/>
      <c r="Q33" s="407"/>
      <c r="R33" s="407"/>
      <c r="S33" s="407"/>
    </row>
    <row r="34" spans="1:20" hidden="1">
      <c r="A34" s="2" t="s">
        <v>46</v>
      </c>
      <c r="B34" s="89">
        <v>12000</v>
      </c>
      <c r="C34" s="90">
        <v>4</v>
      </c>
      <c r="D34" s="89">
        <f>B34*C34</f>
        <v>48000</v>
      </c>
      <c r="G34" s="407"/>
      <c r="H34" s="406">
        <v>10000</v>
      </c>
      <c r="I34" s="406">
        <v>10000</v>
      </c>
      <c r="J34" s="406">
        <v>10000</v>
      </c>
      <c r="K34" s="406">
        <v>28000</v>
      </c>
      <c r="L34" s="406">
        <v>16000</v>
      </c>
      <c r="M34" s="406">
        <v>16000</v>
      </c>
      <c r="N34" s="406">
        <v>160000</v>
      </c>
      <c r="O34" s="407"/>
      <c r="P34" s="407"/>
      <c r="Q34" s="407"/>
      <c r="R34" s="407"/>
      <c r="S34" s="407"/>
    </row>
    <row r="35" spans="1:20">
      <c r="A35" s="2" t="s">
        <v>47</v>
      </c>
      <c r="B35" s="89">
        <v>12000</v>
      </c>
      <c r="C35" s="90">
        <v>4</v>
      </c>
      <c r="D35" s="89">
        <f t="shared" ref="D35:D37" si="5">B35*C35</f>
        <v>48000</v>
      </c>
      <c r="G35" s="441" t="s">
        <v>277</v>
      </c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</row>
    <row r="36" spans="1:20" hidden="1">
      <c r="A36" s="2" t="s">
        <v>48</v>
      </c>
      <c r="B36" s="89">
        <v>12000</v>
      </c>
      <c r="C36" s="90">
        <v>4</v>
      </c>
      <c r="D36" s="89">
        <f t="shared" si="5"/>
        <v>48000</v>
      </c>
      <c r="G36" s="407" t="s">
        <v>221</v>
      </c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</row>
    <row r="37" spans="1:20">
      <c r="A37" s="2" t="s">
        <v>49</v>
      </c>
      <c r="B37" s="89">
        <v>12000</v>
      </c>
      <c r="C37" s="90">
        <v>3</v>
      </c>
      <c r="D37" s="89">
        <f t="shared" si="5"/>
        <v>36000</v>
      </c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</row>
    <row r="38" spans="1:20" ht="15.75" thickBot="1">
      <c r="B38" s="87"/>
      <c r="C38" s="87"/>
      <c r="D38" s="91">
        <f>SUM(D34:D37)</f>
        <v>180000</v>
      </c>
      <c r="E38" s="47">
        <f>+D38/12</f>
        <v>15000</v>
      </c>
      <c r="F38" s="47">
        <f>+E38*0.02</f>
        <v>300</v>
      </c>
      <c r="G38" s="116" t="s">
        <v>227</v>
      </c>
      <c r="H38" s="410" t="s">
        <v>74</v>
      </c>
      <c r="I38" s="410" t="s">
        <v>75</v>
      </c>
      <c r="J38" s="410" t="s">
        <v>76</v>
      </c>
      <c r="K38" s="410" t="s">
        <v>77</v>
      </c>
      <c r="L38" s="410" t="s">
        <v>76</v>
      </c>
      <c r="M38" s="410" t="s">
        <v>78</v>
      </c>
      <c r="N38" s="410" t="s">
        <v>78</v>
      </c>
      <c r="O38" s="410" t="s">
        <v>77</v>
      </c>
      <c r="P38" s="410" t="s">
        <v>81</v>
      </c>
      <c r="Q38" s="410" t="s">
        <v>82</v>
      </c>
      <c r="R38" s="410" t="s">
        <v>83</v>
      </c>
      <c r="S38" s="410" t="s">
        <v>84</v>
      </c>
      <c r="T38" s="410" t="s">
        <v>171</v>
      </c>
    </row>
    <row r="39" spans="1:20">
      <c r="A39" s="47" t="s">
        <v>50</v>
      </c>
      <c r="G39" s="2" t="s">
        <v>273</v>
      </c>
      <c r="H39" s="237">
        <v>1500</v>
      </c>
      <c r="I39" s="237">
        <v>1500</v>
      </c>
      <c r="J39" s="237">
        <v>1500</v>
      </c>
      <c r="K39" s="237">
        <v>1500</v>
      </c>
      <c r="L39" s="237">
        <v>1500</v>
      </c>
      <c r="M39" s="237">
        <v>1500</v>
      </c>
      <c r="N39" s="237">
        <v>1500</v>
      </c>
      <c r="O39" s="237">
        <v>1500</v>
      </c>
      <c r="P39" s="237">
        <v>1500</v>
      </c>
      <c r="Q39" s="237">
        <v>1500</v>
      </c>
      <c r="R39" s="237">
        <v>70</v>
      </c>
      <c r="S39" s="237">
        <v>70</v>
      </c>
      <c r="T39" s="237">
        <f>+SUM(H39:S39)</f>
        <v>15140</v>
      </c>
    </row>
    <row r="40" spans="1:20">
      <c r="A40" s="440" t="s">
        <v>51</v>
      </c>
      <c r="B40" s="440"/>
      <c r="C40" s="440"/>
      <c r="D40" s="440"/>
      <c r="G40" s="403" t="s">
        <v>253</v>
      </c>
    </row>
    <row r="42" spans="1:20">
      <c r="B42" s="92" t="s">
        <v>43</v>
      </c>
      <c r="C42" s="92" t="s">
        <v>52</v>
      </c>
      <c r="D42" s="92" t="s">
        <v>45</v>
      </c>
    </row>
    <row r="43" spans="1:20">
      <c r="A43" s="2" t="s">
        <v>50</v>
      </c>
      <c r="B43" s="89">
        <v>2000</v>
      </c>
      <c r="C43" s="90">
        <v>24</v>
      </c>
      <c r="D43" s="89">
        <f>B43*C43</f>
        <v>48000</v>
      </c>
    </row>
    <row r="45" spans="1:20">
      <c r="A45" s="90" t="s">
        <v>53</v>
      </c>
      <c r="B45" s="90" t="s">
        <v>54</v>
      </c>
    </row>
    <row r="46" spans="1:20">
      <c r="A46" s="2" t="s">
        <v>55</v>
      </c>
      <c r="B46" s="62">
        <f>D38</f>
        <v>180000</v>
      </c>
    </row>
    <row r="47" spans="1:20" ht="13.5" thickBot="1">
      <c r="A47" s="2" t="s">
        <v>56</v>
      </c>
      <c r="B47" s="93">
        <f>D43</f>
        <v>48000</v>
      </c>
    </row>
    <row r="48" spans="1:20" ht="13.5" thickBot="1">
      <c r="B48" s="94">
        <f>B46+B47</f>
        <v>228000</v>
      </c>
    </row>
    <row r="49" spans="1:8">
      <c r="B49" s="95"/>
    </row>
    <row r="50" spans="1:8">
      <c r="B50" s="95"/>
    </row>
    <row r="51" spans="1:8">
      <c r="B51" s="95"/>
    </row>
    <row r="52" spans="1:8">
      <c r="B52" s="95"/>
    </row>
    <row r="53" spans="1:8">
      <c r="B53" s="95"/>
    </row>
    <row r="54" spans="1:8">
      <c r="B54" s="95"/>
    </row>
    <row r="55" spans="1:8">
      <c r="B55" s="95"/>
    </row>
    <row r="56" spans="1:8">
      <c r="B56" s="95"/>
    </row>
    <row r="57" spans="1:8">
      <c r="B57" s="95"/>
    </row>
    <row r="58" spans="1:8">
      <c r="B58" s="95"/>
    </row>
    <row r="59" spans="1:8">
      <c r="B59" s="95"/>
    </row>
    <row r="60" spans="1:8">
      <c r="B60" s="95"/>
    </row>
    <row r="61" spans="1:8" ht="54.75" customHeight="1" thickBot="1"/>
    <row r="62" spans="1:8">
      <c r="A62" s="2"/>
      <c r="B62" s="90" t="s">
        <v>57</v>
      </c>
      <c r="C62" s="90" t="s">
        <v>58</v>
      </c>
      <c r="D62" s="90"/>
      <c r="E62" s="90" t="s">
        <v>50</v>
      </c>
      <c r="F62" s="90" t="s">
        <v>58</v>
      </c>
      <c r="G62" s="96"/>
      <c r="H62" s="97" t="s">
        <v>59</v>
      </c>
    </row>
    <row r="63" spans="1:8">
      <c r="A63" s="98" t="s">
        <v>60</v>
      </c>
      <c r="B63" s="99">
        <v>15</v>
      </c>
      <c r="C63" s="89">
        <v>12000</v>
      </c>
      <c r="D63" s="100">
        <f>B63*C63</f>
        <v>180000</v>
      </c>
      <c r="E63" s="90">
        <v>24</v>
      </c>
      <c r="F63" s="101">
        <v>1000</v>
      </c>
      <c r="G63" s="102">
        <f>E63*F63</f>
        <v>24000</v>
      </c>
      <c r="H63" s="103">
        <f>D63+G63</f>
        <v>204000</v>
      </c>
    </row>
    <row r="64" spans="1:8">
      <c r="A64" s="98" t="s">
        <v>61</v>
      </c>
      <c r="B64" s="99">
        <f>B63*1.03</f>
        <v>15.450000000000001</v>
      </c>
      <c r="C64" s="89">
        <v>12000</v>
      </c>
      <c r="D64" s="100">
        <f t="shared" ref="D64:D67" si="6">B64*C64</f>
        <v>185400</v>
      </c>
      <c r="E64" s="99">
        <f>E63*1.05</f>
        <v>25.200000000000003</v>
      </c>
      <c r="F64" s="101">
        <v>1000</v>
      </c>
      <c r="G64" s="102">
        <f>E64*F64</f>
        <v>25200.000000000004</v>
      </c>
      <c r="H64" s="103">
        <f>D64+G64</f>
        <v>210600</v>
      </c>
    </row>
    <row r="65" spans="1:8">
      <c r="A65" s="98" t="s">
        <v>62</v>
      </c>
      <c r="B65" s="99">
        <f t="shared" ref="B65:B67" si="7">B64*1.03</f>
        <v>15.913500000000001</v>
      </c>
      <c r="C65" s="89">
        <v>12000</v>
      </c>
      <c r="D65" s="100">
        <f t="shared" si="6"/>
        <v>190962</v>
      </c>
      <c r="E65" s="99">
        <f t="shared" ref="E65:E67" si="8">E64*1.05</f>
        <v>26.460000000000004</v>
      </c>
      <c r="F65" s="101">
        <v>1000</v>
      </c>
      <c r="G65" s="102">
        <f>E65*F65</f>
        <v>26460.000000000004</v>
      </c>
      <c r="H65" s="103">
        <f>D65+G65</f>
        <v>217422</v>
      </c>
    </row>
    <row r="66" spans="1:8">
      <c r="A66" s="98" t="s">
        <v>63</v>
      </c>
      <c r="B66" s="99">
        <f t="shared" si="7"/>
        <v>16.390905</v>
      </c>
      <c r="C66" s="89">
        <v>12000</v>
      </c>
      <c r="D66" s="100">
        <f t="shared" si="6"/>
        <v>196690.86000000002</v>
      </c>
      <c r="E66" s="99">
        <f t="shared" si="8"/>
        <v>27.783000000000005</v>
      </c>
      <c r="F66" s="101">
        <v>1000</v>
      </c>
      <c r="G66" s="102">
        <f>E66*F66</f>
        <v>27783.000000000004</v>
      </c>
      <c r="H66" s="103">
        <f>D66+G66</f>
        <v>224473.86000000002</v>
      </c>
    </row>
    <row r="67" spans="1:8">
      <c r="A67" s="98" t="s">
        <v>64</v>
      </c>
      <c r="B67" s="99">
        <f t="shared" si="7"/>
        <v>16.882632149999999</v>
      </c>
      <c r="C67" s="89">
        <v>12000</v>
      </c>
      <c r="D67" s="100">
        <f t="shared" si="6"/>
        <v>202591.5858</v>
      </c>
      <c r="E67" s="99">
        <f t="shared" si="8"/>
        <v>29.172150000000006</v>
      </c>
      <c r="F67" s="101">
        <v>1000</v>
      </c>
      <c r="G67" s="102">
        <f>E67*F67</f>
        <v>29172.150000000005</v>
      </c>
      <c r="H67" s="103">
        <f>D67+G67</f>
        <v>231763.73579999999</v>
      </c>
    </row>
  </sheetData>
  <mergeCells count="9">
    <mergeCell ref="A31:A32"/>
    <mergeCell ref="A40:D40"/>
    <mergeCell ref="G4:S4"/>
    <mergeCell ref="G5:S5"/>
    <mergeCell ref="G21:S21"/>
    <mergeCell ref="G22:S22"/>
    <mergeCell ref="G30:S30"/>
    <mergeCell ref="G31:S31"/>
    <mergeCell ref="G35:S35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9"/>
  <sheetViews>
    <sheetView zoomScale="115" zoomScaleNormal="115" workbookViewId="0">
      <selection activeCell="A2" sqref="A2:K2"/>
    </sheetView>
  </sheetViews>
  <sheetFormatPr baseColWidth="10" defaultRowHeight="15"/>
  <cols>
    <col min="1" max="1" width="10.42578125" style="4" customWidth="1"/>
    <col min="2" max="2" width="3.7109375" style="4" customWidth="1"/>
    <col min="3" max="3" width="13.140625" style="4" customWidth="1"/>
    <col min="4" max="4" width="13.85546875" style="4" customWidth="1"/>
    <col min="5" max="5" width="13.140625" style="4" customWidth="1"/>
    <col min="6" max="6" width="4.7109375" style="4" customWidth="1"/>
    <col min="7" max="7" width="3.7109375" style="4" customWidth="1"/>
    <col min="8" max="8" width="13.140625" style="4" customWidth="1"/>
    <col min="9" max="9" width="14.5703125" style="4" customWidth="1"/>
    <col min="10" max="10" width="13.7109375" style="4" customWidth="1"/>
    <col min="11" max="11" width="11.42578125" style="316"/>
    <col min="12" max="16384" width="11.42578125" style="4"/>
  </cols>
  <sheetData>
    <row r="1" spans="1:12" ht="12" customHeight="1">
      <c r="A1" s="434" t="s">
        <v>280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375"/>
    </row>
    <row r="2" spans="1:12" ht="12.75" customHeight="1">
      <c r="A2" s="434" t="s">
        <v>258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375"/>
    </row>
    <row r="3" spans="1:12" ht="6" customHeight="1" thickBot="1"/>
    <row r="4" spans="1:12" ht="9.75" customHeight="1">
      <c r="B4" s="442" t="s">
        <v>93</v>
      </c>
      <c r="C4" s="451"/>
      <c r="D4" s="451"/>
      <c r="E4" s="451"/>
      <c r="F4" s="451"/>
      <c r="G4" s="451"/>
      <c r="H4" s="451"/>
      <c r="I4" s="451"/>
      <c r="J4" s="452"/>
    </row>
    <row r="5" spans="1:12" ht="7.5" customHeight="1" thickBot="1">
      <c r="B5" s="453"/>
      <c r="C5" s="454"/>
      <c r="D5" s="454"/>
      <c r="E5" s="454"/>
      <c r="F5" s="454"/>
      <c r="G5" s="454"/>
      <c r="H5" s="454"/>
      <c r="I5" s="454"/>
      <c r="J5" s="455"/>
    </row>
    <row r="6" spans="1:12" ht="3.75" customHeight="1" thickBot="1">
      <c r="B6" s="126"/>
      <c r="C6" s="126"/>
      <c r="D6" s="126"/>
      <c r="E6" s="126"/>
      <c r="F6" s="126"/>
      <c r="G6" s="126"/>
      <c r="H6" s="126"/>
      <c r="I6" s="126"/>
      <c r="J6" s="126"/>
    </row>
    <row r="7" spans="1:12" ht="16.5" thickBot="1">
      <c r="B7" s="448" t="s">
        <v>19</v>
      </c>
      <c r="C7" s="449"/>
      <c r="D7" s="449"/>
      <c r="E7" s="450"/>
      <c r="F7" s="126"/>
      <c r="G7" s="448" t="s">
        <v>41</v>
      </c>
      <c r="H7" s="449"/>
      <c r="I7" s="449"/>
      <c r="J7" s="450"/>
    </row>
    <row r="8" spans="1:12" ht="30.75" thickBot="1">
      <c r="B8" s="298"/>
      <c r="C8" s="299" t="s">
        <v>254</v>
      </c>
      <c r="D8" s="299" t="s">
        <v>255</v>
      </c>
      <c r="E8" s="299" t="s">
        <v>256</v>
      </c>
      <c r="F8" s="126"/>
      <c r="G8" s="298"/>
      <c r="H8" s="299" t="s">
        <v>254</v>
      </c>
      <c r="I8" s="299" t="s">
        <v>255</v>
      </c>
      <c r="J8" s="299" t="s">
        <v>256</v>
      </c>
    </row>
    <row r="9" spans="1:12">
      <c r="B9" s="300">
        <v>0</v>
      </c>
      <c r="C9" s="301"/>
      <c r="D9" s="301"/>
      <c r="E9" s="302">
        <f>+'INVERSION INICIAL'!E8</f>
        <v>7608</v>
      </c>
      <c r="F9" s="126"/>
      <c r="G9" s="300">
        <v>0</v>
      </c>
      <c r="H9" s="301"/>
      <c r="I9" s="301"/>
      <c r="J9" s="302">
        <f>'INVERSION INICIAL'!E9</f>
        <v>10524</v>
      </c>
    </row>
    <row r="10" spans="1:12">
      <c r="B10" s="300">
        <v>1</v>
      </c>
      <c r="C10" s="303">
        <f>+$E$9/10</f>
        <v>760.8</v>
      </c>
      <c r="D10" s="304">
        <f>+C10</f>
        <v>760.8</v>
      </c>
      <c r="E10" s="304">
        <f>+$E$9-D10</f>
        <v>6847.2</v>
      </c>
      <c r="F10" s="126"/>
      <c r="G10" s="300">
        <v>1</v>
      </c>
      <c r="H10" s="303">
        <f>+$J$9/10</f>
        <v>1052.4000000000001</v>
      </c>
      <c r="I10" s="304">
        <f>+H10</f>
        <v>1052.4000000000001</v>
      </c>
      <c r="J10" s="304">
        <f>+$J$9-I10</f>
        <v>9471.6</v>
      </c>
    </row>
    <row r="11" spans="1:12">
      <c r="B11" s="300">
        <v>2</v>
      </c>
      <c r="C11" s="303">
        <f t="shared" ref="C11:C19" si="0">+$E$9/10</f>
        <v>760.8</v>
      </c>
      <c r="D11" s="304">
        <f>+D10+C11</f>
        <v>1521.6</v>
      </c>
      <c r="E11" s="304">
        <f t="shared" ref="E11:E19" si="1">+$E$9-D11</f>
        <v>6086.4</v>
      </c>
      <c r="F11" s="126"/>
      <c r="G11" s="300">
        <v>2</v>
      </c>
      <c r="H11" s="303">
        <f t="shared" ref="H11:H19" si="2">+$J$9/10</f>
        <v>1052.4000000000001</v>
      </c>
      <c r="I11" s="304">
        <f>+I10+H11</f>
        <v>2104.8000000000002</v>
      </c>
      <c r="J11" s="304">
        <f t="shared" ref="J11:J19" si="3">+$J$9-I11</f>
        <v>8419.2000000000007</v>
      </c>
    </row>
    <row r="12" spans="1:12">
      <c r="B12" s="300">
        <v>3</v>
      </c>
      <c r="C12" s="303">
        <f t="shared" si="0"/>
        <v>760.8</v>
      </c>
      <c r="D12" s="304">
        <f t="shared" ref="D12:D19" si="4">+D11+C12</f>
        <v>2282.3999999999996</v>
      </c>
      <c r="E12" s="304">
        <f t="shared" si="1"/>
        <v>5325.6</v>
      </c>
      <c r="F12" s="126"/>
      <c r="G12" s="300">
        <v>3</v>
      </c>
      <c r="H12" s="303">
        <f t="shared" si="2"/>
        <v>1052.4000000000001</v>
      </c>
      <c r="I12" s="304">
        <f t="shared" ref="I12:I19" si="5">+I11+H12</f>
        <v>3157.2000000000003</v>
      </c>
      <c r="J12" s="304">
        <f t="shared" si="3"/>
        <v>7366.7999999999993</v>
      </c>
    </row>
    <row r="13" spans="1:12">
      <c r="B13" s="300">
        <v>4</v>
      </c>
      <c r="C13" s="303">
        <f t="shared" si="0"/>
        <v>760.8</v>
      </c>
      <c r="D13" s="304">
        <f t="shared" si="4"/>
        <v>3043.2</v>
      </c>
      <c r="E13" s="304">
        <f t="shared" si="1"/>
        <v>4564.8</v>
      </c>
      <c r="F13" s="126"/>
      <c r="G13" s="300">
        <v>4</v>
      </c>
      <c r="H13" s="303">
        <f t="shared" si="2"/>
        <v>1052.4000000000001</v>
      </c>
      <c r="I13" s="304">
        <f t="shared" si="5"/>
        <v>4209.6000000000004</v>
      </c>
      <c r="J13" s="304">
        <f t="shared" si="3"/>
        <v>6314.4</v>
      </c>
    </row>
    <row r="14" spans="1:12">
      <c r="B14" s="300">
        <v>5</v>
      </c>
      <c r="C14" s="303">
        <f t="shared" si="0"/>
        <v>760.8</v>
      </c>
      <c r="D14" s="304">
        <f t="shared" si="4"/>
        <v>3804</v>
      </c>
      <c r="E14" s="304">
        <f t="shared" si="1"/>
        <v>3804</v>
      </c>
      <c r="F14" s="126"/>
      <c r="G14" s="300">
        <v>5</v>
      </c>
      <c r="H14" s="303">
        <f t="shared" si="2"/>
        <v>1052.4000000000001</v>
      </c>
      <c r="I14" s="304">
        <f t="shared" si="5"/>
        <v>5262</v>
      </c>
      <c r="J14" s="304">
        <f t="shared" si="3"/>
        <v>5262</v>
      </c>
    </row>
    <row r="15" spans="1:12">
      <c r="B15" s="300">
        <v>6</v>
      </c>
      <c r="C15" s="303">
        <f t="shared" si="0"/>
        <v>760.8</v>
      </c>
      <c r="D15" s="304">
        <f t="shared" si="4"/>
        <v>4564.8</v>
      </c>
      <c r="E15" s="304">
        <f t="shared" si="1"/>
        <v>3043.2</v>
      </c>
      <c r="F15" s="126"/>
      <c r="G15" s="300">
        <v>6</v>
      </c>
      <c r="H15" s="303">
        <f t="shared" si="2"/>
        <v>1052.4000000000001</v>
      </c>
      <c r="I15" s="304">
        <f t="shared" si="5"/>
        <v>6314.4</v>
      </c>
      <c r="J15" s="304">
        <f t="shared" si="3"/>
        <v>4209.6000000000004</v>
      </c>
    </row>
    <row r="16" spans="1:12">
      <c r="B16" s="300">
        <v>7</v>
      </c>
      <c r="C16" s="303">
        <f t="shared" si="0"/>
        <v>760.8</v>
      </c>
      <c r="D16" s="304">
        <f t="shared" si="4"/>
        <v>5325.6</v>
      </c>
      <c r="E16" s="304">
        <f t="shared" si="1"/>
        <v>2282.3999999999996</v>
      </c>
      <c r="F16" s="126"/>
      <c r="G16" s="300">
        <v>7</v>
      </c>
      <c r="H16" s="303">
        <f t="shared" si="2"/>
        <v>1052.4000000000001</v>
      </c>
      <c r="I16" s="304">
        <f t="shared" si="5"/>
        <v>7366.7999999999993</v>
      </c>
      <c r="J16" s="304">
        <f t="shared" si="3"/>
        <v>3157.2000000000007</v>
      </c>
    </row>
    <row r="17" spans="2:11">
      <c r="B17" s="300">
        <v>8</v>
      </c>
      <c r="C17" s="303">
        <f t="shared" si="0"/>
        <v>760.8</v>
      </c>
      <c r="D17" s="304">
        <f t="shared" si="4"/>
        <v>6086.4000000000005</v>
      </c>
      <c r="E17" s="304">
        <f t="shared" si="1"/>
        <v>1521.5999999999995</v>
      </c>
      <c r="F17" s="126"/>
      <c r="G17" s="300">
        <v>8</v>
      </c>
      <c r="H17" s="303">
        <f t="shared" si="2"/>
        <v>1052.4000000000001</v>
      </c>
      <c r="I17" s="304">
        <f t="shared" si="5"/>
        <v>8419.1999999999989</v>
      </c>
      <c r="J17" s="304">
        <f t="shared" si="3"/>
        <v>2104.8000000000011</v>
      </c>
    </row>
    <row r="18" spans="2:11">
      <c r="B18" s="300">
        <v>9</v>
      </c>
      <c r="C18" s="303">
        <f t="shared" si="0"/>
        <v>760.8</v>
      </c>
      <c r="D18" s="304">
        <f t="shared" si="4"/>
        <v>6847.2000000000007</v>
      </c>
      <c r="E18" s="304">
        <f t="shared" si="1"/>
        <v>760.79999999999927</v>
      </c>
      <c r="F18" s="126"/>
      <c r="G18" s="300">
        <v>9</v>
      </c>
      <c r="H18" s="303">
        <f t="shared" si="2"/>
        <v>1052.4000000000001</v>
      </c>
      <c r="I18" s="304">
        <f t="shared" si="5"/>
        <v>9471.5999999999985</v>
      </c>
      <c r="J18" s="304">
        <f t="shared" si="3"/>
        <v>1052.4000000000015</v>
      </c>
    </row>
    <row r="19" spans="2:11" ht="15.75" thickBot="1">
      <c r="B19" s="305">
        <v>10</v>
      </c>
      <c r="C19" s="306">
        <f t="shared" si="0"/>
        <v>760.8</v>
      </c>
      <c r="D19" s="307">
        <f t="shared" si="4"/>
        <v>7608.0000000000009</v>
      </c>
      <c r="E19" s="307">
        <f t="shared" si="1"/>
        <v>0</v>
      </c>
      <c r="F19" s="308">
        <f>C19/12</f>
        <v>63.4</v>
      </c>
      <c r="G19" s="305">
        <v>10</v>
      </c>
      <c r="H19" s="306">
        <f t="shared" si="2"/>
        <v>1052.4000000000001</v>
      </c>
      <c r="I19" s="307">
        <f t="shared" si="5"/>
        <v>10523.999999999998</v>
      </c>
      <c r="J19" s="307">
        <f t="shared" si="3"/>
        <v>0</v>
      </c>
      <c r="K19" s="317">
        <f>H19/12</f>
        <v>87.7</v>
      </c>
    </row>
    <row r="20" spans="2:11" ht="4.5" customHeight="1" thickBot="1">
      <c r="B20" s="126"/>
      <c r="C20" s="126"/>
      <c r="D20" s="126"/>
      <c r="E20" s="126"/>
      <c r="F20" s="126"/>
      <c r="G20" s="126"/>
      <c r="H20" s="126"/>
      <c r="I20" s="126"/>
      <c r="J20" s="126"/>
    </row>
    <row r="21" spans="2:11" ht="16.5" thickBot="1">
      <c r="B21" s="448" t="s">
        <v>21</v>
      </c>
      <c r="C21" s="449"/>
      <c r="D21" s="449"/>
      <c r="E21" s="450"/>
      <c r="F21" s="126"/>
      <c r="G21" s="448" t="s">
        <v>22</v>
      </c>
      <c r="H21" s="449"/>
      <c r="I21" s="449"/>
      <c r="J21" s="450"/>
    </row>
    <row r="22" spans="2:11" ht="30.75" thickBot="1">
      <c r="B22" s="298"/>
      <c r="C22" s="299" t="s">
        <v>254</v>
      </c>
      <c r="D22" s="299" t="s">
        <v>255</v>
      </c>
      <c r="E22" s="299" t="s">
        <v>256</v>
      </c>
      <c r="F22" s="126"/>
      <c r="G22" s="298"/>
      <c r="H22" s="299" t="s">
        <v>254</v>
      </c>
      <c r="I22" s="299" t="s">
        <v>255</v>
      </c>
      <c r="J22" s="299" t="s">
        <v>256</v>
      </c>
    </row>
    <row r="23" spans="2:11">
      <c r="B23" s="300">
        <v>0</v>
      </c>
      <c r="C23" s="301"/>
      <c r="D23" s="301"/>
      <c r="E23" s="302">
        <f>+'INVERSION INICIAL'!E10</f>
        <v>9990</v>
      </c>
      <c r="F23" s="126"/>
      <c r="G23" s="300">
        <v>0</v>
      </c>
      <c r="H23" s="301"/>
      <c r="I23" s="301"/>
      <c r="J23" s="302">
        <f>'INVERSION INICIAL'!E11</f>
        <v>2312.64</v>
      </c>
    </row>
    <row r="24" spans="2:11">
      <c r="B24" s="300">
        <v>1</v>
      </c>
      <c r="C24" s="303">
        <f>+$E$23/10</f>
        <v>999</v>
      </c>
      <c r="D24" s="304">
        <f>+C24</f>
        <v>999</v>
      </c>
      <c r="E24" s="304">
        <f>+$E$23-D24</f>
        <v>8991</v>
      </c>
      <c r="F24" s="126"/>
      <c r="G24" s="300">
        <v>1</v>
      </c>
      <c r="H24" s="303">
        <f>+$J$23/10</f>
        <v>231.26399999999998</v>
      </c>
      <c r="I24" s="304">
        <f>+H24</f>
        <v>231.26399999999998</v>
      </c>
      <c r="J24" s="304">
        <f>+$J$23-I24</f>
        <v>2081.3759999999997</v>
      </c>
    </row>
    <row r="25" spans="2:11">
      <c r="B25" s="300">
        <v>2</v>
      </c>
      <c r="C25" s="303">
        <f t="shared" ref="C25:C33" si="6">+$E$23/10</f>
        <v>999</v>
      </c>
      <c r="D25" s="304">
        <f>+D24+C25</f>
        <v>1998</v>
      </c>
      <c r="E25" s="304">
        <f t="shared" ref="E25:E33" si="7">+$E$23-D25</f>
        <v>7992</v>
      </c>
      <c r="F25" s="126"/>
      <c r="G25" s="300">
        <v>2</v>
      </c>
      <c r="H25" s="303">
        <f t="shared" ref="H25:H33" si="8">+$J$23/10</f>
        <v>231.26399999999998</v>
      </c>
      <c r="I25" s="304">
        <f>+I24+H25</f>
        <v>462.52799999999996</v>
      </c>
      <c r="J25" s="304">
        <f t="shared" ref="J25:J33" si="9">+$J$23-I25</f>
        <v>1850.1119999999999</v>
      </c>
    </row>
    <row r="26" spans="2:11">
      <c r="B26" s="300">
        <v>3</v>
      </c>
      <c r="C26" s="303">
        <f t="shared" si="6"/>
        <v>999</v>
      </c>
      <c r="D26" s="304">
        <f t="shared" ref="D26:D33" si="10">+D25+C26</f>
        <v>2997</v>
      </c>
      <c r="E26" s="304">
        <f t="shared" si="7"/>
        <v>6993</v>
      </c>
      <c r="F26" s="126"/>
      <c r="G26" s="300">
        <v>3</v>
      </c>
      <c r="H26" s="303">
        <f t="shared" si="8"/>
        <v>231.26399999999998</v>
      </c>
      <c r="I26" s="304">
        <f t="shared" ref="I26:I33" si="11">+I25+H26</f>
        <v>693.79199999999992</v>
      </c>
      <c r="J26" s="304">
        <f t="shared" si="9"/>
        <v>1618.848</v>
      </c>
    </row>
    <row r="27" spans="2:11">
      <c r="B27" s="300">
        <v>4</v>
      </c>
      <c r="C27" s="303">
        <f t="shared" si="6"/>
        <v>999</v>
      </c>
      <c r="D27" s="304">
        <f t="shared" si="10"/>
        <v>3996</v>
      </c>
      <c r="E27" s="304">
        <f t="shared" si="7"/>
        <v>5994</v>
      </c>
      <c r="F27" s="126"/>
      <c r="G27" s="300">
        <v>4</v>
      </c>
      <c r="H27" s="303">
        <f t="shared" si="8"/>
        <v>231.26399999999998</v>
      </c>
      <c r="I27" s="304">
        <f t="shared" si="11"/>
        <v>925.05599999999993</v>
      </c>
      <c r="J27" s="304">
        <f t="shared" si="9"/>
        <v>1387.5839999999998</v>
      </c>
    </row>
    <row r="28" spans="2:11">
      <c r="B28" s="300">
        <v>5</v>
      </c>
      <c r="C28" s="303">
        <f t="shared" si="6"/>
        <v>999</v>
      </c>
      <c r="D28" s="304">
        <f t="shared" si="10"/>
        <v>4995</v>
      </c>
      <c r="E28" s="304">
        <f t="shared" si="7"/>
        <v>4995</v>
      </c>
      <c r="F28" s="126"/>
      <c r="G28" s="300">
        <v>5</v>
      </c>
      <c r="H28" s="303">
        <f t="shared" si="8"/>
        <v>231.26399999999998</v>
      </c>
      <c r="I28" s="304">
        <f t="shared" si="11"/>
        <v>1156.32</v>
      </c>
      <c r="J28" s="304">
        <f t="shared" si="9"/>
        <v>1156.32</v>
      </c>
    </row>
    <row r="29" spans="2:11">
      <c r="B29" s="300">
        <v>6</v>
      </c>
      <c r="C29" s="303">
        <f t="shared" si="6"/>
        <v>999</v>
      </c>
      <c r="D29" s="304">
        <f t="shared" si="10"/>
        <v>5994</v>
      </c>
      <c r="E29" s="304">
        <f t="shared" si="7"/>
        <v>3996</v>
      </c>
      <c r="F29" s="126"/>
      <c r="G29" s="300">
        <v>6</v>
      </c>
      <c r="H29" s="303">
        <f t="shared" si="8"/>
        <v>231.26399999999998</v>
      </c>
      <c r="I29" s="304">
        <f t="shared" si="11"/>
        <v>1387.5839999999998</v>
      </c>
      <c r="J29" s="304">
        <f t="shared" si="9"/>
        <v>925.05600000000004</v>
      </c>
    </row>
    <row r="30" spans="2:11">
      <c r="B30" s="300">
        <v>7</v>
      </c>
      <c r="C30" s="303">
        <f t="shared" si="6"/>
        <v>999</v>
      </c>
      <c r="D30" s="304">
        <f t="shared" si="10"/>
        <v>6993</v>
      </c>
      <c r="E30" s="304">
        <f t="shared" si="7"/>
        <v>2997</v>
      </c>
      <c r="F30" s="126"/>
      <c r="G30" s="300">
        <v>7</v>
      </c>
      <c r="H30" s="303">
        <f t="shared" si="8"/>
        <v>231.26399999999998</v>
      </c>
      <c r="I30" s="304">
        <f t="shared" si="11"/>
        <v>1618.8479999999997</v>
      </c>
      <c r="J30" s="304">
        <f t="shared" si="9"/>
        <v>693.79200000000014</v>
      </c>
    </row>
    <row r="31" spans="2:11">
      <c r="B31" s="300">
        <v>8</v>
      </c>
      <c r="C31" s="303">
        <f t="shared" si="6"/>
        <v>999</v>
      </c>
      <c r="D31" s="304">
        <f t="shared" si="10"/>
        <v>7992</v>
      </c>
      <c r="E31" s="304">
        <f t="shared" si="7"/>
        <v>1998</v>
      </c>
      <c r="F31" s="126"/>
      <c r="G31" s="300">
        <v>8</v>
      </c>
      <c r="H31" s="303">
        <f t="shared" si="8"/>
        <v>231.26399999999998</v>
      </c>
      <c r="I31" s="304">
        <f t="shared" si="11"/>
        <v>1850.1119999999996</v>
      </c>
      <c r="J31" s="304">
        <f t="shared" si="9"/>
        <v>462.52800000000025</v>
      </c>
    </row>
    <row r="32" spans="2:11">
      <c r="B32" s="300">
        <v>9</v>
      </c>
      <c r="C32" s="303">
        <f t="shared" si="6"/>
        <v>999</v>
      </c>
      <c r="D32" s="304">
        <f t="shared" si="10"/>
        <v>8991</v>
      </c>
      <c r="E32" s="304">
        <f t="shared" si="7"/>
        <v>999</v>
      </c>
      <c r="F32" s="126"/>
      <c r="G32" s="300">
        <v>9</v>
      </c>
      <c r="H32" s="303">
        <f t="shared" si="8"/>
        <v>231.26399999999998</v>
      </c>
      <c r="I32" s="304">
        <f t="shared" si="11"/>
        <v>2081.3759999999997</v>
      </c>
      <c r="J32" s="304">
        <f t="shared" si="9"/>
        <v>231.26400000000012</v>
      </c>
    </row>
    <row r="33" spans="1:11" ht="15.75" thickBot="1">
      <c r="B33" s="305">
        <v>10</v>
      </c>
      <c r="C33" s="306">
        <f t="shared" si="6"/>
        <v>999</v>
      </c>
      <c r="D33" s="307">
        <f t="shared" si="10"/>
        <v>9990</v>
      </c>
      <c r="E33" s="307">
        <f t="shared" si="7"/>
        <v>0</v>
      </c>
      <c r="F33" s="308">
        <f>C33/12</f>
        <v>83.25</v>
      </c>
      <c r="G33" s="305">
        <v>10</v>
      </c>
      <c r="H33" s="306">
        <f t="shared" si="8"/>
        <v>231.26399999999998</v>
      </c>
      <c r="I33" s="307">
        <f t="shared" si="11"/>
        <v>2312.64</v>
      </c>
      <c r="J33" s="307">
        <f t="shared" si="9"/>
        <v>0</v>
      </c>
      <c r="K33" s="317">
        <f>H33/12</f>
        <v>19.271999999999998</v>
      </c>
    </row>
    <row r="34" spans="1:11" ht="5.25" customHeight="1" thickBot="1">
      <c r="B34" s="126"/>
      <c r="C34" s="126"/>
      <c r="D34" s="126"/>
      <c r="E34" s="126"/>
      <c r="F34" s="126"/>
      <c r="G34" s="126"/>
      <c r="H34" s="126"/>
      <c r="I34" s="126"/>
      <c r="J34" s="126"/>
    </row>
    <row r="35" spans="1:11" ht="12" customHeight="1">
      <c r="B35" s="442" t="s">
        <v>95</v>
      </c>
      <c r="C35" s="451"/>
      <c r="D35" s="451"/>
      <c r="E35" s="451"/>
      <c r="F35" s="451"/>
      <c r="G35" s="451"/>
      <c r="H35" s="451"/>
      <c r="I35" s="451"/>
      <c r="J35" s="452"/>
    </row>
    <row r="36" spans="1:11" ht="3" customHeight="1" thickBot="1">
      <c r="B36" s="453"/>
      <c r="C36" s="454"/>
      <c r="D36" s="454"/>
      <c r="E36" s="454"/>
      <c r="F36" s="454"/>
      <c r="G36" s="454"/>
      <c r="H36" s="454"/>
      <c r="I36" s="454"/>
      <c r="J36" s="455"/>
      <c r="K36" s="376"/>
    </row>
    <row r="37" spans="1:11" s="380" customFormat="1" ht="3" customHeight="1" thickBot="1">
      <c r="A37" s="37"/>
      <c r="B37" s="377"/>
      <c r="C37" s="377"/>
      <c r="D37" s="377"/>
      <c r="E37" s="377"/>
      <c r="F37" s="378"/>
      <c r="G37" s="377"/>
      <c r="H37" s="377"/>
      <c r="I37" s="377"/>
      <c r="J37" s="377"/>
      <c r="K37" s="379"/>
    </row>
    <row r="38" spans="1:11" ht="16.5" thickBot="1">
      <c r="B38" s="448" t="s">
        <v>23</v>
      </c>
      <c r="C38" s="449"/>
      <c r="D38" s="449"/>
      <c r="E38" s="450"/>
      <c r="F38" s="126"/>
      <c r="G38" s="448" t="s">
        <v>24</v>
      </c>
      <c r="H38" s="449"/>
      <c r="I38" s="449"/>
      <c r="J38" s="450"/>
    </row>
    <row r="39" spans="1:11" ht="30.75" thickBot="1">
      <c r="B39" s="298"/>
      <c r="C39" s="299" t="s">
        <v>254</v>
      </c>
      <c r="D39" s="299" t="s">
        <v>255</v>
      </c>
      <c r="E39" s="299" t="s">
        <v>256</v>
      </c>
      <c r="F39" s="126"/>
      <c r="G39" s="298"/>
      <c r="H39" s="299" t="s">
        <v>254</v>
      </c>
      <c r="I39" s="299" t="s">
        <v>255</v>
      </c>
      <c r="J39" s="299" t="s">
        <v>256</v>
      </c>
    </row>
    <row r="40" spans="1:11">
      <c r="B40" s="309">
        <v>0</v>
      </c>
      <c r="C40" s="310"/>
      <c r="D40" s="310"/>
      <c r="E40" s="311">
        <f>+'INVERSION INICIAL'!E16</f>
        <v>5600</v>
      </c>
      <c r="F40" s="126"/>
      <c r="G40" s="309">
        <v>0</v>
      </c>
      <c r="H40" s="310"/>
      <c r="I40" s="310"/>
      <c r="J40" s="311">
        <f>+'INVERSION INICIAL'!E17</f>
        <v>300</v>
      </c>
    </row>
    <row r="41" spans="1:11">
      <c r="B41" s="300">
        <v>1</v>
      </c>
      <c r="C41" s="303">
        <f>+$E$40/3</f>
        <v>1866.6666666666667</v>
      </c>
      <c r="D41" s="304">
        <f>+C41</f>
        <v>1866.6666666666667</v>
      </c>
      <c r="E41" s="304">
        <f>+$E$40-D41</f>
        <v>3733.333333333333</v>
      </c>
      <c r="F41" s="126"/>
      <c r="G41" s="300">
        <v>1</v>
      </c>
      <c r="H41" s="303">
        <f>+$J$40/3</f>
        <v>100</v>
      </c>
      <c r="I41" s="304">
        <f>+H41</f>
        <v>100</v>
      </c>
      <c r="J41" s="304">
        <f>+$J$40-I41</f>
        <v>200</v>
      </c>
    </row>
    <row r="42" spans="1:11">
      <c r="B42" s="300">
        <v>2</v>
      </c>
      <c r="C42" s="303">
        <f t="shared" ref="C42:C43" si="12">+$E$40/3</f>
        <v>1866.6666666666667</v>
      </c>
      <c r="D42" s="304">
        <f>+D41+C42</f>
        <v>3733.3333333333335</v>
      </c>
      <c r="E42" s="304">
        <f t="shared" ref="E42:E43" si="13">+$E$40-D42</f>
        <v>1866.6666666666665</v>
      </c>
      <c r="F42" s="126"/>
      <c r="G42" s="300">
        <v>2</v>
      </c>
      <c r="H42" s="303">
        <f t="shared" ref="H42:H43" si="14">+$J$40/3</f>
        <v>100</v>
      </c>
      <c r="I42" s="304">
        <f>+I41+H42</f>
        <v>200</v>
      </c>
      <c r="J42" s="304">
        <f t="shared" ref="J42:J43" si="15">+$J$40-I42</f>
        <v>100</v>
      </c>
    </row>
    <row r="43" spans="1:11" ht="15.75" thickBot="1">
      <c r="B43" s="305">
        <v>3</v>
      </c>
      <c r="C43" s="306">
        <f t="shared" si="12"/>
        <v>1866.6666666666667</v>
      </c>
      <c r="D43" s="307">
        <f>+D42+C43</f>
        <v>5600</v>
      </c>
      <c r="E43" s="307">
        <f t="shared" si="13"/>
        <v>0</v>
      </c>
      <c r="F43" s="308">
        <f>C43/12</f>
        <v>155.55555555555557</v>
      </c>
      <c r="G43" s="305">
        <v>3</v>
      </c>
      <c r="H43" s="306">
        <f t="shared" si="14"/>
        <v>100</v>
      </c>
      <c r="I43" s="307">
        <f>+I42+H43</f>
        <v>300</v>
      </c>
      <c r="J43" s="307">
        <f t="shared" si="15"/>
        <v>0</v>
      </c>
      <c r="K43" s="317">
        <f>H43/12</f>
        <v>8.3333333333333339</v>
      </c>
    </row>
    <row r="44" spans="1:11" ht="6" customHeight="1" thickBot="1">
      <c r="A44" s="26"/>
      <c r="B44" s="371"/>
      <c r="C44" s="372"/>
      <c r="D44" s="373"/>
      <c r="E44" s="373"/>
      <c r="F44" s="374"/>
      <c r="G44" s="371"/>
      <c r="H44" s="372"/>
      <c r="I44" s="373"/>
      <c r="J44" s="373"/>
      <c r="K44" s="327"/>
    </row>
    <row r="45" spans="1:11" ht="16.5" thickBot="1">
      <c r="B45" s="448" t="s">
        <v>25</v>
      </c>
      <c r="C45" s="449"/>
      <c r="D45" s="449"/>
      <c r="E45" s="450"/>
      <c r="F45" s="126"/>
      <c r="G45" s="448" t="s">
        <v>126</v>
      </c>
      <c r="H45" s="449"/>
      <c r="I45" s="449"/>
      <c r="J45" s="450"/>
    </row>
    <row r="46" spans="1:11" ht="30.75" thickBot="1">
      <c r="B46" s="298"/>
      <c r="C46" s="299" t="s">
        <v>254</v>
      </c>
      <c r="D46" s="299" t="s">
        <v>255</v>
      </c>
      <c r="E46" s="299" t="s">
        <v>256</v>
      </c>
      <c r="F46" s="126"/>
      <c r="G46" s="298"/>
      <c r="H46" s="299" t="s">
        <v>254</v>
      </c>
      <c r="I46" s="299" t="s">
        <v>255</v>
      </c>
      <c r="J46" s="299" t="s">
        <v>256</v>
      </c>
    </row>
    <row r="47" spans="1:11">
      <c r="B47" s="309">
        <v>0</v>
      </c>
      <c r="C47" s="310"/>
      <c r="D47" s="310"/>
      <c r="E47" s="311">
        <f>+'INVERSION INICIAL'!E18</f>
        <v>500</v>
      </c>
      <c r="F47" s="126"/>
      <c r="G47" s="300">
        <v>0</v>
      </c>
      <c r="H47" s="310"/>
      <c r="I47" s="310"/>
      <c r="J47" s="311">
        <f>+'INVERSION INICIAL'!E30</f>
        <v>700</v>
      </c>
    </row>
    <row r="48" spans="1:11">
      <c r="B48" s="300">
        <v>1</v>
      </c>
      <c r="C48" s="303">
        <f>+$E$47/3</f>
        <v>166.66666666666666</v>
      </c>
      <c r="D48" s="304">
        <f>+C48</f>
        <v>166.66666666666666</v>
      </c>
      <c r="E48" s="304">
        <f>+$E$47-D48</f>
        <v>333.33333333333337</v>
      </c>
      <c r="F48" s="126"/>
      <c r="G48" s="300">
        <v>1</v>
      </c>
      <c r="H48" s="303">
        <f>+$J$47/10</f>
        <v>70</v>
      </c>
      <c r="I48" s="304">
        <f>+H48+I47</f>
        <v>70</v>
      </c>
      <c r="J48" s="304">
        <f>+J47-H48</f>
        <v>630</v>
      </c>
    </row>
    <row r="49" spans="2:11">
      <c r="B49" s="300">
        <v>2</v>
      </c>
      <c r="C49" s="303">
        <f t="shared" ref="C49:C50" si="16">+$E$47/3</f>
        <v>166.66666666666666</v>
      </c>
      <c r="D49" s="304">
        <f>+D48+C49</f>
        <v>333.33333333333331</v>
      </c>
      <c r="E49" s="304">
        <f t="shared" ref="E49:E50" si="17">+$E$47-D49</f>
        <v>166.66666666666669</v>
      </c>
      <c r="F49" s="126"/>
      <c r="G49" s="300">
        <v>2</v>
      </c>
      <c r="H49" s="303">
        <f t="shared" ref="H49:H57" si="18">+$J$47/10</f>
        <v>70</v>
      </c>
      <c r="I49" s="304">
        <f t="shared" ref="I49:I57" si="19">+H49+I48</f>
        <v>140</v>
      </c>
      <c r="J49" s="304">
        <f t="shared" ref="J49:J57" si="20">+J48-H49</f>
        <v>560</v>
      </c>
    </row>
    <row r="50" spans="2:11" ht="15.75" thickBot="1">
      <c r="B50" s="305">
        <v>3</v>
      </c>
      <c r="C50" s="306">
        <f t="shared" si="16"/>
        <v>166.66666666666666</v>
      </c>
      <c r="D50" s="307">
        <f>+D49+C50</f>
        <v>500</v>
      </c>
      <c r="E50" s="307">
        <f t="shared" si="17"/>
        <v>0</v>
      </c>
      <c r="F50" s="308">
        <f>C50/12</f>
        <v>13.888888888888888</v>
      </c>
      <c r="G50" s="300">
        <v>3</v>
      </c>
      <c r="H50" s="303">
        <f t="shared" si="18"/>
        <v>70</v>
      </c>
      <c r="I50" s="304">
        <f t="shared" si="19"/>
        <v>210</v>
      </c>
      <c r="J50" s="304">
        <f t="shared" si="20"/>
        <v>490</v>
      </c>
      <c r="K50" s="318">
        <f>F43+K43+F50</f>
        <v>177.7777777777778</v>
      </c>
    </row>
    <row r="51" spans="2:11">
      <c r="B51" s="312"/>
      <c r="C51" s="313"/>
      <c r="D51" s="314"/>
      <c r="E51" s="314"/>
      <c r="F51" s="308"/>
      <c r="G51" s="300">
        <v>4</v>
      </c>
      <c r="H51" s="303">
        <f t="shared" si="18"/>
        <v>70</v>
      </c>
      <c r="I51" s="304">
        <f t="shared" si="19"/>
        <v>280</v>
      </c>
      <c r="J51" s="304">
        <f t="shared" si="20"/>
        <v>420</v>
      </c>
      <c r="K51" s="318"/>
    </row>
    <row r="52" spans="2:11">
      <c r="B52" s="312"/>
      <c r="C52" s="313"/>
      <c r="D52" s="314"/>
      <c r="E52" s="314"/>
      <c r="F52" s="308"/>
      <c r="G52" s="300">
        <v>5</v>
      </c>
      <c r="H52" s="303">
        <f t="shared" si="18"/>
        <v>70</v>
      </c>
      <c r="I52" s="304">
        <f t="shared" si="19"/>
        <v>350</v>
      </c>
      <c r="J52" s="304">
        <f t="shared" si="20"/>
        <v>350</v>
      </c>
      <c r="K52" s="318"/>
    </row>
    <row r="53" spans="2:11">
      <c r="B53" s="312"/>
      <c r="C53" s="313"/>
      <c r="D53" s="314"/>
      <c r="E53" s="314"/>
      <c r="F53" s="308"/>
      <c r="G53" s="300">
        <v>6</v>
      </c>
      <c r="H53" s="303">
        <f t="shared" si="18"/>
        <v>70</v>
      </c>
      <c r="I53" s="304">
        <f t="shared" si="19"/>
        <v>420</v>
      </c>
      <c r="J53" s="304">
        <f t="shared" si="20"/>
        <v>280</v>
      </c>
      <c r="K53" s="318"/>
    </row>
    <row r="54" spans="2:11">
      <c r="B54" s="312"/>
      <c r="C54" s="313"/>
      <c r="D54" s="314"/>
      <c r="E54" s="314"/>
      <c r="F54" s="308"/>
      <c r="G54" s="300">
        <v>7</v>
      </c>
      <c r="H54" s="303">
        <f t="shared" si="18"/>
        <v>70</v>
      </c>
      <c r="I54" s="304">
        <f t="shared" si="19"/>
        <v>490</v>
      </c>
      <c r="J54" s="304">
        <f t="shared" si="20"/>
        <v>210</v>
      </c>
      <c r="K54" s="318"/>
    </row>
    <row r="55" spans="2:11">
      <c r="B55" s="312"/>
      <c r="C55" s="313"/>
      <c r="D55" s="314"/>
      <c r="E55" s="314"/>
      <c r="F55" s="308"/>
      <c r="G55" s="300">
        <v>8</v>
      </c>
      <c r="H55" s="303">
        <f t="shared" si="18"/>
        <v>70</v>
      </c>
      <c r="I55" s="304">
        <f t="shared" si="19"/>
        <v>560</v>
      </c>
      <c r="J55" s="304">
        <f t="shared" si="20"/>
        <v>140</v>
      </c>
      <c r="K55" s="318"/>
    </row>
    <row r="56" spans="2:11">
      <c r="B56" s="126"/>
      <c r="C56" s="126"/>
      <c r="D56" s="126"/>
      <c r="E56" s="126"/>
      <c r="F56" s="126"/>
      <c r="G56" s="300">
        <v>9</v>
      </c>
      <c r="H56" s="303">
        <f t="shared" si="18"/>
        <v>70</v>
      </c>
      <c r="I56" s="304">
        <f t="shared" si="19"/>
        <v>630</v>
      </c>
      <c r="J56" s="304">
        <f t="shared" si="20"/>
        <v>70</v>
      </c>
    </row>
    <row r="57" spans="2:11" ht="15.75" thickBot="1">
      <c r="B57" s="126"/>
      <c r="C57" s="126"/>
      <c r="D57" s="126"/>
      <c r="E57" s="126"/>
      <c r="F57" s="126"/>
      <c r="G57" s="305">
        <v>10</v>
      </c>
      <c r="H57" s="306">
        <f t="shared" si="18"/>
        <v>70</v>
      </c>
      <c r="I57" s="307">
        <f t="shared" si="19"/>
        <v>700</v>
      </c>
      <c r="J57" s="307">
        <f t="shared" si="20"/>
        <v>0</v>
      </c>
    </row>
    <row r="58" spans="2:11" ht="8.25" customHeight="1" thickBot="1">
      <c r="B58" s="126"/>
      <c r="C58" s="126"/>
      <c r="D58" s="126"/>
      <c r="E58" s="126"/>
      <c r="F58" s="126"/>
      <c r="G58" s="315"/>
      <c r="H58" s="126"/>
      <c r="I58" s="126"/>
      <c r="J58" s="126"/>
    </row>
    <row r="59" spans="2:11" ht="10.5" customHeight="1">
      <c r="B59" s="442" t="s">
        <v>94</v>
      </c>
      <c r="C59" s="443"/>
      <c r="D59" s="443"/>
      <c r="E59" s="443"/>
      <c r="F59" s="443"/>
      <c r="G59" s="443"/>
      <c r="H59" s="443"/>
      <c r="I59" s="443"/>
      <c r="J59" s="444"/>
    </row>
    <row r="60" spans="2:11" ht="8.25" customHeight="1" thickBot="1">
      <c r="B60" s="445"/>
      <c r="C60" s="446"/>
      <c r="D60" s="446"/>
      <c r="E60" s="446"/>
      <c r="F60" s="446"/>
      <c r="G60" s="446"/>
      <c r="H60" s="446"/>
      <c r="I60" s="446"/>
      <c r="J60" s="447"/>
    </row>
    <row r="61" spans="2:11" ht="5.25" customHeight="1" thickBot="1">
      <c r="B61" s="126"/>
      <c r="C61" s="126"/>
      <c r="D61" s="126"/>
      <c r="E61" s="126"/>
      <c r="F61" s="126"/>
      <c r="G61" s="126"/>
      <c r="H61" s="126"/>
      <c r="I61" s="126"/>
      <c r="J61" s="126"/>
    </row>
    <row r="62" spans="2:11" ht="16.5" thickBot="1">
      <c r="B62" s="448" t="s">
        <v>100</v>
      </c>
      <c r="C62" s="449"/>
      <c r="D62" s="449"/>
      <c r="E62" s="450"/>
      <c r="F62" s="126"/>
      <c r="G62" s="126"/>
      <c r="H62" s="126"/>
      <c r="I62" s="126"/>
      <c r="J62" s="126"/>
    </row>
    <row r="63" spans="2:11" ht="30.75" thickBot="1">
      <c r="B63" s="298"/>
      <c r="C63" s="299" t="s">
        <v>254</v>
      </c>
      <c r="D63" s="299" t="s">
        <v>255</v>
      </c>
      <c r="E63" s="299" t="s">
        <v>256</v>
      </c>
      <c r="F63" s="126"/>
      <c r="G63" s="126"/>
      <c r="H63" s="126"/>
      <c r="I63" s="126"/>
      <c r="J63" s="126"/>
    </row>
    <row r="64" spans="2:11">
      <c r="B64" s="300">
        <v>0</v>
      </c>
      <c r="C64" s="301"/>
      <c r="D64" s="301"/>
      <c r="E64" s="302">
        <f>+'INVERSION INICIAL'!E31</f>
        <v>5434</v>
      </c>
      <c r="F64" s="126"/>
      <c r="G64" s="126"/>
      <c r="H64" s="126"/>
      <c r="I64" s="126"/>
      <c r="J64" s="126"/>
    </row>
    <row r="65" spans="2:10">
      <c r="B65" s="300">
        <v>1</v>
      </c>
      <c r="C65" s="303">
        <f>+$E$64/10</f>
        <v>543.4</v>
      </c>
      <c r="D65" s="304">
        <f>+C65</f>
        <v>543.4</v>
      </c>
      <c r="E65" s="304">
        <f>+$E$64-D65</f>
        <v>4890.6000000000004</v>
      </c>
      <c r="F65" s="126"/>
      <c r="G65" s="126"/>
      <c r="H65" s="126"/>
      <c r="I65" s="126"/>
      <c r="J65" s="126"/>
    </row>
    <row r="66" spans="2:10">
      <c r="B66" s="300">
        <v>2</v>
      </c>
      <c r="C66" s="303">
        <f t="shared" ref="C66:C74" si="21">+$E$64/10</f>
        <v>543.4</v>
      </c>
      <c r="D66" s="304">
        <f>+D65+C66</f>
        <v>1086.8</v>
      </c>
      <c r="E66" s="304">
        <f t="shared" ref="E66:E74" si="22">+$E$64-D66</f>
        <v>4347.2</v>
      </c>
      <c r="F66" s="126"/>
      <c r="G66" s="126"/>
      <c r="H66" s="126"/>
      <c r="I66" s="126"/>
      <c r="J66" s="126"/>
    </row>
    <row r="67" spans="2:10">
      <c r="B67" s="300">
        <v>3</v>
      </c>
      <c r="C67" s="303">
        <f t="shared" si="21"/>
        <v>543.4</v>
      </c>
      <c r="D67" s="304">
        <f t="shared" ref="D67:D74" si="23">+D66+C67</f>
        <v>1630.1999999999998</v>
      </c>
      <c r="E67" s="304">
        <f t="shared" si="22"/>
        <v>3803.8</v>
      </c>
      <c r="F67" s="126"/>
      <c r="G67" s="126"/>
      <c r="H67" s="297"/>
      <c r="I67" s="308"/>
      <c r="J67" s="126"/>
    </row>
    <row r="68" spans="2:10">
      <c r="B68" s="300">
        <v>4</v>
      </c>
      <c r="C68" s="303">
        <f t="shared" si="21"/>
        <v>543.4</v>
      </c>
      <c r="D68" s="304">
        <f t="shared" si="23"/>
        <v>2173.6</v>
      </c>
      <c r="E68" s="304">
        <f t="shared" si="22"/>
        <v>3260.4</v>
      </c>
      <c r="F68" s="126"/>
      <c r="G68" s="126"/>
      <c r="H68" s="297"/>
      <c r="I68" s="308"/>
      <c r="J68" s="126"/>
    </row>
    <row r="69" spans="2:10">
      <c r="B69" s="300">
        <v>5</v>
      </c>
      <c r="C69" s="303">
        <f t="shared" si="21"/>
        <v>543.4</v>
      </c>
      <c r="D69" s="304">
        <f t="shared" si="23"/>
        <v>2717</v>
      </c>
      <c r="E69" s="304">
        <f t="shared" si="22"/>
        <v>2717</v>
      </c>
      <c r="F69" s="126"/>
      <c r="G69" s="126"/>
      <c r="H69" s="126"/>
      <c r="I69" s="126"/>
      <c r="J69" s="126"/>
    </row>
    <row r="70" spans="2:10">
      <c r="B70" s="300">
        <v>6</v>
      </c>
      <c r="C70" s="303">
        <f t="shared" si="21"/>
        <v>543.4</v>
      </c>
      <c r="D70" s="304">
        <f t="shared" si="23"/>
        <v>3260.4</v>
      </c>
      <c r="E70" s="304">
        <f t="shared" si="22"/>
        <v>2173.6</v>
      </c>
      <c r="F70" s="126"/>
      <c r="G70" s="126"/>
      <c r="H70" s="126"/>
      <c r="I70" s="126"/>
      <c r="J70" s="126"/>
    </row>
    <row r="71" spans="2:10">
      <c r="B71" s="300">
        <v>7</v>
      </c>
      <c r="C71" s="303">
        <f t="shared" si="21"/>
        <v>543.4</v>
      </c>
      <c r="D71" s="304">
        <f t="shared" si="23"/>
        <v>3803.8</v>
      </c>
      <c r="E71" s="304">
        <f t="shared" si="22"/>
        <v>1630.1999999999998</v>
      </c>
      <c r="F71" s="126"/>
      <c r="G71" s="126"/>
      <c r="H71" s="126"/>
      <c r="I71" s="126"/>
      <c r="J71" s="126"/>
    </row>
    <row r="72" spans="2:10">
      <c r="B72" s="300">
        <v>8</v>
      </c>
      <c r="C72" s="303">
        <f t="shared" si="21"/>
        <v>543.4</v>
      </c>
      <c r="D72" s="304">
        <f t="shared" si="23"/>
        <v>4347.2</v>
      </c>
      <c r="E72" s="304">
        <f t="shared" si="22"/>
        <v>1086.8000000000002</v>
      </c>
      <c r="F72" s="126"/>
      <c r="G72" s="126"/>
      <c r="H72" s="126"/>
      <c r="I72" s="126"/>
      <c r="J72" s="126"/>
    </row>
    <row r="73" spans="2:10">
      <c r="B73" s="300">
        <v>9</v>
      </c>
      <c r="C73" s="303">
        <f t="shared" si="21"/>
        <v>543.4</v>
      </c>
      <c r="D73" s="304">
        <f t="shared" si="23"/>
        <v>4890.5999999999995</v>
      </c>
      <c r="E73" s="304">
        <f t="shared" si="22"/>
        <v>543.40000000000055</v>
      </c>
      <c r="F73" s="126"/>
      <c r="G73" s="126"/>
      <c r="H73" s="126"/>
      <c r="I73" s="126"/>
      <c r="J73" s="126"/>
    </row>
    <row r="74" spans="2:10" ht="15.75" thickBot="1">
      <c r="B74" s="305">
        <v>10</v>
      </c>
      <c r="C74" s="306">
        <f t="shared" si="21"/>
        <v>543.4</v>
      </c>
      <c r="D74" s="307">
        <f t="shared" si="23"/>
        <v>5433.9999999999991</v>
      </c>
      <c r="E74" s="307">
        <f t="shared" si="22"/>
        <v>0</v>
      </c>
      <c r="F74" s="308"/>
      <c r="G74" s="126"/>
      <c r="H74" s="126"/>
      <c r="I74" s="126"/>
      <c r="J74" s="126"/>
    </row>
    <row r="75" spans="2:10">
      <c r="B75" s="468" t="s">
        <v>257</v>
      </c>
      <c r="C75" s="468"/>
      <c r="D75" s="468"/>
      <c r="E75" s="468"/>
    </row>
    <row r="78" spans="2:10" ht="15.75" hidden="1" thickBot="1"/>
    <row r="79" spans="2:10" ht="15.75" hidden="1" thickBot="1">
      <c r="F79" s="319" t="s">
        <v>16</v>
      </c>
      <c r="G79" s="320" t="s">
        <v>117</v>
      </c>
    </row>
    <row r="80" spans="2:10" ht="15.75" hidden="1">
      <c r="C80" s="465" t="str">
        <f>B7</f>
        <v>Maquinaria Seguimiento Ocular</v>
      </c>
      <c r="D80" s="466"/>
      <c r="E80" s="467"/>
      <c r="F80" s="321">
        <f>C10</f>
        <v>760.8</v>
      </c>
      <c r="G80" s="322">
        <f>F80/12</f>
        <v>63.4</v>
      </c>
    </row>
    <row r="81" spans="3:7" ht="15.75" hidden="1">
      <c r="C81" s="462" t="str">
        <f>+G7</f>
        <v xml:space="preserve">Maquinaria Electromiografía </v>
      </c>
      <c r="D81" s="463"/>
      <c r="E81" s="464"/>
      <c r="F81" s="323">
        <f>+H10</f>
        <v>1052.4000000000001</v>
      </c>
      <c r="G81" s="324">
        <f t="shared" ref="G81:G87" si="24">F81/12</f>
        <v>87.7</v>
      </c>
    </row>
    <row r="82" spans="3:7" ht="15.75" hidden="1">
      <c r="C82" s="462" t="str">
        <f>+B21</f>
        <v>Tecnología Polígrafo</v>
      </c>
      <c r="D82" s="463"/>
      <c r="E82" s="464"/>
      <c r="F82" s="323">
        <f>+C24</f>
        <v>999</v>
      </c>
      <c r="G82" s="324">
        <f t="shared" si="24"/>
        <v>83.25</v>
      </c>
    </row>
    <row r="83" spans="3:7" ht="15.75" hidden="1">
      <c r="C83" s="462" t="str">
        <f>+G21</f>
        <v>Neurobit Lite Set</v>
      </c>
      <c r="D83" s="463"/>
      <c r="E83" s="464"/>
      <c r="F83" s="323">
        <f>+H24</f>
        <v>231.26399999999998</v>
      </c>
      <c r="G83" s="324">
        <f t="shared" si="24"/>
        <v>19.271999999999998</v>
      </c>
    </row>
    <row r="84" spans="3:7" ht="15.75" hidden="1">
      <c r="C84" s="462" t="str">
        <f>+B38</f>
        <v>Computadoras de Escritorio</v>
      </c>
      <c r="D84" s="463"/>
      <c r="E84" s="464"/>
      <c r="F84" s="323">
        <f>+C41</f>
        <v>1866.6666666666667</v>
      </c>
      <c r="G84" s="324">
        <f t="shared" si="24"/>
        <v>155.55555555555557</v>
      </c>
    </row>
    <row r="85" spans="3:7" ht="15.75" hidden="1">
      <c r="C85" s="462" t="str">
        <f>+G38</f>
        <v>Impresora Multifuncional</v>
      </c>
      <c r="D85" s="463"/>
      <c r="E85" s="464"/>
      <c r="F85" s="323">
        <f>+H41</f>
        <v>100</v>
      </c>
      <c r="G85" s="324">
        <f t="shared" si="24"/>
        <v>8.3333333333333339</v>
      </c>
    </row>
    <row r="86" spans="3:7" ht="16.5" hidden="1" thickBot="1">
      <c r="C86" s="456" t="str">
        <f>+B62</f>
        <v>Muebles de Oficina</v>
      </c>
      <c r="D86" s="457"/>
      <c r="E86" s="458"/>
      <c r="F86" s="323">
        <f>+C65</f>
        <v>543.4</v>
      </c>
      <c r="G86" s="324">
        <f t="shared" si="24"/>
        <v>45.283333333333331</v>
      </c>
    </row>
    <row r="87" spans="3:7" ht="16.5" hidden="1" thickBot="1">
      <c r="C87" s="459" t="str">
        <f>+'INVERSION INICIAL'!C30</f>
        <v>Proyector</v>
      </c>
      <c r="D87" s="460"/>
      <c r="E87" s="461"/>
      <c r="F87" s="325">
        <f>+H48</f>
        <v>70</v>
      </c>
      <c r="G87" s="324">
        <f t="shared" si="24"/>
        <v>5.833333333333333</v>
      </c>
    </row>
    <row r="88" spans="3:7" ht="15.75" hidden="1" thickBot="1">
      <c r="F88" s="326">
        <f>+SUM(F80:F87)</f>
        <v>5623.5306666666665</v>
      </c>
      <c r="G88" s="326">
        <f>+SUM(G80:G87)</f>
        <v>468.62755555555549</v>
      </c>
    </row>
    <row r="89" spans="3:7" hidden="1"/>
  </sheetData>
  <mergeCells count="23">
    <mergeCell ref="A1:K1"/>
    <mergeCell ref="A2:K2"/>
    <mergeCell ref="C86:E86"/>
    <mergeCell ref="C87:E87"/>
    <mergeCell ref="C81:E81"/>
    <mergeCell ref="C82:E82"/>
    <mergeCell ref="C83:E83"/>
    <mergeCell ref="C84:E84"/>
    <mergeCell ref="C85:E85"/>
    <mergeCell ref="C80:E80"/>
    <mergeCell ref="B7:E7"/>
    <mergeCell ref="G7:J7"/>
    <mergeCell ref="B21:E21"/>
    <mergeCell ref="G21:J21"/>
    <mergeCell ref="B75:E75"/>
    <mergeCell ref="B4:J5"/>
    <mergeCell ref="B59:J60"/>
    <mergeCell ref="B62:E62"/>
    <mergeCell ref="B35:J36"/>
    <mergeCell ref="B38:E38"/>
    <mergeCell ref="G38:J38"/>
    <mergeCell ref="B45:E45"/>
    <mergeCell ref="G45:J45"/>
  </mergeCells>
  <pageMargins left="1.5748031496062993" right="0.98425196850393704" top="1.3779527559055118" bottom="1.3779527559055118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I18"/>
  <sheetViews>
    <sheetView workbookViewId="0">
      <selection activeCell="H2" sqref="H2"/>
    </sheetView>
  </sheetViews>
  <sheetFormatPr baseColWidth="10" defaultRowHeight="14.25"/>
  <cols>
    <col min="1" max="1" width="33" style="126" customWidth="1"/>
    <col min="2" max="2" width="13.7109375" style="126" customWidth="1"/>
    <col min="3" max="3" width="14.5703125" style="126" customWidth="1"/>
    <col min="4" max="4" width="11.140625" style="126" customWidth="1"/>
    <col min="5" max="5" width="11.85546875" style="126" customWidth="1"/>
    <col min="6" max="6" width="6.7109375" style="126" customWidth="1"/>
    <col min="7" max="7" width="12.28515625" style="126" customWidth="1"/>
    <col min="8" max="8" width="12.42578125" style="126" customWidth="1"/>
    <col min="9" max="16384" width="11.42578125" style="126"/>
  </cols>
  <sheetData>
    <row r="4" spans="1:9">
      <c r="A4" s="434" t="s">
        <v>281</v>
      </c>
      <c r="B4" s="434"/>
      <c r="C4" s="434"/>
      <c r="D4" s="434"/>
      <c r="E4" s="434"/>
      <c r="F4" s="434"/>
      <c r="G4" s="434"/>
      <c r="H4" s="434"/>
    </row>
    <row r="5" spans="1:9">
      <c r="A5" s="434" t="s">
        <v>252</v>
      </c>
      <c r="B5" s="434"/>
      <c r="C5" s="434"/>
      <c r="D5" s="434"/>
      <c r="E5" s="434"/>
      <c r="F5" s="434"/>
      <c r="G5" s="434"/>
      <c r="H5" s="434"/>
    </row>
    <row r="6" spans="1:9" ht="15" thickBot="1"/>
    <row r="7" spans="1:9">
      <c r="A7" s="470" t="s">
        <v>118</v>
      </c>
      <c r="B7" s="472" t="s">
        <v>121</v>
      </c>
      <c r="C7" s="476" t="s">
        <v>120</v>
      </c>
      <c r="D7" s="474" t="s">
        <v>119</v>
      </c>
      <c r="E7" s="474" t="s">
        <v>251</v>
      </c>
      <c r="F7" s="474" t="s">
        <v>250</v>
      </c>
      <c r="G7" s="481" t="s">
        <v>249</v>
      </c>
      <c r="H7" s="478" t="s">
        <v>122</v>
      </c>
    </row>
    <row r="8" spans="1:9" ht="35.25" customHeight="1">
      <c r="A8" s="471"/>
      <c r="B8" s="473"/>
      <c r="C8" s="477"/>
      <c r="D8" s="475"/>
      <c r="E8" s="475"/>
      <c r="F8" s="475"/>
      <c r="G8" s="482"/>
      <c r="H8" s="479"/>
    </row>
    <row r="9" spans="1:9" ht="30">
      <c r="A9" s="286" t="str">
        <f>DEPRECIACIONES!C80</f>
        <v>Maquinaria Seguimiento Ocular</v>
      </c>
      <c r="B9" s="287">
        <f>'INVERSION INICIAL'!E8</f>
        <v>7608</v>
      </c>
      <c r="C9" s="287">
        <v>0</v>
      </c>
      <c r="D9" s="288">
        <v>10</v>
      </c>
      <c r="E9" s="289">
        <f>+DEPRECIACIONES!F80</f>
        <v>760.8</v>
      </c>
      <c r="F9" s="290">
        <v>5</v>
      </c>
      <c r="G9" s="291">
        <f>F9*E9</f>
        <v>3804</v>
      </c>
      <c r="H9" s="291">
        <f>B9-G9</f>
        <v>3804</v>
      </c>
    </row>
    <row r="10" spans="1:9" ht="15">
      <c r="A10" s="286" t="str">
        <f>DEPRECIACIONES!C81</f>
        <v xml:space="preserve">Maquinaria Electromiografía </v>
      </c>
      <c r="B10" s="287">
        <f>'INVERSION INICIAL'!E9</f>
        <v>10524</v>
      </c>
      <c r="C10" s="287">
        <v>0</v>
      </c>
      <c r="D10" s="288">
        <v>10</v>
      </c>
      <c r="E10" s="289">
        <f>+DEPRECIACIONES!F81</f>
        <v>1052.4000000000001</v>
      </c>
      <c r="F10" s="290">
        <v>5</v>
      </c>
      <c r="G10" s="291">
        <f t="shared" ref="G10:G16" si="0">E10*F10</f>
        <v>5262</v>
      </c>
      <c r="H10" s="291">
        <f t="shared" ref="H10:H16" si="1">B10-G10</f>
        <v>5262</v>
      </c>
    </row>
    <row r="11" spans="1:9" ht="15">
      <c r="A11" s="286" t="str">
        <f>DEPRECIACIONES!C82</f>
        <v>Tecnología Polígrafo</v>
      </c>
      <c r="B11" s="287">
        <f>'INVERSION INICIAL'!E10</f>
        <v>9990</v>
      </c>
      <c r="C11" s="287">
        <v>0</v>
      </c>
      <c r="D11" s="288">
        <v>10</v>
      </c>
      <c r="E11" s="289">
        <f>+DEPRECIACIONES!F82</f>
        <v>999</v>
      </c>
      <c r="F11" s="290">
        <v>5</v>
      </c>
      <c r="G11" s="291">
        <f t="shared" si="0"/>
        <v>4995</v>
      </c>
      <c r="H11" s="291">
        <f t="shared" si="1"/>
        <v>4995</v>
      </c>
    </row>
    <row r="12" spans="1:9" ht="15">
      <c r="A12" s="286" t="str">
        <f>DEPRECIACIONES!C83</f>
        <v>Neurobit Lite Set</v>
      </c>
      <c r="B12" s="287">
        <f>'INVERSION INICIAL'!E11</f>
        <v>2312.64</v>
      </c>
      <c r="C12" s="287">
        <v>0</v>
      </c>
      <c r="D12" s="288">
        <v>10</v>
      </c>
      <c r="E12" s="289">
        <f>+DEPRECIACIONES!F83</f>
        <v>231.26399999999998</v>
      </c>
      <c r="F12" s="290">
        <v>5</v>
      </c>
      <c r="G12" s="291">
        <f t="shared" si="0"/>
        <v>1156.32</v>
      </c>
      <c r="H12" s="291">
        <f t="shared" si="1"/>
        <v>1156.32</v>
      </c>
    </row>
    <row r="13" spans="1:9" ht="15">
      <c r="A13" s="286" t="str">
        <f>DEPRECIACIONES!C84</f>
        <v>Computadoras de Escritorio</v>
      </c>
      <c r="B13" s="292">
        <f>+'INVERSION INICIAL'!E16</f>
        <v>5600</v>
      </c>
      <c r="C13" s="292">
        <v>5600</v>
      </c>
      <c r="D13" s="288">
        <v>3</v>
      </c>
      <c r="E13" s="289">
        <f>+DEPRECIACIONES!F84</f>
        <v>1866.6666666666667</v>
      </c>
      <c r="F13" s="290">
        <v>5</v>
      </c>
      <c r="G13" s="291">
        <f t="shared" si="0"/>
        <v>9333.3333333333339</v>
      </c>
      <c r="H13" s="291">
        <f>B13+C13-G13</f>
        <v>1866.6666666666661</v>
      </c>
    </row>
    <row r="14" spans="1:9" ht="15">
      <c r="A14" s="286" t="str">
        <f>DEPRECIACIONES!C85</f>
        <v>Impresora Multifuncional</v>
      </c>
      <c r="B14" s="292">
        <f>+'INVERSION INICIAL'!E17</f>
        <v>300</v>
      </c>
      <c r="C14" s="292">
        <v>600</v>
      </c>
      <c r="D14" s="288">
        <v>3</v>
      </c>
      <c r="E14" s="289">
        <f>+DEPRECIACIONES!F85</f>
        <v>100</v>
      </c>
      <c r="F14" s="290">
        <v>5</v>
      </c>
      <c r="G14" s="291">
        <f t="shared" si="0"/>
        <v>500</v>
      </c>
      <c r="H14" s="291">
        <f>B14+C14-G14</f>
        <v>400</v>
      </c>
    </row>
    <row r="15" spans="1:9" ht="15">
      <c r="A15" s="286" t="str">
        <f>DEPRECIACIONES!C86</f>
        <v>Muebles de Oficina</v>
      </c>
      <c r="B15" s="292">
        <f>+'INVERSION INICIAL'!E31</f>
        <v>5434</v>
      </c>
      <c r="C15" s="292">
        <v>0</v>
      </c>
      <c r="D15" s="288">
        <v>10</v>
      </c>
      <c r="E15" s="289">
        <f>+DEPRECIACIONES!F86</f>
        <v>543.4</v>
      </c>
      <c r="F15" s="290">
        <v>5</v>
      </c>
      <c r="G15" s="291">
        <f t="shared" si="0"/>
        <v>2717</v>
      </c>
      <c r="H15" s="291">
        <f t="shared" si="1"/>
        <v>2717</v>
      </c>
    </row>
    <row r="16" spans="1:9" ht="15">
      <c r="A16" s="286" t="str">
        <f>DEPRECIACIONES!C87</f>
        <v>Proyector</v>
      </c>
      <c r="B16" s="292">
        <f>+'INVERSION INICIAL'!D30</f>
        <v>700</v>
      </c>
      <c r="C16" s="292">
        <v>0</v>
      </c>
      <c r="D16" s="288">
        <v>10</v>
      </c>
      <c r="E16" s="289">
        <f>+DEPRECIACIONES!F87</f>
        <v>70</v>
      </c>
      <c r="F16" s="290">
        <v>5</v>
      </c>
      <c r="G16" s="291">
        <f t="shared" si="0"/>
        <v>350</v>
      </c>
      <c r="H16" s="291">
        <f t="shared" si="1"/>
        <v>350</v>
      </c>
      <c r="I16" s="146"/>
    </row>
    <row r="17" spans="1:8" ht="15.75" thickBot="1">
      <c r="A17" s="138"/>
      <c r="B17" s="480"/>
      <c r="C17" s="480"/>
      <c r="D17" s="480"/>
      <c r="E17" s="293"/>
      <c r="F17" s="146"/>
      <c r="G17" s="294">
        <f>+SUM(G9:G16)</f>
        <v>28117.653333333335</v>
      </c>
      <c r="H17" s="295">
        <f>SUM(H9:H16)</f>
        <v>20550.986666666664</v>
      </c>
    </row>
    <row r="18" spans="1:8" ht="15">
      <c r="A18" s="296" t="s">
        <v>253</v>
      </c>
      <c r="B18" s="469"/>
      <c r="C18" s="469"/>
      <c r="D18" s="469"/>
      <c r="E18" s="293"/>
      <c r="F18" s="146"/>
      <c r="G18" s="146"/>
      <c r="H18" s="146"/>
    </row>
  </sheetData>
  <mergeCells count="12">
    <mergeCell ref="A5:H5"/>
    <mergeCell ref="A4:H4"/>
    <mergeCell ref="C7:C8"/>
    <mergeCell ref="H7:H8"/>
    <mergeCell ref="B17:D17"/>
    <mergeCell ref="F7:F8"/>
    <mergeCell ref="G7:G8"/>
    <mergeCell ref="B18:D18"/>
    <mergeCell ref="A7:A8"/>
    <mergeCell ref="B7:B8"/>
    <mergeCell ref="D7:D8"/>
    <mergeCell ref="E7:E8"/>
  </mergeCells>
  <pageMargins left="1.5748031496062993" right="0.98425196850393704" top="1.3779527559055118" bottom="1.3779527559055118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7:K30"/>
  <sheetViews>
    <sheetView topLeftCell="A10" workbookViewId="0">
      <selection activeCell="A8" sqref="A8:K8"/>
    </sheetView>
  </sheetViews>
  <sheetFormatPr baseColWidth="10" defaultRowHeight="14.25"/>
  <cols>
    <col min="1" max="1" width="12" style="126" customWidth="1"/>
    <col min="2" max="2" width="8.42578125" style="262" customWidth="1"/>
    <col min="3" max="3" width="42.28515625" style="126" customWidth="1"/>
    <col min="4" max="4" width="12.85546875" style="262" customWidth="1"/>
    <col min="5" max="5" width="12" style="262" customWidth="1"/>
    <col min="6" max="6" width="9.42578125" style="262" customWidth="1"/>
    <col min="7" max="7" width="9.140625" style="262" customWidth="1"/>
    <col min="8" max="8" width="12.140625" style="262" customWidth="1"/>
    <col min="9" max="9" width="13" style="126" bestFit="1" customWidth="1"/>
    <col min="10" max="10" width="14.28515625" style="126" bestFit="1" customWidth="1"/>
    <col min="11" max="16384" width="11.42578125" style="126"/>
  </cols>
  <sheetData>
    <row r="7" spans="1:11">
      <c r="A7" s="434" t="s">
        <v>282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</row>
    <row r="8" spans="1:11">
      <c r="A8" s="434" t="s">
        <v>247</v>
      </c>
      <c r="B8" s="434"/>
      <c r="C8" s="434"/>
      <c r="D8" s="434"/>
      <c r="E8" s="434"/>
      <c r="F8" s="434"/>
      <c r="G8" s="434"/>
      <c r="H8" s="434"/>
      <c r="I8" s="434"/>
      <c r="J8" s="434"/>
      <c r="K8" s="434"/>
    </row>
    <row r="9" spans="1:11" ht="15" customHeight="1" thickBot="1">
      <c r="C9" s="146"/>
    </row>
    <row r="10" spans="1:11" ht="15" customHeight="1">
      <c r="B10" s="136"/>
      <c r="C10" s="485"/>
      <c r="D10" s="483" t="s">
        <v>13</v>
      </c>
      <c r="E10" s="483" t="s">
        <v>115</v>
      </c>
      <c r="F10" s="483" t="s">
        <v>10</v>
      </c>
      <c r="G10" s="483" t="s">
        <v>11</v>
      </c>
      <c r="H10" s="483" t="s">
        <v>12</v>
      </c>
      <c r="I10" s="483" t="s">
        <v>69</v>
      </c>
      <c r="J10" s="483" t="s">
        <v>9</v>
      </c>
    </row>
    <row r="11" spans="1:11" ht="48" customHeight="1" thickBot="1">
      <c r="B11" s="136"/>
      <c r="C11" s="486"/>
      <c r="D11" s="484"/>
      <c r="E11" s="484"/>
      <c r="F11" s="484"/>
      <c r="G11" s="484"/>
      <c r="H11" s="484" t="s">
        <v>9</v>
      </c>
      <c r="I11" s="484" t="s">
        <v>9</v>
      </c>
      <c r="J11" s="484"/>
    </row>
    <row r="12" spans="1:11">
      <c r="B12" s="383">
        <v>1</v>
      </c>
      <c r="C12" s="263" t="s">
        <v>1</v>
      </c>
      <c r="D12" s="264">
        <v>700</v>
      </c>
      <c r="E12" s="264">
        <f>+D12*0.1115</f>
        <v>78.05</v>
      </c>
      <c r="F12" s="264">
        <f>+D12/12</f>
        <v>58.333333333333336</v>
      </c>
      <c r="G12" s="264">
        <f>+F12</f>
        <v>58.333333333333336</v>
      </c>
      <c r="H12" s="264">
        <f>SUM(D12:G12)</f>
        <v>894.7166666666667</v>
      </c>
      <c r="I12" s="265">
        <f>H12*B12</f>
        <v>894.7166666666667</v>
      </c>
      <c r="J12" s="265">
        <f>I12*12</f>
        <v>10736.6</v>
      </c>
    </row>
    <row r="13" spans="1:11">
      <c r="B13" s="381">
        <v>1</v>
      </c>
      <c r="C13" s="266" t="s">
        <v>2</v>
      </c>
      <c r="D13" s="267">
        <v>500</v>
      </c>
      <c r="E13" s="267">
        <f t="shared" ref="E13:E24" si="0">+D13*0.1115</f>
        <v>55.75</v>
      </c>
      <c r="F13" s="267">
        <f t="shared" ref="F13:F24" si="1">+D13/12</f>
        <v>41.666666666666664</v>
      </c>
      <c r="G13" s="267">
        <f t="shared" ref="G13:G24" si="2">+F13</f>
        <v>41.666666666666664</v>
      </c>
      <c r="H13" s="267">
        <f t="shared" ref="H13:H24" si="3">SUM(D13:G13)</f>
        <v>639.08333333333326</v>
      </c>
      <c r="I13" s="268">
        <f t="shared" ref="I13:I24" si="4">H13*B13</f>
        <v>639.08333333333326</v>
      </c>
      <c r="J13" s="268">
        <f t="shared" ref="J13:J25" si="5">I13*12</f>
        <v>7668.9999999999991</v>
      </c>
    </row>
    <row r="14" spans="1:11">
      <c r="B14" s="381">
        <v>1</v>
      </c>
      <c r="C14" s="266" t="s">
        <v>245</v>
      </c>
      <c r="D14" s="267">
        <v>500</v>
      </c>
      <c r="E14" s="267">
        <f t="shared" si="0"/>
        <v>55.75</v>
      </c>
      <c r="F14" s="267">
        <f t="shared" si="1"/>
        <v>41.666666666666664</v>
      </c>
      <c r="G14" s="267">
        <f t="shared" si="2"/>
        <v>41.666666666666664</v>
      </c>
      <c r="H14" s="267">
        <f t="shared" si="3"/>
        <v>639.08333333333326</v>
      </c>
      <c r="I14" s="268">
        <f t="shared" si="4"/>
        <v>639.08333333333326</v>
      </c>
      <c r="J14" s="268">
        <f t="shared" si="5"/>
        <v>7668.9999999999991</v>
      </c>
    </row>
    <row r="15" spans="1:11">
      <c r="B15" s="381">
        <v>1</v>
      </c>
      <c r="C15" s="266" t="s">
        <v>246</v>
      </c>
      <c r="D15" s="267">
        <v>500</v>
      </c>
      <c r="E15" s="267">
        <f t="shared" si="0"/>
        <v>55.75</v>
      </c>
      <c r="F15" s="267">
        <f t="shared" si="1"/>
        <v>41.666666666666664</v>
      </c>
      <c r="G15" s="267">
        <f t="shared" si="2"/>
        <v>41.666666666666664</v>
      </c>
      <c r="H15" s="267">
        <f t="shared" si="3"/>
        <v>639.08333333333326</v>
      </c>
      <c r="I15" s="268">
        <f t="shared" si="4"/>
        <v>639.08333333333326</v>
      </c>
      <c r="J15" s="268">
        <f t="shared" si="5"/>
        <v>7668.9999999999991</v>
      </c>
    </row>
    <row r="16" spans="1:11">
      <c r="B16" s="381">
        <v>1</v>
      </c>
      <c r="C16" s="266" t="s">
        <v>42</v>
      </c>
      <c r="D16" s="267">
        <v>400</v>
      </c>
      <c r="E16" s="267">
        <f t="shared" si="0"/>
        <v>44.6</v>
      </c>
      <c r="F16" s="267">
        <f t="shared" si="1"/>
        <v>33.333333333333336</v>
      </c>
      <c r="G16" s="267">
        <f t="shared" si="2"/>
        <v>33.333333333333336</v>
      </c>
      <c r="H16" s="267">
        <f t="shared" si="3"/>
        <v>511.26666666666665</v>
      </c>
      <c r="I16" s="268">
        <f t="shared" si="4"/>
        <v>511.26666666666665</v>
      </c>
      <c r="J16" s="268">
        <f t="shared" si="5"/>
        <v>6135.2</v>
      </c>
    </row>
    <row r="17" spans="2:10">
      <c r="B17" s="381">
        <v>1</v>
      </c>
      <c r="C17" s="266" t="s">
        <v>67</v>
      </c>
      <c r="D17" s="269">
        <v>400</v>
      </c>
      <c r="E17" s="269">
        <f t="shared" si="0"/>
        <v>44.6</v>
      </c>
      <c r="F17" s="267">
        <f t="shared" si="1"/>
        <v>33.333333333333336</v>
      </c>
      <c r="G17" s="267">
        <f t="shared" si="2"/>
        <v>33.333333333333336</v>
      </c>
      <c r="H17" s="267">
        <f t="shared" si="3"/>
        <v>511.26666666666665</v>
      </c>
      <c r="I17" s="268">
        <f t="shared" si="4"/>
        <v>511.26666666666665</v>
      </c>
      <c r="J17" s="268">
        <f t="shared" si="5"/>
        <v>6135.2</v>
      </c>
    </row>
    <row r="18" spans="2:10">
      <c r="B18" s="381">
        <v>1</v>
      </c>
      <c r="C18" s="266" t="s">
        <v>3</v>
      </c>
      <c r="D18" s="267">
        <v>400</v>
      </c>
      <c r="E18" s="267">
        <f t="shared" si="0"/>
        <v>44.6</v>
      </c>
      <c r="F18" s="267">
        <f t="shared" si="1"/>
        <v>33.333333333333336</v>
      </c>
      <c r="G18" s="267">
        <f t="shared" si="2"/>
        <v>33.333333333333336</v>
      </c>
      <c r="H18" s="267">
        <f t="shared" si="3"/>
        <v>511.26666666666665</v>
      </c>
      <c r="I18" s="268">
        <f t="shared" si="4"/>
        <v>511.26666666666665</v>
      </c>
      <c r="J18" s="268">
        <f t="shared" si="5"/>
        <v>6135.2</v>
      </c>
    </row>
    <row r="19" spans="2:10">
      <c r="B19" s="381">
        <v>1</v>
      </c>
      <c r="C19" s="266" t="s">
        <v>4</v>
      </c>
      <c r="D19" s="267">
        <v>400</v>
      </c>
      <c r="E19" s="267">
        <f t="shared" si="0"/>
        <v>44.6</v>
      </c>
      <c r="F19" s="267">
        <f t="shared" si="1"/>
        <v>33.333333333333336</v>
      </c>
      <c r="G19" s="267">
        <f t="shared" si="2"/>
        <v>33.333333333333336</v>
      </c>
      <c r="H19" s="267">
        <f t="shared" si="3"/>
        <v>511.26666666666665</v>
      </c>
      <c r="I19" s="268">
        <f t="shared" si="4"/>
        <v>511.26666666666665</v>
      </c>
      <c r="J19" s="268">
        <f t="shared" si="5"/>
        <v>6135.2</v>
      </c>
    </row>
    <row r="20" spans="2:10">
      <c r="B20" s="381">
        <v>2</v>
      </c>
      <c r="C20" s="266" t="s">
        <v>5</v>
      </c>
      <c r="D20" s="267">
        <v>400</v>
      </c>
      <c r="E20" s="267">
        <f t="shared" si="0"/>
        <v>44.6</v>
      </c>
      <c r="F20" s="267">
        <f t="shared" si="1"/>
        <v>33.333333333333336</v>
      </c>
      <c r="G20" s="267">
        <f t="shared" si="2"/>
        <v>33.333333333333336</v>
      </c>
      <c r="H20" s="267">
        <f t="shared" si="3"/>
        <v>511.26666666666665</v>
      </c>
      <c r="I20" s="268">
        <f t="shared" si="4"/>
        <v>1022.5333333333333</v>
      </c>
      <c r="J20" s="268">
        <f t="shared" si="5"/>
        <v>12270.4</v>
      </c>
    </row>
    <row r="21" spans="2:10">
      <c r="B21" s="381">
        <v>2</v>
      </c>
      <c r="C21" s="266" t="s">
        <v>6</v>
      </c>
      <c r="D21" s="267">
        <v>400</v>
      </c>
      <c r="E21" s="267">
        <f t="shared" si="0"/>
        <v>44.6</v>
      </c>
      <c r="F21" s="267">
        <f t="shared" si="1"/>
        <v>33.333333333333336</v>
      </c>
      <c r="G21" s="267">
        <f t="shared" si="2"/>
        <v>33.333333333333336</v>
      </c>
      <c r="H21" s="267">
        <f t="shared" si="3"/>
        <v>511.26666666666665</v>
      </c>
      <c r="I21" s="268">
        <f t="shared" si="4"/>
        <v>1022.5333333333333</v>
      </c>
      <c r="J21" s="268">
        <f t="shared" si="5"/>
        <v>12270.4</v>
      </c>
    </row>
    <row r="22" spans="2:10">
      <c r="B22" s="381">
        <v>1</v>
      </c>
      <c r="C22" s="266" t="s">
        <v>7</v>
      </c>
      <c r="D22" s="267">
        <v>400</v>
      </c>
      <c r="E22" s="267">
        <f t="shared" si="0"/>
        <v>44.6</v>
      </c>
      <c r="F22" s="267">
        <f t="shared" si="1"/>
        <v>33.333333333333336</v>
      </c>
      <c r="G22" s="267">
        <f t="shared" si="2"/>
        <v>33.333333333333336</v>
      </c>
      <c r="H22" s="267">
        <f t="shared" si="3"/>
        <v>511.26666666666665</v>
      </c>
      <c r="I22" s="268">
        <f t="shared" si="4"/>
        <v>511.26666666666665</v>
      </c>
      <c r="J22" s="268">
        <f t="shared" si="5"/>
        <v>6135.2</v>
      </c>
    </row>
    <row r="23" spans="2:10">
      <c r="B23" s="381">
        <v>1</v>
      </c>
      <c r="C23" s="266" t="s">
        <v>8</v>
      </c>
      <c r="D23" s="267">
        <v>400</v>
      </c>
      <c r="E23" s="267">
        <f t="shared" si="0"/>
        <v>44.6</v>
      </c>
      <c r="F23" s="267">
        <f t="shared" si="1"/>
        <v>33.333333333333336</v>
      </c>
      <c r="G23" s="267">
        <f t="shared" si="2"/>
        <v>33.333333333333336</v>
      </c>
      <c r="H23" s="267">
        <f t="shared" si="3"/>
        <v>511.26666666666665</v>
      </c>
      <c r="I23" s="268">
        <f t="shared" si="4"/>
        <v>511.26666666666665</v>
      </c>
      <c r="J23" s="268">
        <f t="shared" si="5"/>
        <v>6135.2</v>
      </c>
    </row>
    <row r="24" spans="2:10" ht="15" thickBot="1">
      <c r="B24" s="382">
        <v>1</v>
      </c>
      <c r="C24" s="270" t="s">
        <v>14</v>
      </c>
      <c r="D24" s="271">
        <v>300</v>
      </c>
      <c r="E24" s="272">
        <f t="shared" si="0"/>
        <v>33.450000000000003</v>
      </c>
      <c r="F24" s="272">
        <f t="shared" si="1"/>
        <v>25</v>
      </c>
      <c r="G24" s="272">
        <f t="shared" si="2"/>
        <v>25</v>
      </c>
      <c r="H24" s="272">
        <f t="shared" si="3"/>
        <v>383.45</v>
      </c>
      <c r="I24" s="273">
        <f t="shared" si="4"/>
        <v>383.45</v>
      </c>
      <c r="J24" s="273">
        <f t="shared" si="5"/>
        <v>4601.3999999999996</v>
      </c>
    </row>
    <row r="25" spans="2:10" ht="15.75" thickBot="1">
      <c r="C25" s="274"/>
      <c r="D25" s="275"/>
      <c r="E25" s="275"/>
      <c r="F25" s="275"/>
      <c r="G25" s="275"/>
      <c r="H25" s="276" t="s">
        <v>116</v>
      </c>
      <c r="I25" s="277">
        <f>SUM(I12:I24)</f>
        <v>8308.0833333333321</v>
      </c>
      <c r="J25" s="278">
        <f t="shared" si="5"/>
        <v>99696.999999999985</v>
      </c>
    </row>
    <row r="26" spans="2:10">
      <c r="B26" s="433" t="s">
        <v>248</v>
      </c>
      <c r="C26" s="433"/>
      <c r="D26" s="136"/>
      <c r="E26" s="136"/>
      <c r="F26" s="136"/>
      <c r="G26" s="136"/>
    </row>
    <row r="27" spans="2:10" hidden="1">
      <c r="C27" s="126" t="s">
        <v>127</v>
      </c>
    </row>
    <row r="28" spans="2:10" ht="15" hidden="1" thickBot="1"/>
    <row r="29" spans="2:10" ht="15.75" hidden="1" thickBot="1">
      <c r="C29" s="279" t="s">
        <v>125</v>
      </c>
      <c r="D29" s="280" t="s">
        <v>123</v>
      </c>
      <c r="E29" s="281">
        <v>1</v>
      </c>
      <c r="F29" s="281">
        <v>2</v>
      </c>
      <c r="G29" s="281">
        <v>3</v>
      </c>
      <c r="H29" s="281">
        <v>4</v>
      </c>
      <c r="I29" s="282">
        <v>5</v>
      </c>
    </row>
    <row r="30" spans="2:10" ht="15.75" hidden="1" thickBot="1">
      <c r="C30" s="283"/>
      <c r="D30" s="284" t="s">
        <v>124</v>
      </c>
      <c r="E30" s="285">
        <f>+J25</f>
        <v>99696.999999999985</v>
      </c>
      <c r="F30" s="285">
        <f>+E30*1.02</f>
        <v>101690.93999999999</v>
      </c>
      <c r="G30" s="285">
        <f t="shared" ref="G30:I30" si="6">+F30*1.02</f>
        <v>103724.7588</v>
      </c>
      <c r="H30" s="285">
        <f t="shared" si="6"/>
        <v>105799.25397599999</v>
      </c>
      <c r="I30" s="285">
        <f t="shared" si="6"/>
        <v>107915.23905552</v>
      </c>
    </row>
  </sheetData>
  <mergeCells count="11">
    <mergeCell ref="A7:K7"/>
    <mergeCell ref="A8:K8"/>
    <mergeCell ref="B26:C26"/>
    <mergeCell ref="I10:I11"/>
    <mergeCell ref="J10:J11"/>
    <mergeCell ref="D10:D11"/>
    <mergeCell ref="H10:H11"/>
    <mergeCell ref="E10:E11"/>
    <mergeCell ref="F10:F11"/>
    <mergeCell ref="G10:G11"/>
    <mergeCell ref="C10:C11"/>
  </mergeCells>
  <pageMargins left="1.5748031496062993" right="0.98425196850393704" top="1.3779527559055118" bottom="1.3779527559055118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A3" sqref="A3:M3"/>
    </sheetView>
  </sheetViews>
  <sheetFormatPr baseColWidth="10" defaultRowHeight="12.75"/>
  <cols>
    <col min="1" max="1" width="15.7109375" style="47" customWidth="1"/>
    <col min="2" max="2" width="14.85546875" style="47" bestFit="1" customWidth="1"/>
    <col min="3" max="6" width="11.85546875" style="47" bestFit="1" customWidth="1"/>
    <col min="7" max="13" width="12.85546875" style="47" bestFit="1" customWidth="1"/>
    <col min="14" max="16384" width="11.42578125" style="47"/>
  </cols>
  <sheetData>
    <row r="1" spans="1:13" ht="27" customHeight="1"/>
    <row r="2" spans="1:13">
      <c r="A2" s="441" t="s">
        <v>289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</row>
    <row r="3" spans="1:13">
      <c r="A3" s="441" t="s">
        <v>288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</row>
    <row r="6" spans="1:13" ht="13.5" thickBot="1"/>
    <row r="7" spans="1:13" ht="16.5" customHeight="1">
      <c r="A7" s="48" t="s">
        <v>66</v>
      </c>
      <c r="B7" s="49" t="s">
        <v>74</v>
      </c>
      <c r="C7" s="49" t="s">
        <v>75</v>
      </c>
      <c r="D7" s="49" t="s">
        <v>76</v>
      </c>
      <c r="E7" s="49" t="s">
        <v>77</v>
      </c>
      <c r="F7" s="49" t="s">
        <v>76</v>
      </c>
      <c r="G7" s="49" t="s">
        <v>78</v>
      </c>
      <c r="H7" s="49" t="s">
        <v>79</v>
      </c>
      <c r="I7" s="49" t="s">
        <v>80</v>
      </c>
      <c r="J7" s="49" t="s">
        <v>81</v>
      </c>
      <c r="K7" s="49" t="s">
        <v>82</v>
      </c>
      <c r="L7" s="49" t="s">
        <v>83</v>
      </c>
      <c r="M7" s="50" t="s">
        <v>84</v>
      </c>
    </row>
    <row r="8" spans="1:13">
      <c r="A8" s="51" t="s">
        <v>283</v>
      </c>
      <c r="B8" s="52">
        <f>+COSTOS!C21</f>
        <v>210</v>
      </c>
      <c r="C8" s="52">
        <v>420</v>
      </c>
      <c r="D8" s="52">
        <f>+COSTOS!E21</f>
        <v>2430</v>
      </c>
      <c r="E8" s="52">
        <f>+COSTOS!F21</f>
        <v>3435</v>
      </c>
      <c r="F8" s="52">
        <f>+COSTOS!G21</f>
        <v>0</v>
      </c>
      <c r="G8" s="52">
        <f>+COSTOS!H21</f>
        <v>2430</v>
      </c>
      <c r="H8" s="52">
        <f>+COSTOS!I21</f>
        <v>2430</v>
      </c>
      <c r="I8" s="52">
        <f>+COSTOS!J21</f>
        <v>4440</v>
      </c>
      <c r="J8" s="52">
        <f>+COSTOS!K21</f>
        <v>4440</v>
      </c>
      <c r="K8" s="52">
        <f>+COSTOS!L21</f>
        <v>3435</v>
      </c>
      <c r="L8" s="52">
        <f>+COSTOS!M21</f>
        <v>2430</v>
      </c>
      <c r="M8" s="52">
        <f>+COSTOS!N21</f>
        <v>2430</v>
      </c>
    </row>
    <row r="9" spans="1:13" ht="13.5" thickBot="1">
      <c r="A9" s="51" t="s">
        <v>284</v>
      </c>
      <c r="B9" s="52">
        <f>+COSTOS!B12-COSTOS!B7</f>
        <v>10058.083333333332</v>
      </c>
      <c r="C9" s="52">
        <f t="shared" ref="C9:M9" si="0">B9</f>
        <v>10058.083333333332</v>
      </c>
      <c r="D9" s="52">
        <f t="shared" si="0"/>
        <v>10058.083333333332</v>
      </c>
      <c r="E9" s="52">
        <f t="shared" si="0"/>
        <v>10058.083333333332</v>
      </c>
      <c r="F9" s="52">
        <f t="shared" si="0"/>
        <v>10058.083333333332</v>
      </c>
      <c r="G9" s="52">
        <f t="shared" si="0"/>
        <v>10058.083333333332</v>
      </c>
      <c r="H9" s="52">
        <f t="shared" si="0"/>
        <v>10058.083333333332</v>
      </c>
      <c r="I9" s="52">
        <f t="shared" si="0"/>
        <v>10058.083333333332</v>
      </c>
      <c r="J9" s="52">
        <f t="shared" si="0"/>
        <v>10058.083333333332</v>
      </c>
      <c r="K9" s="52">
        <f t="shared" si="0"/>
        <v>10058.083333333332</v>
      </c>
      <c r="L9" s="52">
        <f t="shared" si="0"/>
        <v>10058.083333333332</v>
      </c>
      <c r="M9" s="52">
        <f t="shared" si="0"/>
        <v>10058.083333333332</v>
      </c>
    </row>
    <row r="10" spans="1:13" ht="13.5" thickBot="1">
      <c r="A10" s="53" t="s">
        <v>128</v>
      </c>
      <c r="B10" s="54">
        <f t="shared" ref="B10:M10" si="1">SUM(B8:B9)</f>
        <v>10268.083333333332</v>
      </c>
      <c r="C10" s="55">
        <f t="shared" si="1"/>
        <v>10478.083333333332</v>
      </c>
      <c r="D10" s="55">
        <f t="shared" si="1"/>
        <v>12488.083333333332</v>
      </c>
      <c r="E10" s="55">
        <f t="shared" si="1"/>
        <v>13493.083333333332</v>
      </c>
      <c r="F10" s="55">
        <f t="shared" si="1"/>
        <v>10058.083333333332</v>
      </c>
      <c r="G10" s="55">
        <f t="shared" si="1"/>
        <v>12488.083333333332</v>
      </c>
      <c r="H10" s="55">
        <f t="shared" si="1"/>
        <v>12488.083333333332</v>
      </c>
      <c r="I10" s="55">
        <f t="shared" si="1"/>
        <v>14498.083333333332</v>
      </c>
      <c r="J10" s="55">
        <f t="shared" si="1"/>
        <v>14498.083333333332</v>
      </c>
      <c r="K10" s="55">
        <f t="shared" si="1"/>
        <v>13493.083333333332</v>
      </c>
      <c r="L10" s="55">
        <f t="shared" si="1"/>
        <v>12488.083333333332</v>
      </c>
      <c r="M10" s="56">
        <f t="shared" si="1"/>
        <v>12488.083333333332</v>
      </c>
    </row>
    <row r="11" spans="1:13" ht="13.5" thickBot="1">
      <c r="A11" s="57"/>
    </row>
    <row r="12" spans="1:13">
      <c r="A12" s="158" t="s">
        <v>72</v>
      </c>
      <c r="B12" s="58" t="s">
        <v>74</v>
      </c>
      <c r="C12" s="59" t="s">
        <v>75</v>
      </c>
      <c r="D12" s="59" t="s">
        <v>76</v>
      </c>
      <c r="E12" s="59" t="s">
        <v>77</v>
      </c>
      <c r="F12" s="59" t="s">
        <v>76</v>
      </c>
      <c r="G12" s="59" t="s">
        <v>78</v>
      </c>
      <c r="H12" s="59" t="s">
        <v>79</v>
      </c>
      <c r="I12" s="59" t="s">
        <v>80</v>
      </c>
      <c r="J12" s="59" t="s">
        <v>81</v>
      </c>
      <c r="K12" s="59" t="s">
        <v>82</v>
      </c>
      <c r="L12" s="59" t="s">
        <v>83</v>
      </c>
      <c r="M12" s="60" t="s">
        <v>84</v>
      </c>
    </row>
    <row r="13" spans="1:13">
      <c r="A13" s="159" t="s">
        <v>285</v>
      </c>
      <c r="B13" s="52">
        <f>+'DERMANDA - INGRESOS'!H27</f>
        <v>8000</v>
      </c>
      <c r="C13" s="52">
        <v>12000</v>
      </c>
      <c r="D13" s="52">
        <f>+'DERMANDA - INGRESOS'!J27</f>
        <v>16000</v>
      </c>
      <c r="E13" s="52">
        <f>+'DERMANDA - INGRESOS'!K27</f>
        <v>22000</v>
      </c>
      <c r="F13" s="52">
        <f>+'DERMANDA - INGRESOS'!L27</f>
        <v>16000</v>
      </c>
      <c r="G13" s="52">
        <f>+'DERMANDA - INGRESOS'!M27</f>
        <v>16000</v>
      </c>
      <c r="H13" s="52">
        <f>+'DERMANDA - INGRESOS'!N27</f>
        <v>16000</v>
      </c>
      <c r="I13" s="52">
        <f>+'DERMANDA - INGRESOS'!O27</f>
        <v>28000</v>
      </c>
      <c r="J13" s="52">
        <f>+'DERMANDA - INGRESOS'!P27</f>
        <v>28000</v>
      </c>
      <c r="K13" s="52">
        <f>+'DERMANDA - INGRESOS'!Q27</f>
        <v>22000</v>
      </c>
      <c r="L13" s="52">
        <f>+'DERMANDA - INGRESOS'!R27</f>
        <v>16000</v>
      </c>
      <c r="M13" s="52">
        <f>+'DERMANDA - INGRESOS'!S27</f>
        <v>16000</v>
      </c>
    </row>
    <row r="14" spans="1:13" ht="13.5" thickBot="1">
      <c r="A14" s="61" t="s">
        <v>286</v>
      </c>
      <c r="B14" s="62">
        <f>B10</f>
        <v>10268.083333333332</v>
      </c>
      <c r="C14" s="62">
        <f t="shared" ref="C14:M14" si="2">C10</f>
        <v>10478.083333333332</v>
      </c>
      <c r="D14" s="62">
        <f t="shared" si="2"/>
        <v>12488.083333333332</v>
      </c>
      <c r="E14" s="62">
        <f t="shared" si="2"/>
        <v>13493.083333333332</v>
      </c>
      <c r="F14" s="62">
        <f t="shared" si="2"/>
        <v>10058.083333333332</v>
      </c>
      <c r="G14" s="62">
        <f t="shared" si="2"/>
        <v>12488.083333333332</v>
      </c>
      <c r="H14" s="62">
        <f t="shared" si="2"/>
        <v>12488.083333333332</v>
      </c>
      <c r="I14" s="62">
        <f t="shared" si="2"/>
        <v>14498.083333333332</v>
      </c>
      <c r="J14" s="62">
        <f t="shared" si="2"/>
        <v>14498.083333333332</v>
      </c>
      <c r="K14" s="62">
        <f t="shared" si="2"/>
        <v>13493.083333333332</v>
      </c>
      <c r="L14" s="62">
        <f t="shared" si="2"/>
        <v>12488.083333333332</v>
      </c>
      <c r="M14" s="62">
        <f t="shared" si="2"/>
        <v>12488.083333333332</v>
      </c>
    </row>
    <row r="15" spans="1:13" ht="13.5" thickBot="1">
      <c r="A15" s="63" t="s">
        <v>73</v>
      </c>
      <c r="B15" s="62">
        <f>B13-B14</f>
        <v>-2268.0833333333321</v>
      </c>
      <c r="C15" s="62">
        <f>C13-C14</f>
        <v>1521.9166666666679</v>
      </c>
      <c r="D15" s="62">
        <f t="shared" ref="D15:M15" si="3">D13-D14</f>
        <v>3511.9166666666679</v>
      </c>
      <c r="E15" s="62">
        <f t="shared" si="3"/>
        <v>8506.9166666666679</v>
      </c>
      <c r="F15" s="62">
        <f t="shared" si="3"/>
        <v>5941.9166666666679</v>
      </c>
      <c r="G15" s="62">
        <f t="shared" si="3"/>
        <v>3511.9166666666679</v>
      </c>
      <c r="H15" s="62">
        <f t="shared" si="3"/>
        <v>3511.9166666666679</v>
      </c>
      <c r="I15" s="62">
        <f t="shared" si="3"/>
        <v>13501.916666666668</v>
      </c>
      <c r="J15" s="62">
        <f t="shared" si="3"/>
        <v>13501.916666666668</v>
      </c>
      <c r="K15" s="62">
        <f t="shared" si="3"/>
        <v>8506.9166666666679</v>
      </c>
      <c r="L15" s="62">
        <f t="shared" si="3"/>
        <v>3511.9166666666679</v>
      </c>
      <c r="M15" s="62">
        <f t="shared" si="3"/>
        <v>3511.9166666666679</v>
      </c>
    </row>
    <row r="16" spans="1:13" s="426" customFormat="1" ht="26.25" thickBot="1">
      <c r="A16" s="423" t="s">
        <v>287</v>
      </c>
      <c r="B16" s="424">
        <f>B15</f>
        <v>-2268.0833333333321</v>
      </c>
      <c r="C16" s="425">
        <f>B16+C15</f>
        <v>-746.16666666666424</v>
      </c>
      <c r="D16" s="425">
        <f t="shared" ref="D16:M16" si="4">C16+D15</f>
        <v>2765.7500000000036</v>
      </c>
      <c r="E16" s="425">
        <f t="shared" si="4"/>
        <v>11272.666666666672</v>
      </c>
      <c r="F16" s="425">
        <f t="shared" si="4"/>
        <v>17214.583333333339</v>
      </c>
      <c r="G16" s="425">
        <f t="shared" si="4"/>
        <v>20726.500000000007</v>
      </c>
      <c r="H16" s="425">
        <f t="shared" si="4"/>
        <v>24238.416666666675</v>
      </c>
      <c r="I16" s="425">
        <f t="shared" si="4"/>
        <v>37740.333333333343</v>
      </c>
      <c r="J16" s="425">
        <f t="shared" si="4"/>
        <v>51242.250000000015</v>
      </c>
      <c r="K16" s="425">
        <f t="shared" si="4"/>
        <v>59749.166666666686</v>
      </c>
      <c r="L16" s="425">
        <f t="shared" si="4"/>
        <v>63261.083333333358</v>
      </c>
      <c r="M16" s="425">
        <f t="shared" si="4"/>
        <v>66773.000000000029</v>
      </c>
    </row>
    <row r="18" spans="1:13">
      <c r="L18" s="487" t="s">
        <v>248</v>
      </c>
      <c r="M18" s="487"/>
    </row>
    <row r="19" spans="1:13">
      <c r="A19" s="441" t="s">
        <v>290</v>
      </c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1"/>
    </row>
    <row r="20" spans="1:13">
      <c r="A20" s="441" t="s">
        <v>291</v>
      </c>
      <c r="B20" s="441"/>
      <c r="C20" s="441"/>
      <c r="D20" s="441"/>
      <c r="E20" s="441"/>
      <c r="F20" s="441"/>
      <c r="G20" s="441"/>
      <c r="H20" s="441"/>
      <c r="I20" s="441"/>
      <c r="J20" s="441"/>
      <c r="K20" s="441"/>
      <c r="L20" s="441"/>
      <c r="M20" s="441"/>
    </row>
    <row r="21" spans="1:13">
      <c r="E21" s="488" t="s">
        <v>87</v>
      </c>
      <c r="F21" s="489"/>
      <c r="G21" s="489"/>
      <c r="H21" s="489"/>
      <c r="I21" s="490"/>
    </row>
    <row r="22" spans="1:13">
      <c r="E22" s="2" t="s">
        <v>88</v>
      </c>
      <c r="F22" s="2" t="s">
        <v>89</v>
      </c>
      <c r="G22" s="2" t="s">
        <v>90</v>
      </c>
      <c r="H22" s="2" t="s">
        <v>70</v>
      </c>
      <c r="I22" s="2" t="s">
        <v>91</v>
      </c>
    </row>
    <row r="23" spans="1:13">
      <c r="E23" s="2">
        <v>0</v>
      </c>
      <c r="F23" s="52">
        <v>0</v>
      </c>
      <c r="G23" s="52">
        <v>0</v>
      </c>
      <c r="H23" s="52">
        <v>0</v>
      </c>
      <c r="I23" s="52">
        <v>26788.697833333332</v>
      </c>
    </row>
    <row r="24" spans="1:13">
      <c r="E24" s="2">
        <v>1</v>
      </c>
      <c r="F24" s="52">
        <v>8168.1639780191563</v>
      </c>
      <c r="G24" s="52">
        <v>4267.4395648499994</v>
      </c>
      <c r="H24" s="52">
        <v>3900.7244131691568</v>
      </c>
      <c r="I24" s="52">
        <v>22887.973420164177</v>
      </c>
    </row>
    <row r="25" spans="1:13">
      <c r="E25" s="2">
        <v>2</v>
      </c>
      <c r="F25" s="52">
        <v>8168.1639780191563</v>
      </c>
      <c r="G25" s="52">
        <v>3646.0541658321531</v>
      </c>
      <c r="H25" s="52">
        <v>4522.1098121870036</v>
      </c>
      <c r="I25" s="52">
        <v>18365.863607977175</v>
      </c>
    </row>
    <row r="26" spans="1:13">
      <c r="E26" s="2">
        <v>3</v>
      </c>
      <c r="F26" s="52">
        <v>8168.1639780191563</v>
      </c>
      <c r="G26" s="52">
        <v>2925.6820727507638</v>
      </c>
      <c r="H26" s="52">
        <v>5242.4819052683924</v>
      </c>
      <c r="I26" s="52">
        <v>13123.381702708783</v>
      </c>
    </row>
    <row r="27" spans="1:13">
      <c r="E27" s="2">
        <v>4</v>
      </c>
      <c r="F27" s="52">
        <v>8168.1639780191563</v>
      </c>
      <c r="G27" s="52">
        <v>2090.5547052415091</v>
      </c>
      <c r="H27" s="52">
        <v>6077.6092727776468</v>
      </c>
      <c r="I27" s="52">
        <v>7045.7724299311358</v>
      </c>
    </row>
    <row r="28" spans="1:13">
      <c r="E28" s="2">
        <v>5</v>
      </c>
      <c r="F28" s="52">
        <v>8168.1639780191563</v>
      </c>
      <c r="G28" s="52">
        <v>1122.3915480880298</v>
      </c>
      <c r="H28" s="52">
        <v>7045.7724299311267</v>
      </c>
      <c r="I28" s="52">
        <v>9.0949470177292824E-12</v>
      </c>
    </row>
  </sheetData>
  <mergeCells count="6">
    <mergeCell ref="A3:M3"/>
    <mergeCell ref="A2:M2"/>
    <mergeCell ref="L18:M18"/>
    <mergeCell ref="E21:I21"/>
    <mergeCell ref="A19:M19"/>
    <mergeCell ref="A20:M20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1"/>
  <sheetViews>
    <sheetView topLeftCell="A13" workbookViewId="0">
      <selection activeCell="B30" sqref="B30"/>
    </sheetView>
  </sheetViews>
  <sheetFormatPr baseColWidth="10" defaultRowHeight="14.25"/>
  <cols>
    <col min="1" max="1" width="35.140625" style="47" customWidth="1"/>
    <col min="2" max="2" width="12.140625" style="47" customWidth="1"/>
    <col min="3" max="3" width="14" style="47" customWidth="1"/>
    <col min="4" max="7" width="13.5703125" style="47" customWidth="1"/>
    <col min="8" max="16384" width="11.42578125" style="126"/>
  </cols>
  <sheetData>
    <row r="1" spans="1:7" ht="13.5" customHeight="1">
      <c r="A1" s="434" t="s">
        <v>292</v>
      </c>
      <c r="B1" s="434"/>
      <c r="C1" s="434"/>
      <c r="D1" s="434"/>
      <c r="E1" s="434"/>
      <c r="F1" s="434"/>
      <c r="G1" s="434"/>
    </row>
    <row r="2" spans="1:7" ht="15" thickBot="1">
      <c r="A2" s="434" t="s">
        <v>260</v>
      </c>
      <c r="B2" s="434"/>
      <c r="C2" s="434"/>
      <c r="D2" s="434"/>
      <c r="E2" s="434"/>
      <c r="F2" s="434"/>
      <c r="G2" s="434"/>
    </row>
    <row r="3" spans="1:7" ht="13.5" customHeight="1" thickBot="1">
      <c r="A3" s="345"/>
      <c r="B3" s="349">
        <v>0</v>
      </c>
      <c r="C3" s="218">
        <v>1</v>
      </c>
      <c r="D3" s="350">
        <v>2</v>
      </c>
      <c r="E3" s="218">
        <v>3</v>
      </c>
      <c r="F3" s="350">
        <v>4</v>
      </c>
      <c r="G3" s="218">
        <v>5</v>
      </c>
    </row>
    <row r="4" spans="1:7" ht="12.75" customHeight="1">
      <c r="A4" s="2" t="str">
        <f>+'DERMANDA - INGRESOS'!G25</f>
        <v>Capacitaciones</v>
      </c>
      <c r="B4" s="346"/>
      <c r="C4" s="347">
        <f>+'DERMANDA - INGRESOS'!T25</f>
        <v>46000</v>
      </c>
      <c r="D4" s="347">
        <f>+C4*1.1</f>
        <v>50600.000000000007</v>
      </c>
      <c r="E4" s="347">
        <f t="shared" ref="E4:G4" si="0">+D4*1.1</f>
        <v>55660.000000000015</v>
      </c>
      <c r="F4" s="347">
        <f t="shared" si="0"/>
        <v>61226.000000000022</v>
      </c>
      <c r="G4" s="348">
        <f t="shared" si="0"/>
        <v>67348.600000000035</v>
      </c>
    </row>
    <row r="5" spans="1:7" ht="12.75" customHeight="1">
      <c r="A5" s="2" t="str">
        <f>+'DERMANDA - INGRESOS'!G26</f>
        <v>Estudios</v>
      </c>
      <c r="B5" s="2"/>
      <c r="C5" s="52">
        <f>+'DERMANDA - INGRESOS'!T26</f>
        <v>168000</v>
      </c>
      <c r="D5" s="52">
        <f>+C5*1.05</f>
        <v>176400</v>
      </c>
      <c r="E5" s="52">
        <f t="shared" ref="E5:G5" si="1">+D5*1.05</f>
        <v>185220</v>
      </c>
      <c r="F5" s="52">
        <f t="shared" si="1"/>
        <v>194481</v>
      </c>
      <c r="G5" s="237">
        <f t="shared" si="1"/>
        <v>204205.05000000002</v>
      </c>
    </row>
    <row r="6" spans="1:7" ht="12.75" customHeight="1">
      <c r="A6" s="2" t="s">
        <v>227</v>
      </c>
      <c r="B6" s="2"/>
      <c r="C6" s="52">
        <f>+'DERMANDA - INGRESOS'!T39</f>
        <v>15140</v>
      </c>
      <c r="D6" s="52">
        <f>+C6*1.05</f>
        <v>15897</v>
      </c>
      <c r="E6" s="52">
        <f t="shared" ref="E6:G6" si="2">+D6*1.05</f>
        <v>16691.850000000002</v>
      </c>
      <c r="F6" s="52">
        <f t="shared" si="2"/>
        <v>17526.442500000005</v>
      </c>
      <c r="G6" s="237">
        <f t="shared" si="2"/>
        <v>18402.764625000007</v>
      </c>
    </row>
    <row r="7" spans="1:7" ht="12.75" customHeight="1">
      <c r="A7" s="2" t="s">
        <v>214</v>
      </c>
      <c r="B7" s="2"/>
      <c r="C7" s="52">
        <f>+(C5+C4)*0.283</f>
        <v>60561.999999999993</v>
      </c>
      <c r="D7" s="52">
        <f t="shared" ref="D7:G7" si="3">+(D5+D4)*0.283</f>
        <v>64240.999999999993</v>
      </c>
      <c r="E7" s="52">
        <f t="shared" si="3"/>
        <v>68169.039999999994</v>
      </c>
      <c r="F7" s="52">
        <f t="shared" si="3"/>
        <v>72365.081000000006</v>
      </c>
      <c r="G7" s="237">
        <f t="shared" si="3"/>
        <v>76849.682950000002</v>
      </c>
    </row>
    <row r="8" spans="1:7" ht="12.75" customHeight="1" thickBot="1">
      <c r="A8" s="2" t="s">
        <v>184</v>
      </c>
      <c r="B8" s="2"/>
      <c r="C8" s="368">
        <f>+COSTOS!O21</f>
        <v>29535</v>
      </c>
      <c r="D8" s="368">
        <f>+C8*1.05</f>
        <v>31011.75</v>
      </c>
      <c r="E8" s="368">
        <f t="shared" ref="E8:G8" si="4">+D8*1.05</f>
        <v>32562.337500000001</v>
      </c>
      <c r="F8" s="368">
        <f t="shared" si="4"/>
        <v>34190.454375000001</v>
      </c>
      <c r="G8" s="369">
        <f t="shared" si="4"/>
        <v>35899.97709375</v>
      </c>
    </row>
    <row r="9" spans="1:7" ht="12.75" customHeight="1">
      <c r="A9" s="2" t="s">
        <v>262</v>
      </c>
      <c r="B9" s="2"/>
      <c r="C9" s="347">
        <f>C4+C5+C6-C7-C8</f>
        <v>139043</v>
      </c>
      <c r="D9" s="347">
        <f t="shared" ref="D9:G9" si="5">D4+D5+D6-D7-D8</f>
        <v>147644.25</v>
      </c>
      <c r="E9" s="347">
        <f t="shared" si="5"/>
        <v>156840.4725</v>
      </c>
      <c r="F9" s="347">
        <f t="shared" si="5"/>
        <v>166677.907125</v>
      </c>
      <c r="G9" s="348">
        <f t="shared" si="5"/>
        <v>177206.75458125005</v>
      </c>
    </row>
    <row r="10" spans="1:7" ht="12.75" customHeight="1">
      <c r="A10" s="2" t="s">
        <v>189</v>
      </c>
      <c r="B10" s="2"/>
      <c r="C10" s="52">
        <f>+COSTOS!C2</f>
        <v>103296.99999999999</v>
      </c>
      <c r="D10" s="52">
        <f>C10*1.05</f>
        <v>108461.84999999999</v>
      </c>
      <c r="E10" s="52">
        <f t="shared" ref="E10:G10" si="6">D10*1.05</f>
        <v>113884.94249999999</v>
      </c>
      <c r="F10" s="52">
        <f t="shared" si="6"/>
        <v>119579.189625</v>
      </c>
      <c r="G10" s="237">
        <f t="shared" si="6"/>
        <v>125558.14910625</v>
      </c>
    </row>
    <row r="11" spans="1:7" ht="12.75" customHeight="1">
      <c r="A11" s="2" t="s">
        <v>190</v>
      </c>
      <c r="B11" s="2"/>
      <c r="C11" s="52">
        <f>+COSTOS!C8</f>
        <v>2400</v>
      </c>
      <c r="D11" s="52">
        <f>+C11*1.02</f>
        <v>2448</v>
      </c>
      <c r="E11" s="52">
        <f t="shared" ref="E11:G11" si="7">+D11*1.02</f>
        <v>2496.96</v>
      </c>
      <c r="F11" s="52">
        <f t="shared" si="7"/>
        <v>2546.8992000000003</v>
      </c>
      <c r="G11" s="237">
        <f t="shared" si="7"/>
        <v>2597.8371840000004</v>
      </c>
    </row>
    <row r="12" spans="1:7" ht="12.75" customHeight="1">
      <c r="A12" s="2" t="s">
        <v>191</v>
      </c>
      <c r="B12" s="2"/>
      <c r="C12" s="52">
        <f>+DEPRECIACIONES!F88</f>
        <v>5623.5306666666665</v>
      </c>
      <c r="D12" s="52">
        <f>C12</f>
        <v>5623.5306666666665</v>
      </c>
      <c r="E12" s="52">
        <f t="shared" ref="E12:G12" si="8">D12</f>
        <v>5623.5306666666665</v>
      </c>
      <c r="F12" s="52">
        <f t="shared" si="8"/>
        <v>5623.5306666666665</v>
      </c>
      <c r="G12" s="237">
        <f t="shared" si="8"/>
        <v>5623.5306666666665</v>
      </c>
    </row>
    <row r="13" spans="1:7" ht="12.75" customHeight="1">
      <c r="A13" s="2" t="s">
        <v>192</v>
      </c>
      <c r="B13" s="2"/>
      <c r="C13" s="52">
        <f>+COSTOS!C11</f>
        <v>3000</v>
      </c>
      <c r="D13" s="52">
        <f>+C13*1.1</f>
        <v>3300.0000000000005</v>
      </c>
      <c r="E13" s="52">
        <f t="shared" ref="E13:G13" si="9">+D13*1.1</f>
        <v>3630.0000000000009</v>
      </c>
      <c r="F13" s="52">
        <f t="shared" si="9"/>
        <v>3993.0000000000014</v>
      </c>
      <c r="G13" s="237">
        <f t="shared" si="9"/>
        <v>4392.300000000002</v>
      </c>
    </row>
    <row r="14" spans="1:7" ht="12.75" customHeight="1" thickBot="1">
      <c r="A14" s="2" t="s">
        <v>218</v>
      </c>
      <c r="B14" s="2"/>
      <c r="C14" s="368">
        <v>1000</v>
      </c>
      <c r="D14" s="368">
        <f>+C14*1.1</f>
        <v>1100</v>
      </c>
      <c r="E14" s="368">
        <f t="shared" ref="E14:G14" si="10">+D14*1.1</f>
        <v>1210</v>
      </c>
      <c r="F14" s="368">
        <f t="shared" si="10"/>
        <v>1331</v>
      </c>
      <c r="G14" s="369">
        <f t="shared" si="10"/>
        <v>1464.1000000000001</v>
      </c>
    </row>
    <row r="15" spans="1:7" ht="12.75" customHeight="1">
      <c r="A15" s="2" t="s">
        <v>263</v>
      </c>
      <c r="B15" s="2"/>
      <c r="C15" s="366">
        <f>C9-C10-C11-C12-C13-C14</f>
        <v>23722.469333333349</v>
      </c>
      <c r="D15" s="366">
        <f t="shared" ref="D15:G15" si="11">D9-D10-D11-D12-D13-D14</f>
        <v>26710.869333333343</v>
      </c>
      <c r="E15" s="366">
        <f t="shared" si="11"/>
        <v>29995.039333333349</v>
      </c>
      <c r="F15" s="366">
        <f t="shared" si="11"/>
        <v>33604.287633333333</v>
      </c>
      <c r="G15" s="367">
        <f t="shared" si="11"/>
        <v>37570.837624333377</v>
      </c>
    </row>
    <row r="16" spans="1:7" ht="12.75" customHeight="1" thickBot="1">
      <c r="A16" s="2" t="s">
        <v>193</v>
      </c>
      <c r="B16" s="2"/>
      <c r="C16" s="368">
        <f>+AMORTIZACIÓN!C20</f>
        <v>4267.4395648499994</v>
      </c>
      <c r="D16" s="368">
        <f>+AMORTIZACIÓN!C21</f>
        <v>3646.0541658321531</v>
      </c>
      <c r="E16" s="368">
        <f>+AMORTIZACIÓN!C22</f>
        <v>2925.6820727507638</v>
      </c>
      <c r="F16" s="368">
        <f>+AMORTIZACIÓN!C23</f>
        <v>2090.5547052415091</v>
      </c>
      <c r="G16" s="369">
        <f>+AMORTIZACIÓN!C24</f>
        <v>1122.3915480880298</v>
      </c>
    </row>
    <row r="17" spans="1:7" ht="12.75" customHeight="1">
      <c r="A17" s="2" t="s">
        <v>265</v>
      </c>
      <c r="B17" s="2"/>
      <c r="C17" s="347">
        <f>C15-C16</f>
        <v>19455.029768483349</v>
      </c>
      <c r="D17" s="347">
        <f t="shared" ref="D17:G17" si="12">D15-D16</f>
        <v>23064.81516750119</v>
      </c>
      <c r="E17" s="347">
        <f t="shared" si="12"/>
        <v>27069.357260582583</v>
      </c>
      <c r="F17" s="347">
        <f t="shared" si="12"/>
        <v>31513.732928091824</v>
      </c>
      <c r="G17" s="348">
        <f t="shared" si="12"/>
        <v>36448.446076245345</v>
      </c>
    </row>
    <row r="18" spans="1:7" ht="12.75" customHeight="1">
      <c r="A18" s="339" t="s">
        <v>186</v>
      </c>
      <c r="B18" s="340"/>
      <c r="C18" s="341">
        <f>+C17*0.15</f>
        <v>2918.2544652725023</v>
      </c>
      <c r="D18" s="341">
        <f t="shared" ref="D18:F18" si="13">D17*0.15</f>
        <v>3459.7222751251784</v>
      </c>
      <c r="E18" s="341">
        <f t="shared" si="13"/>
        <v>4060.4035890873874</v>
      </c>
      <c r="F18" s="341">
        <f t="shared" si="13"/>
        <v>4727.0599392137738</v>
      </c>
      <c r="G18" s="342">
        <f>G17*0.15</f>
        <v>5467.2669114368018</v>
      </c>
    </row>
    <row r="19" spans="1:7" ht="12.75" customHeight="1">
      <c r="A19" s="2" t="s">
        <v>266</v>
      </c>
      <c r="B19" s="2"/>
      <c r="C19" s="52">
        <f>C17-C18</f>
        <v>16536.775303210849</v>
      </c>
      <c r="D19" s="52">
        <f t="shared" ref="D19:G19" si="14">D17-D18</f>
        <v>19605.092892376011</v>
      </c>
      <c r="E19" s="52">
        <f t="shared" si="14"/>
        <v>23008.953671495197</v>
      </c>
      <c r="F19" s="52">
        <f t="shared" si="14"/>
        <v>26786.67298887805</v>
      </c>
      <c r="G19" s="237">
        <f t="shared" si="14"/>
        <v>30981.179164808542</v>
      </c>
    </row>
    <row r="20" spans="1:7" ht="12.75" customHeight="1" thickBot="1">
      <c r="A20" s="2" t="s">
        <v>188</v>
      </c>
      <c r="B20" s="2"/>
      <c r="C20" s="368">
        <f>+C19*0.25</f>
        <v>4134.1938258027121</v>
      </c>
      <c r="D20" s="368">
        <f t="shared" ref="D20:G20" si="15">D19*0.25</f>
        <v>4901.2732230940028</v>
      </c>
      <c r="E20" s="368">
        <f t="shared" si="15"/>
        <v>5752.2384178737993</v>
      </c>
      <c r="F20" s="368">
        <f t="shared" si="15"/>
        <v>6696.6682472195125</v>
      </c>
      <c r="G20" s="369">
        <f t="shared" si="15"/>
        <v>7745.2947912021355</v>
      </c>
    </row>
    <row r="21" spans="1:7" ht="12.75" customHeight="1">
      <c r="A21" s="343" t="s">
        <v>267</v>
      </c>
      <c r="B21" s="2"/>
      <c r="C21" s="366">
        <f>C19-C20</f>
        <v>12402.581477408137</v>
      </c>
      <c r="D21" s="366">
        <f t="shared" ref="D21:G21" si="16">D19-D20</f>
        <v>14703.819669282009</v>
      </c>
      <c r="E21" s="366">
        <f t="shared" si="16"/>
        <v>17256.715253621398</v>
      </c>
      <c r="F21" s="366">
        <f t="shared" si="16"/>
        <v>20090.004741658537</v>
      </c>
      <c r="G21" s="367">
        <f t="shared" si="16"/>
        <v>23235.884373606408</v>
      </c>
    </row>
    <row r="22" spans="1:7" ht="12.75" customHeight="1">
      <c r="A22" s="343" t="s">
        <v>191</v>
      </c>
      <c r="B22" s="2"/>
      <c r="C22" s="52">
        <f>+C12</f>
        <v>5623.5306666666665</v>
      </c>
      <c r="D22" s="52">
        <f t="shared" ref="D22:G22" si="17">+D12</f>
        <v>5623.5306666666665</v>
      </c>
      <c r="E22" s="52">
        <f t="shared" si="17"/>
        <v>5623.5306666666665</v>
      </c>
      <c r="F22" s="52">
        <f t="shared" si="17"/>
        <v>5623.5306666666665</v>
      </c>
      <c r="G22" s="237">
        <f t="shared" si="17"/>
        <v>5623.5306666666665</v>
      </c>
    </row>
    <row r="23" spans="1:7" ht="12.75" customHeight="1">
      <c r="A23" s="343" t="s">
        <v>195</v>
      </c>
      <c r="B23" s="2"/>
      <c r="C23" s="101">
        <f>+-AMORTIZACIÓN!D20</f>
        <v>-3900.7244131691568</v>
      </c>
      <c r="D23" s="101">
        <f>+-AMORTIZACIÓN!D21</f>
        <v>-4522.1098121870036</v>
      </c>
      <c r="E23" s="101">
        <f>+-AMORTIZACIÓN!D22</f>
        <v>-5242.4819052683924</v>
      </c>
      <c r="F23" s="101">
        <f>+-AMORTIZACIÓN!D23</f>
        <v>-6077.6092727776468</v>
      </c>
      <c r="G23" s="101">
        <f>+-AMORTIZACIÓN!D24</f>
        <v>-7045.7724299311267</v>
      </c>
    </row>
    <row r="24" spans="1:7" ht="12.75" customHeight="1">
      <c r="A24" s="343" t="s">
        <v>92</v>
      </c>
      <c r="B24" s="329">
        <f>+AMORTIZACIÓN!E19</f>
        <v>26788.697833333332</v>
      </c>
      <c r="C24" s="328"/>
      <c r="D24" s="328"/>
      <c r="E24" s="328"/>
      <c r="F24" s="328"/>
      <c r="G24" s="328"/>
    </row>
    <row r="25" spans="1:7" ht="12.75" customHeight="1">
      <c r="A25" s="343" t="s">
        <v>182</v>
      </c>
      <c r="B25" s="328">
        <f>+-'INVERSION INICIAL'!D50</f>
        <v>-48706.723333333328</v>
      </c>
      <c r="C25" s="2"/>
      <c r="D25" s="2"/>
      <c r="E25" s="2"/>
      <c r="F25" s="328">
        <f>+-'VALOR DE DESECHO'!C13-'VALOR DE DESECHO'!C14</f>
        <v>-6200</v>
      </c>
      <c r="G25" s="2"/>
    </row>
    <row r="26" spans="1:7" ht="12.75" customHeight="1">
      <c r="A26" s="343" t="s">
        <v>71</v>
      </c>
      <c r="B26" s="328">
        <f>+'CAP. TRABAJO'!B16</f>
        <v>-2268.0833333333321</v>
      </c>
      <c r="C26" s="2"/>
      <c r="D26" s="2"/>
      <c r="E26" s="2"/>
      <c r="F26" s="2"/>
      <c r="G26" s="62">
        <f>+-'CAP. TRABAJO'!B16</f>
        <v>2268.0833333333321</v>
      </c>
    </row>
    <row r="27" spans="1:7" ht="12.75" customHeight="1" thickBot="1">
      <c r="A27" s="344" t="s">
        <v>138</v>
      </c>
      <c r="B27" s="352"/>
      <c r="C27" s="352"/>
      <c r="D27" s="352"/>
      <c r="E27" s="352"/>
      <c r="F27" s="352"/>
      <c r="G27" s="353">
        <f>+'VALOR DE DESECHO'!H17</f>
        <v>20550.986666666664</v>
      </c>
    </row>
    <row r="28" spans="1:7" ht="12.75" customHeight="1">
      <c r="A28" s="356" t="s">
        <v>261</v>
      </c>
      <c r="B28" s="357">
        <f>+SUM(B21:B26)</f>
        <v>-24186.108833333328</v>
      </c>
      <c r="C28" s="351">
        <f t="shared" ref="C28:G28" si="18">+SUM(C21:C26)</f>
        <v>14125.387730905646</v>
      </c>
      <c r="D28" s="351">
        <f t="shared" si="18"/>
        <v>15805.240523761671</v>
      </c>
      <c r="E28" s="351">
        <f t="shared" si="18"/>
        <v>17637.764015019671</v>
      </c>
      <c r="F28" s="351">
        <f t="shared" si="18"/>
        <v>13435.926135547554</v>
      </c>
      <c r="G28" s="351">
        <f t="shared" si="18"/>
        <v>24081.725943675279</v>
      </c>
    </row>
    <row r="29" spans="1:7" ht="12.75" customHeight="1">
      <c r="A29" s="358"/>
      <c r="B29" s="359"/>
      <c r="C29" s="355"/>
      <c r="D29" s="355"/>
      <c r="E29" s="355"/>
      <c r="F29" s="355"/>
      <c r="G29" s="355"/>
    </row>
    <row r="30" spans="1:7" ht="12.75" customHeight="1">
      <c r="A30" s="330" t="s">
        <v>97</v>
      </c>
      <c r="B30" s="329">
        <f>NPV(B31,C28:G28)-B28</f>
        <v>87922.898940104351</v>
      </c>
    </row>
    <row r="31" spans="1:7" ht="12.75" customHeight="1">
      <c r="A31" s="330" t="s">
        <v>199</v>
      </c>
      <c r="B31" s="338">
        <v>9.74E-2</v>
      </c>
    </row>
    <row r="32" spans="1:7" ht="12.75" customHeight="1">
      <c r="A32" s="330" t="s">
        <v>85</v>
      </c>
      <c r="B32" s="113">
        <f>+IRR(B28:G28)</f>
        <v>0.58451015586269905</v>
      </c>
      <c r="E32" s="492" t="s">
        <v>248</v>
      </c>
      <c r="F32" s="492"/>
      <c r="G32" s="492"/>
    </row>
    <row r="34" spans="1:7">
      <c r="A34" s="491"/>
      <c r="B34" s="491"/>
      <c r="C34" s="491"/>
      <c r="D34" s="491"/>
      <c r="E34" s="491"/>
      <c r="F34" s="491"/>
      <c r="G34" s="491"/>
    </row>
    <row r="36" spans="1:7" ht="33" customHeight="1">
      <c r="B36" s="332" t="s">
        <v>200</v>
      </c>
      <c r="C36" s="332" t="s">
        <v>201</v>
      </c>
      <c r="D36" s="332" t="s">
        <v>202</v>
      </c>
      <c r="E36" s="332" t="s">
        <v>203</v>
      </c>
      <c r="F36" s="332" t="s">
        <v>204</v>
      </c>
    </row>
    <row r="37" spans="1:7" ht="12" customHeight="1">
      <c r="B37" s="36">
        <v>1</v>
      </c>
      <c r="C37" s="333">
        <f>-B28</f>
        <v>24186.108833333328</v>
      </c>
      <c r="D37" s="333">
        <f>+C28</f>
        <v>14125.387730905646</v>
      </c>
      <c r="E37" s="333">
        <f>+D37*$B$31</f>
        <v>1375.8127649902099</v>
      </c>
      <c r="F37" s="333">
        <f>D37-E37</f>
        <v>12749.574965915435</v>
      </c>
    </row>
    <row r="38" spans="1:7" ht="12.75" customHeight="1">
      <c r="B38" s="36">
        <v>2</v>
      </c>
      <c r="C38" s="333">
        <f>C37-F37</f>
        <v>11436.533867417893</v>
      </c>
      <c r="D38" s="333">
        <f>+D28</f>
        <v>15805.240523761671</v>
      </c>
      <c r="E38" s="333">
        <f t="shared" ref="E38:E41" si="19">+D38*$B$31</f>
        <v>1539.4304270143869</v>
      </c>
      <c r="F38" s="333">
        <f>D38-E38</f>
        <v>14265.810096747284</v>
      </c>
    </row>
    <row r="39" spans="1:7" ht="12.75" customHeight="1">
      <c r="B39" s="334">
        <v>3</v>
      </c>
      <c r="C39" s="335">
        <f>C38-F38</f>
        <v>-2829.2762293293908</v>
      </c>
      <c r="D39" s="335">
        <f>+E28</f>
        <v>17637.764015019671</v>
      </c>
      <c r="E39" s="335">
        <f t="shared" si="19"/>
        <v>1717.918215062916</v>
      </c>
      <c r="F39" s="335">
        <f t="shared" ref="F39:F41" si="20">D39-E39</f>
        <v>15919.845799956754</v>
      </c>
    </row>
    <row r="40" spans="1:7" ht="13.5" customHeight="1">
      <c r="B40" s="336">
        <v>4</v>
      </c>
      <c r="C40" s="337">
        <f t="shared" ref="C40:C41" si="21">C39-F39</f>
        <v>-18749.122029286147</v>
      </c>
      <c r="D40" s="337">
        <f>+F28</f>
        <v>13435.926135547554</v>
      </c>
      <c r="E40" s="337">
        <f t="shared" si="19"/>
        <v>1308.6592056023317</v>
      </c>
      <c r="F40" s="337">
        <f t="shared" si="20"/>
        <v>12127.266929945223</v>
      </c>
    </row>
    <row r="41" spans="1:7" ht="13.5" customHeight="1">
      <c r="B41" s="36">
        <v>5</v>
      </c>
      <c r="C41" s="333">
        <f t="shared" si="21"/>
        <v>-30876.388959231372</v>
      </c>
      <c r="D41" s="333">
        <f>+G28</f>
        <v>24081.725943675279</v>
      </c>
      <c r="E41" s="333">
        <f t="shared" si="19"/>
        <v>2345.560106913972</v>
      </c>
      <c r="F41" s="333">
        <f t="shared" si="20"/>
        <v>21736.165836761305</v>
      </c>
    </row>
  </sheetData>
  <mergeCells count="4">
    <mergeCell ref="A1:G1"/>
    <mergeCell ref="A2:G2"/>
    <mergeCell ref="A34:G34"/>
    <mergeCell ref="E32:G32"/>
  </mergeCells>
  <pageMargins left="1.5748031496062993" right="0.98425196850393704" top="1.3779527559055118" bottom="1.3779527559055118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M24"/>
  <sheetViews>
    <sheetView topLeftCell="A7" workbookViewId="0">
      <selection activeCell="C8" sqref="C8"/>
    </sheetView>
  </sheetViews>
  <sheetFormatPr baseColWidth="10" defaultRowHeight="15"/>
  <cols>
    <col min="1" max="1" width="43.140625" customWidth="1"/>
    <col min="2" max="2" width="14.5703125" bestFit="1" customWidth="1"/>
    <col min="3" max="6" width="14.42578125" bestFit="1" customWidth="1"/>
    <col min="8" max="8" width="14.28515625" bestFit="1" customWidth="1"/>
    <col min="9" max="13" width="12" bestFit="1" customWidth="1"/>
  </cols>
  <sheetData>
    <row r="2" spans="1:6">
      <c r="A2" s="434" t="s">
        <v>293</v>
      </c>
      <c r="B2" s="434"/>
      <c r="C2" s="434"/>
      <c r="D2" s="434"/>
      <c r="E2" s="434"/>
      <c r="F2" s="434"/>
    </row>
    <row r="3" spans="1:6">
      <c r="A3" s="434" t="s">
        <v>268</v>
      </c>
      <c r="B3" s="434"/>
      <c r="C3" s="434"/>
      <c r="D3" s="434"/>
      <c r="E3" s="434"/>
      <c r="F3" s="434"/>
    </row>
    <row r="4" spans="1:6" ht="15.75" thickBot="1">
      <c r="A4" s="146"/>
      <c r="B4" s="126"/>
      <c r="C4" s="126"/>
      <c r="D4" s="126"/>
      <c r="E4" s="126"/>
      <c r="F4" s="126"/>
    </row>
    <row r="5" spans="1:6">
      <c r="A5" s="143"/>
      <c r="B5" s="429">
        <v>1</v>
      </c>
      <c r="C5" s="430">
        <v>2</v>
      </c>
      <c r="D5" s="430">
        <v>3</v>
      </c>
      <c r="E5" s="430">
        <v>4</v>
      </c>
      <c r="F5" s="431">
        <v>5</v>
      </c>
    </row>
    <row r="6" spans="1:6">
      <c r="A6" s="129" t="str">
        <f>+'DERMANDA - INGRESOS'!G25</f>
        <v>Capacitaciones</v>
      </c>
      <c r="B6" s="331">
        <f>+'DERMANDA - INGRESOS'!T25</f>
        <v>46000</v>
      </c>
      <c r="C6" s="331">
        <f>+B6*1.1</f>
        <v>50600.000000000007</v>
      </c>
      <c r="D6" s="331">
        <f t="shared" ref="D6:F6" si="0">+C6*1.1</f>
        <v>55660.000000000015</v>
      </c>
      <c r="E6" s="331">
        <f t="shared" si="0"/>
        <v>61226.000000000022</v>
      </c>
      <c r="F6" s="331">
        <f t="shared" si="0"/>
        <v>67348.600000000035</v>
      </c>
    </row>
    <row r="7" spans="1:6">
      <c r="A7" s="129" t="str">
        <f>+'DERMANDA - INGRESOS'!G26</f>
        <v>Estudios</v>
      </c>
      <c r="B7" s="331">
        <f>+'DERMANDA - INGRESOS'!T26</f>
        <v>168000</v>
      </c>
      <c r="C7" s="331">
        <f>+B7*1.05</f>
        <v>176400</v>
      </c>
      <c r="D7" s="331">
        <f t="shared" ref="D7:F7" si="1">+C7*1.05</f>
        <v>185220</v>
      </c>
      <c r="E7" s="331">
        <f t="shared" si="1"/>
        <v>194481</v>
      </c>
      <c r="F7" s="331">
        <f t="shared" si="1"/>
        <v>204205.05000000002</v>
      </c>
    </row>
    <row r="8" spans="1:6">
      <c r="A8" s="129" t="s">
        <v>226</v>
      </c>
      <c r="B8" s="331">
        <f>+'DERMANDA - INGRESOS'!T39</f>
        <v>15140</v>
      </c>
      <c r="C8" s="331">
        <f>+B8*1.05</f>
        <v>15897</v>
      </c>
      <c r="D8" s="331">
        <f t="shared" ref="D8:F8" si="2">+C8*1.05</f>
        <v>16691.850000000002</v>
      </c>
      <c r="E8" s="331">
        <f t="shared" si="2"/>
        <v>17526.442500000005</v>
      </c>
      <c r="F8" s="331">
        <f t="shared" si="2"/>
        <v>18402.764625000007</v>
      </c>
    </row>
    <row r="9" spans="1:6">
      <c r="A9" s="129" t="s">
        <v>215</v>
      </c>
      <c r="B9" s="331">
        <f>+(B6+B7)*0.283</f>
        <v>60561.999999999993</v>
      </c>
      <c r="C9" s="331">
        <f t="shared" ref="C9:F9" si="3">+(C6+C7)*0.283</f>
        <v>64240.999999999993</v>
      </c>
      <c r="D9" s="331">
        <f t="shared" si="3"/>
        <v>68169.039999999994</v>
      </c>
      <c r="E9" s="331">
        <f t="shared" si="3"/>
        <v>72365.081000000006</v>
      </c>
      <c r="F9" s="331">
        <f t="shared" si="3"/>
        <v>76849.682950000002</v>
      </c>
    </row>
    <row r="10" spans="1:6" ht="15.75" thickBot="1">
      <c r="A10" s="129" t="s">
        <v>184</v>
      </c>
      <c r="B10" s="364">
        <f>+COSTOS!O21</f>
        <v>29535</v>
      </c>
      <c r="C10" s="364">
        <f>+B10*1.05</f>
        <v>31011.75</v>
      </c>
      <c r="D10" s="364">
        <f t="shared" ref="D10:F10" si="4">+C10*1.05</f>
        <v>32562.337500000001</v>
      </c>
      <c r="E10" s="364">
        <f t="shared" si="4"/>
        <v>34190.454375000001</v>
      </c>
      <c r="F10" s="364">
        <f t="shared" si="4"/>
        <v>35899.97709375</v>
      </c>
    </row>
    <row r="11" spans="1:6">
      <c r="A11" s="129" t="s">
        <v>262</v>
      </c>
      <c r="B11" s="360">
        <f>B6+B7+B8-B10-B9</f>
        <v>139043</v>
      </c>
      <c r="C11" s="360">
        <f t="shared" ref="C11:F11" si="5">C6+C7+C8-C10-C9</f>
        <v>147644.25</v>
      </c>
      <c r="D11" s="360">
        <f t="shared" si="5"/>
        <v>156840.47250000003</v>
      </c>
      <c r="E11" s="360">
        <f t="shared" si="5"/>
        <v>166677.907125</v>
      </c>
      <c r="F11" s="360">
        <f t="shared" si="5"/>
        <v>177206.75458125002</v>
      </c>
    </row>
    <row r="12" spans="1:6">
      <c r="A12" s="129" t="s">
        <v>189</v>
      </c>
      <c r="B12" s="331">
        <f>+COSTOS!C2</f>
        <v>103296.99999999999</v>
      </c>
      <c r="C12" s="331">
        <f>B12*1.05</f>
        <v>108461.84999999999</v>
      </c>
      <c r="D12" s="331">
        <f t="shared" ref="D12:F12" si="6">C12*1.05</f>
        <v>113884.94249999999</v>
      </c>
      <c r="E12" s="331">
        <f t="shared" si="6"/>
        <v>119579.189625</v>
      </c>
      <c r="F12" s="331">
        <f t="shared" si="6"/>
        <v>125558.14910625</v>
      </c>
    </row>
    <row r="13" spans="1:6">
      <c r="A13" s="129" t="s">
        <v>190</v>
      </c>
      <c r="B13" s="331">
        <f>+COSTOS!C8</f>
        <v>2400</v>
      </c>
      <c r="C13" s="331">
        <f>+B13*1.02</f>
        <v>2448</v>
      </c>
      <c r="D13" s="331">
        <f t="shared" ref="D13:F13" si="7">+C13*1.02</f>
        <v>2496.96</v>
      </c>
      <c r="E13" s="331">
        <f t="shared" si="7"/>
        <v>2546.8992000000003</v>
      </c>
      <c r="F13" s="331">
        <f t="shared" si="7"/>
        <v>2597.8371840000004</v>
      </c>
    </row>
    <row r="14" spans="1:6">
      <c r="A14" s="129" t="s">
        <v>191</v>
      </c>
      <c r="B14" s="331">
        <f>+DEPRECIACIONES!F88</f>
        <v>5623.5306666666665</v>
      </c>
      <c r="C14" s="331">
        <f>B14</f>
        <v>5623.5306666666665</v>
      </c>
      <c r="D14" s="331">
        <f t="shared" ref="D14:F14" si="8">C14</f>
        <v>5623.5306666666665</v>
      </c>
      <c r="E14" s="331">
        <f t="shared" si="8"/>
        <v>5623.5306666666665</v>
      </c>
      <c r="F14" s="331">
        <f t="shared" si="8"/>
        <v>5623.5306666666665</v>
      </c>
    </row>
    <row r="15" spans="1:6">
      <c r="A15" s="129" t="s">
        <v>218</v>
      </c>
      <c r="B15" s="331">
        <v>1000</v>
      </c>
      <c r="C15" s="331">
        <f>+B15*1.1</f>
        <v>1100</v>
      </c>
      <c r="D15" s="331">
        <f t="shared" ref="D15:F15" si="9">+C15*1.1</f>
        <v>1210</v>
      </c>
      <c r="E15" s="331">
        <f t="shared" si="9"/>
        <v>1331</v>
      </c>
      <c r="F15" s="331">
        <f t="shared" si="9"/>
        <v>1464.1000000000001</v>
      </c>
    </row>
    <row r="16" spans="1:6" ht="15.75" thickBot="1">
      <c r="A16" s="129" t="s">
        <v>192</v>
      </c>
      <c r="B16" s="364">
        <f>+COSTOS!C11</f>
        <v>3000</v>
      </c>
      <c r="C16" s="364">
        <f>+B16*1.1</f>
        <v>3300.0000000000005</v>
      </c>
      <c r="D16" s="364">
        <f t="shared" ref="D16:F16" si="10">+C16*1.1</f>
        <v>3630.0000000000009</v>
      </c>
      <c r="E16" s="364">
        <f t="shared" si="10"/>
        <v>3993.0000000000014</v>
      </c>
      <c r="F16" s="364">
        <f t="shared" si="10"/>
        <v>4392.300000000002</v>
      </c>
    </row>
    <row r="17" spans="1:13">
      <c r="A17" s="129" t="s">
        <v>263</v>
      </c>
      <c r="B17" s="362">
        <f>B11-B12-B13-B14-B16-B15</f>
        <v>23722.469333333349</v>
      </c>
      <c r="C17" s="362">
        <f t="shared" ref="C17:F17" si="11">C11-C12-C13-C14-C16-C15</f>
        <v>26710.869333333343</v>
      </c>
      <c r="D17" s="362">
        <f t="shared" si="11"/>
        <v>29995.039333333378</v>
      </c>
      <c r="E17" s="362">
        <f t="shared" si="11"/>
        <v>33604.287633333333</v>
      </c>
      <c r="F17" s="362">
        <f t="shared" si="11"/>
        <v>37570.837624333348</v>
      </c>
    </row>
    <row r="18" spans="1:13">
      <c r="A18" s="129" t="s">
        <v>193</v>
      </c>
      <c r="B18" s="361">
        <f>+AMORTIZACIÓN!C20</f>
        <v>4267.4395648499994</v>
      </c>
      <c r="C18" s="361">
        <f>+AMORTIZACIÓN!C21</f>
        <v>3646.0541658321531</v>
      </c>
      <c r="D18" s="361">
        <f>+AMORTIZACIÓN!C22</f>
        <v>2925.6820727507638</v>
      </c>
      <c r="E18" s="361">
        <f>+AMORTIZACIÓN!C23</f>
        <v>2090.5547052415091</v>
      </c>
      <c r="F18" s="361">
        <f>+AMORTIZACIÓN!C24</f>
        <v>1122.3915480880298</v>
      </c>
    </row>
    <row r="19" spans="1:13">
      <c r="A19" s="129" t="s">
        <v>264</v>
      </c>
      <c r="B19" s="361">
        <f>B17-B18</f>
        <v>19455.029768483349</v>
      </c>
      <c r="C19" s="361">
        <f t="shared" ref="C19:F19" si="12">C17-C18</f>
        <v>23064.81516750119</v>
      </c>
      <c r="D19" s="361">
        <f t="shared" si="12"/>
        <v>27069.357260582612</v>
      </c>
      <c r="E19" s="361">
        <f t="shared" si="12"/>
        <v>31513.732928091824</v>
      </c>
      <c r="F19" s="361">
        <f t="shared" si="12"/>
        <v>36448.446076245316</v>
      </c>
    </row>
    <row r="20" spans="1:13">
      <c r="A20" s="354" t="s">
        <v>186</v>
      </c>
      <c r="B20" s="361">
        <f>+B19*0.15</f>
        <v>2918.2544652725023</v>
      </c>
      <c r="C20" s="361">
        <f t="shared" ref="C20:E20" si="13">C19*0.15</f>
        <v>3459.7222751251784</v>
      </c>
      <c r="D20" s="361">
        <f t="shared" si="13"/>
        <v>4060.4035890873915</v>
      </c>
      <c r="E20" s="361">
        <f t="shared" si="13"/>
        <v>4727.0599392137738</v>
      </c>
      <c r="F20" s="361">
        <f>F19*0.15</f>
        <v>5467.2669114367973</v>
      </c>
    </row>
    <row r="21" spans="1:13">
      <c r="A21" s="129" t="s">
        <v>187</v>
      </c>
      <c r="B21" s="361">
        <f>B19-B20</f>
        <v>16536.775303210849</v>
      </c>
      <c r="C21" s="361">
        <f t="shared" ref="C21:F21" si="14">C19-C20</f>
        <v>19605.092892376011</v>
      </c>
      <c r="D21" s="361">
        <f t="shared" si="14"/>
        <v>23008.953671495219</v>
      </c>
      <c r="E21" s="361">
        <f t="shared" si="14"/>
        <v>26786.67298887805</v>
      </c>
      <c r="F21" s="361">
        <f t="shared" si="14"/>
        <v>30981.17916480852</v>
      </c>
    </row>
    <row r="22" spans="1:13" ht="15.75" thickBot="1">
      <c r="A22" s="129" t="s">
        <v>188</v>
      </c>
      <c r="B22" s="363">
        <f>+B21*0.25</f>
        <v>4134.1938258027121</v>
      </c>
      <c r="C22" s="363">
        <f t="shared" ref="C22:F22" si="15">C21*0.25</f>
        <v>4901.2732230940028</v>
      </c>
      <c r="D22" s="363">
        <f t="shared" si="15"/>
        <v>5752.2384178738048</v>
      </c>
      <c r="E22" s="363">
        <f t="shared" si="15"/>
        <v>6696.6682472195125</v>
      </c>
      <c r="F22" s="363">
        <f t="shared" si="15"/>
        <v>7745.29479120213</v>
      </c>
      <c r="I22" s="399">
        <v>1</v>
      </c>
      <c r="J22" s="399">
        <v>2</v>
      </c>
      <c r="K22" s="399">
        <v>3</v>
      </c>
      <c r="L22" s="399">
        <v>4</v>
      </c>
      <c r="M22" s="399">
        <v>5</v>
      </c>
    </row>
    <row r="23" spans="1:13">
      <c r="A23" s="365" t="s">
        <v>197</v>
      </c>
      <c r="B23" s="362">
        <f>B21-B22</f>
        <v>12402.581477408137</v>
      </c>
      <c r="C23" s="362">
        <f t="shared" ref="C23:F23" si="16">C21-C22</f>
        <v>14703.819669282009</v>
      </c>
      <c r="D23" s="362">
        <f t="shared" si="16"/>
        <v>17256.715253621413</v>
      </c>
      <c r="E23" s="362">
        <f t="shared" si="16"/>
        <v>20090.004741658537</v>
      </c>
      <c r="F23" s="362">
        <f t="shared" si="16"/>
        <v>23235.88437360639</v>
      </c>
      <c r="H23" s="400" t="s">
        <v>197</v>
      </c>
      <c r="I23" s="398">
        <v>12402.581477408137</v>
      </c>
      <c r="J23" s="398">
        <v>14703.819669282009</v>
      </c>
      <c r="K23" s="398">
        <v>17256.715253621413</v>
      </c>
      <c r="L23" s="398">
        <v>20090.004741658537</v>
      </c>
      <c r="M23" s="398">
        <v>23235.88437360639</v>
      </c>
    </row>
    <row r="24" spans="1:13">
      <c r="D24" s="493" t="s">
        <v>259</v>
      </c>
      <c r="E24" s="493"/>
      <c r="F24" s="493"/>
    </row>
  </sheetData>
  <mergeCells count="3">
    <mergeCell ref="A3:F3"/>
    <mergeCell ref="A2:F2"/>
    <mergeCell ref="D24:F24"/>
  </mergeCells>
  <pageMargins left="1.5748031496062993" right="0.98425196850393704" top="1.3779527559055118" bottom="1.3779527559055118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E24"/>
  <sheetViews>
    <sheetView topLeftCell="A13" workbookViewId="0">
      <selection activeCell="A17" sqref="A17:E24"/>
    </sheetView>
  </sheetViews>
  <sheetFormatPr baseColWidth="10" defaultRowHeight="15"/>
  <cols>
    <col min="1" max="1" width="30" bestFit="1" customWidth="1"/>
    <col min="2" max="2" width="15.42578125" bestFit="1" customWidth="1"/>
    <col min="3" max="3" width="12.42578125" bestFit="1" customWidth="1"/>
    <col min="4" max="4" width="15.140625" bestFit="1" customWidth="1"/>
    <col min="5" max="5" width="12.28515625" bestFit="1" customWidth="1"/>
  </cols>
  <sheetData>
    <row r="3" spans="1:4">
      <c r="A3" t="s">
        <v>213</v>
      </c>
    </row>
    <row r="4" spans="1:4">
      <c r="A4" t="s">
        <v>217</v>
      </c>
    </row>
    <row r="5" spans="1:4" ht="15.75" thickBot="1"/>
    <row r="6" spans="1:4" ht="22.5" customHeight="1" thickBot="1">
      <c r="A6" s="160" t="s">
        <v>86</v>
      </c>
      <c r="B6" s="162">
        <f>+'INVERSION INICIAL'!D50</f>
        <v>48706.723333333328</v>
      </c>
      <c r="D6" s="248"/>
    </row>
    <row r="7" spans="1:4" ht="15.75" thickBot="1">
      <c r="A7" s="249" t="s">
        <v>177</v>
      </c>
      <c r="B7" s="250">
        <f>+B6*0.55</f>
        <v>26788.697833333332</v>
      </c>
      <c r="D7" s="6"/>
    </row>
    <row r="8" spans="1:4" ht="15.75" thickBot="1">
      <c r="A8" s="161" t="s">
        <v>181</v>
      </c>
      <c r="B8" s="251">
        <f>+B6*0.45</f>
        <v>21918.0255</v>
      </c>
    </row>
    <row r="9" spans="1:4">
      <c r="B9" s="6"/>
    </row>
    <row r="10" spans="1:4">
      <c r="B10" s="164" t="s">
        <v>182</v>
      </c>
      <c r="C10" s="14" t="s">
        <v>183</v>
      </c>
    </row>
    <row r="11" spans="1:4">
      <c r="A11" s="14" t="s">
        <v>178</v>
      </c>
      <c r="B11" s="166">
        <f>+$B$8/3</f>
        <v>7306.0084999999999</v>
      </c>
      <c r="C11" s="165">
        <v>0.33329999999999999</v>
      </c>
    </row>
    <row r="12" spans="1:4">
      <c r="A12" s="14" t="s">
        <v>179</v>
      </c>
      <c r="B12" s="166">
        <f t="shared" ref="B12:B13" si="0">+$B$8/3</f>
        <v>7306.0084999999999</v>
      </c>
      <c r="C12" s="165">
        <v>0.33329999999999999</v>
      </c>
    </row>
    <row r="13" spans="1:4">
      <c r="A13" s="14" t="s">
        <v>180</v>
      </c>
      <c r="B13" s="166">
        <f t="shared" si="0"/>
        <v>7306.0084999999999</v>
      </c>
      <c r="C13" s="165">
        <v>0.33329999999999999</v>
      </c>
    </row>
    <row r="14" spans="1:4">
      <c r="B14" s="6"/>
    </row>
    <row r="15" spans="1:4">
      <c r="B15" s="6"/>
    </row>
    <row r="16" spans="1:4" ht="15.75" thickBot="1">
      <c r="B16" s="6"/>
    </row>
    <row r="17" spans="1:5" ht="15.75" thickBot="1">
      <c r="A17" s="494" t="s">
        <v>87</v>
      </c>
      <c r="B17" s="495"/>
      <c r="C17" s="495"/>
      <c r="D17" s="495"/>
      <c r="E17" s="496"/>
    </row>
    <row r="18" spans="1:5" ht="30.75" thickBot="1">
      <c r="A18" s="7" t="s">
        <v>88</v>
      </c>
      <c r="B18" s="8" t="s">
        <v>89</v>
      </c>
      <c r="C18" s="9" t="s">
        <v>90</v>
      </c>
      <c r="D18" s="9" t="s">
        <v>70</v>
      </c>
      <c r="E18" s="10" t="s">
        <v>91</v>
      </c>
    </row>
    <row r="19" spans="1:5" ht="15.75" thickBot="1">
      <c r="A19" s="11">
        <v>0</v>
      </c>
      <c r="B19" s="12">
        <v>0</v>
      </c>
      <c r="C19" s="13">
        <v>0</v>
      </c>
      <c r="D19" s="13">
        <v>0</v>
      </c>
      <c r="E19" s="5">
        <f>+B7</f>
        <v>26788.697833333332</v>
      </c>
    </row>
    <row r="20" spans="1:5" ht="15.75" thickBot="1">
      <c r="A20" s="11">
        <v>1</v>
      </c>
      <c r="B20" s="5">
        <f>-PMT(15.93%,5,$E$19)</f>
        <v>8168.1639780191563</v>
      </c>
      <c r="C20" s="5">
        <f>E19*15.93%</f>
        <v>4267.4395648499994</v>
      </c>
      <c r="D20" s="5">
        <f>B20-C20</f>
        <v>3900.7244131691568</v>
      </c>
      <c r="E20" s="5">
        <f>E19-D20</f>
        <v>22887.973420164177</v>
      </c>
    </row>
    <row r="21" spans="1:5" ht="15.75" thickBot="1">
      <c r="A21" s="11">
        <v>2</v>
      </c>
      <c r="B21" s="5">
        <f t="shared" ref="B21:B24" si="1">-PMT(15.93%,5,$E$19)</f>
        <v>8168.1639780191563</v>
      </c>
      <c r="C21" s="5">
        <f t="shared" ref="C21:C24" si="2">E20*15.93%</f>
        <v>3646.0541658321531</v>
      </c>
      <c r="D21" s="5">
        <f t="shared" ref="D21:D24" si="3">B21-C21</f>
        <v>4522.1098121870036</v>
      </c>
      <c r="E21" s="5">
        <f t="shared" ref="E21:E24" si="4">E20-D21</f>
        <v>18365.863607977175</v>
      </c>
    </row>
    <row r="22" spans="1:5" ht="15.75" thickBot="1">
      <c r="A22" s="11">
        <v>3</v>
      </c>
      <c r="B22" s="5">
        <f t="shared" si="1"/>
        <v>8168.1639780191563</v>
      </c>
      <c r="C22" s="5">
        <f t="shared" si="2"/>
        <v>2925.6820727507638</v>
      </c>
      <c r="D22" s="5">
        <f t="shared" si="3"/>
        <v>5242.4819052683924</v>
      </c>
      <c r="E22" s="5">
        <f t="shared" si="4"/>
        <v>13123.381702708783</v>
      </c>
    </row>
    <row r="23" spans="1:5" ht="15.75" thickBot="1">
      <c r="A23" s="11">
        <v>4</v>
      </c>
      <c r="B23" s="5">
        <f t="shared" si="1"/>
        <v>8168.1639780191563</v>
      </c>
      <c r="C23" s="5">
        <f t="shared" si="2"/>
        <v>2090.5547052415091</v>
      </c>
      <c r="D23" s="5">
        <f t="shared" si="3"/>
        <v>6077.6092727776468</v>
      </c>
      <c r="E23" s="5">
        <f t="shared" si="4"/>
        <v>7045.7724299311358</v>
      </c>
    </row>
    <row r="24" spans="1:5" ht="15.75" thickBot="1">
      <c r="A24" s="11">
        <v>5</v>
      </c>
      <c r="B24" s="5">
        <f t="shared" si="1"/>
        <v>8168.1639780191563</v>
      </c>
      <c r="C24" s="5">
        <f t="shared" si="2"/>
        <v>1122.3915480880298</v>
      </c>
      <c r="D24" s="5">
        <f t="shared" si="3"/>
        <v>7045.7724299311267</v>
      </c>
      <c r="E24" s="5">
        <f t="shared" si="4"/>
        <v>9.0949470177292824E-12</v>
      </c>
    </row>
  </sheetData>
  <mergeCells count="1">
    <mergeCell ref="A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INVERSION INICIAL</vt:lpstr>
      <vt:lpstr>DERMANDA - INGRESOS</vt:lpstr>
      <vt:lpstr>DEPRECIACIONES</vt:lpstr>
      <vt:lpstr>VALOR DE DESECHO</vt:lpstr>
      <vt:lpstr>GASTOS ADMINISTRATIVOS</vt:lpstr>
      <vt:lpstr>CAP. TRABAJO</vt:lpstr>
      <vt:lpstr>FLUJO DE CAJA</vt:lpstr>
      <vt:lpstr>EST. RESULTADO</vt:lpstr>
      <vt:lpstr>AMORTIZACIÓN</vt:lpstr>
      <vt:lpstr>COSTOS</vt:lpstr>
      <vt:lpstr>GASTOS ADMINISTRATIVOS (2)</vt:lpstr>
      <vt:lpstr>capm y prestamo</vt:lpstr>
      <vt:lpstr>FLUJO DE CAJA (2)</vt:lpstr>
      <vt:lpstr>ANALISIS SENSIB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</dc:creator>
  <cp:lastModifiedBy>Fernando</cp:lastModifiedBy>
  <cp:lastPrinted>2012-02-19T06:09:04Z</cp:lastPrinted>
  <dcterms:created xsi:type="dcterms:W3CDTF">2012-01-30T00:27:30Z</dcterms:created>
  <dcterms:modified xsi:type="dcterms:W3CDTF">2012-02-23T05:35:20Z</dcterms:modified>
</cp:coreProperties>
</file>