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6915" windowHeight="4680" tabRatio="933" firstSheet="10" activeTab="13"/>
  </bookViews>
  <sheets>
    <sheet name="ACTIVOS FIJOS" sheetId="1" r:id="rId1"/>
    <sheet name="ACTIVOS INTANGIBLES" sheetId="7" r:id="rId2"/>
    <sheet name="CAPITAL DE TRABAJO" sheetId="2" r:id="rId3"/>
    <sheet name="INVERSIONES-AMORTIZACIÓN" sheetId="8" r:id="rId4"/>
    <sheet name="INGRESOS" sheetId="12" r:id="rId5"/>
    <sheet name="GASTOS" sheetId="6" r:id="rId6"/>
    <sheet name="SUELDOS" sheetId="4" r:id="rId7"/>
    <sheet name="MATERIA PRIMA" sheetId="11" r:id="rId8"/>
    <sheet name="DEPRECIACIÓN" sheetId="15" r:id="rId9"/>
    <sheet name="ESTADO DE SITUACIÓN INICIAL" sheetId="9" r:id="rId10"/>
    <sheet name="ESTADO DE RESULTADO INTEGRAL" sheetId="10" r:id="rId11"/>
    <sheet name="FLUJO DE CAJA PURO" sheetId="17" r:id="rId12"/>
    <sheet name="FLUJO DEL INVERSIONISTA" sheetId="18" r:id="rId13"/>
    <sheet name="Ke,Ko, Tir, Van" sheetId="19" r:id="rId14"/>
    <sheet name="ANÁLISIS DE SENSIBILIDAD" sheetId="21" r:id="rId15"/>
  </sheets>
  <calcPr calcId="144525"/>
</workbook>
</file>

<file path=xl/calcChain.xml><?xml version="1.0" encoding="utf-8"?>
<calcChain xmlns="http://schemas.openxmlformats.org/spreadsheetml/2006/main">
  <c r="E10" i="12" l="1"/>
  <c r="J9" i="11"/>
  <c r="Q35" i="6" l="1"/>
  <c r="B14" i="10" s="1"/>
  <c r="C14" i="17" s="1"/>
  <c r="C14" i="18" s="1"/>
  <c r="R35" i="6"/>
  <c r="C14" i="10" s="1"/>
  <c r="D14" i="17" s="1"/>
  <c r="D14" i="18" s="1"/>
  <c r="S35" i="6"/>
  <c r="D14" i="10" s="1"/>
  <c r="E14" i="17" s="1"/>
  <c r="E14" i="18" s="1"/>
  <c r="T35" i="6"/>
  <c r="E14" i="10" s="1"/>
  <c r="F14" i="17" s="1"/>
  <c r="F14" i="18" s="1"/>
  <c r="U35" i="6"/>
  <c r="F14" i="10" s="1"/>
  <c r="G14" i="17" s="1"/>
  <c r="G14" i="18" s="1"/>
  <c r="D47" i="6"/>
  <c r="R28" i="6" s="1"/>
  <c r="D46" i="6"/>
  <c r="C47" i="6"/>
  <c r="C46" i="6"/>
  <c r="B6" i="19"/>
  <c r="E4" i="19" s="1"/>
  <c r="E5" i="19"/>
  <c r="E3" i="19"/>
  <c r="E2" i="19"/>
  <c r="G47" i="6"/>
  <c r="G46" i="6"/>
  <c r="F47" i="6"/>
  <c r="F46" i="6"/>
  <c r="E47" i="6"/>
  <c r="E46" i="6"/>
  <c r="C80" i="6"/>
  <c r="B78" i="6"/>
  <c r="B79" i="6"/>
  <c r="B77" i="6"/>
  <c r="B80" i="6" s="1"/>
  <c r="B3" i="7"/>
  <c r="B7" i="7"/>
  <c r="C16" i="17" s="1"/>
  <c r="D16" i="17" s="1"/>
  <c r="E16" i="17" s="1"/>
  <c r="F16" i="17" s="1"/>
  <c r="G16" i="17" s="1"/>
  <c r="G17" i="18" s="1"/>
  <c r="B8" i="7" l="1"/>
  <c r="F17" i="18"/>
  <c r="D17" i="18"/>
  <c r="E17" i="18"/>
  <c r="C17" i="18"/>
  <c r="E6" i="19"/>
  <c r="C23" i="17"/>
  <c r="D23" i="17" s="1"/>
  <c r="E23" i="17" s="1"/>
  <c r="F23" i="17" s="1"/>
  <c r="G23" i="17" s="1"/>
  <c r="C24" i="18"/>
  <c r="D24" i="18" s="1"/>
  <c r="E24" i="18" s="1"/>
  <c r="F24" i="18" s="1"/>
  <c r="G24" i="18" s="1"/>
  <c r="B16" i="10"/>
  <c r="C16" i="10" s="1"/>
  <c r="D16" i="10" s="1"/>
  <c r="E16" i="10" s="1"/>
  <c r="F16" i="10" s="1"/>
  <c r="K35" i="6" l="1"/>
  <c r="J35" i="6"/>
  <c r="C70" i="6"/>
  <c r="D70" i="6"/>
  <c r="E69" i="6"/>
  <c r="F69" i="6" s="1"/>
  <c r="G69" i="6" s="1"/>
  <c r="G70" i="6" s="1"/>
  <c r="B69" i="6"/>
  <c r="B70" i="6" s="1"/>
  <c r="F10" i="12"/>
  <c r="G10" i="12" s="1"/>
  <c r="H10" i="12" s="1"/>
  <c r="I10" i="12" s="1"/>
  <c r="B3" i="12"/>
  <c r="B4" i="12" s="1"/>
  <c r="B5" i="12" s="1"/>
  <c r="B6" i="12" s="1"/>
  <c r="G3" i="12"/>
  <c r="H3" i="12" s="1"/>
  <c r="I3" i="12" s="1"/>
  <c r="J3" i="12" s="1"/>
  <c r="K3" i="12" s="1"/>
  <c r="L3" i="12" s="1"/>
  <c r="M3" i="12" s="1"/>
  <c r="N3" i="12" s="1"/>
  <c r="O3" i="12" s="1"/>
  <c r="P3" i="12" s="1"/>
  <c r="C36" i="15"/>
  <c r="C24" i="15"/>
  <c r="D24" i="15" s="1"/>
  <c r="F24" i="15" s="1"/>
  <c r="C25" i="15"/>
  <c r="C26" i="15"/>
  <c r="D26" i="15" s="1"/>
  <c r="F26" i="15" s="1"/>
  <c r="C27" i="15"/>
  <c r="C28" i="15"/>
  <c r="D28" i="15" s="1"/>
  <c r="F28" i="15" s="1"/>
  <c r="C29" i="15"/>
  <c r="C30" i="15"/>
  <c r="D30" i="15" s="1"/>
  <c r="C23" i="15"/>
  <c r="C20" i="15"/>
  <c r="D20" i="15" s="1"/>
  <c r="F20" i="15" s="1"/>
  <c r="C19" i="15"/>
  <c r="C18" i="15"/>
  <c r="D18" i="15" s="1"/>
  <c r="C15" i="15"/>
  <c r="C5" i="15"/>
  <c r="C6" i="15"/>
  <c r="C7" i="15"/>
  <c r="C8" i="15"/>
  <c r="C9" i="15"/>
  <c r="C10" i="15"/>
  <c r="C11" i="15"/>
  <c r="C12" i="15"/>
  <c r="C4" i="15"/>
  <c r="D4" i="15" s="1"/>
  <c r="B36" i="6"/>
  <c r="J17" i="4"/>
  <c r="D15" i="15"/>
  <c r="D36" i="15"/>
  <c r="F36" i="15" s="1"/>
  <c r="D35" i="15"/>
  <c r="F35" i="15" s="1"/>
  <c r="D34" i="15"/>
  <c r="F34" i="15" s="1"/>
  <c r="D33" i="15"/>
  <c r="D29" i="15"/>
  <c r="F29" i="15" s="1"/>
  <c r="D27" i="15"/>
  <c r="F27" i="15" s="1"/>
  <c r="D25" i="15"/>
  <c r="F25" i="15" s="1"/>
  <c r="D23" i="15"/>
  <c r="D19" i="15"/>
  <c r="F19" i="15" s="1"/>
  <c r="D12" i="15"/>
  <c r="F12" i="15" s="1"/>
  <c r="D11" i="15"/>
  <c r="F11" i="15" s="1"/>
  <c r="D10" i="15"/>
  <c r="F10" i="15" s="1"/>
  <c r="D9" i="15"/>
  <c r="F9" i="15" s="1"/>
  <c r="D8" i="15"/>
  <c r="F8" i="15" s="1"/>
  <c r="D7" i="15"/>
  <c r="F7" i="15" s="1"/>
  <c r="D6" i="15"/>
  <c r="F6" i="15" s="1"/>
  <c r="D5" i="15"/>
  <c r="F5" i="15" s="1"/>
  <c r="H20" i="15" l="1"/>
  <c r="H19" i="15"/>
  <c r="H35" i="15"/>
  <c r="F15" i="15"/>
  <c r="H15" i="15" s="1"/>
  <c r="H34" i="15"/>
  <c r="H36" i="15"/>
  <c r="D13" i="15"/>
  <c r="F4" i="15"/>
  <c r="F13" i="15" s="1"/>
  <c r="F4" i="12"/>
  <c r="M35" i="6"/>
  <c r="N35" i="6"/>
  <c r="L35" i="6"/>
  <c r="E70" i="6"/>
  <c r="F70" i="6"/>
  <c r="E5" i="12"/>
  <c r="D37" i="15"/>
  <c r="F16" i="15"/>
  <c r="D21" i="15"/>
  <c r="D16" i="15"/>
  <c r="H16" i="15"/>
  <c r="F18" i="15"/>
  <c r="F21" i="15" s="1"/>
  <c r="F33" i="15"/>
  <c r="F37" i="15" s="1"/>
  <c r="D31" i="15"/>
  <c r="H6" i="15"/>
  <c r="H7" i="15"/>
  <c r="H8" i="15"/>
  <c r="H9" i="15"/>
  <c r="H10" i="15"/>
  <c r="H11" i="15"/>
  <c r="H12" i="15"/>
  <c r="F23" i="15"/>
  <c r="H24" i="15"/>
  <c r="H25" i="15"/>
  <c r="H26" i="15"/>
  <c r="H27" i="15"/>
  <c r="H28" i="15"/>
  <c r="H29" i="15"/>
  <c r="F30" i="15"/>
  <c r="H30" i="15" s="1"/>
  <c r="F31" i="15" l="1"/>
  <c r="F38" i="15"/>
  <c r="H4" i="15"/>
  <c r="G4" i="12"/>
  <c r="H4" i="12" s="1"/>
  <c r="F5" i="12"/>
  <c r="H33" i="15"/>
  <c r="J4" i="12"/>
  <c r="J5" i="12" s="1"/>
  <c r="I4" i="12"/>
  <c r="I5" i="12" s="1"/>
  <c r="F4" i="2" s="1"/>
  <c r="G5" i="12"/>
  <c r="H5" i="12"/>
  <c r="K4" i="12"/>
  <c r="H18" i="15"/>
  <c r="H21" i="15" s="1"/>
  <c r="H37" i="15"/>
  <c r="H5" i="15"/>
  <c r="H23" i="15"/>
  <c r="H13" i="15" l="1"/>
  <c r="L4" i="12"/>
  <c r="L5" i="12" s="1"/>
  <c r="E4" i="2"/>
  <c r="N4" i="12"/>
  <c r="K5" i="12"/>
  <c r="H4" i="2" s="1"/>
  <c r="H31" i="15"/>
  <c r="C23" i="18" l="1"/>
  <c r="D23" i="18" s="1"/>
  <c r="E23" i="18" s="1"/>
  <c r="F23" i="18" s="1"/>
  <c r="G23" i="18" s="1"/>
  <c r="C22" i="17"/>
  <c r="D22" i="17" s="1"/>
  <c r="E22" i="17" s="1"/>
  <c r="F22" i="17" s="1"/>
  <c r="G22" i="17" s="1"/>
  <c r="C15" i="17"/>
  <c r="B15" i="10"/>
  <c r="M4" i="12"/>
  <c r="M5" i="12" s="1"/>
  <c r="O4" i="12"/>
  <c r="O5" i="12" s="1"/>
  <c r="N5" i="12"/>
  <c r="K4" i="2" s="1"/>
  <c r="P4" i="12"/>
  <c r="P5" i="12" s="1"/>
  <c r="M4" i="2" s="1"/>
  <c r="C29" i="6"/>
  <c r="C35" i="6"/>
  <c r="J34" i="6" s="1"/>
  <c r="J36" i="6" s="1"/>
  <c r="B10" i="10" s="1"/>
  <c r="C10" i="17" s="1"/>
  <c r="C10" i="18" s="1"/>
  <c r="C8" i="11"/>
  <c r="D5" i="11"/>
  <c r="C54" i="6" s="1"/>
  <c r="B15" i="11" s="1"/>
  <c r="D6" i="11"/>
  <c r="C55" i="6" s="1"/>
  <c r="B16" i="11" s="1"/>
  <c r="D7" i="11"/>
  <c r="C56" i="6" s="1"/>
  <c r="E11" i="12" l="1"/>
  <c r="E12" i="12" s="1"/>
  <c r="C15" i="10"/>
  <c r="J9" i="6"/>
  <c r="B17" i="11"/>
  <c r="D15" i="17"/>
  <c r="C16" i="18"/>
  <c r="Q22" i="6"/>
  <c r="Q5" i="12"/>
  <c r="B54" i="6"/>
  <c r="J7" i="6"/>
  <c r="D54" i="6"/>
  <c r="C15" i="11" s="1"/>
  <c r="D55" i="6"/>
  <c r="C16" i="11" s="1"/>
  <c r="J8" i="6"/>
  <c r="B55" i="6"/>
  <c r="B56" i="6"/>
  <c r="D56" i="6"/>
  <c r="D35" i="6"/>
  <c r="K34" i="6" s="1"/>
  <c r="K36" i="6" s="1"/>
  <c r="C10" i="10" s="1"/>
  <c r="D10" i="17" s="1"/>
  <c r="D10" i="18" s="1"/>
  <c r="C36" i="6"/>
  <c r="D29" i="6"/>
  <c r="D15" i="10" l="1"/>
  <c r="K9" i="6"/>
  <c r="C17" i="11"/>
  <c r="E15" i="17"/>
  <c r="D16" i="18"/>
  <c r="R22" i="6"/>
  <c r="K7" i="6"/>
  <c r="E54" i="6"/>
  <c r="D15" i="11" s="1"/>
  <c r="E55" i="6"/>
  <c r="D16" i="11" s="1"/>
  <c r="K8" i="6"/>
  <c r="F11" i="12"/>
  <c r="G11" i="12" s="1"/>
  <c r="H11" i="12" s="1"/>
  <c r="I11" i="12" s="1"/>
  <c r="B3" i="11"/>
  <c r="D3" i="11" s="1"/>
  <c r="E56" i="6"/>
  <c r="E29" i="6"/>
  <c r="D36" i="6"/>
  <c r="E35" i="6"/>
  <c r="L34" i="6" s="1"/>
  <c r="L36" i="6" s="1"/>
  <c r="D10" i="10" s="1"/>
  <c r="E10" i="17" s="1"/>
  <c r="E10" i="18" s="1"/>
  <c r="C4" i="2"/>
  <c r="E15" i="10" l="1"/>
  <c r="L9" i="6"/>
  <c r="D17" i="11"/>
  <c r="F15" i="17"/>
  <c r="E16" i="18"/>
  <c r="S22" i="6"/>
  <c r="C52" i="6"/>
  <c r="B13" i="11" s="1"/>
  <c r="L7" i="6"/>
  <c r="F54" i="6"/>
  <c r="E15" i="11" s="1"/>
  <c r="F55" i="6"/>
  <c r="E16" i="11" s="1"/>
  <c r="L8" i="6"/>
  <c r="J5" i="6"/>
  <c r="B52" i="6"/>
  <c r="F56" i="6"/>
  <c r="F29" i="6"/>
  <c r="F35" i="6"/>
  <c r="M34" i="6" s="1"/>
  <c r="M36" i="6" s="1"/>
  <c r="E10" i="10" s="1"/>
  <c r="F10" i="17" s="1"/>
  <c r="F10" i="18" s="1"/>
  <c r="E36" i="6"/>
  <c r="D4" i="2"/>
  <c r="D52" i="6" l="1"/>
  <c r="C13" i="11" s="1"/>
  <c r="F15" i="10"/>
  <c r="M9" i="6"/>
  <c r="E17" i="11"/>
  <c r="G15" i="17"/>
  <c r="F16" i="18"/>
  <c r="T22" i="6"/>
  <c r="B3" i="10"/>
  <c r="C3" i="18"/>
  <c r="C3" i="17"/>
  <c r="G55" i="6"/>
  <c r="M8" i="6"/>
  <c r="M7" i="6"/>
  <c r="G54" i="6"/>
  <c r="F12" i="12"/>
  <c r="K5" i="6"/>
  <c r="E52" i="6"/>
  <c r="D13" i="11" s="1"/>
  <c r="G56" i="6"/>
  <c r="F17" i="11" s="1"/>
  <c r="G29" i="6"/>
  <c r="G35" i="6"/>
  <c r="F36" i="6"/>
  <c r="G4" i="2"/>
  <c r="G16" i="18" l="1"/>
  <c r="N7" i="6"/>
  <c r="F15" i="11"/>
  <c r="N8" i="6"/>
  <c r="F16" i="11"/>
  <c r="U22" i="6"/>
  <c r="C3" i="10"/>
  <c r="D3" i="18"/>
  <c r="D3" i="17"/>
  <c r="L5" i="6"/>
  <c r="F52" i="6"/>
  <c r="E13" i="11" s="1"/>
  <c r="G12" i="12"/>
  <c r="N9" i="6"/>
  <c r="G36" i="6"/>
  <c r="N34" i="6"/>
  <c r="N36" i="6" s="1"/>
  <c r="F10" i="10" s="1"/>
  <c r="G10" i="17" s="1"/>
  <c r="G10" i="18" s="1"/>
  <c r="L4" i="2"/>
  <c r="J4" i="2"/>
  <c r="I4" i="2"/>
  <c r="D3" i="10" l="1"/>
  <c r="E3" i="18"/>
  <c r="E3" i="17"/>
  <c r="M5" i="6"/>
  <c r="G52" i="6"/>
  <c r="F13" i="11" s="1"/>
  <c r="I12" i="12"/>
  <c r="H12" i="12"/>
  <c r="F3" i="10" l="1"/>
  <c r="G3" i="18"/>
  <c r="G3" i="17"/>
  <c r="E3" i="10"/>
  <c r="F3" i="18"/>
  <c r="F3" i="17"/>
  <c r="N5" i="6"/>
  <c r="D4" i="11" l="1"/>
  <c r="C53" i="6" s="1"/>
  <c r="B14" i="11" s="1"/>
  <c r="B18" i="11" s="1"/>
  <c r="K6" i="11"/>
  <c r="K8" i="11"/>
  <c r="C65" i="6" s="1"/>
  <c r="I18" i="11" s="1"/>
  <c r="K7" i="11"/>
  <c r="C64" i="6" s="1"/>
  <c r="I17" i="11" s="1"/>
  <c r="B16" i="9"/>
  <c r="C17" i="9" s="1"/>
  <c r="B4" i="10" l="1"/>
  <c r="C4" i="17" s="1"/>
  <c r="C4" i="18" s="1"/>
  <c r="B64" i="6"/>
  <c r="J17" i="6"/>
  <c r="D64" i="6"/>
  <c r="J17" i="11" s="1"/>
  <c r="C63" i="6"/>
  <c r="I16" i="11" s="1"/>
  <c r="D65" i="6"/>
  <c r="J18" i="11" s="1"/>
  <c r="J18" i="6"/>
  <c r="B65" i="6"/>
  <c r="D53" i="6"/>
  <c r="C14" i="11" s="1"/>
  <c r="C18" i="11" s="1"/>
  <c r="J6" i="6"/>
  <c r="B53" i="6"/>
  <c r="B57" i="6" s="1"/>
  <c r="C57" i="6"/>
  <c r="D8" i="11"/>
  <c r="B74" i="6"/>
  <c r="C73" i="6"/>
  <c r="J31" i="6" s="1"/>
  <c r="J32" i="6" s="1"/>
  <c r="B9" i="10" s="1"/>
  <c r="C9" i="17" s="1"/>
  <c r="C9" i="18" s="1"/>
  <c r="D46" i="1"/>
  <c r="B27" i="6" s="1"/>
  <c r="C27" i="6" s="1"/>
  <c r="D43" i="1"/>
  <c r="B24" i="6" s="1"/>
  <c r="C24" i="6" s="1"/>
  <c r="D45" i="1"/>
  <c r="B26" i="6" s="1"/>
  <c r="C26" i="6" s="1"/>
  <c r="D40" i="1"/>
  <c r="B21" i="6" s="1"/>
  <c r="C21" i="6" s="1"/>
  <c r="D39" i="1"/>
  <c r="B20" i="6" s="1"/>
  <c r="C20" i="6" s="1"/>
  <c r="D41" i="1"/>
  <c r="B22" i="6" s="1"/>
  <c r="C22" i="6" s="1"/>
  <c r="D42" i="1"/>
  <c r="B23" i="6" s="1"/>
  <c r="C23" i="6" s="1"/>
  <c r="D44" i="1"/>
  <c r="B25" i="6" s="1"/>
  <c r="C25" i="6" s="1"/>
  <c r="D47" i="1"/>
  <c r="B28" i="6" s="1"/>
  <c r="C28" i="6" s="1"/>
  <c r="D38" i="1"/>
  <c r="B19" i="6" s="1"/>
  <c r="D54" i="1"/>
  <c r="D20" i="1"/>
  <c r="B30" i="6" s="1"/>
  <c r="C30" i="6" s="1"/>
  <c r="D19" i="1"/>
  <c r="B31" i="6" s="1"/>
  <c r="C31" i="6" s="1"/>
  <c r="D15" i="1"/>
  <c r="D16" i="1" s="1"/>
  <c r="H3" i="1" s="1"/>
  <c r="B9" i="9" s="1"/>
  <c r="B43" i="6"/>
  <c r="C40" i="6"/>
  <c r="C41" i="6"/>
  <c r="C42" i="6"/>
  <c r="C39" i="6"/>
  <c r="B48" i="6"/>
  <c r="H6" i="4"/>
  <c r="H7" i="4"/>
  <c r="H9" i="4"/>
  <c r="H10" i="4"/>
  <c r="H11" i="4"/>
  <c r="H14" i="4"/>
  <c r="H15" i="4"/>
  <c r="H16" i="4"/>
  <c r="H5" i="4"/>
  <c r="G6" i="4"/>
  <c r="G7" i="4"/>
  <c r="G9" i="4"/>
  <c r="G10" i="4"/>
  <c r="G11" i="4"/>
  <c r="G14" i="4"/>
  <c r="G15" i="4"/>
  <c r="G16" i="4"/>
  <c r="G5" i="4"/>
  <c r="F6" i="4"/>
  <c r="F7" i="4"/>
  <c r="F9" i="4"/>
  <c r="F10" i="4"/>
  <c r="F11" i="4"/>
  <c r="F14" i="4"/>
  <c r="F15" i="4"/>
  <c r="F16" i="4"/>
  <c r="F5" i="4"/>
  <c r="E6" i="4"/>
  <c r="E7" i="4"/>
  <c r="E9" i="4"/>
  <c r="E10" i="4"/>
  <c r="E11" i="4"/>
  <c r="E14" i="4"/>
  <c r="E15" i="4"/>
  <c r="E16" i="4"/>
  <c r="E5" i="4"/>
  <c r="D6" i="4"/>
  <c r="D7" i="4"/>
  <c r="D9" i="4"/>
  <c r="D10" i="4"/>
  <c r="D11" i="4"/>
  <c r="D14" i="4"/>
  <c r="D15" i="4"/>
  <c r="D16" i="4"/>
  <c r="D5" i="4"/>
  <c r="C6" i="4"/>
  <c r="I6" i="4" s="1"/>
  <c r="K6" i="4" s="1"/>
  <c r="C7" i="4"/>
  <c r="I7" i="4" s="1"/>
  <c r="K7" i="4" s="1"/>
  <c r="C9" i="4"/>
  <c r="I9" i="4" s="1"/>
  <c r="K9" i="4" s="1"/>
  <c r="C10" i="4"/>
  <c r="I10" i="4" s="1"/>
  <c r="K10" i="4" s="1"/>
  <c r="C11" i="4"/>
  <c r="I11" i="4" s="1"/>
  <c r="K11" i="4" s="1"/>
  <c r="C14" i="4"/>
  <c r="I14" i="4" s="1"/>
  <c r="K14" i="4" s="1"/>
  <c r="C15" i="4"/>
  <c r="C16" i="4"/>
  <c r="I16" i="4" s="1"/>
  <c r="K16" i="4" s="1"/>
  <c r="C5" i="4"/>
  <c r="D55" i="1"/>
  <c r="D53" i="1"/>
  <c r="D52" i="1"/>
  <c r="D51" i="1"/>
  <c r="D29" i="1"/>
  <c r="D33" i="1"/>
  <c r="D3" i="1"/>
  <c r="D27" i="1"/>
  <c r="D28" i="1"/>
  <c r="D30" i="1"/>
  <c r="D31" i="1"/>
  <c r="D32" i="1"/>
  <c r="D34" i="1"/>
  <c r="D22" i="1"/>
  <c r="B61" i="6" s="1"/>
  <c r="C61" i="6" s="1"/>
  <c r="D23" i="1"/>
  <c r="B62" i="6" s="1"/>
  <c r="C62" i="6" s="1"/>
  <c r="D21" i="1"/>
  <c r="B60" i="6" s="1"/>
  <c r="C60" i="6" s="1"/>
  <c r="D6" i="1"/>
  <c r="D7" i="1"/>
  <c r="D8" i="1"/>
  <c r="D9" i="1"/>
  <c r="D10" i="1"/>
  <c r="D11" i="1"/>
  <c r="D5" i="1"/>
  <c r="D4" i="1"/>
  <c r="D60" i="6" l="1"/>
  <c r="K3" i="11"/>
  <c r="I13" i="11"/>
  <c r="J13" i="6"/>
  <c r="D62" i="6"/>
  <c r="K5" i="11"/>
  <c r="I15" i="11"/>
  <c r="J15" i="6"/>
  <c r="D61" i="6"/>
  <c r="K4" i="11"/>
  <c r="I14" i="11"/>
  <c r="J14" i="6"/>
  <c r="Q24" i="6"/>
  <c r="D31" i="6"/>
  <c r="D30" i="6"/>
  <c r="Q23" i="6"/>
  <c r="B32" i="6"/>
  <c r="C19" i="6"/>
  <c r="D28" i="6"/>
  <c r="Q21" i="6"/>
  <c r="D25" i="6"/>
  <c r="Q18" i="6"/>
  <c r="D23" i="6"/>
  <c r="Q16" i="6"/>
  <c r="D22" i="6"/>
  <c r="Q15" i="6"/>
  <c r="D20" i="6"/>
  <c r="Q13" i="6"/>
  <c r="D21" i="6"/>
  <c r="Q14" i="6"/>
  <c r="D26" i="6"/>
  <c r="Q19" i="6"/>
  <c r="D24" i="6"/>
  <c r="Q17" i="6"/>
  <c r="D27" i="6"/>
  <c r="Q20" i="6"/>
  <c r="I19" i="11"/>
  <c r="C4" i="10"/>
  <c r="D4" i="17" s="1"/>
  <c r="D4" i="18" s="1"/>
  <c r="B6" i="10"/>
  <c r="C6" i="17" s="1"/>
  <c r="C6" i="18" s="1"/>
  <c r="L11" i="4"/>
  <c r="B11" i="6"/>
  <c r="C11" i="6" s="1"/>
  <c r="D11" i="6" s="1"/>
  <c r="E11" i="6" s="1"/>
  <c r="F11" i="6" s="1"/>
  <c r="G11" i="6" s="1"/>
  <c r="L9" i="4"/>
  <c r="B9" i="6"/>
  <c r="C9" i="6" s="1"/>
  <c r="D9" i="6" s="1"/>
  <c r="E9" i="6" s="1"/>
  <c r="F9" i="6" s="1"/>
  <c r="G9" i="6" s="1"/>
  <c r="L6" i="4"/>
  <c r="B6" i="6"/>
  <c r="C6" i="6" s="1"/>
  <c r="D6" i="6" s="1"/>
  <c r="E6" i="6" s="1"/>
  <c r="F6" i="6" s="1"/>
  <c r="G6" i="6" s="1"/>
  <c r="B15" i="6"/>
  <c r="C15" i="6" s="1"/>
  <c r="D15" i="6" s="1"/>
  <c r="E15" i="6" s="1"/>
  <c r="F15" i="6" s="1"/>
  <c r="G15" i="6" s="1"/>
  <c r="L16" i="4"/>
  <c r="B13" i="6"/>
  <c r="C13" i="6" s="1"/>
  <c r="D13" i="6" s="1"/>
  <c r="E13" i="6" s="1"/>
  <c r="F13" i="6" s="1"/>
  <c r="G13" i="6" s="1"/>
  <c r="L14" i="4"/>
  <c r="B10" i="6"/>
  <c r="C10" i="6" s="1"/>
  <c r="D10" i="6" s="1"/>
  <c r="E10" i="6" s="1"/>
  <c r="F10" i="6" s="1"/>
  <c r="G10" i="6" s="1"/>
  <c r="L10" i="4"/>
  <c r="B7" i="6"/>
  <c r="C7" i="6" s="1"/>
  <c r="D7" i="6" s="1"/>
  <c r="E7" i="6" s="1"/>
  <c r="F7" i="6" s="1"/>
  <c r="G7" i="6" s="1"/>
  <c r="L7" i="4"/>
  <c r="C48" i="6"/>
  <c r="F48" i="6"/>
  <c r="F49" i="6" s="1"/>
  <c r="D48" i="6"/>
  <c r="D49" i="6" s="1"/>
  <c r="G48" i="6"/>
  <c r="G49" i="6" s="1"/>
  <c r="E48" i="6"/>
  <c r="E49" i="6" s="1"/>
  <c r="E53" i="6"/>
  <c r="D14" i="11" s="1"/>
  <c r="D18" i="11" s="1"/>
  <c r="K6" i="6"/>
  <c r="D57" i="6"/>
  <c r="K17" i="6"/>
  <c r="E64" i="6"/>
  <c r="K17" i="11" s="1"/>
  <c r="E65" i="6"/>
  <c r="K18" i="11" s="1"/>
  <c r="K18" i="6"/>
  <c r="B63" i="6"/>
  <c r="B66" i="6" s="1"/>
  <c r="J16" i="6"/>
  <c r="C66" i="6"/>
  <c r="D63" i="6"/>
  <c r="J16" i="11" s="1"/>
  <c r="Q29" i="6"/>
  <c r="Q27" i="6"/>
  <c r="Q28" i="6"/>
  <c r="D42" i="6"/>
  <c r="J28" i="6"/>
  <c r="D40" i="6"/>
  <c r="J26" i="6"/>
  <c r="D39" i="6"/>
  <c r="K25" i="6" s="1"/>
  <c r="J25" i="6"/>
  <c r="D41" i="6"/>
  <c r="J27" i="6"/>
  <c r="D43" i="6"/>
  <c r="C74" i="6"/>
  <c r="D73" i="6"/>
  <c r="K31" i="6" s="1"/>
  <c r="K32" i="6" s="1"/>
  <c r="C9" i="10" s="1"/>
  <c r="D9" i="17" s="1"/>
  <c r="D9" i="18" s="1"/>
  <c r="B49" i="6"/>
  <c r="C43" i="6"/>
  <c r="I5" i="4"/>
  <c r="K5" i="4" s="1"/>
  <c r="I15" i="4"/>
  <c r="K15" i="4" s="1"/>
  <c r="D12" i="1"/>
  <c r="H2" i="1" s="1"/>
  <c r="B8" i="9" s="1"/>
  <c r="D24" i="1"/>
  <c r="H4" i="1" s="1"/>
  <c r="B10" i="9" s="1"/>
  <c r="D48" i="1"/>
  <c r="C49" i="6"/>
  <c r="D56" i="1"/>
  <c r="H7" i="1" s="1"/>
  <c r="B13" i="9" s="1"/>
  <c r="D35" i="1"/>
  <c r="H5" i="1" s="1"/>
  <c r="B11" i="9" s="1"/>
  <c r="J29" i="6" l="1"/>
  <c r="Q30" i="6"/>
  <c r="B13" i="10" s="1"/>
  <c r="C13" i="17" s="1"/>
  <c r="C13" i="18" s="1"/>
  <c r="E27" i="6"/>
  <c r="R20" i="6"/>
  <c r="E24" i="6"/>
  <c r="R17" i="6"/>
  <c r="E26" i="6"/>
  <c r="R19" i="6"/>
  <c r="E21" i="6"/>
  <c r="R14" i="6"/>
  <c r="E20" i="6"/>
  <c r="R13" i="6"/>
  <c r="E22" i="6"/>
  <c r="R15" i="6"/>
  <c r="E23" i="6"/>
  <c r="R16" i="6"/>
  <c r="E25" i="6"/>
  <c r="R18" i="6"/>
  <c r="E28" i="6"/>
  <c r="R21" i="6"/>
  <c r="D19" i="6"/>
  <c r="Q12" i="6"/>
  <c r="Q25" i="6" s="1"/>
  <c r="B12" i="10" s="1"/>
  <c r="C12" i="17" s="1"/>
  <c r="C12" i="18" s="1"/>
  <c r="C32" i="6"/>
  <c r="E30" i="6"/>
  <c r="R23" i="6"/>
  <c r="R24" i="6"/>
  <c r="E31" i="6"/>
  <c r="K14" i="6"/>
  <c r="E61" i="6"/>
  <c r="J14" i="11"/>
  <c r="K15" i="6"/>
  <c r="E62" i="6"/>
  <c r="J15" i="11"/>
  <c r="K9" i="11"/>
  <c r="K13" i="6"/>
  <c r="E60" i="6"/>
  <c r="J13" i="11"/>
  <c r="J19" i="11" s="1"/>
  <c r="C6" i="10" s="1"/>
  <c r="D6" i="17" s="1"/>
  <c r="D6" i="18" s="1"/>
  <c r="D4" i="10"/>
  <c r="E4" i="17" s="1"/>
  <c r="E4" i="18" s="1"/>
  <c r="L15" i="4"/>
  <c r="B14" i="6"/>
  <c r="C14" i="6" s="1"/>
  <c r="D14" i="6" s="1"/>
  <c r="E14" i="6" s="1"/>
  <c r="F14" i="6" s="1"/>
  <c r="G14" i="6" s="1"/>
  <c r="Q6" i="6"/>
  <c r="Q8" i="6"/>
  <c r="O18" i="4"/>
  <c r="J20" i="6"/>
  <c r="O19" i="4"/>
  <c r="J21" i="6"/>
  <c r="B5" i="6"/>
  <c r="L5" i="4"/>
  <c r="L17" i="4" s="1"/>
  <c r="K17" i="4"/>
  <c r="Q5" i="6"/>
  <c r="Q7" i="6"/>
  <c r="Q9" i="6"/>
  <c r="D66" i="6"/>
  <c r="K16" i="6"/>
  <c r="E63" i="6"/>
  <c r="K16" i="11" s="1"/>
  <c r="L17" i="6"/>
  <c r="F64" i="6"/>
  <c r="L17" i="11" s="1"/>
  <c r="F53" i="6"/>
  <c r="E14" i="11" s="1"/>
  <c r="E18" i="11" s="1"/>
  <c r="L6" i="6"/>
  <c r="E57" i="6"/>
  <c r="F65" i="6"/>
  <c r="L18" i="11" s="1"/>
  <c r="L18" i="6"/>
  <c r="E39" i="6"/>
  <c r="L25" i="6" s="1"/>
  <c r="R27" i="6"/>
  <c r="R29" i="6"/>
  <c r="E41" i="6"/>
  <c r="K27" i="6"/>
  <c r="E40" i="6"/>
  <c r="K26" i="6"/>
  <c r="K29" i="6" s="1"/>
  <c r="E42" i="6"/>
  <c r="K28" i="6"/>
  <c r="D74" i="6"/>
  <c r="E73" i="6"/>
  <c r="L31" i="6" s="1"/>
  <c r="L32" i="6" s="1"/>
  <c r="D9" i="10" s="1"/>
  <c r="E9" i="17" s="1"/>
  <c r="E9" i="18" s="1"/>
  <c r="F39" i="6"/>
  <c r="M25" i="6" s="1"/>
  <c r="E43" i="6"/>
  <c r="H6" i="1"/>
  <c r="B12" i="9" s="1"/>
  <c r="C14" i="9" s="1"/>
  <c r="C18" i="9" s="1"/>
  <c r="H8" i="1"/>
  <c r="B3" i="8" s="1"/>
  <c r="D57" i="1"/>
  <c r="I17" i="4"/>
  <c r="C8" i="10" l="1"/>
  <c r="D8" i="17" s="1"/>
  <c r="D8" i="18" s="1"/>
  <c r="K37" i="6"/>
  <c r="R30" i="6"/>
  <c r="C13" i="10" s="1"/>
  <c r="D13" i="17" s="1"/>
  <c r="D13" i="18" s="1"/>
  <c r="F60" i="6"/>
  <c r="K13" i="11"/>
  <c r="K19" i="11" s="1"/>
  <c r="D6" i="10" s="1"/>
  <c r="E6" i="17" s="1"/>
  <c r="E6" i="18" s="1"/>
  <c r="L13" i="6"/>
  <c r="F62" i="6"/>
  <c r="K15" i="11"/>
  <c r="L15" i="6"/>
  <c r="F61" i="6"/>
  <c r="K14" i="11"/>
  <c r="L14" i="6"/>
  <c r="S24" i="6"/>
  <c r="F31" i="6"/>
  <c r="F30" i="6"/>
  <c r="S23" i="6"/>
  <c r="E19" i="6"/>
  <c r="R12" i="6"/>
  <c r="R25" i="6" s="1"/>
  <c r="C12" i="10" s="1"/>
  <c r="D12" i="17" s="1"/>
  <c r="D12" i="18" s="1"/>
  <c r="D32" i="6"/>
  <c r="F28" i="6"/>
  <c r="S21" i="6"/>
  <c r="F25" i="6"/>
  <c r="S18" i="6"/>
  <c r="F23" i="6"/>
  <c r="S16" i="6"/>
  <c r="F22" i="6"/>
  <c r="S15" i="6"/>
  <c r="F20" i="6"/>
  <c r="S13" i="6"/>
  <c r="F21" i="6"/>
  <c r="S14" i="6"/>
  <c r="F26" i="6"/>
  <c r="S19" i="6"/>
  <c r="F24" i="6"/>
  <c r="S17" i="6"/>
  <c r="F27" i="6"/>
  <c r="S20" i="6"/>
  <c r="B8" i="10"/>
  <c r="C8" i="17" s="1"/>
  <c r="C8" i="18" s="1"/>
  <c r="J37" i="6"/>
  <c r="E4" i="10"/>
  <c r="F4" i="17" s="1"/>
  <c r="F4" i="18" s="1"/>
  <c r="R7" i="6"/>
  <c r="B16" i="6"/>
  <c r="B81" i="6" s="1"/>
  <c r="C5" i="6"/>
  <c r="D5" i="6" s="1"/>
  <c r="E5" i="6" s="1"/>
  <c r="F5" i="6" s="1"/>
  <c r="G5" i="6" s="1"/>
  <c r="R8" i="6"/>
  <c r="R6" i="6"/>
  <c r="O20" i="4"/>
  <c r="R9" i="6"/>
  <c r="R5" i="6"/>
  <c r="P19" i="4"/>
  <c r="K21" i="6"/>
  <c r="P18" i="4"/>
  <c r="P20" i="4" s="1"/>
  <c r="K20" i="6"/>
  <c r="O13" i="4"/>
  <c r="O14" i="4" s="1"/>
  <c r="B5" i="10" s="1"/>
  <c r="C5" i="17" s="1"/>
  <c r="J11" i="6"/>
  <c r="B25" i="18"/>
  <c r="B24" i="17"/>
  <c r="G65" i="6"/>
  <c r="M18" i="6"/>
  <c r="G53" i="6"/>
  <c r="F14" i="11" s="1"/>
  <c r="F18" i="11" s="1"/>
  <c r="M6" i="6"/>
  <c r="F57" i="6"/>
  <c r="M17" i="6"/>
  <c r="G64" i="6"/>
  <c r="L16" i="6"/>
  <c r="E66" i="6"/>
  <c r="F63" i="6"/>
  <c r="L16" i="11" s="1"/>
  <c r="S29" i="6"/>
  <c r="S27" i="6"/>
  <c r="S28" i="6"/>
  <c r="F42" i="6"/>
  <c r="L28" i="6"/>
  <c r="F40" i="6"/>
  <c r="L26" i="6"/>
  <c r="L29" i="6" s="1"/>
  <c r="F41" i="6"/>
  <c r="L27" i="6"/>
  <c r="E74" i="6"/>
  <c r="F73" i="6"/>
  <c r="M31" i="6" s="1"/>
  <c r="M32" i="6" s="1"/>
  <c r="E9" i="10" s="1"/>
  <c r="F9" i="17" s="1"/>
  <c r="F9" i="18" s="1"/>
  <c r="G39" i="6"/>
  <c r="D8" i="10" l="1"/>
  <c r="E8" i="17" s="1"/>
  <c r="E8" i="18" s="1"/>
  <c r="L37" i="6"/>
  <c r="F43" i="6"/>
  <c r="S30" i="6"/>
  <c r="D13" i="10" s="1"/>
  <c r="E13" i="17" s="1"/>
  <c r="E13" i="18" s="1"/>
  <c r="G27" i="6"/>
  <c r="U20" i="6" s="1"/>
  <c r="T20" i="6"/>
  <c r="G24" i="6"/>
  <c r="U17" i="6" s="1"/>
  <c r="T17" i="6"/>
  <c r="G26" i="6"/>
  <c r="U19" i="6" s="1"/>
  <c r="T19" i="6"/>
  <c r="G21" i="6"/>
  <c r="U14" i="6" s="1"/>
  <c r="T14" i="6"/>
  <c r="G20" i="6"/>
  <c r="U13" i="6" s="1"/>
  <c r="T13" i="6"/>
  <c r="G22" i="6"/>
  <c r="U15" i="6" s="1"/>
  <c r="T15" i="6"/>
  <c r="G23" i="6"/>
  <c r="U16" i="6" s="1"/>
  <c r="T16" i="6"/>
  <c r="G25" i="6"/>
  <c r="U18" i="6" s="1"/>
  <c r="T18" i="6"/>
  <c r="G28" i="6"/>
  <c r="U21" i="6" s="1"/>
  <c r="T21" i="6"/>
  <c r="F19" i="6"/>
  <c r="S12" i="6"/>
  <c r="S25" i="6" s="1"/>
  <c r="D12" i="10" s="1"/>
  <c r="E12" i="17" s="1"/>
  <c r="E12" i="18" s="1"/>
  <c r="E32" i="6"/>
  <c r="G30" i="6"/>
  <c r="U23" i="6" s="1"/>
  <c r="T23" i="6"/>
  <c r="T24" i="6"/>
  <c r="G31" i="6"/>
  <c r="U24" i="6" s="1"/>
  <c r="G61" i="6"/>
  <c r="L14" i="11"/>
  <c r="M14" i="6"/>
  <c r="G62" i="6"/>
  <c r="L15" i="11"/>
  <c r="M15" i="6"/>
  <c r="G60" i="6"/>
  <c r="L13" i="11"/>
  <c r="L19" i="11" s="1"/>
  <c r="E6" i="10" s="1"/>
  <c r="F6" i="17" s="1"/>
  <c r="F6" i="18" s="1"/>
  <c r="M13" i="6"/>
  <c r="J22" i="6"/>
  <c r="J38" i="6" s="1"/>
  <c r="B7" i="10"/>
  <c r="C7" i="17" s="1"/>
  <c r="C7" i="18" s="1"/>
  <c r="F4" i="10"/>
  <c r="G4" i="17" s="1"/>
  <c r="G4" i="18" s="1"/>
  <c r="C7" i="10"/>
  <c r="D7" i="17" s="1"/>
  <c r="D7" i="18" s="1"/>
  <c r="N17" i="6"/>
  <c r="M17" i="11"/>
  <c r="N18" i="6"/>
  <c r="M18" i="11"/>
  <c r="P13" i="4"/>
  <c r="P14" i="4" s="1"/>
  <c r="K11" i="6"/>
  <c r="Q19" i="4"/>
  <c r="L21" i="6"/>
  <c r="S6" i="6"/>
  <c r="S7" i="6"/>
  <c r="Q18" i="4"/>
  <c r="Q20" i="4" s="1"/>
  <c r="L20" i="6"/>
  <c r="S5" i="6"/>
  <c r="S9" i="6"/>
  <c r="S8" i="6"/>
  <c r="C16" i="6"/>
  <c r="C81" i="6" s="1"/>
  <c r="Q4" i="6"/>
  <c r="Q10" i="6" s="1"/>
  <c r="F66" i="6"/>
  <c r="M16" i="6"/>
  <c r="G63" i="6"/>
  <c r="M16" i="11" s="1"/>
  <c r="N6" i="6"/>
  <c r="G57" i="6"/>
  <c r="U28" i="6"/>
  <c r="T28" i="6"/>
  <c r="U27" i="6"/>
  <c r="T27" i="6"/>
  <c r="U29" i="6"/>
  <c r="T29" i="6"/>
  <c r="G41" i="6"/>
  <c r="N27" i="6" s="1"/>
  <c r="M27" i="6"/>
  <c r="G40" i="6"/>
  <c r="N26" i="6" s="1"/>
  <c r="M26" i="6"/>
  <c r="G42" i="6"/>
  <c r="N28" i="6" s="1"/>
  <c r="M28" i="6"/>
  <c r="G43" i="6"/>
  <c r="N25" i="6"/>
  <c r="N29" i="6" s="1"/>
  <c r="G73" i="6"/>
  <c r="F74" i="6"/>
  <c r="F8" i="10" l="1"/>
  <c r="G8" i="17" s="1"/>
  <c r="G8" i="18" s="1"/>
  <c r="M29" i="6"/>
  <c r="T30" i="6"/>
  <c r="E13" i="10" s="1"/>
  <c r="F13" i="17" s="1"/>
  <c r="F13" i="18" s="1"/>
  <c r="U30" i="6"/>
  <c r="F13" i="10" s="1"/>
  <c r="G13" i="17" s="1"/>
  <c r="G13" i="18" s="1"/>
  <c r="N13" i="6"/>
  <c r="M13" i="11"/>
  <c r="N15" i="6"/>
  <c r="M15" i="11"/>
  <c r="N14" i="6"/>
  <c r="M14" i="11"/>
  <c r="G19" i="6"/>
  <c r="T12" i="6"/>
  <c r="T25" i="6" s="1"/>
  <c r="E12" i="10" s="1"/>
  <c r="F12" i="17" s="1"/>
  <c r="F12" i="18" s="1"/>
  <c r="F32" i="6"/>
  <c r="K22" i="6"/>
  <c r="K38" i="6" s="1"/>
  <c r="D7" i="10"/>
  <c r="E7" i="17" s="1"/>
  <c r="E7" i="18" s="1"/>
  <c r="C5" i="10"/>
  <c r="D5" i="17" s="1"/>
  <c r="D5" i="18" s="1"/>
  <c r="C5" i="18"/>
  <c r="M19" i="11"/>
  <c r="U8" i="6"/>
  <c r="T8" i="6"/>
  <c r="Q13" i="4"/>
  <c r="Q14" i="4" s="1"/>
  <c r="L11" i="6"/>
  <c r="B11" i="10"/>
  <c r="B17" i="10" s="1"/>
  <c r="B18" i="10" s="1"/>
  <c r="B19" i="10" s="1"/>
  <c r="B20" i="10" s="1"/>
  <c r="Q36" i="6"/>
  <c r="R4" i="6"/>
  <c r="R10" i="6" s="1"/>
  <c r="D16" i="6"/>
  <c r="D81" i="6" s="1"/>
  <c r="U9" i="6"/>
  <c r="T9" i="6"/>
  <c r="U5" i="6"/>
  <c r="T5" i="6"/>
  <c r="R18" i="4"/>
  <c r="M20" i="6"/>
  <c r="U7" i="6"/>
  <c r="T7" i="6"/>
  <c r="U6" i="6"/>
  <c r="T6" i="6"/>
  <c r="R19" i="4"/>
  <c r="M21" i="6"/>
  <c r="N16" i="6"/>
  <c r="G66" i="6"/>
  <c r="G74" i="6"/>
  <c r="N31" i="6"/>
  <c r="N32" i="6" s="1"/>
  <c r="F9" i="10" s="1"/>
  <c r="G9" i="17" s="1"/>
  <c r="G9" i="18" s="1"/>
  <c r="U12" i="6" l="1"/>
  <c r="U25" i="6" s="1"/>
  <c r="F12" i="10" s="1"/>
  <c r="G12" i="17" s="1"/>
  <c r="G12" i="18" s="1"/>
  <c r="G32" i="6"/>
  <c r="E8" i="10"/>
  <c r="F8" i="17" s="1"/>
  <c r="F8" i="18" s="1"/>
  <c r="M37" i="6"/>
  <c r="N37" i="6"/>
  <c r="L22" i="6"/>
  <c r="L38" i="6" s="1"/>
  <c r="F6" i="10"/>
  <c r="G6" i="17" s="1"/>
  <c r="G6" i="18" s="1"/>
  <c r="D5" i="10"/>
  <c r="E5" i="17" s="1"/>
  <c r="E5" i="18" s="1"/>
  <c r="N20" i="6"/>
  <c r="S18" i="4"/>
  <c r="C11" i="10"/>
  <c r="C17" i="10" s="1"/>
  <c r="C18" i="10" s="1"/>
  <c r="C19" i="10" s="1"/>
  <c r="C20" i="10" s="1"/>
  <c r="R36" i="6"/>
  <c r="C11" i="17"/>
  <c r="C17" i="17" s="1"/>
  <c r="R13" i="4"/>
  <c r="R14" i="4" s="1"/>
  <c r="M11" i="6"/>
  <c r="S19" i="4"/>
  <c r="N21" i="6"/>
  <c r="S4" i="6"/>
  <c r="S10" i="6" s="1"/>
  <c r="E16" i="6"/>
  <c r="E81" i="6" s="1"/>
  <c r="R20" i="4"/>
  <c r="B5" i="2"/>
  <c r="M22" i="6" l="1"/>
  <c r="M38" i="6" s="1"/>
  <c r="E7" i="10"/>
  <c r="F7" i="17" s="1"/>
  <c r="F7" i="18" s="1"/>
  <c r="E5" i="10"/>
  <c r="F5" i="17" s="1"/>
  <c r="F5" i="18" s="1"/>
  <c r="F16" i="6"/>
  <c r="F81" i="6" s="1"/>
  <c r="T4" i="6"/>
  <c r="T10" i="6" s="1"/>
  <c r="C11" i="18"/>
  <c r="D11" i="17"/>
  <c r="D17" i="17" s="1"/>
  <c r="S36" i="6"/>
  <c r="D11" i="10"/>
  <c r="D17" i="10" s="1"/>
  <c r="D18" i="10" s="1"/>
  <c r="D19" i="10" s="1"/>
  <c r="D20" i="10" s="1"/>
  <c r="N11" i="6"/>
  <c r="S13" i="4"/>
  <c r="S14" i="4" s="1"/>
  <c r="B21" i="10"/>
  <c r="S20" i="4"/>
  <c r="C5" i="2"/>
  <c r="B6" i="2"/>
  <c r="B7" i="2" s="1"/>
  <c r="B5" i="8" s="1"/>
  <c r="N22" i="6" l="1"/>
  <c r="N38" i="6" s="1"/>
  <c r="F7" i="10"/>
  <c r="G7" i="17" s="1"/>
  <c r="G7" i="18" s="1"/>
  <c r="F5" i="10"/>
  <c r="G5" i="17" s="1"/>
  <c r="G5" i="18" s="1"/>
  <c r="C21" i="10"/>
  <c r="C18" i="17"/>
  <c r="C19" i="17" s="1"/>
  <c r="E11" i="10"/>
  <c r="E17" i="10" s="1"/>
  <c r="E18" i="10" s="1"/>
  <c r="E19" i="10" s="1"/>
  <c r="E20" i="10" s="1"/>
  <c r="T36" i="6"/>
  <c r="U4" i="6"/>
  <c r="U10" i="6" s="1"/>
  <c r="G16" i="6"/>
  <c r="G81" i="6" s="1"/>
  <c r="E11" i="17"/>
  <c r="E17" i="17" s="1"/>
  <c r="D21" i="10"/>
  <c r="D11" i="18"/>
  <c r="B26" i="18"/>
  <c r="B25" i="17"/>
  <c r="B27" i="17" s="1"/>
  <c r="C6" i="2"/>
  <c r="C7" i="2" s="1"/>
  <c r="D5" i="2"/>
  <c r="C20" i="17" l="1"/>
  <c r="C21" i="17" s="1"/>
  <c r="C27" i="17" s="1"/>
  <c r="E11" i="18"/>
  <c r="U36" i="6"/>
  <c r="F11" i="10"/>
  <c r="F17" i="10" s="1"/>
  <c r="F18" i="10" s="1"/>
  <c r="F19" i="10" s="1"/>
  <c r="F20" i="10" s="1"/>
  <c r="F11" i="17"/>
  <c r="F17" i="17" s="1"/>
  <c r="E21" i="10"/>
  <c r="D18" i="17"/>
  <c r="D19" i="17" s="1"/>
  <c r="D6" i="2"/>
  <c r="D7" i="2" s="1"/>
  <c r="E5" i="2"/>
  <c r="D20" i="17" l="1"/>
  <c r="D21" i="17" s="1"/>
  <c r="D27" i="17" s="1"/>
  <c r="F11" i="18"/>
  <c r="G11" i="17"/>
  <c r="G17" i="17" s="1"/>
  <c r="E18" i="17"/>
  <c r="E19" i="17" s="1"/>
  <c r="E6" i="2"/>
  <c r="E7" i="2" s="1"/>
  <c r="F5" i="2"/>
  <c r="E20" i="17" l="1"/>
  <c r="E21" i="17" s="1"/>
  <c r="E27" i="17" s="1"/>
  <c r="G11" i="18"/>
  <c r="F18" i="17"/>
  <c r="F19" i="17" s="1"/>
  <c r="G5" i="2"/>
  <c r="F6" i="2"/>
  <c r="F7" i="2" s="1"/>
  <c r="F20" i="17" l="1"/>
  <c r="F21" i="17" s="1"/>
  <c r="F27" i="17" s="1"/>
  <c r="F21" i="10"/>
  <c r="G18" i="17"/>
  <c r="G19" i="17" s="1"/>
  <c r="G6" i="2"/>
  <c r="G7" i="2" s="1"/>
  <c r="H5" i="2"/>
  <c r="G26" i="17" l="1"/>
  <c r="G29" i="18" s="1"/>
  <c r="G20" i="17"/>
  <c r="G21" i="17" s="1"/>
  <c r="G27" i="17" s="1"/>
  <c r="H6" i="2"/>
  <c r="H7" i="2" s="1"/>
  <c r="I5" i="2"/>
  <c r="B10" i="19" l="1"/>
  <c r="I6" i="2"/>
  <c r="I7" i="2" s="1"/>
  <c r="J5" i="2"/>
  <c r="B9" i="19" l="1"/>
  <c r="J6" i="2"/>
  <c r="J7" i="2" s="1"/>
  <c r="K5" i="2"/>
  <c r="K6" i="2" l="1"/>
  <c r="K7" i="2" s="1"/>
  <c r="L5" i="2"/>
  <c r="M5" i="2" l="1"/>
  <c r="M6" i="2" s="1"/>
  <c r="L6" i="2"/>
  <c r="L7" i="2" s="1"/>
  <c r="M7" i="2" l="1"/>
  <c r="B4" i="9"/>
  <c r="C5" i="9" s="1"/>
  <c r="C19" i="9" s="1"/>
  <c r="B4" i="8" l="1"/>
  <c r="B6" i="8" l="1"/>
  <c r="E4" i="8" l="1"/>
  <c r="G9" i="8"/>
  <c r="E4" i="9" s="1"/>
  <c r="F6" i="9" s="1"/>
  <c r="F4" i="8"/>
  <c r="C9" i="8" s="1"/>
  <c r="C5" i="8"/>
  <c r="C3" i="8"/>
  <c r="C4" i="8"/>
  <c r="C6" i="8" l="1"/>
  <c r="F15" i="8"/>
  <c r="B16" i="8"/>
  <c r="C10" i="8"/>
  <c r="E8" i="9"/>
  <c r="E9" i="9" l="1"/>
  <c r="C11" i="8"/>
  <c r="E10" i="9" s="1"/>
  <c r="B27" i="18"/>
  <c r="B30" i="18" s="1"/>
  <c r="C16" i="8"/>
  <c r="B17" i="8"/>
  <c r="C12" i="8" l="1"/>
  <c r="D16" i="8"/>
  <c r="F16" i="8" s="1"/>
  <c r="C17" i="8" s="1"/>
  <c r="C15" i="18"/>
  <c r="C18" i="18" s="1"/>
  <c r="C19" i="18" s="1"/>
  <c r="C20" i="18" s="1"/>
  <c r="C21" i="18" s="1"/>
  <c r="C22" i="18" s="1"/>
  <c r="F11" i="9"/>
  <c r="B18" i="8"/>
  <c r="C28" i="18" l="1"/>
  <c r="C30" i="18" s="1"/>
  <c r="D17" i="8"/>
  <c r="F17" i="8" s="1"/>
  <c r="C18" i="8" s="1"/>
  <c r="D15" i="18"/>
  <c r="D18" i="18" s="1"/>
  <c r="D19" i="18" s="1"/>
  <c r="D20" i="18" s="1"/>
  <c r="D21" i="18" s="1"/>
  <c r="D22" i="18" s="1"/>
  <c r="E16" i="8"/>
  <c r="B19" i="8"/>
  <c r="E17" i="8" l="1"/>
  <c r="D18" i="8"/>
  <c r="E28" i="18" s="1"/>
  <c r="E15" i="18"/>
  <c r="E18" i="18" s="1"/>
  <c r="E19" i="18" s="1"/>
  <c r="E20" i="18" s="1"/>
  <c r="E21" i="18" s="1"/>
  <c r="E22" i="18" s="1"/>
  <c r="E30" i="18" s="1"/>
  <c r="D28" i="18"/>
  <c r="D30" i="18" s="1"/>
  <c r="B20" i="8"/>
  <c r="F18" i="8" l="1"/>
  <c r="C19" i="8" s="1"/>
  <c r="E18" i="8"/>
  <c r="D19" i="8" l="1"/>
  <c r="F28" i="18" s="1"/>
  <c r="F15" i="18"/>
  <c r="F18" i="18" s="1"/>
  <c r="F19" i="18" s="1"/>
  <c r="F20" i="18" s="1"/>
  <c r="F21" i="18" s="1"/>
  <c r="F22" i="18" s="1"/>
  <c r="F30" i="18" s="1"/>
  <c r="F19" i="8" l="1"/>
  <c r="C20" i="8" s="1"/>
  <c r="E19" i="8"/>
  <c r="D20" i="8" l="1"/>
  <c r="G28" i="18" s="1"/>
  <c r="G15" i="18"/>
  <c r="G18" i="18" s="1"/>
  <c r="G19" i="18" s="1"/>
  <c r="G20" i="18" s="1"/>
  <c r="G21" i="18" s="1"/>
  <c r="G22" i="18" s="1"/>
  <c r="G30" i="18" s="1"/>
  <c r="F5" i="9"/>
  <c r="F19" i="9" s="1"/>
  <c r="F20" i="8" l="1"/>
  <c r="E20" i="8"/>
  <c r="E10" i="19" l="1"/>
  <c r="E9" i="19"/>
</calcChain>
</file>

<file path=xl/sharedStrings.xml><?xml version="1.0" encoding="utf-8"?>
<sst xmlns="http://schemas.openxmlformats.org/spreadsheetml/2006/main" count="603" uniqueCount="332">
  <si>
    <t>INVERSIÓN INICIAL</t>
  </si>
  <si>
    <t>ACTIVOS FIJOS</t>
  </si>
  <si>
    <t>Cantidad</t>
  </si>
  <si>
    <t>Máquina Industrial Costura Recta Electronica</t>
  </si>
  <si>
    <t>Máquina Industrial Overlock 5 Hilos-PESADA</t>
  </si>
  <si>
    <t>Máquinas Industriales Recubridora 3 Agujas</t>
  </si>
  <si>
    <t>Máquina Industrial Cerradora Jeans</t>
  </si>
  <si>
    <t xml:space="preserve">Máquina Industrial Atracadora </t>
  </si>
  <si>
    <t>Máquinas Industriales Pretinadora Tubular</t>
  </si>
  <si>
    <t>Máquinas Industriales Doble Aguja</t>
  </si>
  <si>
    <t>Máquina Industrial Ojaladora de Jeans</t>
  </si>
  <si>
    <t>TOTAL DE MAQUINARIAS</t>
  </si>
  <si>
    <t>Reglas de confección</t>
  </si>
  <si>
    <t>MÁQUINAS</t>
  </si>
  <si>
    <t>Cintas métricas</t>
  </si>
  <si>
    <t>EQUIPOS DE OFICINA</t>
  </si>
  <si>
    <t>Teléfono</t>
  </si>
  <si>
    <t>Ventiladores</t>
  </si>
  <si>
    <t>Laptops</t>
  </si>
  <si>
    <t>Fax</t>
  </si>
  <si>
    <t>TOTAL EQUIPOS DE OFICINA</t>
  </si>
  <si>
    <t>Máquina Cortadora de Jeans</t>
  </si>
  <si>
    <t>Acondicionador de aire 1200 BTU</t>
  </si>
  <si>
    <t>Mesas Industriales</t>
  </si>
  <si>
    <t>Escritorios</t>
  </si>
  <si>
    <t>Sumadora</t>
  </si>
  <si>
    <t>Sillas</t>
  </si>
  <si>
    <t>Archivadores</t>
  </si>
  <si>
    <t>TOTAL MUEBLES DE OFICINA Y ENSERES</t>
  </si>
  <si>
    <t>GASTOS DE PUESTA EN MARCHA</t>
  </si>
  <si>
    <t>Gastos de Constitución</t>
  </si>
  <si>
    <t>Alquiler del inmueble (mes inicial)</t>
  </si>
  <si>
    <t>CAPITAL DE TRABAJO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</si>
  <si>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</si>
  <si>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</si>
  <si>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</si>
  <si>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</si>
  <si>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</si>
  <si>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</si>
  <si>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</si>
  <si>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</si>
  <si>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</si>
  <si>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</si>
  <si>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</si>
  <si>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</si>
  <si>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MANO DE OBRA DIRECTA</t>
  </si>
  <si>
    <t>NÚMERO DE PUESTOS</t>
  </si>
  <si>
    <t>SALARIO MENSUAL</t>
  </si>
  <si>
    <t>VACACIONES</t>
  </si>
  <si>
    <t>IESS: FONDO DE RESERVA</t>
  </si>
  <si>
    <t>IESS: APORTE PATRONAL</t>
  </si>
  <si>
    <t>IECE - SECAP</t>
  </si>
  <si>
    <t>TOTAL MENSUAL</t>
  </si>
  <si>
    <t>MANO DE OBRA</t>
  </si>
  <si>
    <t>Gerente General</t>
  </si>
  <si>
    <t>Secretaria</t>
  </si>
  <si>
    <t>Contador</t>
  </si>
  <si>
    <t>ÁREA ADMINISTRATIVA</t>
  </si>
  <si>
    <t>CARGOS</t>
  </si>
  <si>
    <t>ÁREA DE R.R.H.H Y VENTAS</t>
  </si>
  <si>
    <t>Jefe de R.R.H.H</t>
  </si>
  <si>
    <t>Vendedor</t>
  </si>
  <si>
    <t>ÁREA DE PRODUCCIÓN</t>
  </si>
  <si>
    <t>Jefe de Producción</t>
  </si>
  <si>
    <t>Obreros</t>
  </si>
  <si>
    <t>Personal de limpieza</t>
  </si>
  <si>
    <t>MANO DE OBRA INDIRECTA</t>
  </si>
  <si>
    <t>TOTAL</t>
  </si>
  <si>
    <t>AÑO 1</t>
  </si>
  <si>
    <t>AÑO 2</t>
  </si>
  <si>
    <t>AÑO 3</t>
  </si>
  <si>
    <t>AÑO 4</t>
  </si>
  <si>
    <t>AÑO 5</t>
  </si>
  <si>
    <t>Limpieza</t>
  </si>
  <si>
    <t>Emailing</t>
  </si>
  <si>
    <t>Redes Sociales</t>
  </si>
  <si>
    <t>13° SUELDO</t>
  </si>
  <si>
    <t>14° SUELDO</t>
  </si>
  <si>
    <t>Luz</t>
  </si>
  <si>
    <t xml:space="preserve">Agua </t>
  </si>
  <si>
    <t>Internet</t>
  </si>
  <si>
    <t>PORCENTAJE DE APALANCAMIENTO</t>
  </si>
  <si>
    <t>PRÉSTAMO</t>
  </si>
  <si>
    <t>CAPITAL PROPIO</t>
  </si>
  <si>
    <t>SUMINISTROS DE PLANTA</t>
  </si>
  <si>
    <t>VEHÍCULOS</t>
  </si>
  <si>
    <t>TOTAL VEHÍCULOS</t>
  </si>
  <si>
    <t>Mascaras</t>
  </si>
  <si>
    <t>Tachos contenedores</t>
  </si>
  <si>
    <t>Tijeras</t>
  </si>
  <si>
    <t>Cintas de embalaje</t>
  </si>
  <si>
    <t>Dispensador de agua</t>
  </si>
  <si>
    <t>SUMINISTROS DE OFICINA</t>
  </si>
  <si>
    <t>TOTAL SUMINISTROS DE OFICINA</t>
  </si>
  <si>
    <t>Resmas de papel Xerox</t>
  </si>
  <si>
    <t>TOTAL SUMINISTROS DE PLANTA</t>
  </si>
  <si>
    <t>MUEBLES Y ENSERES</t>
  </si>
  <si>
    <t>Grapadoras</t>
  </si>
  <si>
    <t>Perforadoras</t>
  </si>
  <si>
    <t>Carpetas Archivadoras</t>
  </si>
  <si>
    <t>Gapas</t>
  </si>
  <si>
    <t>Lápices y boligrafos</t>
  </si>
  <si>
    <t>Borradores</t>
  </si>
  <si>
    <t>Botellones de Agua</t>
  </si>
  <si>
    <t>Cinta adhesivas</t>
  </si>
  <si>
    <t>Computadoras</t>
  </si>
  <si>
    <t>Teléfonos</t>
  </si>
  <si>
    <t>Impresoras Multifunción</t>
  </si>
  <si>
    <t>Toner negro/color</t>
  </si>
  <si>
    <t>Adecuación de planta</t>
  </si>
  <si>
    <t>Patente y Licencias</t>
  </si>
  <si>
    <t>ACTIVO</t>
  </si>
  <si>
    <t>Total Activo Corriente</t>
  </si>
  <si>
    <t>PASIVO</t>
  </si>
  <si>
    <t>Préstamo Bancario</t>
  </si>
  <si>
    <t>Total Pasivo no Corriente</t>
  </si>
  <si>
    <t>TOTAL ACTIVOS</t>
  </si>
  <si>
    <t>TOTAL PASIVOS</t>
  </si>
  <si>
    <t>PATRIMONIO</t>
  </si>
  <si>
    <t>Total Patrimonio</t>
  </si>
  <si>
    <t>TOTAL PASIVO+PATRIMONIO</t>
  </si>
  <si>
    <t>Máquinas</t>
  </si>
  <si>
    <t>Vehículos</t>
  </si>
  <si>
    <t>Equipos de Oficina</t>
  </si>
  <si>
    <t>Suministros de Planta</t>
  </si>
  <si>
    <t>Suministros de oficina</t>
  </si>
  <si>
    <t>Muebles y Enseres</t>
  </si>
  <si>
    <t>Utilidad Antes de Impuestos</t>
  </si>
  <si>
    <t>Utilidad Neta</t>
  </si>
  <si>
    <t>INVERSIONES</t>
  </si>
  <si>
    <t>PROYECTO</t>
  </si>
  <si>
    <t>PORCENTAJE</t>
  </si>
  <si>
    <t>Activos Fijos</t>
  </si>
  <si>
    <t>Capital de trabajo</t>
  </si>
  <si>
    <t>Activos Intangibles</t>
  </si>
  <si>
    <t>TOTAL INVERSION</t>
  </si>
  <si>
    <t>Camioneta  Mazda BT-50 doble cabina</t>
  </si>
  <si>
    <t>MATERIALES DIRECTOS</t>
  </si>
  <si>
    <t>Fundas de basura industriales</t>
  </si>
  <si>
    <t>Etiquetas</t>
  </si>
  <si>
    <t>Cierres</t>
  </si>
  <si>
    <t>Materiales</t>
  </si>
  <si>
    <t>Valor Unitario</t>
  </si>
  <si>
    <t>Valor total</t>
  </si>
  <si>
    <t>MATERIALES INDIRECTOS</t>
  </si>
  <si>
    <t>TOTAL MATERIALES INDIRECTOS</t>
  </si>
  <si>
    <t>TOTAL MATERIALES DIRECTOS</t>
  </si>
  <si>
    <t>DEMANDA</t>
  </si>
  <si>
    <t>Ingresos</t>
  </si>
  <si>
    <t>Egresos</t>
  </si>
  <si>
    <t>Saldo Acumulado</t>
  </si>
  <si>
    <t>Partidas</t>
  </si>
  <si>
    <t>Total</t>
  </si>
  <si>
    <t>Activo</t>
  </si>
  <si>
    <t>Valor unitario</t>
  </si>
  <si>
    <t>Vida contable</t>
  </si>
  <si>
    <t>Depreciación anual</t>
  </si>
  <si>
    <t>Depreciación acumulada</t>
  </si>
  <si>
    <t>MAQUINARIAS</t>
  </si>
  <si>
    <t>OTROS INSUMOS</t>
  </si>
  <si>
    <t>TOTAL OTROS INSUMOS</t>
  </si>
  <si>
    <t>Acondicionador de aire 12000 BTU</t>
  </si>
  <si>
    <t>Computadora</t>
  </si>
  <si>
    <t>Impresora</t>
  </si>
  <si>
    <t>MUEBLES DE OFICINA Y ENSERES</t>
  </si>
  <si>
    <t>Camioneta Mazda BT 50</t>
  </si>
  <si>
    <t>DEPRECIACION TOTAL ANUAL</t>
  </si>
  <si>
    <t>Capital Inicial</t>
  </si>
  <si>
    <t>Periodo de Pago</t>
  </si>
  <si>
    <t>Numero Total de Cuotas</t>
  </si>
  <si>
    <t>Interés del Préstamo</t>
  </si>
  <si>
    <t>PERIODO</t>
  </si>
  <si>
    <t>CUOTA</t>
  </si>
  <si>
    <t>INTERÉS</t>
  </si>
  <si>
    <t>AMORTIZACION</t>
  </si>
  <si>
    <t>CAPITAL AMORTIZADO</t>
  </si>
  <si>
    <t>CAPITAL</t>
  </si>
  <si>
    <t>Precio Unitario</t>
  </si>
  <si>
    <t>TOTAL MENSUAL POR TABAJADOR</t>
  </si>
  <si>
    <t>GASTOS</t>
  </si>
  <si>
    <t>GASTOS DE OFICINA</t>
  </si>
  <si>
    <t>TOTAL ACTIVOS FIJA</t>
  </si>
  <si>
    <t>Obreros X 9</t>
  </si>
  <si>
    <t>GASTOS DE COMBUSTIBLES</t>
  </si>
  <si>
    <t>Combustible camioneta</t>
  </si>
  <si>
    <t>Saldo</t>
  </si>
  <si>
    <t>GASTOS DE ALQUILER</t>
  </si>
  <si>
    <t>Alquiler de la planta</t>
  </si>
  <si>
    <t>TOTAL GASTOS DE OFICINA</t>
  </si>
  <si>
    <t>La Revista (EL Universo)</t>
  </si>
  <si>
    <t>MENSUAL</t>
  </si>
  <si>
    <t>TOTAL GASTOS DE COMBUSTIBLES</t>
  </si>
  <si>
    <t>TOTAL GASTOS DE SERVICIOS BÁSICOS</t>
  </si>
  <si>
    <t>GASTOS DE SERVICIOS BÁSICOS</t>
  </si>
  <si>
    <t>GASTOS DE PUBLICIDAD</t>
  </si>
  <si>
    <t> TOTAL GASTOS DE PUBLICIDAD</t>
  </si>
  <si>
    <t>TOTAL GASTOS DE ALQUILER</t>
  </si>
  <si>
    <t xml:space="preserve"> GASTOS DE SUELDOS Y SALARIOS</t>
  </si>
  <si>
    <t>TOTAL GASTOS DE SUELDOS Y SALARIOS</t>
  </si>
  <si>
    <t>ENERO</t>
  </si>
  <si>
    <t>SEP</t>
  </si>
  <si>
    <t>OCT</t>
  </si>
  <si>
    <t>NOV</t>
  </si>
  <si>
    <t>DIC</t>
  </si>
  <si>
    <t>ACCIONISTAS</t>
  </si>
  <si>
    <t>ESTADO DE SITUACIÓN FINANCIERA</t>
  </si>
  <si>
    <t>Total Activos no Corrientes</t>
  </si>
  <si>
    <t>ACTIVO CORRIENTE</t>
  </si>
  <si>
    <t>ACTIVO NO CORRIENTE</t>
  </si>
  <si>
    <t>PASIVO NO CORRIENTE</t>
  </si>
  <si>
    <t>DEPRECIACIÓN</t>
  </si>
  <si>
    <t>AÑO1</t>
  </si>
  <si>
    <t>Depreciación</t>
  </si>
  <si>
    <t>Amortización intang.</t>
  </si>
  <si>
    <t>Población Guayaquil</t>
  </si>
  <si>
    <t xml:space="preserve">Demanda hombres y mujeres de 20-24 años </t>
  </si>
  <si>
    <t>Ingreso</t>
  </si>
  <si>
    <t>Precio</t>
  </si>
  <si>
    <t>PROYECCION DE INGRESOS MENSUALES</t>
  </si>
  <si>
    <t>PROYECCIÓN DE INGRESOS ANUAL</t>
  </si>
  <si>
    <t>COSTOS</t>
  </si>
  <si>
    <t>Metros de tela</t>
  </si>
  <si>
    <t>Hilos Industriales</t>
  </si>
  <si>
    <t>Botones</t>
  </si>
  <si>
    <t>Fundas Industriales de empaque 80X110</t>
  </si>
  <si>
    <t>COSTO DE MANTENIMIENTO</t>
  </si>
  <si>
    <t>COSTOS Y GASTOS</t>
  </si>
  <si>
    <t>COSTOS DE MATERIALES DIRECTOS</t>
  </si>
  <si>
    <t>COSTOS DE MATERIALES INDIRECTOS</t>
  </si>
  <si>
    <t>TOTAL COSTOS DE MATERIALES DIRECTOS</t>
  </si>
  <si>
    <t>TOTAL COSTOS DE MATERIALES INDIRECTOS</t>
  </si>
  <si>
    <t>Mantenimiento de las Máquinas</t>
  </si>
  <si>
    <t>TOTAL COSTO DE MANTENIMIENTO</t>
  </si>
  <si>
    <t>COSTOS VARIABLES</t>
  </si>
  <si>
    <t>COSTOS FIJOS</t>
  </si>
  <si>
    <t>SERVICIOS BÁSICOS</t>
  </si>
  <si>
    <t>PUBLICIDAD</t>
  </si>
  <si>
    <t>ALQUILER</t>
  </si>
  <si>
    <t>OTROS COSTOS FIJOS</t>
  </si>
  <si>
    <t>GASTOS ADMINISTRATIVOS, R.R.H.H Y VENTAS</t>
  </si>
  <si>
    <t>TOTAL GASTOS ADMINISTRATIVOS, R.R.H.H Y VENTAS</t>
  </si>
  <si>
    <t>AMORTIZACIÓN INTANGIBLE</t>
  </si>
  <si>
    <t>Patente y Licencias 5 años</t>
  </si>
  <si>
    <t>Participación de trabajadores</t>
  </si>
  <si>
    <t>Impuesto a la Renta</t>
  </si>
  <si>
    <t>Valor de desecho</t>
  </si>
  <si>
    <t>Flujo de Caja</t>
  </si>
  <si>
    <t>Préstamo</t>
  </si>
  <si>
    <t>Amortización Deuda</t>
  </si>
  <si>
    <t>VAN</t>
  </si>
  <si>
    <t>ESTIMACION DE LA TASA DE DESCUENTO</t>
  </si>
  <si>
    <t>INVERSIÓN EN ACTIVOS INTANGIBLES</t>
  </si>
  <si>
    <t>Accionista Mercedes Huiracocha</t>
  </si>
  <si>
    <t>Accionista Carolina Lima</t>
  </si>
  <si>
    <t>Accionista Ma. Fernanda Santos</t>
  </si>
  <si>
    <t>TOTAL GASTOS DE PUESTA EN MARCHA</t>
  </si>
  <si>
    <t>Efectivo</t>
  </si>
  <si>
    <t>Activos Fijos Tangibles</t>
  </si>
  <si>
    <t>Total Activos Fijos Tangibles</t>
  </si>
  <si>
    <t>Activos Fijos Intangibles</t>
  </si>
  <si>
    <t>Total Activos Fijos Intangibles</t>
  </si>
  <si>
    <t>Inversión en Activos Fijos</t>
  </si>
  <si>
    <t>Inversión en Capital de Trabajo</t>
  </si>
  <si>
    <t>Inversión de Capital de Trabajo</t>
  </si>
  <si>
    <t>Interés Deuda</t>
  </si>
  <si>
    <t>AÑO 0</t>
  </si>
  <si>
    <t>TOTAL COSTOS</t>
  </si>
  <si>
    <t>Población objetivo 79%</t>
  </si>
  <si>
    <t>Crecimiento población</t>
  </si>
  <si>
    <t>TOTAL ACTIVOS INTANGIBLES</t>
  </si>
  <si>
    <t xml:space="preserve">                Periodos</t>
  </si>
  <si>
    <t>Fundas Industriales de empaque</t>
  </si>
  <si>
    <t>M.O.D</t>
  </si>
  <si>
    <t>MAT. INDIRECTOS</t>
  </si>
  <si>
    <t>M.O.I</t>
  </si>
  <si>
    <t>TOTAL C. VARIALES</t>
  </si>
  <si>
    <t>T. COSTOS FIJOS</t>
  </si>
  <si>
    <t>TOTAL    ANUAL</t>
  </si>
  <si>
    <t>Máquina Industrial Overlock 5 Hilos</t>
  </si>
  <si>
    <t>Util. Antes de Partic. de tabaj.</t>
  </si>
  <si>
    <t>Utilidad Antes de Participación de tabajadores</t>
  </si>
  <si>
    <t>TOTAL ACTIVOS FIJOS</t>
  </si>
  <si>
    <t>ACTIVOS FIJOS (RESUMEN)</t>
  </si>
  <si>
    <t>TOTAL AMORTIZACIÓN INTANGIBLE</t>
  </si>
  <si>
    <t>Tasa de no pobreza de la población económica activa 89,5%</t>
  </si>
  <si>
    <t>Remuneración Mínima Unificada Mensual más beneficios de ley</t>
  </si>
  <si>
    <t>Salario Básico Unificado</t>
  </si>
  <si>
    <t>IESS PERSONAL</t>
  </si>
  <si>
    <t>IESS PATRONAL</t>
  </si>
  <si>
    <t>Ke = TMAR = CAPM</t>
  </si>
  <si>
    <t>Rm = Rentabilidad de Mercado</t>
  </si>
  <si>
    <t>Rf = Bonos del tesoro EU</t>
  </si>
  <si>
    <t>Riesgo País</t>
  </si>
  <si>
    <t>COSTO PROMEDIO PONDERADO</t>
  </si>
  <si>
    <t>Kd = Tasa del préstamo Bancario</t>
  </si>
  <si>
    <t>D/A = Deuda/Activos</t>
  </si>
  <si>
    <t>P/A = Patrimonio/Activos</t>
  </si>
  <si>
    <t>Ko = CPP = WACC</t>
  </si>
  <si>
    <t>Beta apalancado</t>
  </si>
  <si>
    <t>Tir</t>
  </si>
  <si>
    <t>Van</t>
  </si>
  <si>
    <t>FLUJO DE CAJA PURO</t>
  </si>
  <si>
    <t>FLUJO DE CAJA DEL INVERSIONISTA</t>
  </si>
  <si>
    <t>ANALISIS DE SENSIBILDAD</t>
  </si>
  <si>
    <t>Variación del Precio</t>
  </si>
  <si>
    <t>Variación de Costos Fijos</t>
  </si>
  <si>
    <t>Años Deprec.</t>
  </si>
  <si>
    <t>Materiales Directos</t>
  </si>
  <si>
    <t>Mano de obra Directa</t>
  </si>
  <si>
    <t>Mano de obra Indirecta</t>
  </si>
  <si>
    <t>Servicios Básicos</t>
  </si>
  <si>
    <t>Alquiler</t>
  </si>
  <si>
    <t>Otros Costos Fijos</t>
  </si>
  <si>
    <t>SUELDOS ADMINISTRATIVOS</t>
  </si>
  <si>
    <t>Sueldos Administrativos</t>
  </si>
  <si>
    <t>Gastos de Oficina</t>
  </si>
  <si>
    <t>Publicidad</t>
  </si>
  <si>
    <t>Gastos de Puesta en Marcha</t>
  </si>
  <si>
    <t>Materiales Indirectos</t>
  </si>
  <si>
    <t>TOTAL SERVICIOS BÁSICOS</t>
  </si>
  <si>
    <t>TOTAL ALQUILER</t>
  </si>
  <si>
    <t>TOTAL OTROS COSTOS FIJOS</t>
  </si>
  <si>
    <t xml:space="preserve">CONFECCIONES REVERSIBLES S.A
ESTADO DE RESULTADO INTEGRAL
Al 1 de enero del 2013
CONFECCIONES REVERSIBLES S.A
ESTADO DE RESULTADO INTEGRAL
Al 1 de enero del 2013
</t>
  </si>
  <si>
    <t>TOTAL COSTOS Y GASTOS</t>
  </si>
  <si>
    <t>PROYECCIÓN DE MATERIALES DIRECTOS</t>
  </si>
  <si>
    <t>PROYECCIÓN DE  MATERIALES INDIRECTOS</t>
  </si>
  <si>
    <t>FLUJO DE CAJA DEL PROYECTO PURO</t>
  </si>
  <si>
    <t>Flujo de Caja del Proyecto Puro</t>
  </si>
  <si>
    <t>Variación de Cantidad</t>
  </si>
  <si>
    <t>Variación de Costos Variables</t>
  </si>
  <si>
    <t>Participación de Mercado 2,7%</t>
  </si>
  <si>
    <t>Util. Antes de Partic. de 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</si>
</sst>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164" formatCode="&quot;$&quot;\ #,##0.00"/>
    <numFmt numFmtId="165" formatCode="&quot;$&quot;#,##0.00"/>
    <numFmt numFmtId="166" formatCode="0.0%"/>
    <numFmt numFmtId="167" formatCode="&quot;$&quot;\ #,##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u/>
      <sz val="16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0" applyFont="1"/>
    <xf numFmtId="164" fontId="0" fillId="0" borderId="0" xfId="0" applyNumberFormat="1" applyBorder="1"/>
    <xf numFmtId="0" fontId="2" fillId="0" borderId="0" xfId="0" applyFont="1" applyAlignment="1"/>
    <xf numFmtId="0" fontId="0" fillId="0" borderId="0" xfId="0" applyBorder="1"/>
    <xf numFmtId="0" fontId="0" fillId="0" borderId="0" xfId="0" applyFont="1" applyBorder="1"/>
    <xf numFmtId="0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3" borderId="0" xfId="0" applyFont="1" applyFill="1" applyBorder="1"/>
    <xf numFmtId="164" fontId="2" fillId="3" borderId="0" xfId="0" applyNumberFormat="1" applyFont="1" applyFill="1" applyBorder="1"/>
    <xf numFmtId="0" fontId="0" fillId="3" borderId="0" xfId="0" applyFont="1" applyFill="1" applyBorder="1"/>
    <xf numFmtId="0" fontId="0" fillId="0" borderId="0" xfId="0" applyFont="1"/>
    <xf numFmtId="164" fontId="5" fillId="0" borderId="0" xfId="0" applyNumberFormat="1" applyFont="1" applyFill="1" applyBorder="1" applyAlignment="1">
      <alignment horizontal="right" vertical="top"/>
    </xf>
    <xf numFmtId="164" fontId="0" fillId="0" borderId="6" xfId="0" applyNumberFormat="1" applyBorder="1"/>
    <xf numFmtId="164" fontId="0" fillId="0" borderId="0" xfId="0" applyNumberFormat="1"/>
    <xf numFmtId="0" fontId="0" fillId="0" borderId="0" xfId="0" applyBorder="1" applyAlignment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164" fontId="0" fillId="0" borderId="0" xfId="0" applyNumberFormat="1" applyFont="1" applyFill="1" applyBorder="1" applyAlignment="1"/>
    <xf numFmtId="0" fontId="0" fillId="0" borderId="0" xfId="0" applyFill="1"/>
    <xf numFmtId="164" fontId="2" fillId="0" borderId="0" xfId="0" applyNumberFormat="1" applyFont="1" applyBorder="1"/>
    <xf numFmtId="0" fontId="4" fillId="0" borderId="0" xfId="0" applyFont="1" applyFill="1" applyBorder="1" applyAlignment="1">
      <alignment horizontal="center" vertical="top"/>
    </xf>
    <xf numFmtId="1" fontId="0" fillId="0" borderId="0" xfId="0" applyNumberFormat="1"/>
    <xf numFmtId="0" fontId="8" fillId="0" borderId="0" xfId="0" applyFont="1"/>
    <xf numFmtId="0" fontId="14" fillId="0" borderId="0" xfId="0" applyFont="1"/>
    <xf numFmtId="44" fontId="0" fillId="0" borderId="0" xfId="0" applyNumberFormat="1"/>
    <xf numFmtId="164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164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/>
    <xf numFmtId="164" fontId="4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165" fontId="0" fillId="0" borderId="0" xfId="0" applyNumberFormat="1"/>
    <xf numFmtId="4" fontId="0" fillId="0" borderId="0" xfId="0" applyNumberFormat="1" applyFont="1" applyFill="1" applyBorder="1" applyAlignment="1"/>
    <xf numFmtId="4" fontId="0" fillId="0" borderId="0" xfId="0" applyNumberFormat="1" applyFont="1" applyBorder="1" applyAlignment="1"/>
    <xf numFmtId="4" fontId="0" fillId="0" borderId="0" xfId="0" applyNumberFormat="1" applyBorder="1"/>
    <xf numFmtId="4" fontId="0" fillId="0" borderId="6" xfId="0" applyNumberFormat="1" applyBorder="1"/>
    <xf numFmtId="4" fontId="2" fillId="0" borderId="0" xfId="0" applyNumberFormat="1" applyFont="1" applyFill="1" applyBorder="1"/>
    <xf numFmtId="4" fontId="2" fillId="0" borderId="0" xfId="0" applyNumberFormat="1" applyFont="1" applyBorder="1"/>
    <xf numFmtId="4" fontId="2" fillId="0" borderId="6" xfId="0" applyNumberFormat="1" applyFont="1" applyBorder="1"/>
    <xf numFmtId="0" fontId="15" fillId="0" borderId="0" xfId="0" applyFont="1" applyBorder="1"/>
    <xf numFmtId="0" fontId="0" fillId="3" borderId="0" xfId="0" applyFill="1" applyBorder="1"/>
    <xf numFmtId="164" fontId="2" fillId="3" borderId="8" xfId="0" applyNumberFormat="1" applyFont="1" applyFill="1" applyBorder="1"/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/>
    <xf numFmtId="0" fontId="0" fillId="5" borderId="0" xfId="0" applyFill="1" applyBorder="1"/>
    <xf numFmtId="4" fontId="0" fillId="0" borderId="0" xfId="0" applyNumberFormat="1"/>
    <xf numFmtId="4" fontId="0" fillId="0" borderId="0" xfId="0" applyNumberForma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Fill="1" applyBorder="1" applyAlignment="1"/>
    <xf numFmtId="4" fontId="0" fillId="0" borderId="6" xfId="0" applyNumberFormat="1" applyFont="1" applyBorder="1" applyAlignment="1"/>
    <xf numFmtId="4" fontId="2" fillId="0" borderId="0" xfId="0" applyNumberFormat="1" applyFont="1"/>
    <xf numFmtId="1" fontId="16" fillId="0" borderId="0" xfId="0" applyNumberFormat="1" applyFont="1"/>
    <xf numFmtId="166" fontId="0" fillId="0" borderId="0" xfId="2" applyNumberFormat="1" applyFont="1"/>
    <xf numFmtId="10" fontId="0" fillId="0" borderId="0" xfId="0" applyNumberFormat="1"/>
    <xf numFmtId="164" fontId="0" fillId="3" borderId="0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/>
    <xf numFmtId="0" fontId="3" fillId="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center"/>
    </xf>
    <xf numFmtId="165" fontId="9" fillId="0" borderId="0" xfId="3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1" fillId="3" borderId="0" xfId="2" applyNumberFormat="1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10" fontId="9" fillId="3" borderId="0" xfId="2" applyNumberFormat="1" applyFont="1" applyFill="1" applyBorder="1" applyAlignment="1">
      <alignment horizontal="center"/>
    </xf>
    <xf numFmtId="3" fontId="0" fillId="0" borderId="0" xfId="0" applyNumberFormat="1" applyBorder="1"/>
    <xf numFmtId="10" fontId="0" fillId="3" borderId="0" xfId="0" applyNumberFormat="1" applyFill="1" applyBorder="1"/>
    <xf numFmtId="164" fontId="2" fillId="3" borderId="0" xfId="2" applyNumberFormat="1" applyFont="1" applyFill="1" applyBorder="1"/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/>
    </xf>
    <xf numFmtId="164" fontId="2" fillId="2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17" fillId="0" borderId="0" xfId="0" applyFont="1" applyBorder="1"/>
    <xf numFmtId="0" fontId="18" fillId="0" borderId="0" xfId="0" applyFont="1" applyFill="1" applyBorder="1" applyAlignment="1">
      <alignment horizontal="center" vertical="top"/>
    </xf>
    <xf numFmtId="164" fontId="19" fillId="0" borderId="0" xfId="0" applyNumberFormat="1" applyFont="1" applyBorder="1"/>
    <xf numFmtId="0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right"/>
    </xf>
    <xf numFmtId="0" fontId="2" fillId="3" borderId="0" xfId="0" applyFont="1" applyFill="1"/>
    <xf numFmtId="164" fontId="0" fillId="3" borderId="0" xfId="0" applyNumberFormat="1" applyFill="1"/>
    <xf numFmtId="164" fontId="2" fillId="3" borderId="0" xfId="0" applyNumberFormat="1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0" fillId="5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0" borderId="0" xfId="0" applyBorder="1"/>
    <xf numFmtId="0" fontId="2" fillId="4" borderId="0" xfId="0" applyFont="1" applyFill="1" applyBorder="1" applyAlignment="1">
      <alignment horizontal="center"/>
    </xf>
    <xf numFmtId="0" fontId="0" fillId="4" borderId="0" xfId="0" applyFont="1" applyFill="1" applyBorder="1"/>
    <xf numFmtId="164" fontId="2" fillId="4" borderId="0" xfId="0" applyNumberFormat="1" applyFont="1" applyFill="1" applyBorder="1"/>
    <xf numFmtId="0" fontId="0" fillId="0" borderId="0" xfId="0" applyFont="1" applyFill="1" applyBorder="1" applyAlignment="1"/>
    <xf numFmtId="0" fontId="0" fillId="0" borderId="0" xfId="0" applyFont="1" applyBorder="1" applyAlignment="1"/>
    <xf numFmtId="164" fontId="0" fillId="3" borderId="0" xfId="0" applyNumberFormat="1" applyFill="1" applyBorder="1"/>
    <xf numFmtId="1" fontId="0" fillId="0" borderId="0" xfId="0" applyNumberFormat="1" applyBorder="1" applyAlignment="1">
      <alignment horizontal="center"/>
    </xf>
    <xf numFmtId="2" fontId="0" fillId="0" borderId="0" xfId="0" applyNumberFormat="1" applyBorder="1"/>
    <xf numFmtId="10" fontId="0" fillId="0" borderId="0" xfId="2" applyNumberFormat="1" applyFont="1" applyBorder="1"/>
    <xf numFmtId="4" fontId="0" fillId="0" borderId="0" xfId="0" applyNumberFormat="1" applyBorder="1" applyAlignment="1">
      <alignment vertical="center"/>
    </xf>
    <xf numFmtId="9" fontId="0" fillId="0" borderId="0" xfId="0" applyNumberFormat="1"/>
    <xf numFmtId="10" fontId="0" fillId="3" borderId="0" xfId="0" applyNumberFormat="1" applyFill="1"/>
    <xf numFmtId="2" fontId="0" fillId="0" borderId="0" xfId="0" applyNumberFormat="1" applyFill="1" applyBorder="1"/>
    <xf numFmtId="10" fontId="0" fillId="0" borderId="0" xfId="0" applyNumberFormat="1" applyFill="1" applyBorder="1" applyAlignment="1">
      <alignment horizontal="center"/>
    </xf>
    <xf numFmtId="10" fontId="2" fillId="3" borderId="0" xfId="2" applyNumberFormat="1" applyFont="1" applyFill="1" applyBorder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0" xfId="2" applyNumberFormat="1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0" fillId="0" borderId="0" xfId="0" applyBorder="1"/>
    <xf numFmtId="164" fontId="0" fillId="0" borderId="0" xfId="0" applyNumberFormat="1" applyFill="1"/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wrapText="1"/>
    </xf>
    <xf numFmtId="164" fontId="2" fillId="0" borderId="0" xfId="0" applyNumberFormat="1" applyFont="1"/>
    <xf numFmtId="0" fontId="2" fillId="0" borderId="0" xfId="0" applyFont="1" applyFill="1" applyBorder="1" applyAlignment="1">
      <alignment wrapText="1"/>
    </xf>
    <xf numFmtId="0" fontId="12" fillId="3" borderId="0" xfId="0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4" fontId="0" fillId="0" borderId="0" xfId="0" applyNumberFormat="1" applyAlignment="1">
      <alignment vertical="center"/>
    </xf>
    <xf numFmtId="0" fontId="2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164" fontId="2" fillId="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164" fontId="0" fillId="0" borderId="0" xfId="0" applyNumberFormat="1" applyFont="1"/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6" fillId="5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164" fontId="2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/>
    </xf>
    <xf numFmtId="0" fontId="22" fillId="3" borderId="0" xfId="0" applyFont="1" applyFill="1" applyBorder="1" applyAlignment="1"/>
    <xf numFmtId="0" fontId="0" fillId="3" borderId="0" xfId="0" applyFont="1" applyFill="1" applyBorder="1" applyAlignment="1"/>
    <xf numFmtId="164" fontId="2" fillId="3" borderId="0" xfId="0" applyNumberFormat="1" applyFont="1" applyFill="1" applyBorder="1" applyAlignment="1"/>
    <xf numFmtId="4" fontId="0" fillId="0" borderId="0" xfId="0" applyNumberFormat="1" applyFill="1" applyBorder="1" applyAlignment="1">
      <alignment vertical="center"/>
    </xf>
    <xf numFmtId="4" fontId="2" fillId="3" borderId="0" xfId="0" applyNumberFormat="1" applyFont="1" applyFill="1" applyBorder="1"/>
    <xf numFmtId="4" fontId="0" fillId="0" borderId="0" xfId="0" applyNumberFormat="1" applyFont="1" applyBorder="1"/>
    <xf numFmtId="164" fontId="0" fillId="0" borderId="2" xfId="0" applyNumberFormat="1" applyBorder="1"/>
    <xf numFmtId="164" fontId="0" fillId="0" borderId="7" xfId="0" applyNumberFormat="1" applyBorder="1"/>
    <xf numFmtId="2" fontId="0" fillId="0" borderId="0" xfId="0" applyNumberFormat="1"/>
    <xf numFmtId="1" fontId="0" fillId="0" borderId="0" xfId="0" applyNumberFormat="1" applyFont="1" applyFill="1" applyBorder="1"/>
    <xf numFmtId="0" fontId="2" fillId="0" borderId="0" xfId="0" applyFont="1"/>
    <xf numFmtId="0" fontId="0" fillId="0" borderId="0" xfId="0" applyBorder="1"/>
    <xf numFmtId="167" fontId="0" fillId="0" borderId="0" xfId="0" applyNumberFormat="1"/>
    <xf numFmtId="0" fontId="2" fillId="3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4">
    <cellStyle name="Currency" xfId="1" builtinId="4"/>
    <cellStyle name="Millares_Proyectos I" xf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'ANÁLISIS DE SENSIBILIDAD'!$A$19</c:f>
              <c:strCache>
                <c:ptCount val="1"/>
                <c:pt idx="0">
                  <c:v>Variación de Costos Fijos</c:v>
                </c:pt>
              </c:strCache>
            </c:strRef>
          </c:tx>
          <c:val>
            <c:numRef>
              <c:f>'ANÁLISIS DE SENSIBILIDAD'!$A$20:$A$32</c:f>
              <c:numCache>
                <c:formatCode>0%</c:formatCode>
                <c:ptCount val="13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</c:v>
                </c:pt>
                <c:pt idx="7">
                  <c:v>-0.05</c:v>
                </c:pt>
                <c:pt idx="8">
                  <c:v>-0.1</c:v>
                </c:pt>
                <c:pt idx="9">
                  <c:v>-0.15</c:v>
                </c:pt>
                <c:pt idx="10">
                  <c:v>-0.2</c:v>
                </c:pt>
                <c:pt idx="11">
                  <c:v>-0.25</c:v>
                </c:pt>
                <c:pt idx="12">
                  <c:v>-0.3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'ANÁLISIS DE SENSIBILIDAD'!$B$19</c:f>
              <c:strCache>
                <c:ptCount val="1"/>
                <c:pt idx="0">
                  <c:v>VAN</c:v>
                </c:pt>
              </c:strCache>
            </c:strRef>
          </c:tx>
          <c:val>
            <c:numRef>
              <c:f>'ANÁLISIS DE SENSIBILIDAD'!$B$20:$B$32</c:f>
              <c:numCache>
                <c:formatCode>"$"\ #,##0.00</c:formatCode>
                <c:ptCount val="13"/>
                <c:pt idx="0">
                  <c:v>-6929.9639412340111</c:v>
                </c:pt>
                <c:pt idx="1">
                  <c:v>-38018.355492579089</c:v>
                </c:pt>
                <c:pt idx="2">
                  <c:v>-69106.747043924086</c:v>
                </c:pt>
                <c:pt idx="3">
                  <c:v>-100195.13859526921</c:v>
                </c:pt>
                <c:pt idx="4">
                  <c:v>-131283.53014661424</c:v>
                </c:pt>
                <c:pt idx="5">
                  <c:v>-162371.92169795927</c:v>
                </c:pt>
                <c:pt idx="6">
                  <c:v>24158.427610111081</c:v>
                </c:pt>
                <c:pt idx="7">
                  <c:v>55246.819161456056</c:v>
                </c:pt>
                <c:pt idx="8">
                  <c:v>86335.210712801083</c:v>
                </c:pt>
                <c:pt idx="9">
                  <c:v>117423.60226414612</c:v>
                </c:pt>
                <c:pt idx="10">
                  <c:v>148511.99381549112</c:v>
                </c:pt>
                <c:pt idx="11">
                  <c:v>179600.38536683621</c:v>
                </c:pt>
                <c:pt idx="12">
                  <c:v>210688.77691818128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23392"/>
        <c:axId val="131324928"/>
      </c:lineChart>
      <c:catAx>
        <c:axId val="13132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1324928"/>
        <c:crosses val="autoZero"/>
        <c:auto val="1"/>
        <c:lblAlgn val="ctr"/>
        <c:lblOffset val="100"/>
        <c:noMultiLvlLbl val="0"/>
      </c:catAx>
      <c:valAx>
        <c:axId val="1313249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132339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'ANÁLISIS DE SENSIBILIDAD'!$A$36</c:f>
              <c:strCache>
                <c:ptCount val="1"/>
                <c:pt idx="0">
                  <c:v>Variación de Cantidad</c:v>
                </c:pt>
              </c:strCache>
            </c:strRef>
          </c:tx>
          <c:val>
            <c:numRef>
              <c:f>'ANÁLISIS DE SENSIBILIDAD'!$A$37:$A$49</c:f>
              <c:numCache>
                <c:formatCode>0%</c:formatCode>
                <c:ptCount val="13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</c:v>
                </c:pt>
                <c:pt idx="7">
                  <c:v>-0.05</c:v>
                </c:pt>
                <c:pt idx="8">
                  <c:v>-0.1</c:v>
                </c:pt>
                <c:pt idx="9">
                  <c:v>-0.15</c:v>
                </c:pt>
                <c:pt idx="10">
                  <c:v>-0.2</c:v>
                </c:pt>
                <c:pt idx="11">
                  <c:v>-0.25</c:v>
                </c:pt>
                <c:pt idx="12">
                  <c:v>-0.3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'ANÁLISIS DE SENSIBILIDAD'!$B$36</c:f>
              <c:strCache>
                <c:ptCount val="1"/>
                <c:pt idx="0">
                  <c:v>VAN</c:v>
                </c:pt>
              </c:strCache>
            </c:strRef>
          </c:tx>
          <c:val>
            <c:numRef>
              <c:f>'ANÁLISIS DE SENSIBILIDAD'!$B$37:$B$49</c:f>
              <c:numCache>
                <c:formatCode>"$"\ #,##0.00</c:formatCode>
                <c:ptCount val="13"/>
                <c:pt idx="0">
                  <c:v>78793.009200312314</c:v>
                </c:pt>
                <c:pt idx="1">
                  <c:v>133427.59079051355</c:v>
                </c:pt>
                <c:pt idx="2">
                  <c:v>188062.17238071465</c:v>
                </c:pt>
                <c:pt idx="3">
                  <c:v>242696.75397091563</c:v>
                </c:pt>
                <c:pt idx="4">
                  <c:v>297331.33556111669</c:v>
                </c:pt>
                <c:pt idx="5">
                  <c:v>351965.91715131787</c:v>
                </c:pt>
                <c:pt idx="6">
                  <c:v>24158.427610111081</c:v>
                </c:pt>
                <c:pt idx="7">
                  <c:v>-30476.153980090148</c:v>
                </c:pt>
                <c:pt idx="8">
                  <c:v>-85110.735570291465</c:v>
                </c:pt>
                <c:pt idx="9">
                  <c:v>-139745.31716049236</c:v>
                </c:pt>
                <c:pt idx="10">
                  <c:v>-194379.89875069357</c:v>
                </c:pt>
                <c:pt idx="11">
                  <c:v>-249014.48034089481</c:v>
                </c:pt>
                <c:pt idx="12">
                  <c:v>-303649.06193109584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25024"/>
        <c:axId val="131830912"/>
      </c:lineChart>
      <c:catAx>
        <c:axId val="131825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830912"/>
        <c:crosses val="autoZero"/>
        <c:auto val="1"/>
        <c:lblAlgn val="ctr"/>
        <c:lblOffset val="100"/>
        <c:noMultiLvlLbl val="0"/>
      </c:catAx>
      <c:valAx>
        <c:axId val="1318309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182502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'ANÁLISIS DE SENSIBILIDAD'!$A$2</c:f>
              <c:strCache>
                <c:ptCount val="1"/>
                <c:pt idx="0">
                  <c:v>Variación del Precio</c:v>
                </c:pt>
              </c:strCache>
            </c:strRef>
          </c:tx>
          <c:val>
            <c:numRef>
              <c:f>'ANÁLISIS DE SENSIBILIDAD'!$A$3:$A$15</c:f>
              <c:numCache>
                <c:formatCode>0%</c:formatCode>
                <c:ptCount val="13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</c:v>
                </c:pt>
                <c:pt idx="7">
                  <c:v>-0.05</c:v>
                </c:pt>
                <c:pt idx="8">
                  <c:v>-0.1</c:v>
                </c:pt>
                <c:pt idx="9">
                  <c:v>-0.15</c:v>
                </c:pt>
                <c:pt idx="10">
                  <c:v>-0.2</c:v>
                </c:pt>
                <c:pt idx="11">
                  <c:v>-0.25</c:v>
                </c:pt>
                <c:pt idx="12">
                  <c:v>-0.3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'ANÁLISIS DE SENSIBILIDAD'!$B$2</c:f>
              <c:strCache>
                <c:ptCount val="1"/>
                <c:pt idx="0">
                  <c:v>VAN</c:v>
                </c:pt>
              </c:strCache>
            </c:strRef>
          </c:tx>
          <c:val>
            <c:numRef>
              <c:f>'ANÁLISIS DE SENSIBILIDAD'!$B$3:$B$15</c:f>
              <c:numCache>
                <c:formatCode>"$"\ #,##0.00</c:formatCode>
                <c:ptCount val="13"/>
                <c:pt idx="0">
                  <c:v>78793.009200312168</c:v>
                </c:pt>
                <c:pt idx="1">
                  <c:v>133427.59079051338</c:v>
                </c:pt>
                <c:pt idx="2">
                  <c:v>188062.1723807145</c:v>
                </c:pt>
                <c:pt idx="3">
                  <c:v>242696.75397091563</c:v>
                </c:pt>
                <c:pt idx="4">
                  <c:v>297331.33556111681</c:v>
                </c:pt>
                <c:pt idx="5">
                  <c:v>351965.91715131799</c:v>
                </c:pt>
                <c:pt idx="6">
                  <c:v>24158.427610111081</c:v>
                </c:pt>
                <c:pt idx="7">
                  <c:v>-30476.153980090152</c:v>
                </c:pt>
                <c:pt idx="8">
                  <c:v>-85110.735570291261</c:v>
                </c:pt>
                <c:pt idx="9">
                  <c:v>-139745.31716049244</c:v>
                </c:pt>
                <c:pt idx="10">
                  <c:v>-194379.89875069357</c:v>
                </c:pt>
                <c:pt idx="11">
                  <c:v>-249014.48034089481</c:v>
                </c:pt>
                <c:pt idx="12">
                  <c:v>-303649.06193109596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55872"/>
        <c:axId val="131857408"/>
      </c:lineChart>
      <c:catAx>
        <c:axId val="13185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1857408"/>
        <c:crosses val="autoZero"/>
        <c:auto val="1"/>
        <c:lblAlgn val="ctr"/>
        <c:lblOffset val="100"/>
        <c:noMultiLvlLbl val="0"/>
      </c:catAx>
      <c:valAx>
        <c:axId val="131857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18558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'ANÁLISIS DE SENSIBILIDAD'!$A$53</c:f>
              <c:strCache>
                <c:ptCount val="1"/>
                <c:pt idx="0">
                  <c:v>Variación de Costos Variables</c:v>
                </c:pt>
              </c:strCache>
            </c:strRef>
          </c:tx>
          <c:val>
            <c:numRef>
              <c:f>'ANÁLISIS DE SENSIBILIDAD'!$A$54:$A$66</c:f>
              <c:numCache>
                <c:formatCode>0%</c:formatCode>
                <c:ptCount val="13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</c:v>
                </c:pt>
                <c:pt idx="7">
                  <c:v>-0.05</c:v>
                </c:pt>
                <c:pt idx="8">
                  <c:v>-0.1</c:v>
                </c:pt>
                <c:pt idx="9">
                  <c:v>-0.15</c:v>
                </c:pt>
                <c:pt idx="10">
                  <c:v>-0.2</c:v>
                </c:pt>
                <c:pt idx="11">
                  <c:v>-0.25</c:v>
                </c:pt>
                <c:pt idx="12">
                  <c:v>-0.3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'ANÁLISIS DE SENSIBILIDAD'!$B$53</c:f>
              <c:strCache>
                <c:ptCount val="1"/>
                <c:pt idx="0">
                  <c:v>VAN</c:v>
                </c:pt>
              </c:strCache>
            </c:strRef>
          </c:tx>
          <c:val>
            <c:numRef>
              <c:f>'ANÁLISIS DE SENSIBILIDAD'!$B$54:$B$66</c:f>
              <c:numCache>
                <c:formatCode>"$"\ #,##0.00</c:formatCode>
                <c:ptCount val="13"/>
                <c:pt idx="0">
                  <c:v>17761.333873895135</c:v>
                </c:pt>
                <c:pt idx="1">
                  <c:v>11364.240137679262</c:v>
                </c:pt>
                <c:pt idx="2">
                  <c:v>4967.1464014634112</c:v>
                </c:pt>
                <c:pt idx="3">
                  <c:v>-1429.9473347524108</c:v>
                </c:pt>
                <c:pt idx="4">
                  <c:v>-7827.0410709682837</c:v>
                </c:pt>
                <c:pt idx="5">
                  <c:v>-14224.134807184113</c:v>
                </c:pt>
                <c:pt idx="6">
                  <c:v>24158.427610111081</c:v>
                </c:pt>
                <c:pt idx="7">
                  <c:v>30555.521346326852</c:v>
                </c:pt>
                <c:pt idx="8">
                  <c:v>36952.615082542725</c:v>
                </c:pt>
                <c:pt idx="9">
                  <c:v>43349.708818758554</c:v>
                </c:pt>
                <c:pt idx="10">
                  <c:v>49746.802554974398</c:v>
                </c:pt>
                <c:pt idx="11">
                  <c:v>56143.896291190242</c:v>
                </c:pt>
                <c:pt idx="12">
                  <c:v>62540.990027406129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80064"/>
        <c:axId val="131881600"/>
      </c:lineChart>
      <c:catAx>
        <c:axId val="13188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881600"/>
        <c:crosses val="autoZero"/>
        <c:auto val="1"/>
        <c:lblAlgn val="ctr"/>
        <c:lblOffset val="100"/>
        <c:noMultiLvlLbl val="0"/>
      </c:catAx>
      <c:valAx>
        <c:axId val="131881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188006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17</xdr:row>
      <xdr:rowOff>52917</xdr:rowOff>
    </xdr:from>
    <xdr:to>
      <xdr:col>7</xdr:col>
      <xdr:colOff>84667</xdr:colOff>
      <xdr:row>31</xdr:row>
      <xdr:rowOff>127000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21166</xdr:colOff>
      <xdr:row>34</xdr:row>
      <xdr:rowOff>52918</xdr:rowOff>
    </xdr:from>
    <xdr:to>
      <xdr:col>7</xdr:col>
      <xdr:colOff>105832</xdr:colOff>
      <xdr:row>48</xdr:row>
      <xdr:rowOff>127001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21166</xdr:colOff>
      <xdr:row>0</xdr:row>
      <xdr:rowOff>52917</xdr:rowOff>
    </xdr:from>
    <xdr:to>
      <xdr:col>7</xdr:col>
      <xdr:colOff>105832</xdr:colOff>
      <xdr:row>14</xdr:row>
      <xdr:rowOff>127000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31750</xdr:colOff>
      <xdr:row>51</xdr:row>
      <xdr:rowOff>42334</xdr:rowOff>
    </xdr:from>
    <xdr:to>
      <xdr:col>7</xdr:col>
      <xdr:colOff>116416</xdr:colOff>
      <xdr:row>65</xdr:row>
      <xdr:rowOff>116417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zoomScale="80" zoomScaleNormal="80" workbookViewId="0">
      <selection sqref="A1:D1"/>
    </sheetView>
  </sheetViews>
  <sheetFormatPr defaultColWidth="11.42578125" defaultRowHeight="15" x14ac:dyDescent="0.25"/>
  <cols>
    <col min="1" max="1" width="45" customWidth="1"/>
    <col min="3" max="3" width="17.42578125" customWidth="1"/>
    <col min="4" max="4" width="15.28515625" bestFit="1" customWidth="1"/>
    <col min="7" max="7" width="27.42578125" customWidth="1"/>
    <col min="8" max="8" width="15.85546875" customWidth="1"/>
  </cols>
  <sheetData>
    <row r="1" spans="1:10" x14ac:dyDescent="0.25">
      <c r="A1" s="204" t="s">
        <v>1</v>
      </c>
      <c r="B1" s="204"/>
      <c r="C1" s="204"/>
      <c r="D1" s="204"/>
      <c r="E1" s="1"/>
      <c r="G1" s="204" t="s">
        <v>282</v>
      </c>
      <c r="H1" s="204"/>
    </row>
    <row r="2" spans="1:10" x14ac:dyDescent="0.25">
      <c r="A2" s="41" t="s">
        <v>13</v>
      </c>
      <c r="B2" s="67" t="s">
        <v>2</v>
      </c>
      <c r="C2" s="67" t="s">
        <v>177</v>
      </c>
      <c r="D2" s="67" t="s">
        <v>152</v>
      </c>
      <c r="E2" s="1"/>
      <c r="G2" s="5" t="s">
        <v>13</v>
      </c>
      <c r="H2" s="21">
        <f>D12</f>
        <v>38240</v>
      </c>
      <c r="I2" s="25"/>
      <c r="J2" s="25"/>
    </row>
    <row r="3" spans="1:10" x14ac:dyDescent="0.25">
      <c r="A3" s="23" t="s">
        <v>21</v>
      </c>
      <c r="B3" s="9">
        <v>1</v>
      </c>
      <c r="C3" s="7">
        <v>260</v>
      </c>
      <c r="D3" s="7">
        <f>B3*C3</f>
        <v>260</v>
      </c>
      <c r="E3" s="1"/>
      <c r="F3" s="23"/>
      <c r="G3" s="121" t="s">
        <v>85</v>
      </c>
      <c r="H3" s="27">
        <f>D16</f>
        <v>13000</v>
      </c>
      <c r="I3" s="26"/>
      <c r="J3" s="26"/>
    </row>
    <row r="4" spans="1:10" x14ac:dyDescent="0.25">
      <c r="A4" s="23" t="s">
        <v>3</v>
      </c>
      <c r="B4" s="9">
        <v>1</v>
      </c>
      <c r="C4" s="7">
        <v>1790</v>
      </c>
      <c r="D4" s="7">
        <f>B4*C4</f>
        <v>1790</v>
      </c>
      <c r="E4" s="1"/>
      <c r="G4" s="122" t="s">
        <v>84</v>
      </c>
      <c r="H4" s="21">
        <f>D24</f>
        <v>387.76</v>
      </c>
      <c r="I4" s="26"/>
      <c r="J4" s="26"/>
    </row>
    <row r="5" spans="1:10" x14ac:dyDescent="0.25">
      <c r="A5" s="23" t="s">
        <v>4</v>
      </c>
      <c r="B5" s="9">
        <v>1</v>
      </c>
      <c r="C5" s="7">
        <v>1870</v>
      </c>
      <c r="D5" s="7">
        <f>B5*C5</f>
        <v>1870</v>
      </c>
      <c r="E5" s="1"/>
      <c r="G5" s="122" t="s">
        <v>15</v>
      </c>
      <c r="H5" s="27">
        <f>D35</f>
        <v>8777.7999999999993</v>
      </c>
      <c r="I5" s="25"/>
      <c r="J5" s="25"/>
    </row>
    <row r="6" spans="1:10" x14ac:dyDescent="0.25">
      <c r="A6" s="23" t="s">
        <v>5</v>
      </c>
      <c r="B6" s="9">
        <v>1</v>
      </c>
      <c r="C6" s="7">
        <v>1520</v>
      </c>
      <c r="D6" s="7">
        <f t="shared" ref="D6:D11" si="0">B6*C6</f>
        <v>1520</v>
      </c>
      <c r="E6" s="1"/>
      <c r="G6" s="121" t="s">
        <v>92</v>
      </c>
      <c r="H6" s="27">
        <f>D48</f>
        <v>334.97</v>
      </c>
      <c r="I6" s="26"/>
      <c r="J6" s="26"/>
    </row>
    <row r="7" spans="1:10" x14ac:dyDescent="0.25">
      <c r="A7" s="23" t="s">
        <v>6</v>
      </c>
      <c r="B7" s="9">
        <v>1</v>
      </c>
      <c r="C7" s="7">
        <v>5600</v>
      </c>
      <c r="D7" s="7">
        <f t="shared" si="0"/>
        <v>5600</v>
      </c>
      <c r="E7" s="1"/>
      <c r="G7" s="122" t="s">
        <v>96</v>
      </c>
      <c r="H7" s="27">
        <f>D56</f>
        <v>3071</v>
      </c>
    </row>
    <row r="8" spans="1:10" x14ac:dyDescent="0.25">
      <c r="A8" s="5" t="s">
        <v>7</v>
      </c>
      <c r="B8" s="9">
        <v>1</v>
      </c>
      <c r="C8" s="7">
        <v>5400</v>
      </c>
      <c r="D8" s="7">
        <f t="shared" si="0"/>
        <v>5400</v>
      </c>
      <c r="E8" s="1"/>
      <c r="G8" s="116" t="s">
        <v>281</v>
      </c>
      <c r="H8" s="123">
        <f>SUM(H2:H7)</f>
        <v>63811.53</v>
      </c>
    </row>
    <row r="9" spans="1:10" x14ac:dyDescent="0.25">
      <c r="A9" s="23" t="s">
        <v>8</v>
      </c>
      <c r="B9" s="9">
        <v>1</v>
      </c>
      <c r="C9" s="7">
        <v>3500</v>
      </c>
      <c r="D9" s="7">
        <f t="shared" si="0"/>
        <v>3500</v>
      </c>
      <c r="E9" s="1"/>
    </row>
    <row r="10" spans="1:10" x14ac:dyDescent="0.25">
      <c r="A10" s="23" t="s">
        <v>9</v>
      </c>
      <c r="B10" s="9">
        <v>1</v>
      </c>
      <c r="C10" s="7">
        <v>3300</v>
      </c>
      <c r="D10" s="7">
        <f t="shared" si="0"/>
        <v>3300</v>
      </c>
      <c r="E10" s="1"/>
    </row>
    <row r="11" spans="1:10" x14ac:dyDescent="0.25">
      <c r="A11" s="23" t="s">
        <v>10</v>
      </c>
      <c r="B11" s="9">
        <v>1</v>
      </c>
      <c r="C11" s="7">
        <v>15000</v>
      </c>
      <c r="D11" s="7">
        <f t="shared" si="0"/>
        <v>15000</v>
      </c>
      <c r="E11" s="1"/>
    </row>
    <row r="12" spans="1:10" x14ac:dyDescent="0.25">
      <c r="A12" s="10" t="s">
        <v>11</v>
      </c>
      <c r="B12" s="10"/>
      <c r="C12" s="11"/>
      <c r="D12" s="11">
        <f>SUM(D3:D11)</f>
        <v>38240</v>
      </c>
      <c r="E12" s="1"/>
    </row>
    <row r="13" spans="1:10" x14ac:dyDescent="0.25">
      <c r="A13" s="18"/>
      <c r="B13" s="18"/>
      <c r="C13" s="19"/>
      <c r="D13" s="19"/>
      <c r="E13" s="1"/>
    </row>
    <row r="14" spans="1:10" x14ac:dyDescent="0.25">
      <c r="A14" s="207" t="s">
        <v>85</v>
      </c>
      <c r="B14" s="206"/>
      <c r="C14" s="206"/>
      <c r="D14" s="206"/>
      <c r="E14" s="1"/>
    </row>
    <row r="15" spans="1:10" x14ac:dyDescent="0.25">
      <c r="A15" s="37" t="s">
        <v>136</v>
      </c>
      <c r="B15" s="22">
        <v>1</v>
      </c>
      <c r="C15" s="21">
        <v>13000</v>
      </c>
      <c r="D15" s="21">
        <f>B15*C15</f>
        <v>13000</v>
      </c>
      <c r="E15" s="1"/>
    </row>
    <row r="16" spans="1:10" x14ac:dyDescent="0.25">
      <c r="A16" s="10" t="s">
        <v>86</v>
      </c>
      <c r="B16" s="10"/>
      <c r="C16" s="11"/>
      <c r="D16" s="11">
        <f>D15</f>
        <v>13000</v>
      </c>
      <c r="E16" s="1"/>
    </row>
    <row r="17" spans="1:5" x14ac:dyDescent="0.25">
      <c r="A17" s="5"/>
      <c r="B17" s="5"/>
      <c r="C17" s="7"/>
      <c r="D17" s="5"/>
      <c r="E17" s="1"/>
    </row>
    <row r="18" spans="1:5" x14ac:dyDescent="0.25">
      <c r="A18" s="205" t="s">
        <v>84</v>
      </c>
      <c r="B18" s="205"/>
      <c r="C18" s="205"/>
      <c r="D18" s="205"/>
      <c r="E18" s="1"/>
    </row>
    <row r="19" spans="1:5" x14ac:dyDescent="0.25">
      <c r="A19" s="4" t="s">
        <v>88</v>
      </c>
      <c r="B19" s="36">
        <v>1</v>
      </c>
      <c r="C19" s="2">
        <v>79</v>
      </c>
      <c r="D19" s="2">
        <f>B19*C19</f>
        <v>79</v>
      </c>
      <c r="E19" s="1"/>
    </row>
    <row r="20" spans="1:5" x14ac:dyDescent="0.25">
      <c r="A20" s="4" t="s">
        <v>138</v>
      </c>
      <c r="B20" s="36">
        <v>20</v>
      </c>
      <c r="C20" s="2">
        <v>0.1</v>
      </c>
      <c r="D20" s="2">
        <f>B20*C20</f>
        <v>2</v>
      </c>
      <c r="E20" s="1"/>
    </row>
    <row r="21" spans="1:5" x14ac:dyDescent="0.25">
      <c r="A21" s="4" t="s">
        <v>89</v>
      </c>
      <c r="B21" s="8">
        <v>4</v>
      </c>
      <c r="C21" s="7">
        <v>32.14</v>
      </c>
      <c r="D21" s="7">
        <f>B21*C21</f>
        <v>128.56</v>
      </c>
      <c r="E21" s="1"/>
    </row>
    <row r="22" spans="1:5" x14ac:dyDescent="0.25">
      <c r="A22" s="5" t="s">
        <v>12</v>
      </c>
      <c r="B22" s="8">
        <v>4</v>
      </c>
      <c r="C22" s="7">
        <v>43</v>
      </c>
      <c r="D22" s="7">
        <f>B22*C22</f>
        <v>172</v>
      </c>
      <c r="E22" s="1"/>
    </row>
    <row r="23" spans="1:5" x14ac:dyDescent="0.25">
      <c r="A23" s="5" t="s">
        <v>14</v>
      </c>
      <c r="B23" s="8">
        <v>4</v>
      </c>
      <c r="C23" s="7">
        <v>1.55</v>
      </c>
      <c r="D23" s="7">
        <f>B23*C23</f>
        <v>6.2</v>
      </c>
      <c r="E23" s="1"/>
    </row>
    <row r="24" spans="1:5" x14ac:dyDescent="0.25">
      <c r="A24" s="10" t="s">
        <v>95</v>
      </c>
      <c r="B24" s="12"/>
      <c r="C24" s="12"/>
      <c r="D24" s="11">
        <f>SUM(D19:D23)</f>
        <v>387.76</v>
      </c>
      <c r="E24" s="1"/>
    </row>
    <row r="25" spans="1:5" x14ac:dyDescent="0.25">
      <c r="A25" s="5"/>
      <c r="B25" s="5"/>
      <c r="C25" s="5"/>
      <c r="D25" s="5"/>
      <c r="E25" s="1"/>
    </row>
    <row r="26" spans="1:5" x14ac:dyDescent="0.25">
      <c r="A26" s="205" t="s">
        <v>15</v>
      </c>
      <c r="B26" s="206"/>
      <c r="C26" s="206"/>
      <c r="D26" s="206"/>
      <c r="E26" s="1"/>
    </row>
    <row r="27" spans="1:5" x14ac:dyDescent="0.25">
      <c r="A27" s="5" t="s">
        <v>22</v>
      </c>
      <c r="B27" s="8">
        <v>3</v>
      </c>
      <c r="C27" s="7">
        <v>392</v>
      </c>
      <c r="D27" s="7">
        <f>B27*C27</f>
        <v>1176</v>
      </c>
      <c r="E27" s="1"/>
    </row>
    <row r="28" spans="1:5" x14ac:dyDescent="0.25">
      <c r="A28" s="4" t="s">
        <v>105</v>
      </c>
      <c r="B28" s="8">
        <v>6</v>
      </c>
      <c r="C28" s="7">
        <v>650</v>
      </c>
      <c r="D28" s="7">
        <f t="shared" ref="D28:D34" si="1">B28*C28</f>
        <v>3900</v>
      </c>
    </row>
    <row r="29" spans="1:5" x14ac:dyDescent="0.25">
      <c r="A29" s="4" t="s">
        <v>107</v>
      </c>
      <c r="B29" s="8">
        <v>3</v>
      </c>
      <c r="C29" s="7">
        <v>75.599999999999994</v>
      </c>
      <c r="D29" s="7">
        <f t="shared" si="1"/>
        <v>226.79999999999998</v>
      </c>
    </row>
    <row r="30" spans="1:5" x14ac:dyDescent="0.25">
      <c r="A30" s="4" t="s">
        <v>106</v>
      </c>
      <c r="B30" s="8">
        <v>3</v>
      </c>
      <c r="C30" s="7">
        <v>15</v>
      </c>
      <c r="D30" s="7">
        <f t="shared" si="1"/>
        <v>45</v>
      </c>
    </row>
    <row r="31" spans="1:5" x14ac:dyDescent="0.25">
      <c r="A31" s="5" t="s">
        <v>17</v>
      </c>
      <c r="B31" s="8">
        <v>8</v>
      </c>
      <c r="C31" s="7">
        <v>35</v>
      </c>
      <c r="D31" s="7">
        <f t="shared" si="1"/>
        <v>280</v>
      </c>
    </row>
    <row r="32" spans="1:5" x14ac:dyDescent="0.25">
      <c r="A32" s="5" t="s">
        <v>18</v>
      </c>
      <c r="B32" s="8">
        <v>2</v>
      </c>
      <c r="C32" s="7">
        <v>1440</v>
      </c>
      <c r="D32" s="7">
        <f t="shared" si="1"/>
        <v>2880</v>
      </c>
    </row>
    <row r="33" spans="1:4" x14ac:dyDescent="0.25">
      <c r="A33" s="5" t="s">
        <v>25</v>
      </c>
      <c r="B33" s="8">
        <v>2</v>
      </c>
      <c r="C33" s="7">
        <v>75</v>
      </c>
      <c r="D33" s="7">
        <f t="shared" si="1"/>
        <v>150</v>
      </c>
    </row>
    <row r="34" spans="1:4" x14ac:dyDescent="0.25">
      <c r="A34" s="5" t="s">
        <v>19</v>
      </c>
      <c r="B34" s="8">
        <v>1</v>
      </c>
      <c r="C34" s="7">
        <v>120</v>
      </c>
      <c r="D34" s="7">
        <f t="shared" si="1"/>
        <v>120</v>
      </c>
    </row>
    <row r="35" spans="1:4" x14ac:dyDescent="0.25">
      <c r="A35" s="10" t="s">
        <v>20</v>
      </c>
      <c r="B35" s="12"/>
      <c r="C35" s="12"/>
      <c r="D35" s="11">
        <f>SUM(D27:D34)</f>
        <v>8777.7999999999993</v>
      </c>
    </row>
    <row r="36" spans="1:4" x14ac:dyDescent="0.25">
      <c r="A36" s="18"/>
      <c r="B36" s="20"/>
      <c r="C36" s="20"/>
      <c r="D36" s="19"/>
    </row>
    <row r="37" spans="1:4" x14ac:dyDescent="0.25">
      <c r="A37" s="207" t="s">
        <v>92</v>
      </c>
      <c r="B37" s="207"/>
      <c r="C37" s="207"/>
      <c r="D37" s="207"/>
    </row>
    <row r="38" spans="1:4" x14ac:dyDescent="0.25">
      <c r="A38" s="37" t="s">
        <v>94</v>
      </c>
      <c r="B38" s="24">
        <v>3</v>
      </c>
      <c r="C38" s="21">
        <v>30</v>
      </c>
      <c r="D38" s="21">
        <f>B38*C38</f>
        <v>90</v>
      </c>
    </row>
    <row r="39" spans="1:4" x14ac:dyDescent="0.25">
      <c r="A39" s="37" t="s">
        <v>97</v>
      </c>
      <c r="B39" s="24">
        <v>3</v>
      </c>
      <c r="C39" s="21">
        <v>6.35</v>
      </c>
      <c r="D39" s="21">
        <f t="shared" ref="D39:D47" si="2">B39*C39</f>
        <v>19.049999999999997</v>
      </c>
    </row>
    <row r="40" spans="1:4" x14ac:dyDescent="0.25">
      <c r="A40" s="37" t="s">
        <v>100</v>
      </c>
      <c r="B40" s="24">
        <v>6</v>
      </c>
      <c r="C40" s="21">
        <v>1.1499999999999999</v>
      </c>
      <c r="D40" s="21">
        <f t="shared" si="2"/>
        <v>6.8999999999999995</v>
      </c>
    </row>
    <row r="41" spans="1:4" x14ac:dyDescent="0.25">
      <c r="A41" s="37" t="s">
        <v>98</v>
      </c>
      <c r="B41" s="24">
        <v>3</v>
      </c>
      <c r="C41" s="21">
        <v>5.9</v>
      </c>
      <c r="D41" s="21">
        <f t="shared" si="2"/>
        <v>17.700000000000003</v>
      </c>
    </row>
    <row r="42" spans="1:4" x14ac:dyDescent="0.25">
      <c r="A42" s="37" t="s">
        <v>99</v>
      </c>
      <c r="B42" s="24">
        <v>12</v>
      </c>
      <c r="C42" s="21">
        <v>2.46</v>
      </c>
      <c r="D42" s="21">
        <f t="shared" si="2"/>
        <v>29.52</v>
      </c>
    </row>
    <row r="43" spans="1:4" x14ac:dyDescent="0.25">
      <c r="A43" s="37" t="s">
        <v>103</v>
      </c>
      <c r="B43" s="24">
        <v>3</v>
      </c>
      <c r="C43" s="21">
        <v>2</v>
      </c>
      <c r="D43" s="21">
        <f t="shared" si="2"/>
        <v>6</v>
      </c>
    </row>
    <row r="44" spans="1:4" x14ac:dyDescent="0.25">
      <c r="A44" s="37" t="s">
        <v>101</v>
      </c>
      <c r="B44" s="24">
        <v>8</v>
      </c>
      <c r="C44" s="21">
        <v>0.25</v>
      </c>
      <c r="D44" s="21">
        <f t="shared" si="2"/>
        <v>2</v>
      </c>
    </row>
    <row r="45" spans="1:4" x14ac:dyDescent="0.25">
      <c r="A45" s="37" t="s">
        <v>102</v>
      </c>
      <c r="B45" s="24">
        <v>12</v>
      </c>
      <c r="C45" s="21">
        <v>0.15</v>
      </c>
      <c r="D45" s="21">
        <f t="shared" si="2"/>
        <v>1.7999999999999998</v>
      </c>
    </row>
    <row r="46" spans="1:4" x14ac:dyDescent="0.25">
      <c r="A46" s="37" t="s">
        <v>104</v>
      </c>
      <c r="B46" s="24">
        <v>6</v>
      </c>
      <c r="C46" s="21">
        <v>3</v>
      </c>
      <c r="D46" s="21">
        <f t="shared" si="2"/>
        <v>18</v>
      </c>
    </row>
    <row r="47" spans="1:4" x14ac:dyDescent="0.25">
      <c r="A47" s="37" t="s">
        <v>108</v>
      </c>
      <c r="B47" s="24">
        <v>3</v>
      </c>
      <c r="C47" s="21">
        <v>48</v>
      </c>
      <c r="D47" s="21">
        <f t="shared" si="2"/>
        <v>144</v>
      </c>
    </row>
    <row r="48" spans="1:4" x14ac:dyDescent="0.25">
      <c r="A48" s="10" t="s">
        <v>93</v>
      </c>
      <c r="B48" s="10"/>
      <c r="C48" s="10"/>
      <c r="D48" s="11">
        <f>SUM(D38:D47)</f>
        <v>334.97</v>
      </c>
    </row>
    <row r="49" spans="1:4" x14ac:dyDescent="0.25">
      <c r="A49" s="5"/>
      <c r="B49" s="5"/>
      <c r="C49" s="5"/>
      <c r="D49" s="19"/>
    </row>
    <row r="50" spans="1:4" x14ac:dyDescent="0.25">
      <c r="A50" s="205" t="s">
        <v>96</v>
      </c>
      <c r="B50" s="206"/>
      <c r="C50" s="206"/>
      <c r="D50" s="206"/>
    </row>
    <row r="51" spans="1:4" x14ac:dyDescent="0.25">
      <c r="A51" s="20" t="s">
        <v>24</v>
      </c>
      <c r="B51" s="8">
        <v>6</v>
      </c>
      <c r="C51" s="7">
        <v>150</v>
      </c>
      <c r="D51" s="7">
        <f>B51*C51</f>
        <v>900</v>
      </c>
    </row>
    <row r="52" spans="1:4" x14ac:dyDescent="0.25">
      <c r="A52" s="5" t="s">
        <v>26</v>
      </c>
      <c r="B52" s="8">
        <v>12</v>
      </c>
      <c r="C52" s="7">
        <v>50</v>
      </c>
      <c r="D52" s="7">
        <f>B52*C52</f>
        <v>600</v>
      </c>
    </row>
    <row r="53" spans="1:4" x14ac:dyDescent="0.25">
      <c r="A53" s="5" t="s">
        <v>27</v>
      </c>
      <c r="B53" s="8">
        <v>3</v>
      </c>
      <c r="C53" s="7">
        <v>80</v>
      </c>
      <c r="D53" s="7">
        <f>B53*C53</f>
        <v>240</v>
      </c>
    </row>
    <row r="54" spans="1:4" x14ac:dyDescent="0.25">
      <c r="A54" s="4" t="s">
        <v>91</v>
      </c>
      <c r="B54" s="8">
        <v>2</v>
      </c>
      <c r="C54" s="7">
        <v>103</v>
      </c>
      <c r="D54" s="7">
        <f>B54*C54</f>
        <v>206</v>
      </c>
    </row>
    <row r="55" spans="1:4" x14ac:dyDescent="0.25">
      <c r="A55" s="5" t="s">
        <v>23</v>
      </c>
      <c r="B55" s="8">
        <v>3</v>
      </c>
      <c r="C55" s="7">
        <v>375</v>
      </c>
      <c r="D55" s="7">
        <f>B55*C55</f>
        <v>1125</v>
      </c>
    </row>
    <row r="56" spans="1:4" x14ac:dyDescent="0.25">
      <c r="A56" s="10" t="s">
        <v>28</v>
      </c>
      <c r="B56" s="12"/>
      <c r="C56" s="12"/>
      <c r="D56" s="11">
        <f>SUM(D51:D55)</f>
        <v>3071</v>
      </c>
    </row>
    <row r="57" spans="1:4" x14ac:dyDescent="0.25">
      <c r="A57" s="118" t="s">
        <v>181</v>
      </c>
      <c r="B57" s="119"/>
      <c r="C57" s="119"/>
      <c r="D57" s="120">
        <f>D12+D16+D24+D35+D48+D56</f>
        <v>63811.53</v>
      </c>
    </row>
    <row r="58" spans="1:4" x14ac:dyDescent="0.25">
      <c r="A58" s="13"/>
      <c r="B58" s="13"/>
      <c r="C58" s="13"/>
      <c r="D58" s="13"/>
    </row>
    <row r="59" spans="1:4" x14ac:dyDescent="0.25">
      <c r="A59" s="13"/>
      <c r="B59" s="13"/>
      <c r="C59" s="13"/>
      <c r="D59" s="13"/>
    </row>
    <row r="60" spans="1:4" x14ac:dyDescent="0.25">
      <c r="A60" s="13"/>
      <c r="B60" s="13"/>
      <c r="C60" s="13"/>
      <c r="D60" s="169"/>
    </row>
    <row r="61" spans="1:4" x14ac:dyDescent="0.25">
      <c r="C61" s="3"/>
      <c r="D61" s="3"/>
    </row>
    <row r="62" spans="1:4" x14ac:dyDescent="0.25">
      <c r="C62" s="13"/>
      <c r="D62" s="13"/>
    </row>
    <row r="63" spans="1:4" x14ac:dyDescent="0.25">
      <c r="C63" s="13"/>
      <c r="D63" s="13"/>
    </row>
    <row r="64" spans="1:4" x14ac:dyDescent="0.25">
      <c r="C64" s="13"/>
      <c r="D64" s="13"/>
    </row>
    <row r="65" spans="1:4" x14ac:dyDescent="0.25">
      <c r="C65" s="13"/>
      <c r="D65" s="13"/>
    </row>
    <row r="66" spans="1:4" x14ac:dyDescent="0.25">
      <c r="C66" s="13"/>
      <c r="D66" s="13"/>
    </row>
    <row r="67" spans="1:4" x14ac:dyDescent="0.25">
      <c r="C67" s="13"/>
      <c r="D67" s="13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</sheetData>
  <mergeCells count="7">
    <mergeCell ref="A1:D1"/>
    <mergeCell ref="G1:H1"/>
    <mergeCell ref="A18:D18"/>
    <mergeCell ref="A26:D26"/>
    <mergeCell ref="A50:D50"/>
    <mergeCell ref="A14:D14"/>
    <mergeCell ref="A37:D3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sqref="A1:F1"/>
    </sheetView>
  </sheetViews>
  <sheetFormatPr defaultColWidth="11.42578125" defaultRowHeight="15" x14ac:dyDescent="0.25"/>
  <cols>
    <col min="1" max="1" width="27.140625" customWidth="1"/>
    <col min="2" max="2" width="14.28515625" customWidth="1"/>
    <col min="4" max="4" width="29.140625" customWidth="1"/>
  </cols>
  <sheetData>
    <row r="1" spans="1:6" x14ac:dyDescent="0.25">
      <c r="A1" s="204" t="s">
        <v>205</v>
      </c>
      <c r="B1" s="204"/>
      <c r="C1" s="204"/>
      <c r="D1" s="204"/>
      <c r="E1" s="204"/>
      <c r="F1" s="204"/>
    </row>
    <row r="2" spans="1:6" x14ac:dyDescent="0.25">
      <c r="A2" s="62" t="s">
        <v>111</v>
      </c>
      <c r="B2" s="64"/>
      <c r="C2" s="64"/>
      <c r="D2" s="63" t="s">
        <v>113</v>
      </c>
      <c r="E2" s="64"/>
      <c r="F2" s="64"/>
    </row>
    <row r="3" spans="1:6" x14ac:dyDescent="0.25">
      <c r="A3" s="59" t="s">
        <v>207</v>
      </c>
      <c r="B3" s="4"/>
      <c r="C3" s="4"/>
      <c r="D3" s="59" t="s">
        <v>209</v>
      </c>
      <c r="E3" s="4"/>
      <c r="F3" s="4"/>
    </row>
    <row r="4" spans="1:6" x14ac:dyDescent="0.25">
      <c r="A4" s="4" t="s">
        <v>256</v>
      </c>
      <c r="B4" s="15">
        <f>'INVERSIONES-AMORTIZACIÓN'!B5</f>
        <v>18533.677706485152</v>
      </c>
      <c r="C4" s="4"/>
      <c r="D4" s="4" t="s">
        <v>114</v>
      </c>
      <c r="E4" s="15">
        <f>'INVERSIONES-AMORTIZACIÓN'!G9</f>
        <v>33458.083082594057</v>
      </c>
      <c r="F4" s="4"/>
    </row>
    <row r="5" spans="1:6" x14ac:dyDescent="0.25">
      <c r="A5" s="41" t="s">
        <v>112</v>
      </c>
      <c r="B5" s="4"/>
      <c r="C5" s="29">
        <f>B4</f>
        <v>18533.677706485152</v>
      </c>
      <c r="D5" s="41" t="s">
        <v>115</v>
      </c>
      <c r="E5" s="4"/>
      <c r="F5" s="58">
        <f>E4</f>
        <v>33458.083082594057</v>
      </c>
    </row>
    <row r="6" spans="1:6" x14ac:dyDescent="0.25">
      <c r="A6" s="59" t="s">
        <v>208</v>
      </c>
      <c r="B6" s="4"/>
      <c r="C6" s="4"/>
      <c r="D6" s="41" t="s">
        <v>117</v>
      </c>
      <c r="E6" s="4"/>
      <c r="F6" s="29">
        <f>E4</f>
        <v>33458.083082594057</v>
      </c>
    </row>
    <row r="7" spans="1:6" x14ac:dyDescent="0.25">
      <c r="A7" s="70" t="s">
        <v>257</v>
      </c>
      <c r="D7" s="63" t="s">
        <v>118</v>
      </c>
      <c r="E7" s="64"/>
      <c r="F7" s="64"/>
    </row>
    <row r="8" spans="1:6" x14ac:dyDescent="0.25">
      <c r="A8" s="4" t="s">
        <v>121</v>
      </c>
      <c r="B8" s="7">
        <f>'ACTIVOS FIJOS'!H2</f>
        <v>38240</v>
      </c>
      <c r="C8" s="4"/>
      <c r="D8" s="4" t="s">
        <v>252</v>
      </c>
      <c r="E8" s="2">
        <f>'INVERSIONES-AMORTIZACIÓN'!C9</f>
        <v>16729.041541297029</v>
      </c>
      <c r="F8" s="4"/>
    </row>
    <row r="9" spans="1:6" x14ac:dyDescent="0.25">
      <c r="A9" s="38" t="s">
        <v>122</v>
      </c>
      <c r="B9" s="52">
        <f>'ACTIVOS FIJOS'!H3</f>
        <v>13000</v>
      </c>
      <c r="C9" s="4"/>
      <c r="D9" s="4" t="s">
        <v>253</v>
      </c>
      <c r="E9" s="54">
        <f>'INVERSIONES-AMORTIZACIÓN'!C10</f>
        <v>16729.041541297029</v>
      </c>
      <c r="F9" s="4"/>
    </row>
    <row r="10" spans="1:6" x14ac:dyDescent="0.25">
      <c r="A10" s="17" t="s">
        <v>124</v>
      </c>
      <c r="B10" s="53">
        <f>'ACTIVOS FIJOS'!H4</f>
        <v>387.76</v>
      </c>
      <c r="C10" s="4"/>
      <c r="D10" s="4" t="s">
        <v>254</v>
      </c>
      <c r="E10" s="55">
        <f>'INVERSIONES-AMORTIZACIÓN'!C11</f>
        <v>16729.041541297029</v>
      </c>
      <c r="F10" s="4"/>
    </row>
    <row r="11" spans="1:6" x14ac:dyDescent="0.25">
      <c r="A11" s="17" t="s">
        <v>123</v>
      </c>
      <c r="B11" s="53">
        <f>'ACTIVOS FIJOS'!H5</f>
        <v>8777.7999999999993</v>
      </c>
      <c r="C11" s="4"/>
      <c r="D11" s="41" t="s">
        <v>119</v>
      </c>
      <c r="E11" s="4"/>
      <c r="F11" s="57">
        <f>E8+E9+E10</f>
        <v>50187.124623891083</v>
      </c>
    </row>
    <row r="12" spans="1:6" x14ac:dyDescent="0.25">
      <c r="A12" s="38" t="s">
        <v>125</v>
      </c>
      <c r="B12" s="52">
        <f>'ACTIVOS FIJOS'!H6</f>
        <v>334.97</v>
      </c>
      <c r="C12" s="4"/>
    </row>
    <row r="13" spans="1:6" x14ac:dyDescent="0.25">
      <c r="A13" s="17" t="s">
        <v>126</v>
      </c>
      <c r="B13" s="72">
        <f>'ACTIVOS FIJOS'!H7</f>
        <v>3071</v>
      </c>
      <c r="C13" s="4"/>
      <c r="D13" s="65"/>
    </row>
    <row r="14" spans="1:6" x14ac:dyDescent="0.25">
      <c r="A14" s="25" t="s">
        <v>258</v>
      </c>
      <c r="C14" s="73">
        <f>SUM(B8:B13)</f>
        <v>63811.53</v>
      </c>
      <c r="D14" s="202"/>
    </row>
    <row r="15" spans="1:6" x14ac:dyDescent="0.25">
      <c r="A15" s="71" t="s">
        <v>259</v>
      </c>
      <c r="D15" s="4"/>
      <c r="E15" s="4"/>
      <c r="F15" s="4"/>
    </row>
    <row r="16" spans="1:6" x14ac:dyDescent="0.25">
      <c r="A16" s="4" t="s">
        <v>110</v>
      </c>
      <c r="B16" s="55">
        <f>'ACTIVOS INTANGIBLES'!B2</f>
        <v>1300</v>
      </c>
      <c r="C16" s="4"/>
      <c r="D16" s="4"/>
      <c r="E16" s="4"/>
      <c r="F16" s="4"/>
    </row>
    <row r="17" spans="1:6" x14ac:dyDescent="0.25">
      <c r="A17" s="18" t="s">
        <v>260</v>
      </c>
      <c r="C17" s="58">
        <f>B16</f>
        <v>1300</v>
      </c>
      <c r="D17" s="4"/>
      <c r="E17" s="4"/>
      <c r="F17" s="4"/>
    </row>
    <row r="18" spans="1:6" x14ac:dyDescent="0.25">
      <c r="A18" s="18" t="s">
        <v>206</v>
      </c>
      <c r="B18" s="4"/>
      <c r="C18" s="56">
        <f>SUM(C14+C17)</f>
        <v>65111.53</v>
      </c>
    </row>
    <row r="19" spans="1:6" ht="15.75" thickBot="1" x14ac:dyDescent="0.3">
      <c r="A19" s="10" t="s">
        <v>116</v>
      </c>
      <c r="B19" s="60"/>
      <c r="C19" s="61">
        <f>C5+C18</f>
        <v>83645.207706485147</v>
      </c>
      <c r="D19" s="10" t="s">
        <v>120</v>
      </c>
      <c r="E19" s="60"/>
      <c r="F19" s="61">
        <f>F6+F11</f>
        <v>83645.207706485147</v>
      </c>
    </row>
    <row r="20" spans="1:6" ht="15.75" thickTop="1" x14ac:dyDescent="0.25"/>
    <row r="21" spans="1:6" x14ac:dyDescent="0.25">
      <c r="D21" s="16"/>
    </row>
    <row r="24" spans="1:6" x14ac:dyDescent="0.25">
      <c r="A24" s="201"/>
      <c r="B24" s="54"/>
    </row>
    <row r="25" spans="1:6" x14ac:dyDescent="0.25">
      <c r="A25" s="201"/>
      <c r="B25" s="54"/>
    </row>
    <row r="26" spans="1:6" x14ac:dyDescent="0.25">
      <c r="A26" s="201"/>
      <c r="B26" s="54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8" workbookViewId="0">
      <selection activeCell="B21" sqref="B21"/>
    </sheetView>
  </sheetViews>
  <sheetFormatPr defaultColWidth="11.42578125" defaultRowHeight="15" x14ac:dyDescent="0.25"/>
  <cols>
    <col min="1" max="1" width="28.42578125" customWidth="1"/>
    <col min="2" max="2" width="11.42578125" customWidth="1"/>
    <col min="3" max="3" width="11.5703125" customWidth="1"/>
    <col min="4" max="4" width="11.28515625" customWidth="1"/>
    <col min="5" max="5" width="11.42578125" customWidth="1"/>
    <col min="6" max="6" width="11.5703125" customWidth="1"/>
    <col min="8" max="8" width="11.5703125" bestFit="1" customWidth="1"/>
  </cols>
  <sheetData>
    <row r="1" spans="1:11" ht="46.5" customHeight="1" x14ac:dyDescent="0.25">
      <c r="A1" s="224" t="s">
        <v>322</v>
      </c>
      <c r="B1" s="204"/>
      <c r="C1" s="204"/>
      <c r="D1" s="204"/>
      <c r="E1" s="204"/>
      <c r="F1" s="204"/>
    </row>
    <row r="2" spans="1:11" x14ac:dyDescent="0.25">
      <c r="A2" s="67"/>
      <c r="B2" s="67" t="s">
        <v>68</v>
      </c>
      <c r="C2" s="67" t="s">
        <v>69</v>
      </c>
      <c r="D2" s="67" t="s">
        <v>70</v>
      </c>
      <c r="E2" s="67" t="s">
        <v>71</v>
      </c>
      <c r="F2" s="67" t="s">
        <v>72</v>
      </c>
      <c r="G2" s="198"/>
    </row>
    <row r="3" spans="1:11" x14ac:dyDescent="0.25">
      <c r="A3" s="4" t="s">
        <v>148</v>
      </c>
      <c r="B3" s="2">
        <f>INGRESOS!E12</f>
        <v>226396.01492607279</v>
      </c>
      <c r="C3" s="2">
        <f>INGRESOS!F12</f>
        <v>229859.87395444169</v>
      </c>
      <c r="D3" s="2">
        <f>INGRESOS!G12</f>
        <v>233376.73002594465</v>
      </c>
      <c r="E3" s="2">
        <f>INGRESOS!H12</f>
        <v>236947.39399534161</v>
      </c>
      <c r="F3" s="2">
        <f>INGRESOS!I12</f>
        <v>240572.68912347034</v>
      </c>
      <c r="G3" s="200"/>
      <c r="H3" s="157"/>
      <c r="I3" s="200"/>
      <c r="J3" s="200"/>
      <c r="K3" s="200"/>
    </row>
    <row r="4" spans="1:11" x14ac:dyDescent="0.25">
      <c r="A4" s="161" t="s">
        <v>307</v>
      </c>
      <c r="B4" s="65">
        <f>-'MATERIA PRIMA'!B18</f>
        <v>-69760.804477821832</v>
      </c>
      <c r="C4" s="65">
        <f>-'MATERIA PRIMA'!C18</f>
        <v>-70863.025188571424</v>
      </c>
      <c r="D4" s="65">
        <f>-'MATERIA PRIMA'!D18</f>
        <v>-71982.660986550851</v>
      </c>
      <c r="E4" s="65">
        <f>-'MATERIA PRIMA'!E18</f>
        <v>-73119.987030138349</v>
      </c>
      <c r="F4" s="65">
        <f>-'MATERIA PRIMA'!F18</f>
        <v>-74275.282825214526</v>
      </c>
      <c r="G4" s="200"/>
      <c r="H4" s="200"/>
      <c r="I4" s="200"/>
      <c r="J4" s="200"/>
      <c r="K4" s="200"/>
    </row>
    <row r="5" spans="1:11" x14ac:dyDescent="0.25">
      <c r="A5" s="162" t="s">
        <v>308</v>
      </c>
      <c r="B5" s="65">
        <f>-SUELDOS!O14</f>
        <v>-44565.623999999996</v>
      </c>
      <c r="C5" s="65">
        <f>-SUELDOS!P14</f>
        <v>-44565.623999999996</v>
      </c>
      <c r="D5" s="65">
        <f>-SUELDOS!Q14</f>
        <v>-44565.623999999996</v>
      </c>
      <c r="E5" s="65">
        <f>-SUELDOS!R14</f>
        <v>-44565.623999999996</v>
      </c>
      <c r="F5" s="65">
        <f>-SUELDOS!S14</f>
        <v>-44565.623999999996</v>
      </c>
      <c r="G5" s="200"/>
      <c r="H5" s="73"/>
      <c r="I5" s="200"/>
      <c r="J5" s="200"/>
      <c r="K5" s="200"/>
    </row>
    <row r="6" spans="1:11" x14ac:dyDescent="0.25">
      <c r="A6" s="102" t="s">
        <v>318</v>
      </c>
      <c r="B6" s="65">
        <f>-'MATERIA PRIMA'!I19</f>
        <v>-3866.5200000000004</v>
      </c>
      <c r="C6" s="65">
        <f>-'MATERIA PRIMA'!J19</f>
        <v>-3927.6110159999994</v>
      </c>
      <c r="D6" s="65">
        <f>-'MATERIA PRIMA'!K19</f>
        <v>-3989.6672700527997</v>
      </c>
      <c r="E6" s="65">
        <f>-'MATERIA PRIMA'!L19</f>
        <v>-4052.7040129196344</v>
      </c>
      <c r="F6" s="65">
        <f>-'MATERIA PRIMA'!M19</f>
        <v>-4116.7367363237645</v>
      </c>
      <c r="G6" s="200"/>
      <c r="H6" s="200"/>
      <c r="I6" s="200"/>
      <c r="J6" s="200"/>
      <c r="K6" s="200"/>
    </row>
    <row r="7" spans="1:11" x14ac:dyDescent="0.25">
      <c r="A7" s="155" t="s">
        <v>309</v>
      </c>
      <c r="B7" s="65">
        <f>-SUELDOS!O20</f>
        <v>-12582.835999999999</v>
      </c>
      <c r="C7" s="65">
        <f>-SUELDOS!P20</f>
        <v>-12582.835999999999</v>
      </c>
      <c r="D7" s="65">
        <f>-SUELDOS!Q20</f>
        <v>-12582.835999999999</v>
      </c>
      <c r="E7" s="65">
        <f>-SUELDOS!R20</f>
        <v>-12582.835999999999</v>
      </c>
      <c r="F7" s="65">
        <f>-SUELDOS!S20</f>
        <v>-12582.835999999999</v>
      </c>
      <c r="G7" s="200"/>
      <c r="H7" s="200"/>
      <c r="I7" s="200"/>
      <c r="J7" s="200"/>
      <c r="K7" s="200"/>
    </row>
    <row r="8" spans="1:11" x14ac:dyDescent="0.25">
      <c r="A8" s="102" t="s">
        <v>310</v>
      </c>
      <c r="B8" s="65">
        <f>-GASTOS!J29</f>
        <v>-10920</v>
      </c>
      <c r="C8" s="65">
        <f>-GASTOS!K29</f>
        <v>-10920</v>
      </c>
      <c r="D8" s="65">
        <f>-GASTOS!L29</f>
        <v>-10920</v>
      </c>
      <c r="E8" s="65">
        <f>-GASTOS!M29</f>
        <v>-10920</v>
      </c>
      <c r="F8" s="65">
        <f>-GASTOS!N29</f>
        <v>-10920</v>
      </c>
      <c r="G8" s="200"/>
      <c r="H8" s="200"/>
      <c r="I8" s="200"/>
      <c r="J8" s="200"/>
      <c r="K8" s="200"/>
    </row>
    <row r="9" spans="1:11" x14ac:dyDescent="0.25">
      <c r="A9" s="102" t="s">
        <v>311</v>
      </c>
      <c r="B9" s="65">
        <f>-GASTOS!J32</f>
        <v>-13200</v>
      </c>
      <c r="C9" s="65">
        <f>-GASTOS!K32</f>
        <v>-13200</v>
      </c>
      <c r="D9" s="65">
        <f>-GASTOS!L32</f>
        <v>-13200</v>
      </c>
      <c r="E9" s="65">
        <f>-GASTOS!M32</f>
        <v>-13200</v>
      </c>
      <c r="F9" s="65">
        <f>-GASTOS!N32</f>
        <v>-13200</v>
      </c>
      <c r="G9" s="198"/>
    </row>
    <row r="10" spans="1:11" x14ac:dyDescent="0.25">
      <c r="A10" s="102" t="s">
        <v>312</v>
      </c>
      <c r="B10" s="65">
        <f>-GASTOS!J36</f>
        <v>-3300</v>
      </c>
      <c r="C10" s="65">
        <f>-GASTOS!K36</f>
        <v>-3328.44</v>
      </c>
      <c r="D10" s="65">
        <f>-GASTOS!L36</f>
        <v>-3357.3293519999997</v>
      </c>
      <c r="E10" s="65">
        <f>-GASTOS!M36</f>
        <v>-3386.6751557615999</v>
      </c>
      <c r="F10" s="65">
        <f>-GASTOS!N36</f>
        <v>-3416.4846232226337</v>
      </c>
      <c r="G10" s="65"/>
    </row>
    <row r="11" spans="1:11" x14ac:dyDescent="0.25">
      <c r="A11" s="102" t="s">
        <v>314</v>
      </c>
      <c r="B11" s="65">
        <f>-GASTOS!Q10</f>
        <v>-37748.507999999994</v>
      </c>
      <c r="C11" s="65">
        <f>-GASTOS!R10</f>
        <v>-37748.507999999994</v>
      </c>
      <c r="D11" s="65">
        <f>-GASTOS!S10</f>
        <v>-37748.507999999994</v>
      </c>
      <c r="E11" s="65">
        <f>-GASTOS!T10</f>
        <v>-37748.507999999994</v>
      </c>
      <c r="F11" s="65">
        <f>-GASTOS!U10</f>
        <v>-37748.507999999994</v>
      </c>
    </row>
    <row r="12" spans="1:11" x14ac:dyDescent="0.25">
      <c r="A12" s="102" t="s">
        <v>315</v>
      </c>
      <c r="B12" s="65">
        <f>-GASTOS!Q25</f>
        <v>-5379.84</v>
      </c>
      <c r="C12" s="65">
        <f>-GASTOS!R25</f>
        <v>-5464.841472000001</v>
      </c>
      <c r="D12" s="65">
        <f>-GASTOS!S25</f>
        <v>-5551.1859672576002</v>
      </c>
      <c r="E12" s="65">
        <f>-GASTOS!T25</f>
        <v>-5638.8947055402696</v>
      </c>
      <c r="F12" s="65">
        <f>-GASTOS!U25</f>
        <v>-5727.9892418878062</v>
      </c>
    </row>
    <row r="13" spans="1:11" x14ac:dyDescent="0.25">
      <c r="A13" s="102" t="s">
        <v>316</v>
      </c>
      <c r="B13" s="65">
        <f>-GASTOS!Q30</f>
        <v>-17280</v>
      </c>
      <c r="C13" s="65">
        <f>-GASTOS!R30</f>
        <v>-8640</v>
      </c>
      <c r="D13" s="65">
        <f>-GASTOS!S30</f>
        <v>-4320</v>
      </c>
      <c r="E13" s="65">
        <f>-GASTOS!T30</f>
        <v>-2880</v>
      </c>
      <c r="F13" s="65">
        <f>-GASTOS!U30</f>
        <v>-1440</v>
      </c>
    </row>
    <row r="14" spans="1:11" x14ac:dyDescent="0.25">
      <c r="A14" s="102" t="s">
        <v>317</v>
      </c>
      <c r="B14" s="65">
        <f>-GASTOS!Q35</f>
        <v>-3800</v>
      </c>
      <c r="C14" s="65">
        <f>GASTOS!R35</f>
        <v>0</v>
      </c>
      <c r="D14" s="65">
        <f>GASTOS!S35</f>
        <v>0</v>
      </c>
      <c r="E14" s="65">
        <f>GASTOS!T35</f>
        <v>0</v>
      </c>
      <c r="F14" s="65">
        <f>GASTOS!U35</f>
        <v>0</v>
      </c>
    </row>
    <row r="15" spans="1:11" x14ac:dyDescent="0.25">
      <c r="A15" s="4" t="s">
        <v>212</v>
      </c>
      <c r="B15" s="54">
        <f>-DEPRECIACIÓN!F38</f>
        <v>-8164.286666666666</v>
      </c>
      <c r="C15" s="54">
        <f t="shared" ref="C15:F16" si="0">B15</f>
        <v>-8164.286666666666</v>
      </c>
      <c r="D15" s="54">
        <f t="shared" si="0"/>
        <v>-8164.286666666666</v>
      </c>
      <c r="E15" s="54">
        <f t="shared" si="0"/>
        <v>-8164.286666666666</v>
      </c>
      <c r="F15" s="54">
        <f t="shared" si="0"/>
        <v>-8164.286666666666</v>
      </c>
    </row>
    <row r="16" spans="1:11" x14ac:dyDescent="0.25">
      <c r="A16" s="4" t="s">
        <v>213</v>
      </c>
      <c r="B16" s="54">
        <f>-'ACTIVOS INTANGIBLES'!B7</f>
        <v>-260</v>
      </c>
      <c r="C16" s="54">
        <f t="shared" si="0"/>
        <v>-260</v>
      </c>
      <c r="D16" s="54">
        <f t="shared" si="0"/>
        <v>-260</v>
      </c>
      <c r="E16" s="54">
        <f t="shared" si="0"/>
        <v>-260</v>
      </c>
      <c r="F16" s="54">
        <f t="shared" si="0"/>
        <v>-260</v>
      </c>
    </row>
    <row r="17" spans="1:6" x14ac:dyDescent="0.25">
      <c r="A17" s="4" t="s">
        <v>279</v>
      </c>
      <c r="B17" s="54">
        <f>SUM(B3:B16)</f>
        <v>-4432.4042184156961</v>
      </c>
      <c r="C17" s="54">
        <f>SUM(C3:C16)</f>
        <v>10194.701611203614</v>
      </c>
      <c r="D17" s="54">
        <f>SUM(D3:D16)</f>
        <v>16734.631783416746</v>
      </c>
      <c r="E17" s="54">
        <f>SUM(E3:E16)</f>
        <v>20427.878424315109</v>
      </c>
      <c r="F17" s="54">
        <f>SUM(F3:F16)</f>
        <v>24154.941030154965</v>
      </c>
    </row>
    <row r="18" spans="1:6" x14ac:dyDescent="0.25">
      <c r="A18" s="37" t="s">
        <v>243</v>
      </c>
      <c r="B18" s="54">
        <f>B17*15%</f>
        <v>-664.86063276235438</v>
      </c>
      <c r="C18" s="54">
        <f>C17*15%</f>
        <v>1529.205241680542</v>
      </c>
      <c r="D18" s="54">
        <f>D17*15%</f>
        <v>2510.1947675125116</v>
      </c>
      <c r="E18" s="54">
        <f>E17*15%</f>
        <v>3064.1817636472665</v>
      </c>
      <c r="F18" s="54">
        <f>F17*15%</f>
        <v>3623.2411545232449</v>
      </c>
    </row>
    <row r="19" spans="1:6" x14ac:dyDescent="0.25">
      <c r="A19" s="115" t="s">
        <v>127</v>
      </c>
      <c r="B19" s="66">
        <f>B17-B18</f>
        <v>-3767.5435856533418</v>
      </c>
      <c r="C19" s="66">
        <f>C17-C18</f>
        <v>8665.4963695230726</v>
      </c>
      <c r="D19" s="66">
        <f>D17-D18</f>
        <v>14224.437015904234</v>
      </c>
      <c r="E19" s="66">
        <f>E17-E18</f>
        <v>17363.696660667843</v>
      </c>
      <c r="F19" s="66">
        <f>F17-F18</f>
        <v>20531.699875631719</v>
      </c>
    </row>
    <row r="20" spans="1:6" x14ac:dyDescent="0.25">
      <c r="A20" s="37" t="s">
        <v>244</v>
      </c>
      <c r="B20" s="54">
        <f>B19*22%</f>
        <v>-828.8595888437352</v>
      </c>
      <c r="C20" s="54">
        <f>C19*22%</f>
        <v>1906.4092012950759</v>
      </c>
      <c r="D20" s="54">
        <f>D19*22%</f>
        <v>3129.3761434989315</v>
      </c>
      <c r="E20" s="54">
        <f>E19*22%</f>
        <v>3820.0132653469254</v>
      </c>
      <c r="F20" s="54">
        <f>F19*22%</f>
        <v>4516.973972638978</v>
      </c>
    </row>
    <row r="21" spans="1:6" x14ac:dyDescent="0.25">
      <c r="A21" s="116" t="s">
        <v>128</v>
      </c>
      <c r="B21" s="11">
        <f>B19-B20</f>
        <v>-2938.6839968096065</v>
      </c>
      <c r="C21" s="11">
        <f>C19-C20</f>
        <v>6759.0871682279967</v>
      </c>
      <c r="D21" s="11">
        <f>D19-D20</f>
        <v>11095.060872405302</v>
      </c>
      <c r="E21" s="11">
        <f>E19-E20</f>
        <v>13543.683395320917</v>
      </c>
      <c r="F21" s="11">
        <f>F19-F20</f>
        <v>16014.725902992741</v>
      </c>
    </row>
  </sheetData>
  <mergeCells count="1">
    <mergeCell ref="A1:F1"/>
  </mergeCells>
  <pageMargins left="0.7" right="0.7" top="0.75" bottom="0.75" header="0.3" footer="0.3"/>
  <ignoredErrors>
    <ignoredError sqref="B20:F2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7" workbookViewId="0">
      <selection activeCell="A17" sqref="A17"/>
    </sheetView>
  </sheetViews>
  <sheetFormatPr defaultColWidth="11.42578125" defaultRowHeight="15" x14ac:dyDescent="0.25"/>
  <cols>
    <col min="1" max="1" width="42.5703125" style="166" bestFit="1" customWidth="1"/>
    <col min="2" max="2" width="11.140625" customWidth="1"/>
    <col min="3" max="3" width="11.42578125" customWidth="1"/>
    <col min="4" max="7" width="11.28515625" customWidth="1"/>
  </cols>
  <sheetData>
    <row r="1" spans="1:7" x14ac:dyDescent="0.25">
      <c r="A1" s="224" t="s">
        <v>326</v>
      </c>
      <c r="B1" s="224"/>
      <c r="C1" s="224"/>
      <c r="D1" s="224"/>
      <c r="E1" s="224"/>
      <c r="F1" s="224"/>
      <c r="G1" s="224"/>
    </row>
    <row r="2" spans="1:7" x14ac:dyDescent="0.25">
      <c r="A2" s="145"/>
      <c r="B2" s="67" t="s">
        <v>265</v>
      </c>
      <c r="C2" s="67" t="s">
        <v>68</v>
      </c>
      <c r="D2" s="67" t="s">
        <v>69</v>
      </c>
      <c r="E2" s="67" t="s">
        <v>70</v>
      </c>
      <c r="F2" s="67" t="s">
        <v>71</v>
      </c>
      <c r="G2" s="67" t="s">
        <v>72</v>
      </c>
    </row>
    <row r="3" spans="1:7" x14ac:dyDescent="0.25">
      <c r="A3" s="17" t="s">
        <v>148</v>
      </c>
      <c r="B3" s="4"/>
      <c r="C3" s="2">
        <f>INGRESOS!E12</f>
        <v>226396.01492607279</v>
      </c>
      <c r="D3" s="2">
        <f>INGRESOS!F12</f>
        <v>229859.87395444169</v>
      </c>
      <c r="E3" s="2">
        <f>INGRESOS!G12</f>
        <v>233376.73002594465</v>
      </c>
      <c r="F3" s="2">
        <f>INGRESOS!H12</f>
        <v>236947.39399534161</v>
      </c>
      <c r="G3" s="2">
        <f>INGRESOS!I12</f>
        <v>240572.68912347034</v>
      </c>
    </row>
    <row r="4" spans="1:7" x14ac:dyDescent="0.25">
      <c r="A4" s="165" t="s">
        <v>307</v>
      </c>
      <c r="C4" s="65">
        <f>'ESTADO DE RESULTADO INTEGRAL'!B4</f>
        <v>-69760.804477821832</v>
      </c>
      <c r="D4" s="65">
        <f>'ESTADO DE RESULTADO INTEGRAL'!C4</f>
        <v>-70863.025188571424</v>
      </c>
      <c r="E4" s="65">
        <f>'ESTADO DE RESULTADO INTEGRAL'!D4</f>
        <v>-71982.660986550851</v>
      </c>
      <c r="F4" s="65">
        <f>'ESTADO DE RESULTADO INTEGRAL'!E4</f>
        <v>-73119.987030138349</v>
      </c>
      <c r="G4" s="65">
        <f>'ESTADO DE RESULTADO INTEGRAL'!F4</f>
        <v>-74275.282825214526</v>
      </c>
    </row>
    <row r="5" spans="1:7" x14ac:dyDescent="0.25">
      <c r="A5" s="122" t="s">
        <v>308</v>
      </c>
      <c r="C5" s="65">
        <f>'ESTADO DE RESULTADO INTEGRAL'!B5</f>
        <v>-44565.623999999996</v>
      </c>
      <c r="D5" s="65">
        <f>'ESTADO DE RESULTADO INTEGRAL'!C5</f>
        <v>-44565.623999999996</v>
      </c>
      <c r="E5" s="65">
        <f>'ESTADO DE RESULTADO INTEGRAL'!D5</f>
        <v>-44565.623999999996</v>
      </c>
      <c r="F5" s="65">
        <f>'ESTADO DE RESULTADO INTEGRAL'!E5</f>
        <v>-44565.623999999996</v>
      </c>
      <c r="G5" s="65">
        <f>'ESTADO DE RESULTADO INTEGRAL'!F5</f>
        <v>-44565.623999999996</v>
      </c>
    </row>
    <row r="6" spans="1:7" x14ac:dyDescent="0.25">
      <c r="A6" s="38" t="s">
        <v>318</v>
      </c>
      <c r="C6" s="65">
        <f>'ESTADO DE RESULTADO INTEGRAL'!B6</f>
        <v>-3866.5200000000004</v>
      </c>
      <c r="D6" s="65">
        <f>'ESTADO DE RESULTADO INTEGRAL'!C6</f>
        <v>-3927.6110159999994</v>
      </c>
      <c r="E6" s="65">
        <f>'ESTADO DE RESULTADO INTEGRAL'!D6</f>
        <v>-3989.6672700527997</v>
      </c>
      <c r="F6" s="65">
        <f>'ESTADO DE RESULTADO INTEGRAL'!E6</f>
        <v>-4052.7040129196344</v>
      </c>
      <c r="G6" s="65">
        <f>'ESTADO DE RESULTADO INTEGRAL'!F6</f>
        <v>-4116.7367363237645</v>
      </c>
    </row>
    <row r="7" spans="1:7" x14ac:dyDescent="0.25">
      <c r="A7" s="121" t="s">
        <v>309</v>
      </c>
      <c r="C7" s="65">
        <f>'ESTADO DE RESULTADO INTEGRAL'!B7</f>
        <v>-12582.835999999999</v>
      </c>
      <c r="D7" s="65">
        <f>'ESTADO DE RESULTADO INTEGRAL'!C7</f>
        <v>-12582.835999999999</v>
      </c>
      <c r="E7" s="65">
        <f>'ESTADO DE RESULTADO INTEGRAL'!D7</f>
        <v>-12582.835999999999</v>
      </c>
      <c r="F7" s="65">
        <f>'ESTADO DE RESULTADO INTEGRAL'!E7</f>
        <v>-12582.835999999999</v>
      </c>
      <c r="G7" s="65">
        <f>'ESTADO DE RESULTADO INTEGRAL'!F7</f>
        <v>-12582.835999999999</v>
      </c>
    </row>
    <row r="8" spans="1:7" x14ac:dyDescent="0.25">
      <c r="A8" s="38" t="s">
        <v>310</v>
      </c>
      <c r="C8" s="65">
        <f>'ESTADO DE RESULTADO INTEGRAL'!B8</f>
        <v>-10920</v>
      </c>
      <c r="D8" s="65">
        <f>'ESTADO DE RESULTADO INTEGRAL'!C8</f>
        <v>-10920</v>
      </c>
      <c r="E8" s="65">
        <f>'ESTADO DE RESULTADO INTEGRAL'!D8</f>
        <v>-10920</v>
      </c>
      <c r="F8" s="65">
        <f>'ESTADO DE RESULTADO INTEGRAL'!E8</f>
        <v>-10920</v>
      </c>
      <c r="G8" s="65">
        <f>'ESTADO DE RESULTADO INTEGRAL'!F8</f>
        <v>-10920</v>
      </c>
    </row>
    <row r="9" spans="1:7" x14ac:dyDescent="0.25">
      <c r="A9" s="38" t="s">
        <v>311</v>
      </c>
      <c r="C9" s="65">
        <f>'ESTADO DE RESULTADO INTEGRAL'!B9</f>
        <v>-13200</v>
      </c>
      <c r="D9" s="65">
        <f>'ESTADO DE RESULTADO INTEGRAL'!C9</f>
        <v>-13200</v>
      </c>
      <c r="E9" s="65">
        <f>'ESTADO DE RESULTADO INTEGRAL'!D9</f>
        <v>-13200</v>
      </c>
      <c r="F9" s="65">
        <f>'ESTADO DE RESULTADO INTEGRAL'!E9</f>
        <v>-13200</v>
      </c>
      <c r="G9" s="65">
        <f>'ESTADO DE RESULTADO INTEGRAL'!F9</f>
        <v>-13200</v>
      </c>
    </row>
    <row r="10" spans="1:7" x14ac:dyDescent="0.25">
      <c r="A10" s="38" t="s">
        <v>312</v>
      </c>
      <c r="C10" s="65">
        <f>'ESTADO DE RESULTADO INTEGRAL'!B10</f>
        <v>-3300</v>
      </c>
      <c r="D10" s="65">
        <f>'ESTADO DE RESULTADO INTEGRAL'!C10</f>
        <v>-3328.44</v>
      </c>
      <c r="E10" s="65">
        <f>'ESTADO DE RESULTADO INTEGRAL'!D10</f>
        <v>-3357.3293519999997</v>
      </c>
      <c r="F10" s="65">
        <f>'ESTADO DE RESULTADO INTEGRAL'!E10</f>
        <v>-3386.6751557615999</v>
      </c>
      <c r="G10" s="65">
        <f>'ESTADO DE RESULTADO INTEGRAL'!F10</f>
        <v>-3416.4846232226337</v>
      </c>
    </row>
    <row r="11" spans="1:7" x14ac:dyDescent="0.25">
      <c r="A11" s="38" t="s">
        <v>314</v>
      </c>
      <c r="C11" s="65">
        <f>'ESTADO DE RESULTADO INTEGRAL'!B11</f>
        <v>-37748.507999999994</v>
      </c>
      <c r="D11" s="65">
        <f>'ESTADO DE RESULTADO INTEGRAL'!C11</f>
        <v>-37748.507999999994</v>
      </c>
      <c r="E11" s="65">
        <f>'ESTADO DE RESULTADO INTEGRAL'!D11</f>
        <v>-37748.507999999994</v>
      </c>
      <c r="F11" s="65">
        <f>'ESTADO DE RESULTADO INTEGRAL'!E11</f>
        <v>-37748.507999999994</v>
      </c>
      <c r="G11" s="65">
        <f>'ESTADO DE RESULTADO INTEGRAL'!F11</f>
        <v>-37748.507999999994</v>
      </c>
    </row>
    <row r="12" spans="1:7" x14ac:dyDescent="0.25">
      <c r="A12" s="38" t="s">
        <v>315</v>
      </c>
      <c r="C12" s="65">
        <f>'ESTADO DE RESULTADO INTEGRAL'!B12</f>
        <v>-5379.84</v>
      </c>
      <c r="D12" s="65">
        <f>'ESTADO DE RESULTADO INTEGRAL'!C12</f>
        <v>-5464.841472000001</v>
      </c>
      <c r="E12" s="65">
        <f>'ESTADO DE RESULTADO INTEGRAL'!D12</f>
        <v>-5551.1859672576002</v>
      </c>
      <c r="F12" s="65">
        <f>'ESTADO DE RESULTADO INTEGRAL'!E12</f>
        <v>-5638.8947055402696</v>
      </c>
      <c r="G12" s="65">
        <f>'ESTADO DE RESULTADO INTEGRAL'!F12</f>
        <v>-5727.9892418878062</v>
      </c>
    </row>
    <row r="13" spans="1:7" x14ac:dyDescent="0.25">
      <c r="A13" s="38" t="s">
        <v>316</v>
      </c>
      <c r="C13" s="65">
        <f>'ESTADO DE RESULTADO INTEGRAL'!B13</f>
        <v>-17280</v>
      </c>
      <c r="D13" s="65">
        <f>'ESTADO DE RESULTADO INTEGRAL'!C13</f>
        <v>-8640</v>
      </c>
      <c r="E13" s="65">
        <f>'ESTADO DE RESULTADO INTEGRAL'!D13</f>
        <v>-4320</v>
      </c>
      <c r="F13" s="65">
        <f>'ESTADO DE RESULTADO INTEGRAL'!E13</f>
        <v>-2880</v>
      </c>
      <c r="G13" s="65">
        <f>'ESTADO DE RESULTADO INTEGRAL'!F13</f>
        <v>-1440</v>
      </c>
    </row>
    <row r="14" spans="1:7" x14ac:dyDescent="0.25">
      <c r="A14" s="38" t="s">
        <v>317</v>
      </c>
      <c r="C14" s="163">
        <f>'ESTADO DE RESULTADO INTEGRAL'!B14</f>
        <v>-3800</v>
      </c>
      <c r="D14" s="163">
        <f>'ESTADO DE RESULTADO INTEGRAL'!C14</f>
        <v>0</v>
      </c>
      <c r="E14" s="163">
        <f>'ESTADO DE RESULTADO INTEGRAL'!D14</f>
        <v>0</v>
      </c>
      <c r="F14" s="163">
        <f>'ESTADO DE RESULTADO INTEGRAL'!E14</f>
        <v>0</v>
      </c>
      <c r="G14" s="163">
        <f>'ESTADO DE RESULTADO INTEGRAL'!F14</f>
        <v>0</v>
      </c>
    </row>
    <row r="15" spans="1:7" x14ac:dyDescent="0.25">
      <c r="A15" s="17" t="s">
        <v>212</v>
      </c>
      <c r="B15" s="54"/>
      <c r="C15" s="54">
        <f>-DEPRECIACIÓN!F38</f>
        <v>-8164.286666666666</v>
      </c>
      <c r="D15" s="54">
        <f>C15</f>
        <v>-8164.286666666666</v>
      </c>
      <c r="E15" s="54">
        <f t="shared" ref="E15:G16" si="0">D15</f>
        <v>-8164.286666666666</v>
      </c>
      <c r="F15" s="54">
        <f t="shared" si="0"/>
        <v>-8164.286666666666</v>
      </c>
      <c r="G15" s="54">
        <f t="shared" si="0"/>
        <v>-8164.286666666666</v>
      </c>
    </row>
    <row r="16" spans="1:7" x14ac:dyDescent="0.25">
      <c r="A16" s="17" t="s">
        <v>213</v>
      </c>
      <c r="B16" s="54"/>
      <c r="C16" s="54">
        <f>-'ACTIVOS INTANGIBLES'!B7</f>
        <v>-260</v>
      </c>
      <c r="D16" s="54">
        <f>C16</f>
        <v>-260</v>
      </c>
      <c r="E16" s="54">
        <f t="shared" si="0"/>
        <v>-260</v>
      </c>
      <c r="F16" s="54">
        <f t="shared" si="0"/>
        <v>-260</v>
      </c>
      <c r="G16" s="54">
        <f t="shared" si="0"/>
        <v>-260</v>
      </c>
    </row>
    <row r="17" spans="1:9" x14ac:dyDescent="0.25">
      <c r="A17" s="82" t="s">
        <v>280</v>
      </c>
      <c r="B17" s="54"/>
      <c r="C17" s="127">
        <f>SUM(C3:C16)</f>
        <v>-4432.4042184156961</v>
      </c>
      <c r="D17" s="127">
        <f>SUM(D3:D16)</f>
        <v>10194.701611203614</v>
      </c>
      <c r="E17" s="127">
        <f>SUM(E3:E16)</f>
        <v>16734.631783416746</v>
      </c>
      <c r="F17" s="127">
        <f>SUM(F3:F16)</f>
        <v>20427.878424315109</v>
      </c>
      <c r="G17" s="127">
        <f>SUM(G3:G16)</f>
        <v>24154.941030154965</v>
      </c>
    </row>
    <row r="18" spans="1:9" x14ac:dyDescent="0.25">
      <c r="A18" s="17" t="s">
        <v>243</v>
      </c>
      <c r="B18" s="54"/>
      <c r="C18" s="127">
        <f>C17*15%</f>
        <v>-664.86063276235438</v>
      </c>
      <c r="D18" s="127">
        <f>D17*15%</f>
        <v>1529.205241680542</v>
      </c>
      <c r="E18" s="127">
        <f>E17*15%</f>
        <v>2510.1947675125116</v>
      </c>
      <c r="F18" s="127">
        <f>F17*15%</f>
        <v>3064.1817636472665</v>
      </c>
      <c r="G18" s="127">
        <f>G17*15%</f>
        <v>3623.2411545232449</v>
      </c>
      <c r="I18" s="193"/>
    </row>
    <row r="19" spans="1:9" x14ac:dyDescent="0.25">
      <c r="A19" s="17" t="s">
        <v>127</v>
      </c>
      <c r="B19" s="54"/>
      <c r="C19" s="127">
        <f>C17-C18</f>
        <v>-3767.5435856533418</v>
      </c>
      <c r="D19" s="127">
        <f>D17-D18</f>
        <v>8665.4963695230726</v>
      </c>
      <c r="E19" s="127">
        <f>E17-E18</f>
        <v>14224.437015904234</v>
      </c>
      <c r="F19" s="127">
        <f>F17-F18</f>
        <v>17363.696660667843</v>
      </c>
      <c r="G19" s="127">
        <f>G17-G18</f>
        <v>20531.699875631719</v>
      </c>
    </row>
    <row r="20" spans="1:9" x14ac:dyDescent="0.25">
      <c r="A20" s="17" t="s">
        <v>244</v>
      </c>
      <c r="B20" s="54"/>
      <c r="C20" s="54">
        <f>C19*22%</f>
        <v>-828.8595888437352</v>
      </c>
      <c r="D20" s="54">
        <f>D19*22%</f>
        <v>1906.4092012950759</v>
      </c>
      <c r="E20" s="54">
        <f>E19*22%</f>
        <v>3129.3761434989315</v>
      </c>
      <c r="F20" s="54">
        <f>F19*22%</f>
        <v>3820.0132653469254</v>
      </c>
      <c r="G20" s="54">
        <f>G19*22%</f>
        <v>4516.973972638978</v>
      </c>
    </row>
    <row r="21" spans="1:9" x14ac:dyDescent="0.25">
      <c r="A21" s="26" t="s">
        <v>128</v>
      </c>
      <c r="B21" s="57"/>
      <c r="C21" s="195">
        <f>C19-C20</f>
        <v>-2938.6839968096065</v>
      </c>
      <c r="D21" s="195">
        <f>D19-D20</f>
        <v>6759.0871682279967</v>
      </c>
      <c r="E21" s="195">
        <f>E19-E20</f>
        <v>11095.060872405302</v>
      </c>
      <c r="F21" s="195">
        <f>F19-F20</f>
        <v>13543.683395320917</v>
      </c>
      <c r="G21" s="195">
        <f>G19-G20</f>
        <v>16014.725902992741</v>
      </c>
    </row>
    <row r="22" spans="1:9" x14ac:dyDescent="0.25">
      <c r="A22" s="17" t="s">
        <v>212</v>
      </c>
      <c r="B22" s="54"/>
      <c r="C22" s="54">
        <f>DEPRECIACIÓN!F38</f>
        <v>8164.286666666666</v>
      </c>
      <c r="D22" s="54">
        <f t="shared" ref="D22:G23" si="1">C22</f>
        <v>8164.286666666666</v>
      </c>
      <c r="E22" s="54">
        <f t="shared" si="1"/>
        <v>8164.286666666666</v>
      </c>
      <c r="F22" s="54">
        <f t="shared" si="1"/>
        <v>8164.286666666666</v>
      </c>
      <c r="G22" s="54">
        <f t="shared" si="1"/>
        <v>8164.286666666666</v>
      </c>
    </row>
    <row r="23" spans="1:9" x14ac:dyDescent="0.25">
      <c r="A23" s="17" t="s">
        <v>213</v>
      </c>
      <c r="B23" s="54"/>
      <c r="C23" s="54">
        <f>'ACTIVOS INTANGIBLES'!B7</f>
        <v>260</v>
      </c>
      <c r="D23" s="54">
        <f t="shared" si="1"/>
        <v>260</v>
      </c>
      <c r="E23" s="54">
        <f t="shared" si="1"/>
        <v>260</v>
      </c>
      <c r="F23" s="54">
        <f t="shared" si="1"/>
        <v>260</v>
      </c>
      <c r="G23" s="54">
        <f t="shared" si="1"/>
        <v>260</v>
      </c>
    </row>
    <row r="24" spans="1:9" x14ac:dyDescent="0.25">
      <c r="A24" s="17" t="s">
        <v>261</v>
      </c>
      <c r="B24" s="127">
        <f>-'INVERSIONES-AMORTIZACIÓN'!B3</f>
        <v>-63811.53</v>
      </c>
      <c r="C24" s="54"/>
      <c r="D24" s="54"/>
      <c r="E24" s="54"/>
      <c r="F24" s="54"/>
      <c r="G24" s="54"/>
    </row>
    <row r="25" spans="1:9" x14ac:dyDescent="0.25">
      <c r="A25" s="38" t="s">
        <v>262</v>
      </c>
      <c r="B25" s="127">
        <f>-'INVERSIONES-AMORTIZACIÓN'!B5</f>
        <v>-18533.677706485152</v>
      </c>
      <c r="C25" s="4"/>
      <c r="D25" s="4"/>
      <c r="E25" s="4"/>
      <c r="F25" s="4"/>
      <c r="G25" s="4"/>
    </row>
    <row r="26" spans="1:9" x14ac:dyDescent="0.25">
      <c r="A26" s="122" t="s">
        <v>245</v>
      </c>
      <c r="C26" s="4"/>
      <c r="D26" s="4"/>
      <c r="E26" s="4"/>
      <c r="F26" s="4"/>
      <c r="G26" s="66">
        <f>(F27-F22)/'Ke,Ko, Tir, Van'!B6</f>
        <v>93026.137381277877</v>
      </c>
    </row>
    <row r="27" spans="1:9" x14ac:dyDescent="0.25">
      <c r="A27" s="203" t="s">
        <v>327</v>
      </c>
      <c r="B27" s="194">
        <f>SUM(B24:B25)</f>
        <v>-82345.207706485147</v>
      </c>
      <c r="C27" s="11">
        <f>C21+C22+C23</f>
        <v>5485.6026698570595</v>
      </c>
      <c r="D27" s="11">
        <f t="shared" ref="D27:F27" si="2">D21+D22+D23</f>
        <v>15183.373834894663</v>
      </c>
      <c r="E27" s="11">
        <f t="shared" si="2"/>
        <v>19519.347539071969</v>
      </c>
      <c r="F27" s="11">
        <f t="shared" si="2"/>
        <v>21967.970061987584</v>
      </c>
      <c r="G27" s="11">
        <f>G21+G22+G23+G26</f>
        <v>117465.14995093728</v>
      </c>
    </row>
    <row r="28" spans="1:9" x14ac:dyDescent="0.25">
      <c r="A28" s="17"/>
      <c r="B28" s="54"/>
      <c r="C28" s="54"/>
      <c r="D28" s="54"/>
      <c r="E28" s="54"/>
      <c r="F28" s="54"/>
    </row>
    <row r="29" spans="1:9" x14ac:dyDescent="0.25">
      <c r="A29" s="38"/>
      <c r="B29" s="54"/>
      <c r="C29" s="54"/>
      <c r="D29" s="54"/>
      <c r="E29" s="54"/>
      <c r="F29" s="54"/>
    </row>
    <row r="30" spans="1:9" x14ac:dyDescent="0.25">
      <c r="A30" s="115"/>
      <c r="B30" s="66"/>
      <c r="C30" s="66"/>
      <c r="D30" s="66"/>
      <c r="E30" s="66"/>
      <c r="F30" s="66"/>
    </row>
    <row r="31" spans="1:9" x14ac:dyDescent="0.25">
      <c r="A31" s="38"/>
      <c r="B31" s="54"/>
      <c r="C31" s="54"/>
      <c r="D31" s="54"/>
      <c r="E31" s="54"/>
      <c r="F31" s="54"/>
    </row>
    <row r="32" spans="1:9" x14ac:dyDescent="0.25">
      <c r="A32" s="116"/>
      <c r="B32" s="11"/>
      <c r="C32" s="11"/>
      <c r="D32" s="11"/>
      <c r="E32" s="11"/>
      <c r="F32" s="11"/>
    </row>
  </sheetData>
  <mergeCells count="1">
    <mergeCell ref="A1:G1"/>
  </mergeCells>
  <pageMargins left="0.7" right="0.7" top="0.75" bottom="0.75" header="0.3" footer="0.3"/>
  <ignoredErrors>
    <ignoredError sqref="C20:G2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6" zoomScaleNormal="100" workbookViewId="0">
      <selection activeCell="C30" sqref="C30"/>
    </sheetView>
  </sheetViews>
  <sheetFormatPr defaultColWidth="11.42578125" defaultRowHeight="15" x14ac:dyDescent="0.25"/>
  <cols>
    <col min="1" max="1" width="32.85546875" style="166" customWidth="1"/>
    <col min="2" max="3" width="11.42578125" customWidth="1"/>
    <col min="4" max="7" width="11.28515625" customWidth="1"/>
  </cols>
  <sheetData>
    <row r="1" spans="1:9" x14ac:dyDescent="0.25">
      <c r="A1" s="204" t="s">
        <v>302</v>
      </c>
      <c r="B1" s="204"/>
      <c r="C1" s="204"/>
      <c r="D1" s="204"/>
      <c r="E1" s="204"/>
      <c r="F1" s="204"/>
      <c r="G1" s="204"/>
    </row>
    <row r="2" spans="1:9" x14ac:dyDescent="0.25">
      <c r="A2" s="17"/>
      <c r="B2" s="67" t="s">
        <v>265</v>
      </c>
      <c r="C2" s="67" t="s">
        <v>68</v>
      </c>
      <c r="D2" s="67" t="s">
        <v>69</v>
      </c>
      <c r="E2" s="67" t="s">
        <v>70</v>
      </c>
      <c r="F2" s="67" t="s">
        <v>71</v>
      </c>
      <c r="G2" s="67" t="s">
        <v>72</v>
      </c>
    </row>
    <row r="3" spans="1:9" x14ac:dyDescent="0.25">
      <c r="A3" s="17" t="s">
        <v>148</v>
      </c>
      <c r="B3" s="54"/>
      <c r="C3" s="2">
        <f>INGRESOS!E12</f>
        <v>226396.01492607279</v>
      </c>
      <c r="D3" s="2">
        <f>INGRESOS!F12</f>
        <v>229859.87395444169</v>
      </c>
      <c r="E3" s="2">
        <f>INGRESOS!G12</f>
        <v>233376.73002594465</v>
      </c>
      <c r="F3" s="2">
        <f>INGRESOS!H12</f>
        <v>236947.39399534161</v>
      </c>
      <c r="G3" s="2">
        <f>INGRESOS!I12</f>
        <v>240572.68912347034</v>
      </c>
    </row>
    <row r="4" spans="1:9" x14ac:dyDescent="0.25">
      <c r="A4" s="165" t="s">
        <v>307</v>
      </c>
      <c r="C4" s="65">
        <f>'FLUJO DE CAJA PURO'!C4</f>
        <v>-69760.804477821832</v>
      </c>
      <c r="D4" s="65">
        <f>'FLUJO DE CAJA PURO'!D4</f>
        <v>-70863.025188571424</v>
      </c>
      <c r="E4" s="65">
        <f>'FLUJO DE CAJA PURO'!E4</f>
        <v>-71982.660986550851</v>
      </c>
      <c r="F4" s="65">
        <f>'FLUJO DE CAJA PURO'!F4</f>
        <v>-73119.987030138349</v>
      </c>
      <c r="G4" s="65">
        <f>'FLUJO DE CAJA PURO'!G4</f>
        <v>-74275.282825214526</v>
      </c>
    </row>
    <row r="5" spans="1:9" x14ac:dyDescent="0.25">
      <c r="A5" s="122" t="s">
        <v>308</v>
      </c>
      <c r="C5" s="65">
        <f>'FLUJO DE CAJA PURO'!C5</f>
        <v>-44565.623999999996</v>
      </c>
      <c r="D5" s="65">
        <f>'FLUJO DE CAJA PURO'!D5</f>
        <v>-44565.623999999996</v>
      </c>
      <c r="E5" s="65">
        <f>'FLUJO DE CAJA PURO'!E5</f>
        <v>-44565.623999999996</v>
      </c>
      <c r="F5" s="65">
        <f>'FLUJO DE CAJA PURO'!F5</f>
        <v>-44565.623999999996</v>
      </c>
      <c r="G5" s="65">
        <f>'FLUJO DE CAJA PURO'!G5</f>
        <v>-44565.623999999996</v>
      </c>
    </row>
    <row r="6" spans="1:9" x14ac:dyDescent="0.25">
      <c r="A6" s="38" t="s">
        <v>318</v>
      </c>
      <c r="C6" s="65">
        <f>'FLUJO DE CAJA PURO'!C6</f>
        <v>-3866.5200000000004</v>
      </c>
      <c r="D6" s="65">
        <f>'FLUJO DE CAJA PURO'!D6</f>
        <v>-3927.6110159999994</v>
      </c>
      <c r="E6" s="65">
        <f>'FLUJO DE CAJA PURO'!E6</f>
        <v>-3989.6672700527997</v>
      </c>
      <c r="F6" s="65">
        <f>'FLUJO DE CAJA PURO'!F6</f>
        <v>-4052.7040129196344</v>
      </c>
      <c r="G6" s="65">
        <f>'FLUJO DE CAJA PURO'!G6</f>
        <v>-4116.7367363237645</v>
      </c>
    </row>
    <row r="7" spans="1:9" x14ac:dyDescent="0.25">
      <c r="A7" s="121" t="s">
        <v>309</v>
      </c>
      <c r="C7" s="65">
        <f>'FLUJO DE CAJA PURO'!C7</f>
        <v>-12582.835999999999</v>
      </c>
      <c r="D7" s="65">
        <f>'FLUJO DE CAJA PURO'!D7</f>
        <v>-12582.835999999999</v>
      </c>
      <c r="E7" s="65">
        <f>'FLUJO DE CAJA PURO'!E7</f>
        <v>-12582.835999999999</v>
      </c>
      <c r="F7" s="65">
        <f>'FLUJO DE CAJA PURO'!F7</f>
        <v>-12582.835999999999</v>
      </c>
      <c r="G7" s="65">
        <f>'FLUJO DE CAJA PURO'!G7</f>
        <v>-12582.835999999999</v>
      </c>
    </row>
    <row r="8" spans="1:9" x14ac:dyDescent="0.25">
      <c r="A8" s="38" t="s">
        <v>310</v>
      </c>
      <c r="C8" s="65">
        <f>'FLUJO DE CAJA PURO'!C8</f>
        <v>-10920</v>
      </c>
      <c r="D8" s="65">
        <f>'FLUJO DE CAJA PURO'!D8</f>
        <v>-10920</v>
      </c>
      <c r="E8" s="65">
        <f>'FLUJO DE CAJA PURO'!E8</f>
        <v>-10920</v>
      </c>
      <c r="F8" s="65">
        <f>'FLUJO DE CAJA PURO'!F8</f>
        <v>-10920</v>
      </c>
      <c r="G8" s="65">
        <f>'FLUJO DE CAJA PURO'!G8</f>
        <v>-10920</v>
      </c>
    </row>
    <row r="9" spans="1:9" x14ac:dyDescent="0.25">
      <c r="A9" s="38" t="s">
        <v>311</v>
      </c>
      <c r="C9" s="65">
        <f>'FLUJO DE CAJA PURO'!C9</f>
        <v>-13200</v>
      </c>
      <c r="D9" s="65">
        <f>'FLUJO DE CAJA PURO'!D9</f>
        <v>-13200</v>
      </c>
      <c r="E9" s="65">
        <f>'FLUJO DE CAJA PURO'!E9</f>
        <v>-13200</v>
      </c>
      <c r="F9" s="65">
        <f>'FLUJO DE CAJA PURO'!F9</f>
        <v>-13200</v>
      </c>
      <c r="G9" s="65">
        <f>'FLUJO DE CAJA PURO'!G9</f>
        <v>-13200</v>
      </c>
    </row>
    <row r="10" spans="1:9" x14ac:dyDescent="0.25">
      <c r="A10" s="38" t="s">
        <v>312</v>
      </c>
      <c r="C10" s="65">
        <f>'FLUJO DE CAJA PURO'!C10</f>
        <v>-3300</v>
      </c>
      <c r="D10" s="65">
        <f>'FLUJO DE CAJA PURO'!D10</f>
        <v>-3328.44</v>
      </c>
      <c r="E10" s="65">
        <f>'FLUJO DE CAJA PURO'!E10</f>
        <v>-3357.3293519999997</v>
      </c>
      <c r="F10" s="65">
        <f>'FLUJO DE CAJA PURO'!F10</f>
        <v>-3386.6751557615999</v>
      </c>
      <c r="G10" s="65">
        <f>'FLUJO DE CAJA PURO'!G10</f>
        <v>-3416.4846232226337</v>
      </c>
    </row>
    <row r="11" spans="1:9" x14ac:dyDescent="0.25">
      <c r="A11" s="38" t="s">
        <v>314</v>
      </c>
      <c r="C11" s="65">
        <f>'FLUJO DE CAJA PURO'!C11</f>
        <v>-37748.507999999994</v>
      </c>
      <c r="D11" s="65">
        <f>'FLUJO DE CAJA PURO'!D11</f>
        <v>-37748.507999999994</v>
      </c>
      <c r="E11" s="65">
        <f>'FLUJO DE CAJA PURO'!E11</f>
        <v>-37748.507999999994</v>
      </c>
      <c r="F11" s="65">
        <f>'FLUJO DE CAJA PURO'!F11</f>
        <v>-37748.507999999994</v>
      </c>
      <c r="G11" s="65">
        <f>'FLUJO DE CAJA PURO'!G11</f>
        <v>-37748.507999999994</v>
      </c>
    </row>
    <row r="12" spans="1:9" x14ac:dyDescent="0.25">
      <c r="A12" s="38" t="s">
        <v>315</v>
      </c>
      <c r="C12" s="65">
        <f>'FLUJO DE CAJA PURO'!C12</f>
        <v>-5379.84</v>
      </c>
      <c r="D12" s="65">
        <f>'FLUJO DE CAJA PURO'!D12</f>
        <v>-5464.841472000001</v>
      </c>
      <c r="E12" s="65">
        <f>'FLUJO DE CAJA PURO'!E12</f>
        <v>-5551.1859672576002</v>
      </c>
      <c r="F12" s="65">
        <f>'FLUJO DE CAJA PURO'!F12</f>
        <v>-5638.8947055402696</v>
      </c>
      <c r="G12" s="65">
        <f>'FLUJO DE CAJA PURO'!G12</f>
        <v>-5727.9892418878062</v>
      </c>
    </row>
    <row r="13" spans="1:9" x14ac:dyDescent="0.25">
      <c r="A13" s="38" t="s">
        <v>316</v>
      </c>
      <c r="B13" s="54"/>
      <c r="C13" s="65">
        <f>'FLUJO DE CAJA PURO'!C13</f>
        <v>-17280</v>
      </c>
      <c r="D13" s="65">
        <f>'FLUJO DE CAJA PURO'!D13</f>
        <v>-8640</v>
      </c>
      <c r="E13" s="65">
        <f>'FLUJO DE CAJA PURO'!E13</f>
        <v>-4320</v>
      </c>
      <c r="F13" s="65">
        <f>'FLUJO DE CAJA PURO'!F13</f>
        <v>-2880</v>
      </c>
      <c r="G13" s="65">
        <f>'FLUJO DE CAJA PURO'!G13</f>
        <v>-1440</v>
      </c>
    </row>
    <row r="14" spans="1:9" x14ac:dyDescent="0.25">
      <c r="A14" s="38" t="s">
        <v>317</v>
      </c>
      <c r="B14" s="54"/>
      <c r="C14" s="65">
        <f>'FLUJO DE CAJA PURO'!C14</f>
        <v>-3800</v>
      </c>
      <c r="D14" s="65">
        <f>'FLUJO DE CAJA PURO'!D14</f>
        <v>0</v>
      </c>
      <c r="E14" s="65">
        <f>'FLUJO DE CAJA PURO'!E14</f>
        <v>0</v>
      </c>
      <c r="F14" s="65">
        <f>'FLUJO DE CAJA PURO'!F14</f>
        <v>0</v>
      </c>
      <c r="G14" s="65">
        <f>'FLUJO DE CAJA PURO'!G14</f>
        <v>0</v>
      </c>
    </row>
    <row r="15" spans="1:9" x14ac:dyDescent="0.25">
      <c r="A15" s="38" t="s">
        <v>264</v>
      </c>
      <c r="B15" s="4"/>
      <c r="C15" s="54">
        <f>-'INVERSIONES-AMORTIZACIÓN'!C16</f>
        <v>-3958.0912286708772</v>
      </c>
      <c r="D15" s="54">
        <f>-'INVERSIONES-AMORTIZACIÓN'!C17</f>
        <v>-3332.9408644126966</v>
      </c>
      <c r="E15" s="54">
        <f>-'INVERSIONES-AMORTIZACIÓN'!C18</f>
        <v>-2633.8352120627733</v>
      </c>
      <c r="F15" s="54">
        <f>-'INVERSIONES-AMORTIZACIÓN'!C19</f>
        <v>-1852.0253610398538</v>
      </c>
      <c r="G15" s="54">
        <f>-'INVERSIONES-AMORTIZACIÓN'!C20</f>
        <v>-977.72740464092317</v>
      </c>
    </row>
    <row r="16" spans="1:9" x14ac:dyDescent="0.25">
      <c r="A16" s="17" t="s">
        <v>212</v>
      </c>
      <c r="C16" s="65">
        <f>'FLUJO DE CAJA PURO'!C15</f>
        <v>-8164.286666666666</v>
      </c>
      <c r="D16" s="65">
        <f>'FLUJO DE CAJA PURO'!D15</f>
        <v>-8164.286666666666</v>
      </c>
      <c r="E16" s="65">
        <f>'FLUJO DE CAJA PURO'!E15</f>
        <v>-8164.286666666666</v>
      </c>
      <c r="F16" s="65">
        <f>'FLUJO DE CAJA PURO'!F15</f>
        <v>-8164.286666666666</v>
      </c>
      <c r="G16" s="65">
        <f>'FLUJO DE CAJA PURO'!G15</f>
        <v>-8164.286666666666</v>
      </c>
      <c r="I16" s="128"/>
    </row>
    <row r="17" spans="1:9" x14ac:dyDescent="0.25">
      <c r="A17" s="17" t="s">
        <v>213</v>
      </c>
      <c r="C17" s="65">
        <f>'FLUJO DE CAJA PURO'!C16</f>
        <v>-260</v>
      </c>
      <c r="D17" s="65">
        <f>'FLUJO DE CAJA PURO'!D16</f>
        <v>-260</v>
      </c>
      <c r="E17" s="65">
        <f>'FLUJO DE CAJA PURO'!E16</f>
        <v>-260</v>
      </c>
      <c r="F17" s="65">
        <f>'FLUJO DE CAJA PURO'!F16</f>
        <v>-260</v>
      </c>
      <c r="G17" s="65">
        <f>'FLUJO DE CAJA PURO'!G16</f>
        <v>-260</v>
      </c>
    </row>
    <row r="18" spans="1:9" x14ac:dyDescent="0.25">
      <c r="A18" s="17" t="s">
        <v>331</v>
      </c>
      <c r="C18" s="65">
        <f>SUM(C3:C17)</f>
        <v>-8390.4954470865741</v>
      </c>
      <c r="D18" s="65">
        <f>SUM(D3:D17)</f>
        <v>6861.7607467909193</v>
      </c>
      <c r="E18" s="65">
        <f>SUM(E3:E17)</f>
        <v>14100.796571353974</v>
      </c>
      <c r="F18" s="65">
        <f>SUM(F3:F17)</f>
        <v>18575.853063275255</v>
      </c>
      <c r="G18" s="65">
        <f>SUM(G3:G17)</f>
        <v>23177.213625514043</v>
      </c>
    </row>
    <row r="19" spans="1:9" x14ac:dyDescent="0.25">
      <c r="A19" s="17" t="s">
        <v>243</v>
      </c>
      <c r="C19" s="65">
        <f>C18*15%</f>
        <v>-1258.574317062986</v>
      </c>
      <c r="D19" s="65">
        <f>D18*15%</f>
        <v>1029.2641120186379</v>
      </c>
      <c r="E19" s="65">
        <f>E18*15%</f>
        <v>2115.119485703096</v>
      </c>
      <c r="F19" s="65">
        <f>F18*15%</f>
        <v>2786.377959491288</v>
      </c>
      <c r="G19" s="65">
        <f>G18*15%</f>
        <v>3476.5820438271062</v>
      </c>
    </row>
    <row r="20" spans="1:9" x14ac:dyDescent="0.25">
      <c r="A20" s="17" t="s">
        <v>127</v>
      </c>
      <c r="C20" s="65">
        <f>C18-C19</f>
        <v>-7131.9211300235884</v>
      </c>
      <c r="D20" s="65">
        <f>D18-D19</f>
        <v>5832.4966347722811</v>
      </c>
      <c r="E20" s="65">
        <f>E18-E19</f>
        <v>11985.677085650877</v>
      </c>
      <c r="F20" s="65">
        <f>F18-F19</f>
        <v>15789.475103783967</v>
      </c>
      <c r="G20" s="65">
        <f>G18-G19</f>
        <v>19700.631581686936</v>
      </c>
    </row>
    <row r="21" spans="1:9" x14ac:dyDescent="0.25">
      <c r="A21" s="17" t="s">
        <v>244</v>
      </c>
      <c r="C21" s="65">
        <f>C20*22%</f>
        <v>-1569.0226486051895</v>
      </c>
      <c r="D21" s="65">
        <f>D20*22%</f>
        <v>1283.1492596499018</v>
      </c>
      <c r="E21" s="65">
        <f>E20*22%</f>
        <v>2636.848958843193</v>
      </c>
      <c r="F21" s="65">
        <f>F20*22%</f>
        <v>3473.6845228324728</v>
      </c>
      <c r="G21" s="65">
        <f>G20*22%</f>
        <v>4334.1389479711261</v>
      </c>
    </row>
    <row r="22" spans="1:9" x14ac:dyDescent="0.25">
      <c r="A22" s="26" t="s">
        <v>128</v>
      </c>
      <c r="B22" s="54"/>
      <c r="C22" s="57">
        <f>C20-C21</f>
        <v>-5562.8984814183987</v>
      </c>
      <c r="D22" s="57">
        <f>D20-D21</f>
        <v>4549.3473751223792</v>
      </c>
      <c r="E22" s="57">
        <f>E20-E21</f>
        <v>9348.8281268076844</v>
      </c>
      <c r="F22" s="57">
        <f>F20-F21</f>
        <v>12315.790580951494</v>
      </c>
      <c r="G22" s="57">
        <f>G20-G21</f>
        <v>15366.49263371581</v>
      </c>
      <c r="I22" s="65"/>
    </row>
    <row r="23" spans="1:9" x14ac:dyDescent="0.25">
      <c r="A23" s="17" t="s">
        <v>212</v>
      </c>
      <c r="B23" s="54"/>
      <c r="C23" s="54">
        <f>DEPRECIACIÓN!F38</f>
        <v>8164.286666666666</v>
      </c>
      <c r="D23" s="54">
        <f>C23</f>
        <v>8164.286666666666</v>
      </c>
      <c r="E23" s="54">
        <f t="shared" ref="E23:G24" si="0">D23</f>
        <v>8164.286666666666</v>
      </c>
      <c r="F23" s="54">
        <f t="shared" si="0"/>
        <v>8164.286666666666</v>
      </c>
      <c r="G23" s="54">
        <f t="shared" si="0"/>
        <v>8164.286666666666</v>
      </c>
    </row>
    <row r="24" spans="1:9" x14ac:dyDescent="0.25">
      <c r="A24" s="17" t="s">
        <v>213</v>
      </c>
      <c r="B24" s="54"/>
      <c r="C24" s="54">
        <f>'ACTIVOS INTANGIBLES'!B7</f>
        <v>260</v>
      </c>
      <c r="D24" s="54">
        <f>C24</f>
        <v>260</v>
      </c>
      <c r="E24" s="54">
        <f t="shared" si="0"/>
        <v>260</v>
      </c>
      <c r="F24" s="54">
        <f t="shared" si="0"/>
        <v>260</v>
      </c>
      <c r="G24" s="54">
        <f t="shared" si="0"/>
        <v>260</v>
      </c>
    </row>
    <row r="25" spans="1:9" x14ac:dyDescent="0.25">
      <c r="A25" s="17" t="s">
        <v>261</v>
      </c>
      <c r="B25" s="54">
        <f>-'INVERSIONES-AMORTIZACIÓN'!B3</f>
        <v>-63811.53</v>
      </c>
      <c r="C25" s="54"/>
      <c r="D25" s="54"/>
      <c r="E25" s="54"/>
      <c r="F25" s="54"/>
      <c r="G25" s="54"/>
    </row>
    <row r="26" spans="1:9" x14ac:dyDescent="0.25">
      <c r="A26" s="38" t="s">
        <v>263</v>
      </c>
      <c r="B26" s="54">
        <f>-'INVERSIONES-AMORTIZACIÓN'!B5</f>
        <v>-18533.677706485152</v>
      </c>
      <c r="C26" s="4"/>
      <c r="D26" s="4"/>
      <c r="E26" s="4"/>
      <c r="F26" s="4"/>
      <c r="G26" s="4"/>
      <c r="H26" s="65"/>
    </row>
    <row r="27" spans="1:9" x14ac:dyDescent="0.25">
      <c r="A27" s="17" t="s">
        <v>247</v>
      </c>
      <c r="B27" s="54">
        <f>'INVERSIONES-AMORTIZACIÓN'!F15</f>
        <v>33458.083082594057</v>
      </c>
      <c r="C27" s="54"/>
      <c r="D27" s="54"/>
      <c r="E27" s="54"/>
      <c r="F27" s="54"/>
      <c r="G27" s="54"/>
      <c r="H27" s="65"/>
    </row>
    <row r="28" spans="1:9" x14ac:dyDescent="0.25">
      <c r="A28" s="17" t="s">
        <v>248</v>
      </c>
      <c r="B28" s="54"/>
      <c r="C28" s="54">
        <f>-'INVERSIONES-AMORTIZACIÓN'!D16</f>
        <v>-5284.4494020133607</v>
      </c>
      <c r="D28" s="54">
        <f>-'INVERSIONES-AMORTIZACIÓN'!D17</f>
        <v>-5909.5997662715417</v>
      </c>
      <c r="E28" s="54">
        <f>-'INVERSIONES-AMORTIZACIÓN'!D18</f>
        <v>-6608.7054186214646</v>
      </c>
      <c r="F28" s="54">
        <f>-'INVERSIONES-AMORTIZACIÓN'!D19</f>
        <v>-7390.5152696443838</v>
      </c>
      <c r="G28" s="54">
        <f>-'INVERSIONES-AMORTIZACIÓN'!D20</f>
        <v>-8264.813226043314</v>
      </c>
      <c r="H28" s="65"/>
    </row>
    <row r="29" spans="1:9" x14ac:dyDescent="0.25">
      <c r="A29" s="17" t="s">
        <v>245</v>
      </c>
      <c r="C29" s="54"/>
      <c r="D29" s="54"/>
      <c r="E29" s="54"/>
      <c r="F29" s="54"/>
      <c r="G29" s="66">
        <f>'FLUJO DE CAJA PURO'!G26</f>
        <v>93026.137381277877</v>
      </c>
    </row>
    <row r="30" spans="1:9" x14ac:dyDescent="0.25">
      <c r="A30" s="147" t="s">
        <v>246</v>
      </c>
      <c r="B30" s="11">
        <f>SUM(B25:B28)</f>
        <v>-48887.12462389109</v>
      </c>
      <c r="C30" s="11">
        <f>C22+C23+C24+C28</f>
        <v>-2423.0612167650934</v>
      </c>
      <c r="D30" s="11">
        <f t="shared" ref="D30:F30" si="1">D22+D23+D24+D28</f>
        <v>7064.0342755175043</v>
      </c>
      <c r="E30" s="11">
        <f t="shared" si="1"/>
        <v>11164.409374852885</v>
      </c>
      <c r="F30" s="11">
        <f t="shared" si="1"/>
        <v>13349.561977973775</v>
      </c>
      <c r="G30" s="11">
        <f>G22+G23+G24+G28+G29</f>
        <v>108552.10345561703</v>
      </c>
    </row>
  </sheetData>
  <mergeCells count="1">
    <mergeCell ref="A1:G1"/>
  </mergeCells>
  <pageMargins left="0.7" right="0.7" top="0.75" bottom="0.75" header="0.3" footer="0.3"/>
  <ignoredErrors>
    <ignoredError sqref="C21:G2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13" sqref="A13"/>
    </sheetView>
  </sheetViews>
  <sheetFormatPr defaultColWidth="11.42578125" defaultRowHeight="15" x14ac:dyDescent="0.25"/>
  <cols>
    <col min="1" max="1" width="30.42578125" customWidth="1"/>
    <col min="2" max="2" width="14" customWidth="1"/>
    <col min="4" max="4" width="29.5703125" bestFit="1" customWidth="1"/>
    <col min="5" max="5" width="15.7109375" customWidth="1"/>
    <col min="7" max="7" width="24.140625" customWidth="1"/>
  </cols>
  <sheetData>
    <row r="1" spans="1:6" x14ac:dyDescent="0.25">
      <c r="A1" s="204" t="s">
        <v>250</v>
      </c>
      <c r="B1" s="204"/>
      <c r="C1" s="25"/>
      <c r="D1" s="204" t="s">
        <v>293</v>
      </c>
      <c r="E1" s="204"/>
      <c r="F1" s="18"/>
    </row>
    <row r="2" spans="1:6" x14ac:dyDescent="0.25">
      <c r="A2" s="117" t="s">
        <v>291</v>
      </c>
      <c r="B2" s="90">
        <v>8.3999999999999995E-3</v>
      </c>
      <c r="C2" s="4"/>
      <c r="D2" s="117" t="s">
        <v>294</v>
      </c>
      <c r="E2" s="131">
        <f>'INVERSIONES-AMORTIZACIÓN'!G12</f>
        <v>0.1183</v>
      </c>
      <c r="F2" s="130"/>
    </row>
    <row r="3" spans="1:6" x14ac:dyDescent="0.25">
      <c r="A3" s="117" t="s">
        <v>290</v>
      </c>
      <c r="B3" s="135">
        <v>7.0699999999999999E-2</v>
      </c>
      <c r="C3" s="125"/>
      <c r="D3" s="117" t="s">
        <v>295</v>
      </c>
      <c r="E3" s="131">
        <f>'INVERSIONES-AMORTIZACIÓN'!E3</f>
        <v>0.4</v>
      </c>
      <c r="F3" s="130"/>
    </row>
    <row r="4" spans="1:6" x14ac:dyDescent="0.25">
      <c r="A4" s="37" t="s">
        <v>292</v>
      </c>
      <c r="B4" s="90">
        <v>8.0799999999999997E-2</v>
      </c>
      <c r="C4" s="125"/>
      <c r="D4" s="20" t="s">
        <v>289</v>
      </c>
      <c r="E4" s="133">
        <f>B6</f>
        <v>0.14838499999999999</v>
      </c>
      <c r="F4" s="130"/>
    </row>
    <row r="5" spans="1:6" x14ac:dyDescent="0.25">
      <c r="A5" s="37" t="s">
        <v>298</v>
      </c>
      <c r="B5" s="134">
        <v>0.95</v>
      </c>
      <c r="C5" s="126"/>
      <c r="D5" s="37" t="s">
        <v>296</v>
      </c>
      <c r="E5" s="131">
        <f>'INVERSIONES-AMORTIZACIÓN'!F3</f>
        <v>0.6</v>
      </c>
      <c r="F5" s="130"/>
    </row>
    <row r="6" spans="1:6" x14ac:dyDescent="0.25">
      <c r="A6" s="10" t="s">
        <v>289</v>
      </c>
      <c r="B6" s="132">
        <f>(B2+(B3-B2)*B5)+B4</f>
        <v>0.14838499999999999</v>
      </c>
      <c r="C6" s="126"/>
      <c r="D6" s="10" t="s">
        <v>297</v>
      </c>
      <c r="E6" s="91">
        <f>E2*E3+E4*E5</f>
        <v>0.136351</v>
      </c>
      <c r="F6" s="130"/>
    </row>
    <row r="7" spans="1:6" x14ac:dyDescent="0.25">
      <c r="A7" s="4"/>
      <c r="B7" s="4"/>
      <c r="C7" s="126"/>
      <c r="D7" s="4"/>
      <c r="E7" s="37"/>
      <c r="F7" s="130"/>
    </row>
    <row r="8" spans="1:6" x14ac:dyDescent="0.25">
      <c r="A8" s="204" t="s">
        <v>301</v>
      </c>
      <c r="B8" s="204"/>
      <c r="C8" s="126"/>
      <c r="D8" s="204" t="s">
        <v>302</v>
      </c>
      <c r="E8" s="204"/>
      <c r="F8" s="4"/>
    </row>
    <row r="9" spans="1:6" x14ac:dyDescent="0.25">
      <c r="A9" s="69" t="s">
        <v>299</v>
      </c>
      <c r="B9" s="143">
        <f>IRR('FLUJO DE CAJA PURO'!B27:G27)</f>
        <v>0.20672976186629355</v>
      </c>
      <c r="C9" s="126"/>
      <c r="D9" s="69" t="s">
        <v>299</v>
      </c>
      <c r="E9" s="137">
        <f>IRR('FLUJO DEL INVERSIONISTA'!B30:G30)</f>
        <v>0.25252536518189683</v>
      </c>
      <c r="F9" s="4"/>
    </row>
    <row r="10" spans="1:6" x14ac:dyDescent="0.25">
      <c r="A10" s="69" t="s">
        <v>300</v>
      </c>
      <c r="B10" s="136">
        <f>NPV(B6,'FLUJO DE CAJA PURO'!C27:G27)+'FLUJO DE CAJA PURO'!B27</f>
        <v>18277.039235026066</v>
      </c>
      <c r="D10" s="69" t="s">
        <v>300</v>
      </c>
      <c r="E10" s="136">
        <f>NPV(E6,'FLUJO DEL INVERSIONISTA'!C30:G30)+'FLUJO DEL INVERSIONISTA'!B30</f>
        <v>27355.175140463289</v>
      </c>
    </row>
    <row r="13" spans="1:6" x14ac:dyDescent="0.25">
      <c r="E13" s="65"/>
      <c r="F13" s="65"/>
    </row>
    <row r="14" spans="1:6" x14ac:dyDescent="0.25">
      <c r="E14" s="198"/>
      <c r="F14" s="198"/>
    </row>
  </sheetData>
  <mergeCells count="4">
    <mergeCell ref="A1:B1"/>
    <mergeCell ref="D1:E1"/>
    <mergeCell ref="A8:B8"/>
    <mergeCell ref="D8:E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zoomScale="90" zoomScaleNormal="90" workbookViewId="0">
      <selection sqref="A1:B1"/>
    </sheetView>
  </sheetViews>
  <sheetFormatPr defaultColWidth="11.42578125" defaultRowHeight="15" x14ac:dyDescent="0.25"/>
  <cols>
    <col min="1" max="1" width="27.42578125" bestFit="1" customWidth="1"/>
    <col min="2" max="2" width="15.42578125" customWidth="1"/>
    <col min="4" max="4" width="20.42578125" bestFit="1" customWidth="1"/>
    <col min="5" max="5" width="12.28515625" bestFit="1" customWidth="1"/>
    <col min="7" max="7" width="23.140625" bestFit="1" customWidth="1"/>
    <col min="10" max="10" width="27.42578125" bestFit="1" customWidth="1"/>
  </cols>
  <sheetData>
    <row r="1" spans="1:2" x14ac:dyDescent="0.25">
      <c r="A1" s="225" t="s">
        <v>303</v>
      </c>
      <c r="B1" s="226"/>
    </row>
    <row r="2" spans="1:2" x14ac:dyDescent="0.25">
      <c r="A2" s="139" t="s">
        <v>304</v>
      </c>
      <c r="B2" s="140" t="s">
        <v>249</v>
      </c>
    </row>
    <row r="3" spans="1:2" x14ac:dyDescent="0.25">
      <c r="A3" s="141">
        <v>0.05</v>
      </c>
      <c r="B3" s="196">
        <v>78793.009200312168</v>
      </c>
    </row>
    <row r="4" spans="1:2" x14ac:dyDescent="0.25">
      <c r="A4" s="141">
        <v>0.1</v>
      </c>
      <c r="B4" s="196">
        <v>133427.59079051338</v>
      </c>
    </row>
    <row r="5" spans="1:2" x14ac:dyDescent="0.25">
      <c r="A5" s="141">
        <v>0.15</v>
      </c>
      <c r="B5" s="196">
        <v>188062.1723807145</v>
      </c>
    </row>
    <row r="6" spans="1:2" x14ac:dyDescent="0.25">
      <c r="A6" s="141">
        <v>0.2</v>
      </c>
      <c r="B6" s="196">
        <v>242696.75397091563</v>
      </c>
    </row>
    <row r="7" spans="1:2" x14ac:dyDescent="0.25">
      <c r="A7" s="141">
        <v>0.25</v>
      </c>
      <c r="B7" s="196">
        <v>297331.33556111681</v>
      </c>
    </row>
    <row r="8" spans="1:2" x14ac:dyDescent="0.25">
      <c r="A8" s="141">
        <v>0.3</v>
      </c>
      <c r="B8" s="196">
        <v>351965.91715131799</v>
      </c>
    </row>
    <row r="9" spans="1:2" x14ac:dyDescent="0.25">
      <c r="A9" s="141">
        <v>0</v>
      </c>
      <c r="B9" s="196">
        <v>24158.427610111081</v>
      </c>
    </row>
    <row r="10" spans="1:2" x14ac:dyDescent="0.25">
      <c r="A10" s="141">
        <v>-0.05</v>
      </c>
      <c r="B10" s="196">
        <v>-30476.153980090152</v>
      </c>
    </row>
    <row r="11" spans="1:2" x14ac:dyDescent="0.25">
      <c r="A11" s="141">
        <v>-0.1</v>
      </c>
      <c r="B11" s="196">
        <v>-85110.735570291261</v>
      </c>
    </row>
    <row r="12" spans="1:2" x14ac:dyDescent="0.25">
      <c r="A12" s="141">
        <v>-0.15</v>
      </c>
      <c r="B12" s="196">
        <v>-139745.31716049244</v>
      </c>
    </row>
    <row r="13" spans="1:2" x14ac:dyDescent="0.25">
      <c r="A13" s="141">
        <v>-0.2</v>
      </c>
      <c r="B13" s="196">
        <v>-194379.89875069357</v>
      </c>
    </row>
    <row r="14" spans="1:2" x14ac:dyDescent="0.25">
      <c r="A14" s="141">
        <v>-0.25</v>
      </c>
      <c r="B14" s="196">
        <v>-249014.48034089481</v>
      </c>
    </row>
    <row r="15" spans="1:2" x14ac:dyDescent="0.25">
      <c r="A15" s="142">
        <v>-0.3</v>
      </c>
      <c r="B15" s="197">
        <v>-303649.06193109596</v>
      </c>
    </row>
    <row r="18" spans="1:2" x14ac:dyDescent="0.25">
      <c r="A18" s="225" t="s">
        <v>303</v>
      </c>
      <c r="B18" s="226"/>
    </row>
    <row r="19" spans="1:2" x14ac:dyDescent="0.25">
      <c r="A19" s="139" t="s">
        <v>305</v>
      </c>
      <c r="B19" s="140" t="s">
        <v>249</v>
      </c>
    </row>
    <row r="20" spans="1:2" x14ac:dyDescent="0.25">
      <c r="A20" s="141">
        <v>0.05</v>
      </c>
      <c r="B20" s="196">
        <v>-6929.9639412340111</v>
      </c>
    </row>
    <row r="21" spans="1:2" x14ac:dyDescent="0.25">
      <c r="A21" s="141">
        <v>0.1</v>
      </c>
      <c r="B21" s="196">
        <v>-38018.355492579089</v>
      </c>
    </row>
    <row r="22" spans="1:2" x14ac:dyDescent="0.25">
      <c r="A22" s="141">
        <v>0.15</v>
      </c>
      <c r="B22" s="196">
        <v>-69106.747043924086</v>
      </c>
    </row>
    <row r="23" spans="1:2" x14ac:dyDescent="0.25">
      <c r="A23" s="141">
        <v>0.2</v>
      </c>
      <c r="B23" s="196">
        <v>-100195.13859526921</v>
      </c>
    </row>
    <row r="24" spans="1:2" x14ac:dyDescent="0.25">
      <c r="A24" s="141">
        <v>0.25</v>
      </c>
      <c r="B24" s="196">
        <v>-131283.53014661424</v>
      </c>
    </row>
    <row r="25" spans="1:2" x14ac:dyDescent="0.25">
      <c r="A25" s="141">
        <v>0.3</v>
      </c>
      <c r="B25" s="196">
        <v>-162371.92169795927</v>
      </c>
    </row>
    <row r="26" spans="1:2" x14ac:dyDescent="0.25">
      <c r="A26" s="141">
        <v>0</v>
      </c>
      <c r="B26" s="196">
        <v>24158.427610111081</v>
      </c>
    </row>
    <row r="27" spans="1:2" x14ac:dyDescent="0.25">
      <c r="A27" s="141">
        <v>-0.05</v>
      </c>
      <c r="B27" s="196">
        <v>55246.819161456056</v>
      </c>
    </row>
    <row r="28" spans="1:2" x14ac:dyDescent="0.25">
      <c r="A28" s="141">
        <v>-0.1</v>
      </c>
      <c r="B28" s="196">
        <v>86335.210712801083</v>
      </c>
    </row>
    <row r="29" spans="1:2" x14ac:dyDescent="0.25">
      <c r="A29" s="141">
        <v>-0.15</v>
      </c>
      <c r="B29" s="196">
        <v>117423.60226414612</v>
      </c>
    </row>
    <row r="30" spans="1:2" x14ac:dyDescent="0.25">
      <c r="A30" s="141">
        <v>-0.2</v>
      </c>
      <c r="B30" s="196">
        <v>148511.99381549112</v>
      </c>
    </row>
    <row r="31" spans="1:2" x14ac:dyDescent="0.25">
      <c r="A31" s="141">
        <v>-0.25</v>
      </c>
      <c r="B31" s="196">
        <v>179600.38536683621</v>
      </c>
    </row>
    <row r="32" spans="1:2" x14ac:dyDescent="0.25">
      <c r="A32" s="142">
        <v>-0.3</v>
      </c>
      <c r="B32" s="197">
        <v>210688.77691818128</v>
      </c>
    </row>
    <row r="35" spans="1:2" x14ac:dyDescent="0.25">
      <c r="A35" s="225" t="s">
        <v>303</v>
      </c>
      <c r="B35" s="226"/>
    </row>
    <row r="36" spans="1:2" x14ac:dyDescent="0.25">
      <c r="A36" s="139" t="s">
        <v>328</v>
      </c>
      <c r="B36" s="140" t="s">
        <v>249</v>
      </c>
    </row>
    <row r="37" spans="1:2" x14ac:dyDescent="0.25">
      <c r="A37" s="141">
        <v>0.05</v>
      </c>
      <c r="B37" s="196">
        <v>78793.009200312314</v>
      </c>
    </row>
    <row r="38" spans="1:2" x14ac:dyDescent="0.25">
      <c r="A38" s="141">
        <v>0.1</v>
      </c>
      <c r="B38" s="196">
        <v>133427.59079051355</v>
      </c>
    </row>
    <row r="39" spans="1:2" x14ac:dyDescent="0.25">
      <c r="A39" s="141">
        <v>0.15</v>
      </c>
      <c r="B39" s="196">
        <v>188062.17238071465</v>
      </c>
    </row>
    <row r="40" spans="1:2" x14ac:dyDescent="0.25">
      <c r="A40" s="141">
        <v>0.2</v>
      </c>
      <c r="B40" s="196">
        <v>242696.75397091563</v>
      </c>
    </row>
    <row r="41" spans="1:2" x14ac:dyDescent="0.25">
      <c r="A41" s="141">
        <v>0.25</v>
      </c>
      <c r="B41" s="196">
        <v>297331.33556111669</v>
      </c>
    </row>
    <row r="42" spans="1:2" x14ac:dyDescent="0.25">
      <c r="A42" s="141">
        <v>0.3</v>
      </c>
      <c r="B42" s="196">
        <v>351965.91715131787</v>
      </c>
    </row>
    <row r="43" spans="1:2" x14ac:dyDescent="0.25">
      <c r="A43" s="141">
        <v>0</v>
      </c>
      <c r="B43" s="196">
        <v>24158.427610111081</v>
      </c>
    </row>
    <row r="44" spans="1:2" x14ac:dyDescent="0.25">
      <c r="A44" s="141">
        <v>-0.05</v>
      </c>
      <c r="B44" s="196">
        <v>-30476.153980090148</v>
      </c>
    </row>
    <row r="45" spans="1:2" x14ac:dyDescent="0.25">
      <c r="A45" s="141">
        <v>-0.1</v>
      </c>
      <c r="B45" s="196">
        <v>-85110.735570291465</v>
      </c>
    </row>
    <row r="46" spans="1:2" x14ac:dyDescent="0.25">
      <c r="A46" s="141">
        <v>-0.15</v>
      </c>
      <c r="B46" s="196">
        <v>-139745.31716049236</v>
      </c>
    </row>
    <row r="47" spans="1:2" x14ac:dyDescent="0.25">
      <c r="A47" s="141">
        <v>-0.2</v>
      </c>
      <c r="B47" s="196">
        <v>-194379.89875069357</v>
      </c>
    </row>
    <row r="48" spans="1:2" x14ac:dyDescent="0.25">
      <c r="A48" s="141">
        <v>-0.25</v>
      </c>
      <c r="B48" s="196">
        <v>-249014.48034089481</v>
      </c>
    </row>
    <row r="49" spans="1:2" x14ac:dyDescent="0.25">
      <c r="A49" s="142">
        <v>-0.3</v>
      </c>
      <c r="B49" s="197">
        <v>-303649.06193109584</v>
      </c>
    </row>
    <row r="52" spans="1:2" x14ac:dyDescent="0.25">
      <c r="A52" s="225" t="s">
        <v>303</v>
      </c>
      <c r="B52" s="226"/>
    </row>
    <row r="53" spans="1:2" x14ac:dyDescent="0.25">
      <c r="A53" s="139" t="s">
        <v>329</v>
      </c>
      <c r="B53" s="140" t="s">
        <v>249</v>
      </c>
    </row>
    <row r="54" spans="1:2" x14ac:dyDescent="0.25">
      <c r="A54" s="141">
        <v>0.05</v>
      </c>
      <c r="B54" s="196">
        <v>17761.333873895135</v>
      </c>
    </row>
    <row r="55" spans="1:2" x14ac:dyDescent="0.25">
      <c r="A55" s="141">
        <v>0.1</v>
      </c>
      <c r="B55" s="196">
        <v>11364.240137679262</v>
      </c>
    </row>
    <row r="56" spans="1:2" x14ac:dyDescent="0.25">
      <c r="A56" s="141">
        <v>0.15</v>
      </c>
      <c r="B56" s="196">
        <v>4967.1464014634112</v>
      </c>
    </row>
    <row r="57" spans="1:2" x14ac:dyDescent="0.25">
      <c r="A57" s="141">
        <v>0.2</v>
      </c>
      <c r="B57" s="196">
        <v>-1429.9473347524108</v>
      </c>
    </row>
    <row r="58" spans="1:2" x14ac:dyDescent="0.25">
      <c r="A58" s="141">
        <v>0.25</v>
      </c>
      <c r="B58" s="196">
        <v>-7827.0410709682837</v>
      </c>
    </row>
    <row r="59" spans="1:2" x14ac:dyDescent="0.25">
      <c r="A59" s="141">
        <v>0.3</v>
      </c>
      <c r="B59" s="196">
        <v>-14224.134807184113</v>
      </c>
    </row>
    <row r="60" spans="1:2" x14ac:dyDescent="0.25">
      <c r="A60" s="141">
        <v>0</v>
      </c>
      <c r="B60" s="196">
        <v>24158.427610111081</v>
      </c>
    </row>
    <row r="61" spans="1:2" x14ac:dyDescent="0.25">
      <c r="A61" s="141">
        <v>-0.05</v>
      </c>
      <c r="B61" s="196">
        <v>30555.521346326852</v>
      </c>
    </row>
    <row r="62" spans="1:2" x14ac:dyDescent="0.25">
      <c r="A62" s="141">
        <v>-0.1</v>
      </c>
      <c r="B62" s="196">
        <v>36952.615082542725</v>
      </c>
    </row>
    <row r="63" spans="1:2" x14ac:dyDescent="0.25">
      <c r="A63" s="141">
        <v>-0.15</v>
      </c>
      <c r="B63" s="196">
        <v>43349.708818758554</v>
      </c>
    </row>
    <row r="64" spans="1:2" x14ac:dyDescent="0.25">
      <c r="A64" s="141">
        <v>-0.2</v>
      </c>
      <c r="B64" s="196">
        <v>49746.802554974398</v>
      </c>
    </row>
    <row r="65" spans="1:2" x14ac:dyDescent="0.25">
      <c r="A65" s="141">
        <v>-0.25</v>
      </c>
      <c r="B65" s="196">
        <v>56143.896291190242</v>
      </c>
    </row>
    <row r="66" spans="1:2" x14ac:dyDescent="0.25">
      <c r="A66" s="142">
        <v>-0.3</v>
      </c>
      <c r="B66" s="197">
        <v>62540.990027406129</v>
      </c>
    </row>
  </sheetData>
  <mergeCells count="4">
    <mergeCell ref="A1:B1"/>
    <mergeCell ref="A35:B35"/>
    <mergeCell ref="A18:B18"/>
    <mergeCell ref="A52:B5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"/>
    </sheetView>
  </sheetViews>
  <sheetFormatPr defaultColWidth="11.42578125" defaultRowHeight="15" x14ac:dyDescent="0.25"/>
  <cols>
    <col min="1" max="1" width="32.42578125" customWidth="1"/>
    <col min="2" max="2" width="17" customWidth="1"/>
    <col min="4" max="4" width="26.42578125" bestFit="1" customWidth="1"/>
  </cols>
  <sheetData>
    <row r="1" spans="1:2" x14ac:dyDescent="0.25">
      <c r="A1" s="204" t="s">
        <v>251</v>
      </c>
      <c r="B1" s="204"/>
    </row>
    <row r="2" spans="1:2" x14ac:dyDescent="0.25">
      <c r="A2" s="4" t="s">
        <v>110</v>
      </c>
      <c r="B2" s="7">
        <v>1300</v>
      </c>
    </row>
    <row r="3" spans="1:2" x14ac:dyDescent="0.25">
      <c r="A3" s="10" t="s">
        <v>269</v>
      </c>
      <c r="B3" s="77">
        <f>B2</f>
        <v>1300</v>
      </c>
    </row>
    <row r="6" spans="1:2" x14ac:dyDescent="0.25">
      <c r="A6" s="204" t="s">
        <v>241</v>
      </c>
      <c r="B6" s="204"/>
    </row>
    <row r="7" spans="1:2" x14ac:dyDescent="0.25">
      <c r="A7" s="4" t="s">
        <v>242</v>
      </c>
      <c r="B7" s="2">
        <f>B2/5</f>
        <v>260</v>
      </c>
    </row>
    <row r="8" spans="1:2" x14ac:dyDescent="0.25">
      <c r="A8" s="108" t="s">
        <v>283</v>
      </c>
      <c r="B8" s="109">
        <f>B7</f>
        <v>260</v>
      </c>
    </row>
    <row r="9" spans="1:2" x14ac:dyDescent="0.25">
      <c r="A9" s="5"/>
      <c r="B9" s="7"/>
    </row>
    <row r="10" spans="1:2" x14ac:dyDescent="0.25">
      <c r="A10" s="5"/>
      <c r="B10" s="7"/>
    </row>
    <row r="11" spans="1:2" x14ac:dyDescent="0.25">
      <c r="A11" s="4"/>
      <c r="B11" s="7"/>
    </row>
  </sheetData>
  <mergeCells count="2">
    <mergeCell ref="A1:B1"/>
    <mergeCell ref="A6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B1" zoomScale="90" zoomScaleNormal="90" workbookViewId="0">
      <selection sqref="A1:M1"/>
    </sheetView>
  </sheetViews>
  <sheetFormatPr defaultColWidth="11.42578125" defaultRowHeight="15" x14ac:dyDescent="0.25"/>
  <cols>
    <col min="1" max="1" width="17.85546875" customWidth="1"/>
    <col min="2" max="5" width="12.140625" bestFit="1" customWidth="1"/>
    <col min="6" max="9" width="12.5703125" bestFit="1" customWidth="1"/>
    <col min="10" max="10" width="12.5703125" customWidth="1"/>
    <col min="11" max="11" width="12.28515625" customWidth="1"/>
    <col min="12" max="13" width="12" customWidth="1"/>
    <col min="14" max="14" width="12.42578125" bestFit="1" customWidth="1"/>
  </cols>
  <sheetData>
    <row r="1" spans="1:14" x14ac:dyDescent="0.25">
      <c r="A1" s="204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5"/>
    </row>
    <row r="2" spans="1:14" ht="16.5" customHeight="1" x14ac:dyDescent="0.25">
      <c r="A2" s="78" t="s">
        <v>270</v>
      </c>
      <c r="B2" s="67" t="s">
        <v>33</v>
      </c>
      <c r="C2" s="67" t="s">
        <v>34</v>
      </c>
      <c r="D2" s="67" t="s">
        <v>35</v>
      </c>
      <c r="E2" s="67" t="s">
        <v>36</v>
      </c>
      <c r="F2" s="67" t="s">
        <v>37</v>
      </c>
      <c r="G2" s="67" t="s">
        <v>38</v>
      </c>
      <c r="H2" s="67" t="s">
        <v>39</v>
      </c>
      <c r="I2" s="67" t="s">
        <v>40</v>
      </c>
      <c r="J2" s="67" t="s">
        <v>41</v>
      </c>
      <c r="K2" s="67" t="s">
        <v>42</v>
      </c>
      <c r="L2" s="67" t="s">
        <v>43</v>
      </c>
      <c r="M2" s="67" t="s">
        <v>44</v>
      </c>
      <c r="N2" s="5"/>
    </row>
    <row r="3" spans="1:14" ht="19.5" customHeight="1" x14ac:dyDescent="0.25">
      <c r="A3" s="79" t="s">
        <v>151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x14ac:dyDescent="0.25">
      <c r="A4" s="80" t="s">
        <v>148</v>
      </c>
      <c r="B4" s="2"/>
      <c r="C4" s="7">
        <f>INGRESOS!F5</f>
        <v>19516.897838454552</v>
      </c>
      <c r="D4" s="7">
        <f>INGRESOS!G5</f>
        <v>19516.897838454552</v>
      </c>
      <c r="E4" s="7">
        <f>INGRESOS!H5</f>
        <v>22444.432514222735</v>
      </c>
      <c r="F4" s="7">
        <f>INGRESOS!I5</f>
        <v>19516.897838454552</v>
      </c>
      <c r="G4" s="7">
        <f>INGRESOS!J5</f>
        <v>19516.897838454552</v>
      </c>
      <c r="H4" s="7">
        <f>INGRESOS!K5</f>
        <v>22444.432514222735</v>
      </c>
      <c r="I4" s="7">
        <f>INGRESOS!L5</f>
        <v>19516.897838454552</v>
      </c>
      <c r="J4" s="7">
        <f>INGRESOS!M5</f>
        <v>19516.897838454552</v>
      </c>
      <c r="K4" s="7">
        <f>INGRESOS!N5</f>
        <v>22444.432514222735</v>
      </c>
      <c r="L4" s="7">
        <f>INGRESOS!O5</f>
        <v>19516.897838454552</v>
      </c>
      <c r="M4" s="7">
        <f>INGRESOS!P5</f>
        <v>22444.432514222735</v>
      </c>
      <c r="N4" s="5"/>
    </row>
    <row r="5" spans="1:14" ht="15.75" x14ac:dyDescent="0.25">
      <c r="A5" s="80" t="s">
        <v>149</v>
      </c>
      <c r="B5" s="7">
        <f>-GASTOS!B81</f>
        <v>-18533.677706485152</v>
      </c>
      <c r="C5" s="7">
        <f>B5</f>
        <v>-18533.677706485152</v>
      </c>
      <c r="D5" s="7">
        <f>C5</f>
        <v>-18533.677706485152</v>
      </c>
      <c r="E5" s="7">
        <f t="shared" ref="E5:M5" si="0">D5</f>
        <v>-18533.677706485152</v>
      </c>
      <c r="F5" s="7">
        <f t="shared" si="0"/>
        <v>-18533.677706485152</v>
      </c>
      <c r="G5" s="7">
        <f t="shared" si="0"/>
        <v>-18533.677706485152</v>
      </c>
      <c r="H5" s="7">
        <f t="shared" si="0"/>
        <v>-18533.677706485152</v>
      </c>
      <c r="I5" s="7">
        <f t="shared" si="0"/>
        <v>-18533.677706485152</v>
      </c>
      <c r="J5" s="7">
        <f t="shared" si="0"/>
        <v>-18533.677706485152</v>
      </c>
      <c r="K5" s="7">
        <f t="shared" si="0"/>
        <v>-18533.677706485152</v>
      </c>
      <c r="L5" s="7">
        <f t="shared" si="0"/>
        <v>-18533.677706485152</v>
      </c>
      <c r="M5" s="7">
        <f t="shared" si="0"/>
        <v>-18533.677706485152</v>
      </c>
      <c r="N5" s="7"/>
    </row>
    <row r="6" spans="1:14" ht="15.75" x14ac:dyDescent="0.25">
      <c r="A6" s="80" t="s">
        <v>185</v>
      </c>
      <c r="B6" s="2">
        <f t="shared" ref="B6:M6" si="1">SUM(B4:B5)</f>
        <v>-18533.677706485152</v>
      </c>
      <c r="C6" s="2">
        <f t="shared" si="1"/>
        <v>983.22013196939952</v>
      </c>
      <c r="D6" s="2">
        <f t="shared" si="1"/>
        <v>983.22013196939952</v>
      </c>
      <c r="E6" s="2">
        <f t="shared" si="1"/>
        <v>3910.7548077375832</v>
      </c>
      <c r="F6" s="2">
        <f t="shared" si="1"/>
        <v>983.22013196939952</v>
      </c>
      <c r="G6" s="2">
        <f t="shared" si="1"/>
        <v>983.22013196939952</v>
      </c>
      <c r="H6" s="2">
        <f t="shared" si="1"/>
        <v>3910.7548077375832</v>
      </c>
      <c r="I6" s="2">
        <f t="shared" si="1"/>
        <v>983.22013196939952</v>
      </c>
      <c r="J6" s="2">
        <f t="shared" si="1"/>
        <v>983.22013196939952</v>
      </c>
      <c r="K6" s="2">
        <f t="shared" si="1"/>
        <v>3910.7548077375832</v>
      </c>
      <c r="L6" s="2">
        <f t="shared" si="1"/>
        <v>983.22013196939952</v>
      </c>
      <c r="M6" s="2">
        <f t="shared" si="1"/>
        <v>3910.7548077375832</v>
      </c>
      <c r="N6" s="4"/>
    </row>
    <row r="7" spans="1:14" ht="15.75" x14ac:dyDescent="0.25">
      <c r="A7" s="81" t="s">
        <v>150</v>
      </c>
      <c r="B7" s="11">
        <f>B6</f>
        <v>-18533.677706485152</v>
      </c>
      <c r="C7" s="11">
        <f t="shared" ref="C7:M7" si="2">C6+B7</f>
        <v>-17550.457574515753</v>
      </c>
      <c r="D7" s="11">
        <f t="shared" si="2"/>
        <v>-16567.237442546353</v>
      </c>
      <c r="E7" s="11">
        <f t="shared" si="2"/>
        <v>-12656.48263480877</v>
      </c>
      <c r="F7" s="11">
        <f t="shared" si="2"/>
        <v>-11673.26250283937</v>
      </c>
      <c r="G7" s="11">
        <f t="shared" si="2"/>
        <v>-10690.042370869971</v>
      </c>
      <c r="H7" s="11">
        <f t="shared" si="2"/>
        <v>-6779.2875631323877</v>
      </c>
      <c r="I7" s="11">
        <f t="shared" si="2"/>
        <v>-5796.0674311629882</v>
      </c>
      <c r="J7" s="11">
        <f t="shared" si="2"/>
        <v>-4812.8472991935887</v>
      </c>
      <c r="K7" s="11">
        <f t="shared" si="2"/>
        <v>-902.09249145600552</v>
      </c>
      <c r="L7" s="11">
        <f t="shared" si="2"/>
        <v>81.127640513393999</v>
      </c>
      <c r="M7" s="11">
        <f t="shared" si="2"/>
        <v>3991.8824482509772</v>
      </c>
      <c r="N7" s="4"/>
    </row>
    <row r="8" spans="1:14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C1"/>
    </sheetView>
  </sheetViews>
  <sheetFormatPr defaultColWidth="11.42578125" defaultRowHeight="15" x14ac:dyDescent="0.25"/>
  <cols>
    <col min="1" max="1" width="17.85546875" bestFit="1" customWidth="1"/>
    <col min="2" max="2" width="14.7109375" customWidth="1"/>
    <col min="3" max="3" width="14.140625" customWidth="1"/>
    <col min="4" max="4" width="20" customWidth="1"/>
    <col min="5" max="5" width="16.140625" customWidth="1"/>
    <col min="6" max="6" width="17.5703125" customWidth="1"/>
    <col min="7" max="7" width="13.85546875" customWidth="1"/>
    <col min="8" max="8" width="18.42578125" customWidth="1"/>
    <col min="9" max="9" width="21.7109375" customWidth="1"/>
    <col min="10" max="10" width="13" bestFit="1" customWidth="1"/>
  </cols>
  <sheetData>
    <row r="1" spans="1:10" x14ac:dyDescent="0.25">
      <c r="A1" s="204" t="s">
        <v>0</v>
      </c>
      <c r="B1" s="204"/>
      <c r="C1" s="204"/>
      <c r="E1" s="204" t="s">
        <v>81</v>
      </c>
      <c r="F1" s="204"/>
      <c r="G1" s="28"/>
    </row>
    <row r="2" spans="1:10" x14ac:dyDescent="0.25">
      <c r="A2" s="67" t="s">
        <v>129</v>
      </c>
      <c r="B2" s="67" t="s">
        <v>130</v>
      </c>
      <c r="C2" s="67" t="s">
        <v>131</v>
      </c>
      <c r="E2" s="36" t="s">
        <v>82</v>
      </c>
      <c r="F2" s="36" t="s">
        <v>83</v>
      </c>
    </row>
    <row r="3" spans="1:10" x14ac:dyDescent="0.25">
      <c r="A3" s="82" t="s">
        <v>132</v>
      </c>
      <c r="B3" s="92">
        <f>'ACTIVOS FIJOS'!H8</f>
        <v>63811.53</v>
      </c>
      <c r="C3" s="90">
        <f>B3/B6</f>
        <v>0.76288327508155129</v>
      </c>
      <c r="E3" s="83">
        <v>0.4</v>
      </c>
      <c r="F3" s="83">
        <v>0.6</v>
      </c>
    </row>
    <row r="4" spans="1:10" x14ac:dyDescent="0.25">
      <c r="A4" s="82" t="s">
        <v>134</v>
      </c>
      <c r="B4" s="92">
        <f>'ACTIVOS INTANGIBLES'!B3</f>
        <v>1300</v>
      </c>
      <c r="C4" s="90">
        <f>B4/B6</f>
        <v>1.5541834800168819E-2</v>
      </c>
      <c r="E4" s="167">
        <f>B6*E3</f>
        <v>33458.083082594057</v>
      </c>
      <c r="F4" s="167">
        <f>B6*F3</f>
        <v>50187.12462389109</v>
      </c>
      <c r="J4" s="34"/>
    </row>
    <row r="5" spans="1:10" x14ac:dyDescent="0.25">
      <c r="A5" s="82" t="s">
        <v>133</v>
      </c>
      <c r="B5" s="92">
        <f>-'CAPITAL DE TRABAJO'!B7</f>
        <v>18533.677706485152</v>
      </c>
      <c r="C5" s="90">
        <f>B5/B6</f>
        <v>0.22157489011827997</v>
      </c>
    </row>
    <row r="6" spans="1:10" x14ac:dyDescent="0.25">
      <c r="A6" s="10" t="s">
        <v>135</v>
      </c>
      <c r="B6" s="93">
        <f>SUM(B3:B5)</f>
        <v>83645.207706485147</v>
      </c>
      <c r="C6" s="91">
        <f>SUM(C3:C5)</f>
        <v>1</v>
      </c>
    </row>
    <row r="8" spans="1:10" ht="18" customHeight="1" x14ac:dyDescent="0.3">
      <c r="A8" s="209" t="s">
        <v>204</v>
      </c>
      <c r="B8" s="209"/>
      <c r="C8" s="209"/>
      <c r="D8" s="33"/>
      <c r="E8" s="209" t="s">
        <v>82</v>
      </c>
      <c r="F8" s="209"/>
      <c r="G8" s="209"/>
      <c r="I8" s="32"/>
    </row>
    <row r="9" spans="1:10" ht="16.5" x14ac:dyDescent="0.3">
      <c r="A9" s="211" t="s">
        <v>252</v>
      </c>
      <c r="B9" s="211"/>
      <c r="C9" s="84">
        <f>F4/3</f>
        <v>16729.041541297029</v>
      </c>
      <c r="E9" s="210" t="s">
        <v>167</v>
      </c>
      <c r="F9" s="210"/>
      <c r="G9" s="84">
        <f>B6*E3</f>
        <v>33458.083082594057</v>
      </c>
      <c r="I9" s="32"/>
    </row>
    <row r="10" spans="1:10" ht="16.5" x14ac:dyDescent="0.3">
      <c r="A10" s="211" t="s">
        <v>253</v>
      </c>
      <c r="B10" s="211"/>
      <c r="C10" s="84">
        <f>C9</f>
        <v>16729.041541297029</v>
      </c>
      <c r="E10" s="210" t="s">
        <v>168</v>
      </c>
      <c r="F10" s="210"/>
      <c r="G10" s="85">
        <v>5</v>
      </c>
      <c r="I10" s="32"/>
    </row>
    <row r="11" spans="1:10" ht="16.5" x14ac:dyDescent="0.3">
      <c r="A11" s="211" t="s">
        <v>254</v>
      </c>
      <c r="B11" s="211"/>
      <c r="C11" s="84">
        <f>C10</f>
        <v>16729.041541297029</v>
      </c>
      <c r="E11" s="210" t="s">
        <v>169</v>
      </c>
      <c r="F11" s="210"/>
      <c r="G11" s="85">
        <v>5</v>
      </c>
      <c r="I11" s="32"/>
    </row>
    <row r="12" spans="1:10" ht="16.5" x14ac:dyDescent="0.3">
      <c r="A12" s="208" t="s">
        <v>152</v>
      </c>
      <c r="B12" s="208"/>
      <c r="C12" s="89">
        <f>C9+C10+C11</f>
        <v>50187.124623891083</v>
      </c>
      <c r="E12" s="208" t="s">
        <v>170</v>
      </c>
      <c r="F12" s="208"/>
      <c r="G12" s="94">
        <v>0.1183</v>
      </c>
      <c r="I12" s="32"/>
    </row>
    <row r="13" spans="1:10" ht="20.25" x14ac:dyDescent="0.3">
      <c r="D13" s="33"/>
      <c r="E13" s="32"/>
      <c r="F13" s="32"/>
      <c r="G13" s="32"/>
      <c r="H13" s="32"/>
      <c r="I13" s="32"/>
    </row>
    <row r="14" spans="1:10" ht="34.5" customHeight="1" x14ac:dyDescent="0.25">
      <c r="A14" s="86" t="s">
        <v>171</v>
      </c>
      <c r="B14" s="86" t="s">
        <v>172</v>
      </c>
      <c r="C14" s="86" t="s">
        <v>173</v>
      </c>
      <c r="D14" s="86" t="s">
        <v>174</v>
      </c>
      <c r="E14" s="86" t="s">
        <v>175</v>
      </c>
      <c r="F14" s="86" t="s">
        <v>176</v>
      </c>
    </row>
    <row r="15" spans="1:10" ht="16.5" x14ac:dyDescent="0.3">
      <c r="A15" s="87">
        <v>0</v>
      </c>
      <c r="B15" s="88">
        <v>0</v>
      </c>
      <c r="C15" s="88">
        <v>0</v>
      </c>
      <c r="D15" s="88">
        <v>0</v>
      </c>
      <c r="E15" s="88">
        <v>0</v>
      </c>
      <c r="F15" s="88">
        <f>+G9</f>
        <v>33458.083082594057</v>
      </c>
    </row>
    <row r="16" spans="1:10" ht="16.5" x14ac:dyDescent="0.3">
      <c r="A16" s="87">
        <v>1</v>
      </c>
      <c r="B16" s="88">
        <f>PMT(G12,G11,-G9)</f>
        <v>9242.5406306842378</v>
      </c>
      <c r="C16" s="88">
        <f>F15*$G$12</f>
        <v>3958.0912286708772</v>
      </c>
      <c r="D16" s="88">
        <f>+B16-C16</f>
        <v>5284.4494020133607</v>
      </c>
      <c r="E16" s="88">
        <f>+D16+E15</f>
        <v>5284.4494020133607</v>
      </c>
      <c r="F16" s="88">
        <f>+F15-D16</f>
        <v>28173.633680580697</v>
      </c>
    </row>
    <row r="17" spans="1:6" ht="16.5" x14ac:dyDescent="0.3">
      <c r="A17" s="87">
        <v>2</v>
      </c>
      <c r="B17" s="88">
        <f>+B16</f>
        <v>9242.5406306842378</v>
      </c>
      <c r="C17" s="88">
        <f>F16*$G$12</f>
        <v>3332.9408644126966</v>
      </c>
      <c r="D17" s="88">
        <f>+B17-C17</f>
        <v>5909.5997662715417</v>
      </c>
      <c r="E17" s="88">
        <f>+D17+E16</f>
        <v>11194.049168284902</v>
      </c>
      <c r="F17" s="88">
        <f>+F16-D17</f>
        <v>22264.033914309155</v>
      </c>
    </row>
    <row r="18" spans="1:6" ht="16.5" x14ac:dyDescent="0.3">
      <c r="A18" s="87">
        <v>3</v>
      </c>
      <c r="B18" s="88">
        <f>+B17</f>
        <v>9242.5406306842378</v>
      </c>
      <c r="C18" s="88">
        <f>F17*$G$12</f>
        <v>2633.8352120627733</v>
      </c>
      <c r="D18" s="88">
        <f>+B18-C18</f>
        <v>6608.7054186214646</v>
      </c>
      <c r="E18" s="88">
        <f>+D18+E17</f>
        <v>17802.754586906369</v>
      </c>
      <c r="F18" s="88">
        <f>+F17-D18</f>
        <v>15655.328495687691</v>
      </c>
    </row>
    <row r="19" spans="1:6" ht="16.5" x14ac:dyDescent="0.3">
      <c r="A19" s="87">
        <v>4</v>
      </c>
      <c r="B19" s="88">
        <f>+B18</f>
        <v>9242.5406306842378</v>
      </c>
      <c r="C19" s="88">
        <f>F18*$G$12</f>
        <v>1852.0253610398538</v>
      </c>
      <c r="D19" s="88">
        <f>+B19-C19</f>
        <v>7390.5152696443838</v>
      </c>
      <c r="E19" s="88">
        <f>+D19+E18</f>
        <v>25193.269856550753</v>
      </c>
      <c r="F19" s="88">
        <f>+F18-D19</f>
        <v>8264.8132260433067</v>
      </c>
    </row>
    <row r="20" spans="1:6" ht="16.5" x14ac:dyDescent="0.3">
      <c r="A20" s="159">
        <v>5</v>
      </c>
      <c r="B20" s="160">
        <f>+B19</f>
        <v>9242.5406306842378</v>
      </c>
      <c r="C20" s="160">
        <f>F19*$G$12</f>
        <v>977.72740464092317</v>
      </c>
      <c r="D20" s="160">
        <f>+B20-C20</f>
        <v>8264.813226043314</v>
      </c>
      <c r="E20" s="160">
        <f>+D20+E19</f>
        <v>33458.083082594065</v>
      </c>
      <c r="F20" s="160">
        <f>+F19-D20</f>
        <v>0</v>
      </c>
    </row>
    <row r="21" spans="1:6" x14ac:dyDescent="0.25">
      <c r="D21" s="51"/>
    </row>
  </sheetData>
  <mergeCells count="12">
    <mergeCell ref="A1:C1"/>
    <mergeCell ref="E1:F1"/>
    <mergeCell ref="E12:F12"/>
    <mergeCell ref="E8:G8"/>
    <mergeCell ref="E9:F9"/>
    <mergeCell ref="E10:F10"/>
    <mergeCell ref="E11:F11"/>
    <mergeCell ref="A8:C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Normal="100" workbookViewId="0">
      <selection sqref="A1:B1"/>
    </sheetView>
  </sheetViews>
  <sheetFormatPr defaultColWidth="11.42578125" defaultRowHeight="15" x14ac:dyDescent="0.25"/>
  <cols>
    <col min="1" max="1" width="54" bestFit="1" customWidth="1"/>
    <col min="2" max="2" width="13.5703125" customWidth="1"/>
    <col min="3" max="3" width="11.5703125" customWidth="1"/>
    <col min="4" max="4" width="9" customWidth="1"/>
    <col min="5" max="5" width="13" customWidth="1"/>
    <col min="6" max="6" width="13.140625" customWidth="1"/>
    <col min="7" max="7" width="12.85546875" customWidth="1"/>
    <col min="8" max="9" width="12.7109375" customWidth="1"/>
    <col min="10" max="16" width="10.5703125" bestFit="1" customWidth="1"/>
  </cols>
  <sheetData>
    <row r="1" spans="1:21" x14ac:dyDescent="0.25">
      <c r="A1" s="204" t="s">
        <v>147</v>
      </c>
      <c r="B1" s="204"/>
      <c r="D1" s="204" t="s">
        <v>218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21" x14ac:dyDescent="0.25">
      <c r="A2" s="4" t="s">
        <v>214</v>
      </c>
      <c r="B2" s="95">
        <v>2291158</v>
      </c>
      <c r="D2" s="18"/>
      <c r="E2" s="68" t="s">
        <v>199</v>
      </c>
      <c r="F2" s="68" t="s">
        <v>34</v>
      </c>
      <c r="G2" s="68" t="s">
        <v>35</v>
      </c>
      <c r="H2" s="68" t="s">
        <v>36</v>
      </c>
      <c r="I2" s="68" t="s">
        <v>37</v>
      </c>
      <c r="J2" s="68" t="s">
        <v>38</v>
      </c>
      <c r="K2" s="68" t="s">
        <v>39</v>
      </c>
      <c r="L2" s="68" t="s">
        <v>40</v>
      </c>
      <c r="M2" s="68" t="s">
        <v>200</v>
      </c>
      <c r="N2" s="68" t="s">
        <v>201</v>
      </c>
      <c r="O2" s="68" t="s">
        <v>202</v>
      </c>
      <c r="P2" s="68" t="s">
        <v>203</v>
      </c>
    </row>
    <row r="3" spans="1:21" x14ac:dyDescent="0.25">
      <c r="A3" s="4" t="s">
        <v>215</v>
      </c>
      <c r="B3" s="95">
        <f>161567+159741</f>
        <v>321308</v>
      </c>
      <c r="D3" s="41" t="s">
        <v>217</v>
      </c>
      <c r="E3" s="21"/>
      <c r="F3" s="21">
        <v>35</v>
      </c>
      <c r="G3" s="21">
        <f t="shared" ref="G3:P3" si="0">F3</f>
        <v>35</v>
      </c>
      <c r="H3" s="21">
        <f t="shared" si="0"/>
        <v>35</v>
      </c>
      <c r="I3" s="21">
        <f t="shared" si="0"/>
        <v>35</v>
      </c>
      <c r="J3" s="21">
        <f t="shared" si="0"/>
        <v>35</v>
      </c>
      <c r="K3" s="21">
        <f t="shared" si="0"/>
        <v>35</v>
      </c>
      <c r="L3" s="21">
        <f t="shared" si="0"/>
        <v>35</v>
      </c>
      <c r="M3" s="21">
        <f t="shared" si="0"/>
        <v>35</v>
      </c>
      <c r="N3" s="21">
        <f t="shared" si="0"/>
        <v>35</v>
      </c>
      <c r="O3" s="21">
        <f t="shared" si="0"/>
        <v>35</v>
      </c>
      <c r="P3" s="21">
        <f t="shared" si="0"/>
        <v>35</v>
      </c>
    </row>
    <row r="4" spans="1:21" x14ac:dyDescent="0.25">
      <c r="A4" s="117" t="s">
        <v>284</v>
      </c>
      <c r="B4" s="95">
        <f>B3*89.5%</f>
        <v>287570.66000000003</v>
      </c>
      <c r="D4" s="41" t="s">
        <v>2</v>
      </c>
      <c r="E4" s="199"/>
      <c r="F4" s="199">
        <f>B6/11</f>
        <v>557.6256525272729</v>
      </c>
      <c r="G4" s="199">
        <f>F4</f>
        <v>557.6256525272729</v>
      </c>
      <c r="H4" s="199">
        <f>(G4*15%)+G4</f>
        <v>641.26950040636382</v>
      </c>
      <c r="I4" s="199">
        <f>G4</f>
        <v>557.6256525272729</v>
      </c>
      <c r="J4" s="199">
        <f>G4</f>
        <v>557.6256525272729</v>
      </c>
      <c r="K4" s="199">
        <f>H4</f>
        <v>641.26950040636382</v>
      </c>
      <c r="L4" s="199">
        <f>J4</f>
        <v>557.6256525272729</v>
      </c>
      <c r="M4" s="199">
        <f>L4</f>
        <v>557.6256525272729</v>
      </c>
      <c r="N4" s="199">
        <f>K4</f>
        <v>641.26950040636382</v>
      </c>
      <c r="O4" s="199">
        <f>M4</f>
        <v>557.6256525272729</v>
      </c>
      <c r="P4" s="199">
        <f>N4</f>
        <v>641.26950040636382</v>
      </c>
      <c r="Q4" s="31"/>
    </row>
    <row r="5" spans="1:21" x14ac:dyDescent="0.25">
      <c r="A5" s="37" t="s">
        <v>267</v>
      </c>
      <c r="B5" s="95">
        <f>B4*79%</f>
        <v>227180.82140000004</v>
      </c>
      <c r="D5" s="10" t="s">
        <v>216</v>
      </c>
      <c r="E5" s="11">
        <f>E3*E4</f>
        <v>0</v>
      </c>
      <c r="F5" s="11">
        <f>F3*F4</f>
        <v>19516.897838454552</v>
      </c>
      <c r="G5" s="11">
        <f t="shared" ref="G5:P5" si="1">G3*G4</f>
        <v>19516.897838454552</v>
      </c>
      <c r="H5" s="11">
        <f t="shared" si="1"/>
        <v>22444.432514222735</v>
      </c>
      <c r="I5" s="11">
        <f t="shared" si="1"/>
        <v>19516.897838454552</v>
      </c>
      <c r="J5" s="11">
        <f t="shared" si="1"/>
        <v>19516.897838454552</v>
      </c>
      <c r="K5" s="11">
        <f t="shared" si="1"/>
        <v>22444.432514222735</v>
      </c>
      <c r="L5" s="11">
        <f t="shared" si="1"/>
        <v>19516.897838454552</v>
      </c>
      <c r="M5" s="11">
        <f t="shared" si="1"/>
        <v>19516.897838454552</v>
      </c>
      <c r="N5" s="11">
        <f t="shared" si="1"/>
        <v>22444.432514222735</v>
      </c>
      <c r="O5" s="11">
        <f t="shared" si="1"/>
        <v>19516.897838454552</v>
      </c>
      <c r="P5" s="11">
        <f t="shared" si="1"/>
        <v>22444.432514222735</v>
      </c>
      <c r="Q5" s="74">
        <f>SUM(E4:P4)</f>
        <v>6468.4575693163652</v>
      </c>
      <c r="R5" s="31"/>
      <c r="T5" s="31"/>
      <c r="U5" s="31"/>
    </row>
    <row r="6" spans="1:21" x14ac:dyDescent="0.25">
      <c r="A6" s="149" t="s">
        <v>330</v>
      </c>
      <c r="B6" s="95">
        <f>B5*2.7%</f>
        <v>6133.882177800002</v>
      </c>
      <c r="C6" s="31"/>
      <c r="Q6" s="16"/>
    </row>
    <row r="7" spans="1:21" x14ac:dyDescent="0.25">
      <c r="A7" s="60" t="s">
        <v>268</v>
      </c>
      <c r="B7" s="96">
        <v>1.5299999999999999E-2</v>
      </c>
      <c r="D7" s="4"/>
      <c r="E7" s="4"/>
      <c r="F7" s="4"/>
      <c r="G7" s="4"/>
      <c r="H7" s="4"/>
      <c r="I7" s="4"/>
      <c r="J7" s="4"/>
      <c r="K7" s="138"/>
      <c r="L7" s="4"/>
      <c r="M7" s="4"/>
      <c r="N7" s="4"/>
      <c r="O7" s="4"/>
      <c r="P7" s="4"/>
    </row>
    <row r="8" spans="1:21" x14ac:dyDescent="0.25">
      <c r="A8" s="37"/>
      <c r="B8" s="75"/>
      <c r="C8" s="16"/>
      <c r="D8" s="204" t="s">
        <v>219</v>
      </c>
      <c r="E8" s="204"/>
      <c r="F8" s="204"/>
      <c r="G8" s="204"/>
      <c r="H8" s="204"/>
      <c r="I8" s="204"/>
      <c r="J8" s="4"/>
      <c r="K8" s="4"/>
      <c r="L8" s="4"/>
      <c r="M8" s="4"/>
      <c r="N8" s="4"/>
      <c r="O8" s="4"/>
      <c r="P8" s="4"/>
    </row>
    <row r="9" spans="1:21" x14ac:dyDescent="0.25">
      <c r="D9" s="41"/>
      <c r="E9" s="67" t="s">
        <v>211</v>
      </c>
      <c r="F9" s="67" t="s">
        <v>69</v>
      </c>
      <c r="G9" s="67" t="s">
        <v>70</v>
      </c>
      <c r="H9" s="67" t="s">
        <v>71</v>
      </c>
      <c r="I9" s="67" t="s">
        <v>72</v>
      </c>
      <c r="J9" s="4"/>
      <c r="K9" s="4"/>
      <c r="L9" s="4"/>
      <c r="M9" s="4"/>
      <c r="N9" s="4"/>
      <c r="O9" s="4"/>
      <c r="P9" s="4"/>
    </row>
    <row r="10" spans="1:21" x14ac:dyDescent="0.25">
      <c r="D10" s="41" t="s">
        <v>217</v>
      </c>
      <c r="E10" s="2">
        <f>35</f>
        <v>35</v>
      </c>
      <c r="F10" s="2">
        <f>E10</f>
        <v>35</v>
      </c>
      <c r="G10" s="2">
        <f>F10</f>
        <v>35</v>
      </c>
      <c r="H10" s="2">
        <f>G10</f>
        <v>35</v>
      </c>
      <c r="I10" s="2">
        <f>H10</f>
        <v>35</v>
      </c>
      <c r="J10" s="4"/>
      <c r="K10" s="4"/>
      <c r="L10" s="4"/>
      <c r="M10" s="4"/>
      <c r="N10" s="4"/>
      <c r="O10" s="4"/>
      <c r="P10" s="4"/>
    </row>
    <row r="11" spans="1:21" x14ac:dyDescent="0.25">
      <c r="A11" s="76"/>
      <c r="B11" s="76"/>
      <c r="D11" s="41" t="s">
        <v>2</v>
      </c>
      <c r="E11" s="95">
        <f>SUM(E4:P4)</f>
        <v>6468.4575693163652</v>
      </c>
      <c r="F11" s="95">
        <f>E11+(E11*B7)</f>
        <v>6567.4249701269055</v>
      </c>
      <c r="G11" s="95">
        <f>F11+(F11*B7)</f>
        <v>6667.9065721698471</v>
      </c>
      <c r="H11" s="95">
        <f>G11+(G11*B7)</f>
        <v>6769.925542724046</v>
      </c>
      <c r="I11" s="95">
        <f>H11+(H11*B7)</f>
        <v>6873.5054035277235</v>
      </c>
      <c r="J11" s="4"/>
      <c r="K11" s="4"/>
      <c r="L11" s="4"/>
      <c r="M11" s="4"/>
      <c r="N11" s="4"/>
      <c r="O11" s="4"/>
      <c r="P11" s="4"/>
    </row>
    <row r="12" spans="1:21" x14ac:dyDescent="0.25">
      <c r="B12" s="76"/>
      <c r="D12" s="10" t="s">
        <v>148</v>
      </c>
      <c r="E12" s="97">
        <f>E10*E11</f>
        <v>226396.01492607279</v>
      </c>
      <c r="F12" s="97">
        <f>F10*F11</f>
        <v>229859.87395444169</v>
      </c>
      <c r="G12" s="97">
        <f>G10*G11</f>
        <v>233376.73002594465</v>
      </c>
      <c r="H12" s="97">
        <f>H10*H11</f>
        <v>236947.39399534161</v>
      </c>
      <c r="I12" s="97">
        <f>I10*I11</f>
        <v>240572.68912347034</v>
      </c>
      <c r="J12" s="4"/>
      <c r="K12" s="4"/>
      <c r="L12" s="4"/>
      <c r="M12" s="4"/>
      <c r="N12" s="4"/>
      <c r="O12" s="4"/>
      <c r="P12" s="4"/>
    </row>
    <row r="13" spans="1:21" x14ac:dyDescent="0.25">
      <c r="J13" s="4"/>
      <c r="K13" s="4"/>
      <c r="L13" s="4"/>
      <c r="M13" s="4"/>
      <c r="N13" s="4"/>
      <c r="O13" s="4"/>
      <c r="P13" s="4"/>
    </row>
    <row r="14" spans="1:21" x14ac:dyDescent="0.25">
      <c r="E14" s="31"/>
      <c r="F14" s="31"/>
      <c r="G14" s="31"/>
      <c r="H14" s="31"/>
      <c r="I14" s="31"/>
    </row>
  </sheetData>
  <mergeCells count="3">
    <mergeCell ref="D8:I8"/>
    <mergeCell ref="A1:B1"/>
    <mergeCell ref="D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zoomScale="80" zoomScaleNormal="80" workbookViewId="0">
      <selection sqref="A1:G1"/>
    </sheetView>
  </sheetViews>
  <sheetFormatPr defaultColWidth="11.42578125" defaultRowHeight="15" x14ac:dyDescent="0.25"/>
  <cols>
    <col min="1" max="1" width="40.5703125" customWidth="1"/>
    <col min="2" max="2" width="11.5703125" customWidth="1"/>
    <col min="3" max="3" width="12.140625" customWidth="1"/>
    <col min="4" max="4" width="13.5703125" customWidth="1"/>
    <col min="5" max="6" width="13.140625" customWidth="1"/>
    <col min="7" max="7" width="13.5703125" customWidth="1"/>
    <col min="9" max="9" width="34.42578125" bestFit="1" customWidth="1"/>
    <col min="10" max="10" width="13.85546875" customWidth="1"/>
    <col min="11" max="11" width="14" customWidth="1"/>
    <col min="12" max="12" width="14.28515625" customWidth="1"/>
    <col min="13" max="13" width="13.5703125" customWidth="1"/>
    <col min="14" max="14" width="13.85546875" customWidth="1"/>
    <col min="16" max="16" width="35.140625" customWidth="1"/>
    <col min="17" max="17" width="12.28515625" customWidth="1"/>
    <col min="18" max="18" width="12.85546875" customWidth="1"/>
    <col min="19" max="19" width="13.42578125" customWidth="1"/>
    <col min="20" max="20" width="12.28515625" customWidth="1"/>
    <col min="21" max="21" width="11.5703125" customWidth="1"/>
  </cols>
  <sheetData>
    <row r="1" spans="1:21" x14ac:dyDescent="0.25">
      <c r="A1" s="204" t="s">
        <v>226</v>
      </c>
      <c r="B1" s="204"/>
      <c r="C1" s="204"/>
      <c r="D1" s="204"/>
      <c r="E1" s="204"/>
      <c r="F1" s="204"/>
      <c r="G1" s="204"/>
      <c r="I1" s="204" t="s">
        <v>220</v>
      </c>
      <c r="J1" s="204"/>
      <c r="K1" s="204"/>
      <c r="L1" s="204"/>
      <c r="M1" s="204"/>
      <c r="N1" s="204"/>
      <c r="P1" s="204" t="s">
        <v>239</v>
      </c>
      <c r="Q1" s="204"/>
      <c r="R1" s="204"/>
      <c r="S1" s="204"/>
      <c r="T1" s="204"/>
      <c r="U1" s="204"/>
    </row>
    <row r="2" spans="1:21" x14ac:dyDescent="0.25">
      <c r="A2" s="78" t="s">
        <v>179</v>
      </c>
      <c r="B2" s="40" t="s">
        <v>190</v>
      </c>
      <c r="C2" s="30" t="s">
        <v>68</v>
      </c>
      <c r="D2" s="30" t="s">
        <v>69</v>
      </c>
      <c r="E2" s="30" t="s">
        <v>70</v>
      </c>
      <c r="F2" s="30" t="s">
        <v>71</v>
      </c>
      <c r="G2" s="30" t="s">
        <v>72</v>
      </c>
      <c r="I2" s="5"/>
      <c r="J2" s="30" t="s">
        <v>68</v>
      </c>
      <c r="K2" s="30" t="s">
        <v>69</v>
      </c>
      <c r="L2" s="30" t="s">
        <v>70</v>
      </c>
      <c r="M2" s="30" t="s">
        <v>71</v>
      </c>
      <c r="N2" s="30" t="s">
        <v>72</v>
      </c>
      <c r="P2" s="4"/>
      <c r="Q2" s="67" t="s">
        <v>68</v>
      </c>
      <c r="R2" s="67" t="s">
        <v>69</v>
      </c>
      <c r="S2" s="67" t="s">
        <v>70</v>
      </c>
      <c r="T2" s="67" t="s">
        <v>71</v>
      </c>
      <c r="U2" s="67" t="s">
        <v>72</v>
      </c>
    </row>
    <row r="3" spans="1:21" x14ac:dyDescent="0.25">
      <c r="A3" s="214" t="s">
        <v>197</v>
      </c>
      <c r="B3" s="214"/>
      <c r="C3" s="214"/>
      <c r="D3" s="214"/>
      <c r="E3" s="214"/>
      <c r="F3" s="214"/>
      <c r="G3" s="214"/>
      <c r="I3" s="212" t="s">
        <v>233</v>
      </c>
      <c r="J3" s="212"/>
      <c r="K3" s="212"/>
      <c r="L3" s="212"/>
      <c r="M3" s="212"/>
      <c r="N3" s="212"/>
      <c r="P3" s="212" t="s">
        <v>313</v>
      </c>
      <c r="Q3" s="212"/>
      <c r="R3" s="212"/>
      <c r="S3" s="212"/>
      <c r="T3" s="212"/>
      <c r="U3" s="212"/>
    </row>
    <row r="4" spans="1:21" x14ac:dyDescent="0.25">
      <c r="A4" s="41" t="s">
        <v>57</v>
      </c>
      <c r="B4" s="40"/>
      <c r="C4" s="30"/>
      <c r="D4" s="30"/>
      <c r="E4" s="30"/>
      <c r="F4" s="30"/>
      <c r="G4" s="30"/>
      <c r="I4" s="168" t="s">
        <v>137</v>
      </c>
      <c r="J4" s="5"/>
      <c r="K4" s="5"/>
      <c r="L4" s="5"/>
      <c r="M4" s="5"/>
      <c r="N4" s="5"/>
      <c r="P4" s="5" t="s">
        <v>54</v>
      </c>
      <c r="Q4" s="2">
        <f t="shared" ref="Q4:U6" si="0">C5</f>
        <v>8479</v>
      </c>
      <c r="R4" s="2">
        <f t="shared" si="0"/>
        <v>8479</v>
      </c>
      <c r="S4" s="2">
        <f t="shared" si="0"/>
        <v>8479</v>
      </c>
      <c r="T4" s="2">
        <f t="shared" si="0"/>
        <v>8479</v>
      </c>
      <c r="U4" s="2">
        <f t="shared" si="0"/>
        <v>8479</v>
      </c>
    </row>
    <row r="5" spans="1:21" x14ac:dyDescent="0.25">
      <c r="A5" s="5" t="s">
        <v>54</v>
      </c>
      <c r="B5" s="44">
        <f>SUELDOS!K5</f>
        <v>706.58333333333326</v>
      </c>
      <c r="C5" s="14">
        <f>B5*12</f>
        <v>8479</v>
      </c>
      <c r="D5" s="14">
        <f>C5</f>
        <v>8479</v>
      </c>
      <c r="E5" s="14">
        <f>D5</f>
        <v>8479</v>
      </c>
      <c r="F5" s="14">
        <f>E5</f>
        <v>8479</v>
      </c>
      <c r="G5" s="14">
        <f>F5</f>
        <v>8479</v>
      </c>
      <c r="I5" s="162" t="s">
        <v>221</v>
      </c>
      <c r="J5" s="7">
        <f t="shared" ref="J5:N9" si="1">C52</f>
        <v>67918.804477821832</v>
      </c>
      <c r="K5" s="7">
        <f t="shared" si="1"/>
        <v>68991.921588571422</v>
      </c>
      <c r="L5" s="7">
        <f t="shared" si="1"/>
        <v>70081.993949670854</v>
      </c>
      <c r="M5" s="7">
        <f t="shared" si="1"/>
        <v>71189.289454075653</v>
      </c>
      <c r="N5" s="7">
        <f t="shared" si="1"/>
        <v>72314.080227450046</v>
      </c>
      <c r="P5" s="5" t="s">
        <v>55</v>
      </c>
      <c r="Q5" s="2">
        <f t="shared" si="0"/>
        <v>4951.7359999999999</v>
      </c>
      <c r="R5" s="2">
        <f t="shared" si="0"/>
        <v>4951.7359999999999</v>
      </c>
      <c r="S5" s="2">
        <f t="shared" si="0"/>
        <v>4951.7359999999999</v>
      </c>
      <c r="T5" s="2">
        <f t="shared" si="0"/>
        <v>4951.7359999999999</v>
      </c>
      <c r="U5" s="2">
        <f t="shared" si="0"/>
        <v>4951.7359999999999</v>
      </c>
    </row>
    <row r="6" spans="1:21" x14ac:dyDescent="0.25">
      <c r="A6" s="5" t="s">
        <v>55</v>
      </c>
      <c r="B6" s="44">
        <f>SUELDOS!K6</f>
        <v>412.64466666666664</v>
      </c>
      <c r="C6" s="14">
        <f>B6*12</f>
        <v>4951.7359999999999</v>
      </c>
      <c r="D6" s="14">
        <f t="shared" ref="D6:G15" si="2">C6</f>
        <v>4951.7359999999999</v>
      </c>
      <c r="E6" s="14">
        <f t="shared" si="2"/>
        <v>4951.7359999999999</v>
      </c>
      <c r="F6" s="14">
        <f t="shared" si="2"/>
        <v>4951.7359999999999</v>
      </c>
      <c r="G6" s="14">
        <f t="shared" si="2"/>
        <v>4951.7359999999999</v>
      </c>
      <c r="I6" s="162" t="s">
        <v>222</v>
      </c>
      <c r="J6" s="7">
        <f t="shared" si="1"/>
        <v>750</v>
      </c>
      <c r="K6" s="7">
        <f t="shared" si="1"/>
        <v>761.85</v>
      </c>
      <c r="L6" s="7">
        <f t="shared" si="1"/>
        <v>773.88723000000005</v>
      </c>
      <c r="M6" s="7">
        <f t="shared" si="1"/>
        <v>786.11464823400001</v>
      </c>
      <c r="N6" s="7">
        <f t="shared" si="1"/>
        <v>798.53525967609721</v>
      </c>
      <c r="P6" s="5" t="s">
        <v>56</v>
      </c>
      <c r="Q6" s="2">
        <f t="shared" si="0"/>
        <v>6783.2</v>
      </c>
      <c r="R6" s="2">
        <f t="shared" si="0"/>
        <v>6783.2</v>
      </c>
      <c r="S6" s="2">
        <f t="shared" si="0"/>
        <v>6783.2</v>
      </c>
      <c r="T6" s="2">
        <f t="shared" si="0"/>
        <v>6783.2</v>
      </c>
      <c r="U6" s="2">
        <f t="shared" si="0"/>
        <v>6783.2</v>
      </c>
    </row>
    <row r="7" spans="1:21" x14ac:dyDescent="0.25">
      <c r="A7" s="5" t="s">
        <v>56</v>
      </c>
      <c r="B7" s="44">
        <f>SUELDOS!K7</f>
        <v>565.26666666666665</v>
      </c>
      <c r="C7" s="14">
        <f>B7*12</f>
        <v>6783.2</v>
      </c>
      <c r="D7" s="14">
        <f t="shared" si="2"/>
        <v>6783.2</v>
      </c>
      <c r="E7" s="14">
        <f t="shared" si="2"/>
        <v>6783.2</v>
      </c>
      <c r="F7" s="14">
        <f t="shared" si="2"/>
        <v>6783.2</v>
      </c>
      <c r="G7" s="14">
        <f t="shared" si="2"/>
        <v>6783.2</v>
      </c>
      <c r="I7" s="162" t="s">
        <v>139</v>
      </c>
      <c r="J7" s="7">
        <f t="shared" si="1"/>
        <v>208</v>
      </c>
      <c r="K7" s="7">
        <f t="shared" si="1"/>
        <v>211.28640000000001</v>
      </c>
      <c r="L7" s="7">
        <f t="shared" si="1"/>
        <v>214.62472512000002</v>
      </c>
      <c r="M7" s="7">
        <f t="shared" si="1"/>
        <v>218.01579577689603</v>
      </c>
      <c r="N7" s="7">
        <f t="shared" si="1"/>
        <v>221.46044535017097</v>
      </c>
      <c r="P7" s="5" t="s">
        <v>60</v>
      </c>
      <c r="Q7" s="2">
        <f t="shared" ref="Q7:U9" si="3">C9</f>
        <v>7631.0999999999995</v>
      </c>
      <c r="R7" s="2">
        <f t="shared" si="3"/>
        <v>7631.0999999999995</v>
      </c>
      <c r="S7" s="2">
        <f t="shared" si="3"/>
        <v>7631.0999999999995</v>
      </c>
      <c r="T7" s="2">
        <f t="shared" si="3"/>
        <v>7631.0999999999995</v>
      </c>
      <c r="U7" s="2">
        <f t="shared" si="3"/>
        <v>7631.0999999999995</v>
      </c>
    </row>
    <row r="8" spans="1:21" x14ac:dyDescent="0.25">
      <c r="A8" s="41" t="s">
        <v>59</v>
      </c>
      <c r="B8" s="44"/>
      <c r="C8" s="14"/>
      <c r="D8" s="14"/>
      <c r="E8" s="14"/>
      <c r="F8" s="14"/>
      <c r="G8" s="14"/>
      <c r="I8" s="162" t="s">
        <v>223</v>
      </c>
      <c r="J8" s="7">
        <f t="shared" si="1"/>
        <v>364.00000000000006</v>
      </c>
      <c r="K8" s="7">
        <f t="shared" si="1"/>
        <v>369.75120000000004</v>
      </c>
      <c r="L8" s="7">
        <f t="shared" si="1"/>
        <v>375.59326896000005</v>
      </c>
      <c r="M8" s="7">
        <f t="shared" si="1"/>
        <v>381.52764260956803</v>
      </c>
      <c r="N8" s="7">
        <f t="shared" si="1"/>
        <v>387.55577936279923</v>
      </c>
      <c r="P8" s="5" t="s">
        <v>55</v>
      </c>
      <c r="Q8" s="2">
        <f t="shared" si="3"/>
        <v>4951.7359999999999</v>
      </c>
      <c r="R8" s="2">
        <f t="shared" si="3"/>
        <v>4951.7359999999999</v>
      </c>
      <c r="S8" s="2">
        <f t="shared" si="3"/>
        <v>4951.7359999999999</v>
      </c>
      <c r="T8" s="2">
        <f t="shared" si="3"/>
        <v>4951.7359999999999</v>
      </c>
      <c r="U8" s="2">
        <f t="shared" si="3"/>
        <v>4951.7359999999999</v>
      </c>
    </row>
    <row r="9" spans="1:21" x14ac:dyDescent="0.25">
      <c r="A9" s="5" t="s">
        <v>60</v>
      </c>
      <c r="B9" s="44">
        <f>SUELDOS!K9</f>
        <v>635.92499999999995</v>
      </c>
      <c r="C9" s="14">
        <f>B9*12</f>
        <v>7631.0999999999995</v>
      </c>
      <c r="D9" s="14">
        <f t="shared" si="2"/>
        <v>7631.0999999999995</v>
      </c>
      <c r="E9" s="14">
        <f t="shared" si="2"/>
        <v>7631.0999999999995</v>
      </c>
      <c r="F9" s="14">
        <f t="shared" si="2"/>
        <v>7631.0999999999995</v>
      </c>
      <c r="G9" s="14">
        <f t="shared" si="2"/>
        <v>7631.0999999999995</v>
      </c>
      <c r="I9" s="162" t="s">
        <v>140</v>
      </c>
      <c r="J9" s="7">
        <f t="shared" si="1"/>
        <v>520</v>
      </c>
      <c r="K9" s="7">
        <f t="shared" si="1"/>
        <v>528.21600000000001</v>
      </c>
      <c r="L9" s="7">
        <f t="shared" si="1"/>
        <v>536.56181279999998</v>
      </c>
      <c r="M9" s="7">
        <f t="shared" si="1"/>
        <v>545.03948944223998</v>
      </c>
      <c r="N9" s="7">
        <f t="shared" si="1"/>
        <v>553.65111337542737</v>
      </c>
      <c r="P9" s="5" t="s">
        <v>61</v>
      </c>
      <c r="Q9" s="2">
        <f t="shared" si="3"/>
        <v>4951.7359999999999</v>
      </c>
      <c r="R9" s="2">
        <f t="shared" si="3"/>
        <v>4951.7359999999999</v>
      </c>
      <c r="S9" s="2">
        <f t="shared" si="3"/>
        <v>4951.7359999999999</v>
      </c>
      <c r="T9" s="2">
        <f t="shared" si="3"/>
        <v>4951.7359999999999</v>
      </c>
      <c r="U9" s="2">
        <f t="shared" si="3"/>
        <v>4951.7359999999999</v>
      </c>
    </row>
    <row r="10" spans="1:21" x14ac:dyDescent="0.25">
      <c r="A10" s="5" t="s">
        <v>55</v>
      </c>
      <c r="B10" s="44">
        <f>SUELDOS!K10</f>
        <v>412.64466666666664</v>
      </c>
      <c r="C10" s="14">
        <f>B10*12</f>
        <v>4951.7359999999999</v>
      </c>
      <c r="D10" s="14">
        <f t="shared" si="2"/>
        <v>4951.7359999999999</v>
      </c>
      <c r="E10" s="14">
        <f t="shared" si="2"/>
        <v>4951.7359999999999</v>
      </c>
      <c r="F10" s="14">
        <f t="shared" si="2"/>
        <v>4951.7359999999999</v>
      </c>
      <c r="G10" s="14">
        <f t="shared" si="2"/>
        <v>4951.7359999999999</v>
      </c>
      <c r="I10" s="164" t="s">
        <v>272</v>
      </c>
      <c r="J10" s="5"/>
      <c r="K10" s="5"/>
      <c r="L10" s="5"/>
      <c r="M10" s="5"/>
      <c r="N10" s="5"/>
      <c r="P10" s="18" t="s">
        <v>67</v>
      </c>
      <c r="Q10" s="157">
        <f>SUM(Q4:Q9)</f>
        <v>37748.507999999994</v>
      </c>
      <c r="R10" s="157">
        <f>SUM(R4:R9)</f>
        <v>37748.507999999994</v>
      </c>
      <c r="S10" s="157">
        <f>SUM(S4:S9)</f>
        <v>37748.507999999994</v>
      </c>
      <c r="T10" s="157">
        <f>SUM(T4:T9)</f>
        <v>37748.507999999994</v>
      </c>
      <c r="U10" s="157">
        <f>SUM(U4:U9)</f>
        <v>37748.507999999994</v>
      </c>
    </row>
    <row r="11" spans="1:21" x14ac:dyDescent="0.25">
      <c r="A11" s="5" t="s">
        <v>61</v>
      </c>
      <c r="B11" s="44">
        <f>SUELDOS!K11</f>
        <v>412.64466666666664</v>
      </c>
      <c r="C11" s="14">
        <f>B11*12</f>
        <v>4951.7359999999999</v>
      </c>
      <c r="D11" s="14">
        <f t="shared" si="2"/>
        <v>4951.7359999999999</v>
      </c>
      <c r="E11" s="14">
        <f t="shared" si="2"/>
        <v>4951.7359999999999</v>
      </c>
      <c r="F11" s="14">
        <f t="shared" si="2"/>
        <v>4951.7359999999999</v>
      </c>
      <c r="G11" s="14">
        <f t="shared" si="2"/>
        <v>4951.7359999999999</v>
      </c>
      <c r="I11" s="162" t="s">
        <v>182</v>
      </c>
      <c r="J11" s="7">
        <f>C14</f>
        <v>44565.623999999996</v>
      </c>
      <c r="K11" s="7">
        <f>D14</f>
        <v>44565.623999999996</v>
      </c>
      <c r="L11" s="7">
        <f>E14</f>
        <v>44565.623999999996</v>
      </c>
      <c r="M11" s="7">
        <f>F14</f>
        <v>44565.623999999996</v>
      </c>
      <c r="N11" s="7">
        <f>G14</f>
        <v>44565.623999999996</v>
      </c>
      <c r="P11" s="212" t="s">
        <v>180</v>
      </c>
      <c r="Q11" s="212"/>
      <c r="R11" s="212"/>
      <c r="S11" s="212"/>
      <c r="T11" s="212"/>
      <c r="U11" s="212"/>
    </row>
    <row r="12" spans="1:21" x14ac:dyDescent="0.25">
      <c r="A12" s="41" t="s">
        <v>62</v>
      </c>
      <c r="B12" s="44"/>
      <c r="C12" s="14"/>
      <c r="D12" s="14"/>
      <c r="E12" s="14"/>
      <c r="F12" s="14"/>
      <c r="G12" s="14"/>
      <c r="I12" s="158" t="s">
        <v>273</v>
      </c>
      <c r="J12" s="5"/>
      <c r="K12" s="5"/>
      <c r="L12" s="5"/>
      <c r="M12" s="5"/>
      <c r="N12" s="5"/>
      <c r="P12" s="37" t="s">
        <v>94</v>
      </c>
      <c r="Q12" s="2">
        <f t="shared" ref="Q12:Q24" si="4">C19</f>
        <v>1080</v>
      </c>
      <c r="R12" s="2">
        <f t="shared" ref="R12:R24" si="5">D19</f>
        <v>1097.0640000000001</v>
      </c>
      <c r="S12" s="2">
        <f t="shared" ref="S12:S24" si="6">E19</f>
        <v>1114.3976112</v>
      </c>
      <c r="T12" s="2">
        <f t="shared" ref="T12:T24" si="7">F19</f>
        <v>1132.0050934569601</v>
      </c>
      <c r="U12" s="2">
        <f t="shared" ref="U12:U24" si="8">G19</f>
        <v>1149.89077393358</v>
      </c>
    </row>
    <row r="13" spans="1:21" x14ac:dyDescent="0.25">
      <c r="A13" s="5" t="s">
        <v>63</v>
      </c>
      <c r="B13" s="44">
        <f>SUELDOS!K14</f>
        <v>635.92499999999995</v>
      </c>
      <c r="C13" s="14">
        <f>B13*12</f>
        <v>7631.0999999999995</v>
      </c>
      <c r="D13" s="14">
        <f t="shared" si="2"/>
        <v>7631.0999999999995</v>
      </c>
      <c r="E13" s="14">
        <f t="shared" si="2"/>
        <v>7631.0999999999995</v>
      </c>
      <c r="F13" s="14">
        <f t="shared" si="2"/>
        <v>7631.0999999999995</v>
      </c>
      <c r="G13" s="14">
        <f t="shared" si="2"/>
        <v>7631.0999999999995</v>
      </c>
      <c r="I13" s="162" t="s">
        <v>89</v>
      </c>
      <c r="J13" s="7">
        <f t="shared" ref="J13:J18" si="9">C60</f>
        <v>1542.72</v>
      </c>
      <c r="K13" s="7">
        <f t="shared" ref="K13:N18" si="10">D60</f>
        <v>1567.0949760000001</v>
      </c>
      <c r="L13" s="7">
        <f t="shared" si="10"/>
        <v>1591.8550766208</v>
      </c>
      <c r="M13" s="7">
        <f t="shared" si="10"/>
        <v>1617.0063868314087</v>
      </c>
      <c r="N13" s="7">
        <f t="shared" si="10"/>
        <v>1642.555087743345</v>
      </c>
      <c r="O13" s="16"/>
      <c r="P13" s="37" t="s">
        <v>97</v>
      </c>
      <c r="Q13" s="2">
        <f t="shared" si="4"/>
        <v>228.59999999999997</v>
      </c>
      <c r="R13" s="2">
        <f t="shared" si="5"/>
        <v>232.21187999999998</v>
      </c>
      <c r="S13" s="2">
        <f t="shared" si="6"/>
        <v>235.88082770399998</v>
      </c>
      <c r="T13" s="2">
        <f t="shared" si="7"/>
        <v>239.60774478172317</v>
      </c>
      <c r="U13" s="2">
        <f t="shared" si="8"/>
        <v>243.39354714927438</v>
      </c>
    </row>
    <row r="14" spans="1:21" x14ac:dyDescent="0.25">
      <c r="A14" s="4" t="s">
        <v>182</v>
      </c>
      <c r="B14" s="44">
        <f>SUELDOS!K15</f>
        <v>3713.8019999999997</v>
      </c>
      <c r="C14" s="14">
        <f>B14*12</f>
        <v>44565.623999999996</v>
      </c>
      <c r="D14" s="14">
        <f t="shared" si="2"/>
        <v>44565.623999999996</v>
      </c>
      <c r="E14" s="14">
        <f t="shared" si="2"/>
        <v>44565.623999999996</v>
      </c>
      <c r="F14" s="14">
        <f t="shared" si="2"/>
        <v>44565.623999999996</v>
      </c>
      <c r="G14" s="14">
        <f t="shared" si="2"/>
        <v>44565.623999999996</v>
      </c>
      <c r="I14" s="162" t="s">
        <v>12</v>
      </c>
      <c r="J14" s="7">
        <f t="shared" si="9"/>
        <v>2064</v>
      </c>
      <c r="K14" s="7">
        <f t="shared" si="10"/>
        <v>2096.6111999999998</v>
      </c>
      <c r="L14" s="7">
        <f t="shared" si="10"/>
        <v>2129.7376569599996</v>
      </c>
      <c r="M14" s="7">
        <f t="shared" si="10"/>
        <v>2163.3875119399677</v>
      </c>
      <c r="N14" s="7">
        <f t="shared" si="10"/>
        <v>2197.5690346286192</v>
      </c>
      <c r="O14" s="16"/>
      <c r="P14" s="37" t="s">
        <v>100</v>
      </c>
      <c r="Q14" s="2">
        <f t="shared" si="4"/>
        <v>82.8</v>
      </c>
      <c r="R14" s="2">
        <f t="shared" si="5"/>
        <v>84.108239999999995</v>
      </c>
      <c r="S14" s="2">
        <f t="shared" si="6"/>
        <v>85.43715019199999</v>
      </c>
      <c r="T14" s="2">
        <f t="shared" si="7"/>
        <v>86.787057165033588</v>
      </c>
      <c r="U14" s="2">
        <f t="shared" si="8"/>
        <v>88.158292668241117</v>
      </c>
    </row>
    <row r="15" spans="1:21" x14ac:dyDescent="0.25">
      <c r="A15" s="5" t="s">
        <v>65</v>
      </c>
      <c r="B15" s="44">
        <f>SUELDOS!K16</f>
        <v>412.64466666666664</v>
      </c>
      <c r="C15" s="14">
        <f>B15*12</f>
        <v>4951.7359999999999</v>
      </c>
      <c r="D15" s="14">
        <f t="shared" si="2"/>
        <v>4951.7359999999999</v>
      </c>
      <c r="E15" s="14">
        <f t="shared" si="2"/>
        <v>4951.7359999999999</v>
      </c>
      <c r="F15" s="14">
        <f t="shared" si="2"/>
        <v>4951.7359999999999</v>
      </c>
      <c r="G15" s="14">
        <f t="shared" si="2"/>
        <v>4951.7359999999999</v>
      </c>
      <c r="I15" s="162" t="s">
        <v>14</v>
      </c>
      <c r="J15" s="7">
        <f t="shared" si="9"/>
        <v>74.400000000000006</v>
      </c>
      <c r="K15" s="7">
        <f t="shared" si="10"/>
        <v>75.575520000000012</v>
      </c>
      <c r="L15" s="7">
        <f t="shared" si="10"/>
        <v>76.76961321600001</v>
      </c>
      <c r="M15" s="7">
        <f t="shared" si="10"/>
        <v>77.982573104812815</v>
      </c>
      <c r="N15" s="7">
        <f t="shared" si="10"/>
        <v>79.214697759868855</v>
      </c>
      <c r="O15" s="16"/>
      <c r="P15" s="37" t="s">
        <v>98</v>
      </c>
      <c r="Q15" s="2">
        <f t="shared" si="4"/>
        <v>212.40000000000003</v>
      </c>
      <c r="R15" s="2">
        <f t="shared" si="5"/>
        <v>215.75592000000003</v>
      </c>
      <c r="S15" s="2">
        <f t="shared" si="6"/>
        <v>219.16486353600004</v>
      </c>
      <c r="T15" s="2">
        <f t="shared" si="7"/>
        <v>222.62766837986885</v>
      </c>
      <c r="U15" s="2">
        <f t="shared" si="8"/>
        <v>226.14518554027077</v>
      </c>
    </row>
    <row r="16" spans="1:21" x14ac:dyDescent="0.25">
      <c r="A16" s="18" t="s">
        <v>198</v>
      </c>
      <c r="B16" s="48">
        <f t="shared" ref="B16:G16" si="11">SUM(B5:B15)</f>
        <v>7908.0806666666667</v>
      </c>
      <c r="C16" s="48">
        <f t="shared" si="11"/>
        <v>94896.967999999993</v>
      </c>
      <c r="D16" s="48">
        <f t="shared" si="11"/>
        <v>94896.967999999993</v>
      </c>
      <c r="E16" s="48">
        <f t="shared" si="11"/>
        <v>94896.967999999993</v>
      </c>
      <c r="F16" s="48">
        <f t="shared" si="11"/>
        <v>94896.967999999993</v>
      </c>
      <c r="G16" s="48">
        <f t="shared" si="11"/>
        <v>94896.967999999993</v>
      </c>
      <c r="I16" s="162" t="s">
        <v>87</v>
      </c>
      <c r="J16" s="7">
        <f t="shared" si="9"/>
        <v>50.4</v>
      </c>
      <c r="K16" s="7">
        <f t="shared" si="10"/>
        <v>51.19632</v>
      </c>
      <c r="L16" s="7">
        <f t="shared" si="10"/>
        <v>52.005221855999999</v>
      </c>
      <c r="M16" s="7">
        <f t="shared" si="10"/>
        <v>52.8269043613248</v>
      </c>
      <c r="N16" s="7">
        <f t="shared" si="10"/>
        <v>53.661569450233735</v>
      </c>
      <c r="P16" s="37" t="s">
        <v>99</v>
      </c>
      <c r="Q16" s="2">
        <f t="shared" si="4"/>
        <v>354.24</v>
      </c>
      <c r="R16" s="2">
        <f t="shared" si="5"/>
        <v>359.83699200000001</v>
      </c>
      <c r="S16" s="2">
        <f t="shared" si="6"/>
        <v>365.5224164736</v>
      </c>
      <c r="T16" s="2">
        <f t="shared" si="7"/>
        <v>371.2976706538829</v>
      </c>
      <c r="U16" s="2">
        <f t="shared" si="8"/>
        <v>377.16417385021424</v>
      </c>
    </row>
    <row r="17" spans="1:21" x14ac:dyDescent="0.25">
      <c r="A17" s="18"/>
      <c r="B17" s="40"/>
      <c r="C17" s="30"/>
      <c r="D17" s="30"/>
      <c r="E17" s="30"/>
      <c r="F17" s="30"/>
      <c r="G17" s="30"/>
      <c r="I17" s="162" t="s">
        <v>90</v>
      </c>
      <c r="J17" s="7">
        <f t="shared" si="9"/>
        <v>60</v>
      </c>
      <c r="K17" s="7">
        <f t="shared" si="10"/>
        <v>60.948</v>
      </c>
      <c r="L17" s="7">
        <f t="shared" si="10"/>
        <v>61.910978399999998</v>
      </c>
      <c r="M17" s="7">
        <f t="shared" si="10"/>
        <v>62.889171858719997</v>
      </c>
      <c r="N17" s="7">
        <f t="shared" si="10"/>
        <v>63.882820774087776</v>
      </c>
      <c r="P17" s="37" t="s">
        <v>103</v>
      </c>
      <c r="Q17" s="2">
        <f t="shared" si="4"/>
        <v>72</v>
      </c>
      <c r="R17" s="2">
        <f t="shared" si="5"/>
        <v>73.137600000000006</v>
      </c>
      <c r="S17" s="2">
        <f t="shared" si="6"/>
        <v>74.29317408</v>
      </c>
      <c r="T17" s="2">
        <f t="shared" si="7"/>
        <v>75.467006230463994</v>
      </c>
      <c r="U17" s="2">
        <f t="shared" si="8"/>
        <v>76.659384928905325</v>
      </c>
    </row>
    <row r="18" spans="1:21" ht="15" customHeight="1" x14ac:dyDescent="0.25">
      <c r="A18" s="212" t="s">
        <v>180</v>
      </c>
      <c r="B18" s="212"/>
      <c r="C18" s="212"/>
      <c r="D18" s="212"/>
      <c r="E18" s="212"/>
      <c r="F18" s="212"/>
      <c r="G18" s="212"/>
      <c r="I18" s="162" t="s">
        <v>271</v>
      </c>
      <c r="J18" s="7">
        <f t="shared" si="9"/>
        <v>75</v>
      </c>
      <c r="K18" s="7">
        <f t="shared" si="10"/>
        <v>76.185000000000002</v>
      </c>
      <c r="L18" s="7">
        <f t="shared" si="10"/>
        <v>77.388722999999999</v>
      </c>
      <c r="M18" s="7">
        <f t="shared" si="10"/>
        <v>78.611464823399999</v>
      </c>
      <c r="N18" s="7">
        <f t="shared" si="10"/>
        <v>79.853525967609713</v>
      </c>
      <c r="P18" s="37" t="s">
        <v>101</v>
      </c>
      <c r="Q18" s="2">
        <f t="shared" si="4"/>
        <v>24</v>
      </c>
      <c r="R18" s="2">
        <f t="shared" si="5"/>
        <v>24.379200000000001</v>
      </c>
      <c r="S18" s="2">
        <f t="shared" si="6"/>
        <v>24.764391360000001</v>
      </c>
      <c r="T18" s="2">
        <f t="shared" si="7"/>
        <v>25.155668743488</v>
      </c>
      <c r="U18" s="2">
        <f t="shared" si="8"/>
        <v>25.55312830963511</v>
      </c>
    </row>
    <row r="19" spans="1:21" x14ac:dyDescent="0.25">
      <c r="A19" s="37" t="s">
        <v>94</v>
      </c>
      <c r="B19" s="44">
        <f>'ACTIVOS FIJOS'!D38</f>
        <v>90</v>
      </c>
      <c r="C19" s="14">
        <f>B19*12</f>
        <v>1080</v>
      </c>
      <c r="D19" s="14">
        <f>(C19*1.58%)+C19</f>
        <v>1097.0640000000001</v>
      </c>
      <c r="E19" s="14">
        <f>(D19*1.58%)+D19</f>
        <v>1114.3976112</v>
      </c>
      <c r="F19" s="14">
        <f>(E19*1.58%)+E19</f>
        <v>1132.0050934569601</v>
      </c>
      <c r="G19" s="14">
        <f>(F19*1.58%)+F19</f>
        <v>1149.89077393358</v>
      </c>
      <c r="I19" s="158" t="s">
        <v>274</v>
      </c>
      <c r="J19" s="5"/>
      <c r="K19" s="5"/>
      <c r="L19" s="5"/>
      <c r="M19" s="5"/>
      <c r="N19" s="5"/>
      <c r="P19" s="37" t="s">
        <v>102</v>
      </c>
      <c r="Q19" s="2">
        <f t="shared" si="4"/>
        <v>21.599999999999998</v>
      </c>
      <c r="R19" s="2">
        <f t="shared" si="5"/>
        <v>21.941279999999999</v>
      </c>
      <c r="S19" s="2">
        <f t="shared" si="6"/>
        <v>22.287952223999998</v>
      </c>
      <c r="T19" s="2">
        <f t="shared" si="7"/>
        <v>22.640101869139198</v>
      </c>
      <c r="U19" s="2">
        <f t="shared" si="8"/>
        <v>22.997815478671598</v>
      </c>
    </row>
    <row r="20" spans="1:21" x14ac:dyDescent="0.25">
      <c r="A20" s="37" t="s">
        <v>97</v>
      </c>
      <c r="B20" s="44">
        <f>'ACTIVOS FIJOS'!D39</f>
        <v>19.049999999999997</v>
      </c>
      <c r="C20" s="14">
        <f t="shared" ref="C20:C28" si="12">B20*12</f>
        <v>228.59999999999997</v>
      </c>
      <c r="D20" s="14">
        <f t="shared" ref="D20:G29" si="13">(C20*1.58%)+C20</f>
        <v>232.21187999999998</v>
      </c>
      <c r="E20" s="14">
        <f t="shared" si="13"/>
        <v>235.88082770399998</v>
      </c>
      <c r="F20" s="14">
        <f t="shared" si="13"/>
        <v>239.60774478172317</v>
      </c>
      <c r="G20" s="14">
        <f t="shared" si="13"/>
        <v>243.39354714927438</v>
      </c>
      <c r="I20" s="162" t="s">
        <v>63</v>
      </c>
      <c r="J20" s="7">
        <f>C13</f>
        <v>7631.0999999999995</v>
      </c>
      <c r="K20" s="7">
        <f>D13</f>
        <v>7631.0999999999995</v>
      </c>
      <c r="L20" s="7">
        <f>E13</f>
        <v>7631.0999999999995</v>
      </c>
      <c r="M20" s="7">
        <f>F13</f>
        <v>7631.0999999999995</v>
      </c>
      <c r="N20" s="7">
        <f>G13</f>
        <v>7631.0999999999995</v>
      </c>
      <c r="P20" s="37" t="s">
        <v>104</v>
      </c>
      <c r="Q20" s="2">
        <f t="shared" si="4"/>
        <v>216</v>
      </c>
      <c r="R20" s="2">
        <f t="shared" si="5"/>
        <v>219.4128</v>
      </c>
      <c r="S20" s="2">
        <f t="shared" si="6"/>
        <v>222.87952224</v>
      </c>
      <c r="T20" s="2">
        <f t="shared" si="7"/>
        <v>226.40101869139201</v>
      </c>
      <c r="U20" s="2">
        <f t="shared" si="8"/>
        <v>229.978154786716</v>
      </c>
    </row>
    <row r="21" spans="1:21" x14ac:dyDescent="0.25">
      <c r="A21" s="37" t="s">
        <v>100</v>
      </c>
      <c r="B21" s="44">
        <f>'ACTIVOS FIJOS'!D40</f>
        <v>6.8999999999999995</v>
      </c>
      <c r="C21" s="14">
        <f t="shared" si="12"/>
        <v>82.8</v>
      </c>
      <c r="D21" s="14">
        <f t="shared" si="13"/>
        <v>84.108239999999995</v>
      </c>
      <c r="E21" s="14">
        <f t="shared" si="13"/>
        <v>85.43715019199999</v>
      </c>
      <c r="F21" s="14">
        <f t="shared" si="13"/>
        <v>86.787057165033588</v>
      </c>
      <c r="G21" s="14">
        <f t="shared" si="13"/>
        <v>88.158292668241117</v>
      </c>
      <c r="I21" s="162" t="s">
        <v>65</v>
      </c>
      <c r="J21" s="7">
        <f>C15</f>
        <v>4951.7359999999999</v>
      </c>
      <c r="K21" s="7">
        <f>D15</f>
        <v>4951.7359999999999</v>
      </c>
      <c r="L21" s="7">
        <f>E15</f>
        <v>4951.7359999999999</v>
      </c>
      <c r="M21" s="7">
        <f>F15</f>
        <v>4951.7359999999999</v>
      </c>
      <c r="N21" s="7">
        <f>G15</f>
        <v>4951.7359999999999</v>
      </c>
      <c r="P21" s="37" t="s">
        <v>108</v>
      </c>
      <c r="Q21" s="2">
        <f t="shared" si="4"/>
        <v>1728</v>
      </c>
      <c r="R21" s="2">
        <f t="shared" si="5"/>
        <v>1755.3024</v>
      </c>
      <c r="S21" s="2">
        <f t="shared" si="6"/>
        <v>1783.03617792</v>
      </c>
      <c r="T21" s="2">
        <f t="shared" si="7"/>
        <v>1811.2081495311361</v>
      </c>
      <c r="U21" s="2">
        <f t="shared" si="8"/>
        <v>1839.825238293728</v>
      </c>
    </row>
    <row r="22" spans="1:21" x14ac:dyDescent="0.25">
      <c r="A22" s="37" t="s">
        <v>98</v>
      </c>
      <c r="B22" s="44">
        <f>'ACTIVOS FIJOS'!D41</f>
        <v>17.700000000000003</v>
      </c>
      <c r="C22" s="14">
        <f t="shared" si="12"/>
        <v>212.40000000000003</v>
      </c>
      <c r="D22" s="14">
        <f t="shared" si="13"/>
        <v>215.75592000000003</v>
      </c>
      <c r="E22" s="14">
        <f t="shared" si="13"/>
        <v>219.16486353600004</v>
      </c>
      <c r="F22" s="14">
        <f t="shared" si="13"/>
        <v>222.62766837986885</v>
      </c>
      <c r="G22" s="14">
        <f t="shared" si="13"/>
        <v>226.14518554027077</v>
      </c>
      <c r="I22" s="158" t="s">
        <v>275</v>
      </c>
      <c r="J22" s="29">
        <f>SUM(J5:J21)</f>
        <v>130775.78447782183</v>
      </c>
      <c r="K22" s="29">
        <f>SUM(K5:K21)</f>
        <v>131939.09620457143</v>
      </c>
      <c r="L22" s="29">
        <f>SUM(L5:L21)</f>
        <v>133120.78825660367</v>
      </c>
      <c r="M22" s="29">
        <f>SUM(M5:M21)</f>
        <v>134321.15104305799</v>
      </c>
      <c r="N22" s="29">
        <f>SUM(N5:N21)</f>
        <v>135540.47956153829</v>
      </c>
      <c r="P22" s="37" t="s">
        <v>73</v>
      </c>
      <c r="Q22" s="2">
        <f t="shared" si="4"/>
        <v>388.20000000000005</v>
      </c>
      <c r="R22" s="2">
        <f t="shared" si="5"/>
        <v>394.33356000000003</v>
      </c>
      <c r="S22" s="2">
        <f t="shared" si="6"/>
        <v>400.56403024800005</v>
      </c>
      <c r="T22" s="2">
        <f t="shared" si="7"/>
        <v>406.89294192591848</v>
      </c>
      <c r="U22" s="2">
        <f t="shared" si="8"/>
        <v>413.32185040834798</v>
      </c>
    </row>
    <row r="23" spans="1:21" x14ac:dyDescent="0.25">
      <c r="A23" s="37" t="s">
        <v>99</v>
      </c>
      <c r="B23" s="44">
        <f>'ACTIVOS FIJOS'!D42</f>
        <v>29.52</v>
      </c>
      <c r="C23" s="14">
        <f t="shared" si="12"/>
        <v>354.24</v>
      </c>
      <c r="D23" s="14">
        <f t="shared" si="13"/>
        <v>359.83699200000001</v>
      </c>
      <c r="E23" s="14">
        <f t="shared" si="13"/>
        <v>365.5224164736</v>
      </c>
      <c r="F23" s="14">
        <f t="shared" si="13"/>
        <v>371.2976706538829</v>
      </c>
      <c r="G23" s="14">
        <f t="shared" si="13"/>
        <v>377.16417385021424</v>
      </c>
      <c r="I23" s="10" t="s">
        <v>234</v>
      </c>
      <c r="J23" s="12"/>
      <c r="K23" s="12"/>
      <c r="L23" s="12"/>
      <c r="M23" s="12"/>
      <c r="N23" s="12"/>
      <c r="P23" s="4" t="s">
        <v>138</v>
      </c>
      <c r="Q23" s="2">
        <f t="shared" si="4"/>
        <v>24</v>
      </c>
      <c r="R23" s="2">
        <f t="shared" si="5"/>
        <v>24.379200000000001</v>
      </c>
      <c r="S23" s="2">
        <f t="shared" si="6"/>
        <v>24.764391360000001</v>
      </c>
      <c r="T23" s="2">
        <f t="shared" si="7"/>
        <v>25.155668743488</v>
      </c>
      <c r="U23" s="2">
        <f t="shared" si="8"/>
        <v>25.55312830963511</v>
      </c>
    </row>
    <row r="24" spans="1:21" x14ac:dyDescent="0.25">
      <c r="A24" s="37" t="s">
        <v>103</v>
      </c>
      <c r="B24" s="44">
        <f>'ACTIVOS FIJOS'!D43</f>
        <v>6</v>
      </c>
      <c r="C24" s="14">
        <f t="shared" si="12"/>
        <v>72</v>
      </c>
      <c r="D24" s="14">
        <f t="shared" si="13"/>
        <v>73.137600000000006</v>
      </c>
      <c r="E24" s="14">
        <f t="shared" si="13"/>
        <v>74.29317408</v>
      </c>
      <c r="F24" s="14">
        <f t="shared" si="13"/>
        <v>75.467006230463994</v>
      </c>
      <c r="G24" s="14">
        <f t="shared" si="13"/>
        <v>76.659384928905325</v>
      </c>
      <c r="I24" s="158" t="s">
        <v>235</v>
      </c>
      <c r="J24" s="5"/>
      <c r="K24" s="5"/>
      <c r="L24" s="5"/>
      <c r="M24" s="5"/>
      <c r="N24" s="5"/>
      <c r="P24" s="4" t="s">
        <v>88</v>
      </c>
      <c r="Q24" s="2">
        <f t="shared" si="4"/>
        <v>948</v>
      </c>
      <c r="R24" s="2">
        <f t="shared" si="5"/>
        <v>962.97839999999997</v>
      </c>
      <c r="S24" s="2">
        <f t="shared" si="6"/>
        <v>978.19345871999997</v>
      </c>
      <c r="T24" s="2">
        <f t="shared" si="7"/>
        <v>993.648915367776</v>
      </c>
      <c r="U24" s="2">
        <f t="shared" si="8"/>
        <v>1009.3485682305868</v>
      </c>
    </row>
    <row r="25" spans="1:21" x14ac:dyDescent="0.25">
      <c r="A25" s="37" t="s">
        <v>101</v>
      </c>
      <c r="B25" s="44">
        <f>'ACTIVOS FIJOS'!D44</f>
        <v>2</v>
      </c>
      <c r="C25" s="14">
        <f t="shared" si="12"/>
        <v>24</v>
      </c>
      <c r="D25" s="14">
        <f t="shared" si="13"/>
        <v>24.379200000000001</v>
      </c>
      <c r="E25" s="14">
        <f t="shared" si="13"/>
        <v>24.764391360000001</v>
      </c>
      <c r="F25" s="14">
        <f t="shared" si="13"/>
        <v>25.155668743488</v>
      </c>
      <c r="G25" s="14">
        <f t="shared" si="13"/>
        <v>25.55312830963511</v>
      </c>
      <c r="I25" s="155" t="s">
        <v>79</v>
      </c>
      <c r="J25" s="7">
        <f t="shared" ref="J25:N28" si="14">C39</f>
        <v>720</v>
      </c>
      <c r="K25" s="7">
        <f t="shared" si="14"/>
        <v>720</v>
      </c>
      <c r="L25" s="7">
        <f t="shared" si="14"/>
        <v>720</v>
      </c>
      <c r="M25" s="7">
        <f t="shared" si="14"/>
        <v>720</v>
      </c>
      <c r="N25" s="7">
        <f t="shared" si="14"/>
        <v>720</v>
      </c>
      <c r="P25" s="18" t="s">
        <v>67</v>
      </c>
      <c r="Q25" s="157">
        <f>SUM(Q12:Q24)</f>
        <v>5379.84</v>
      </c>
      <c r="R25" s="157">
        <f>SUM(R12:R24)</f>
        <v>5464.841472000001</v>
      </c>
      <c r="S25" s="157">
        <f>SUM(S12:S24)</f>
        <v>5551.1859672576002</v>
      </c>
      <c r="T25" s="157">
        <f>SUM(T12:T24)</f>
        <v>5638.8947055402696</v>
      </c>
      <c r="U25" s="157">
        <f>SUM(U12:U24)</f>
        <v>5727.9892418878062</v>
      </c>
    </row>
    <row r="26" spans="1:21" x14ac:dyDescent="0.25">
      <c r="A26" s="37" t="s">
        <v>102</v>
      </c>
      <c r="B26" s="44">
        <f>'ACTIVOS FIJOS'!D45</f>
        <v>1.7999999999999998</v>
      </c>
      <c r="C26" s="14">
        <f t="shared" si="12"/>
        <v>21.599999999999998</v>
      </c>
      <c r="D26" s="14">
        <f t="shared" si="13"/>
        <v>21.941279999999999</v>
      </c>
      <c r="E26" s="14">
        <f t="shared" si="13"/>
        <v>22.287952223999998</v>
      </c>
      <c r="F26" s="14">
        <f t="shared" si="13"/>
        <v>22.640101869139198</v>
      </c>
      <c r="G26" s="14">
        <f t="shared" si="13"/>
        <v>22.997815478671598</v>
      </c>
      <c r="I26" s="155" t="s">
        <v>78</v>
      </c>
      <c r="J26" s="7">
        <f t="shared" si="14"/>
        <v>8400</v>
      </c>
      <c r="K26" s="7">
        <f t="shared" si="14"/>
        <v>8400</v>
      </c>
      <c r="L26" s="7">
        <f t="shared" si="14"/>
        <v>8400</v>
      </c>
      <c r="M26" s="7">
        <f t="shared" si="14"/>
        <v>8400</v>
      </c>
      <c r="N26" s="7">
        <f t="shared" si="14"/>
        <v>8400</v>
      </c>
      <c r="P26" s="156" t="s">
        <v>236</v>
      </c>
      <c r="Q26" s="156"/>
      <c r="R26" s="156"/>
      <c r="S26" s="156"/>
      <c r="T26" s="156"/>
      <c r="U26" s="156"/>
    </row>
    <row r="27" spans="1:21" x14ac:dyDescent="0.25">
      <c r="A27" s="37" t="s">
        <v>104</v>
      </c>
      <c r="B27" s="44">
        <f>'ACTIVOS FIJOS'!D46</f>
        <v>18</v>
      </c>
      <c r="C27" s="14">
        <f t="shared" si="12"/>
        <v>216</v>
      </c>
      <c r="D27" s="14">
        <f t="shared" si="13"/>
        <v>219.4128</v>
      </c>
      <c r="E27" s="14">
        <f t="shared" si="13"/>
        <v>222.87952224</v>
      </c>
      <c r="F27" s="14">
        <f t="shared" si="13"/>
        <v>226.40101869139201</v>
      </c>
      <c r="G27" s="14">
        <f t="shared" si="13"/>
        <v>229.978154786716</v>
      </c>
      <c r="I27" s="155" t="s">
        <v>16</v>
      </c>
      <c r="J27" s="7">
        <f t="shared" si="14"/>
        <v>1200</v>
      </c>
      <c r="K27" s="7">
        <f t="shared" si="14"/>
        <v>1200</v>
      </c>
      <c r="L27" s="7">
        <f t="shared" si="14"/>
        <v>1200</v>
      </c>
      <c r="M27" s="7">
        <f t="shared" si="14"/>
        <v>1200</v>
      </c>
      <c r="N27" s="7">
        <f t="shared" si="14"/>
        <v>1200</v>
      </c>
      <c r="P27" s="155" t="s">
        <v>74</v>
      </c>
      <c r="Q27" s="105">
        <f t="shared" ref="Q27:U29" si="15">C46</f>
        <v>2160</v>
      </c>
      <c r="R27" s="105">
        <f t="shared" si="15"/>
        <v>1080</v>
      </c>
      <c r="S27" s="105">
        <f t="shared" si="15"/>
        <v>540</v>
      </c>
      <c r="T27" s="105">
        <f t="shared" si="15"/>
        <v>360</v>
      </c>
      <c r="U27" s="105">
        <f t="shared" si="15"/>
        <v>180</v>
      </c>
    </row>
    <row r="28" spans="1:21" x14ac:dyDescent="0.25">
      <c r="A28" s="37" t="s">
        <v>108</v>
      </c>
      <c r="B28" s="44">
        <f>'ACTIVOS FIJOS'!D47</f>
        <v>144</v>
      </c>
      <c r="C28" s="14">
        <f t="shared" si="12"/>
        <v>1728</v>
      </c>
      <c r="D28" s="14">
        <f t="shared" si="13"/>
        <v>1755.3024</v>
      </c>
      <c r="E28" s="14">
        <f t="shared" si="13"/>
        <v>1783.03617792</v>
      </c>
      <c r="F28" s="14">
        <f t="shared" si="13"/>
        <v>1811.2081495311361</v>
      </c>
      <c r="G28" s="14">
        <f t="shared" si="13"/>
        <v>1839.825238293728</v>
      </c>
      <c r="I28" s="155" t="s">
        <v>80</v>
      </c>
      <c r="J28" s="7">
        <f t="shared" si="14"/>
        <v>600</v>
      </c>
      <c r="K28" s="7">
        <f t="shared" si="14"/>
        <v>600</v>
      </c>
      <c r="L28" s="7">
        <f t="shared" si="14"/>
        <v>600</v>
      </c>
      <c r="M28" s="7">
        <f t="shared" si="14"/>
        <v>600</v>
      </c>
      <c r="N28" s="7">
        <f t="shared" si="14"/>
        <v>600</v>
      </c>
      <c r="P28" s="155" t="s">
        <v>75</v>
      </c>
      <c r="Q28" s="105">
        <f t="shared" si="15"/>
        <v>3600</v>
      </c>
      <c r="R28" s="105">
        <f t="shared" si="15"/>
        <v>1800</v>
      </c>
      <c r="S28" s="105">
        <f t="shared" si="15"/>
        <v>900</v>
      </c>
      <c r="T28" s="105">
        <f t="shared" si="15"/>
        <v>600</v>
      </c>
      <c r="U28" s="105">
        <f t="shared" si="15"/>
        <v>300</v>
      </c>
    </row>
    <row r="29" spans="1:21" x14ac:dyDescent="0.25">
      <c r="A29" s="37" t="s">
        <v>73</v>
      </c>
      <c r="B29" s="14">
        <v>32.35</v>
      </c>
      <c r="C29" s="14">
        <f>B29*12</f>
        <v>388.20000000000005</v>
      </c>
      <c r="D29" s="14">
        <f t="shared" si="13"/>
        <v>394.33356000000003</v>
      </c>
      <c r="E29" s="14">
        <f t="shared" si="13"/>
        <v>400.56403024800005</v>
      </c>
      <c r="F29" s="14">
        <f t="shared" si="13"/>
        <v>406.89294192591848</v>
      </c>
      <c r="G29" s="14">
        <f t="shared" si="13"/>
        <v>413.32185040834798</v>
      </c>
      <c r="I29" s="158" t="s">
        <v>319</v>
      </c>
      <c r="J29" s="169">
        <f>SUM(J25:J28)</f>
        <v>10920</v>
      </c>
      <c r="K29" s="169">
        <f>SUM(K25:K28)</f>
        <v>10920</v>
      </c>
      <c r="L29" s="169">
        <f>SUM(L25:L28)</f>
        <v>10920</v>
      </c>
      <c r="M29" s="169">
        <f>SUM(M25:M28)</f>
        <v>10920</v>
      </c>
      <c r="N29" s="169">
        <f>SUM(N25:N28)</f>
        <v>10920</v>
      </c>
      <c r="P29" s="155" t="s">
        <v>189</v>
      </c>
      <c r="Q29" s="105">
        <f t="shared" si="15"/>
        <v>11520</v>
      </c>
      <c r="R29" s="105">
        <f t="shared" si="15"/>
        <v>5760</v>
      </c>
      <c r="S29" s="105">
        <f t="shared" si="15"/>
        <v>2880</v>
      </c>
      <c r="T29" s="105">
        <f t="shared" si="15"/>
        <v>1920</v>
      </c>
      <c r="U29" s="105">
        <f t="shared" si="15"/>
        <v>960</v>
      </c>
    </row>
    <row r="30" spans="1:21" x14ac:dyDescent="0.25">
      <c r="A30" s="4" t="s">
        <v>138</v>
      </c>
      <c r="B30" s="44">
        <f>'ACTIVOS FIJOS'!D20</f>
        <v>2</v>
      </c>
      <c r="C30" s="14">
        <f>B30*12</f>
        <v>24</v>
      </c>
      <c r="D30" s="44">
        <f t="shared" ref="D30:G31" si="16">(C30*1.58%)+C30</f>
        <v>24.379200000000001</v>
      </c>
      <c r="E30" s="44">
        <f t="shared" si="16"/>
        <v>24.764391360000001</v>
      </c>
      <c r="F30" s="44">
        <f t="shared" si="16"/>
        <v>25.155668743488</v>
      </c>
      <c r="G30" s="44">
        <f t="shared" si="16"/>
        <v>25.55312830963511</v>
      </c>
      <c r="I30" s="158" t="s">
        <v>237</v>
      </c>
      <c r="J30" s="5"/>
      <c r="K30" s="5"/>
      <c r="L30" s="5"/>
      <c r="M30" s="5"/>
      <c r="N30" s="5"/>
      <c r="P30" s="158" t="s">
        <v>67</v>
      </c>
      <c r="Q30" s="157">
        <f>SUM(Q27:Q29)</f>
        <v>17280</v>
      </c>
      <c r="R30" s="157">
        <f>SUM(R27:R29)</f>
        <v>8640</v>
      </c>
      <c r="S30" s="157">
        <f>SUM(S27:S29)</f>
        <v>4320</v>
      </c>
      <c r="T30" s="157">
        <f>SUM(T27:T29)</f>
        <v>2880</v>
      </c>
      <c r="U30" s="157">
        <f>SUM(U27:U29)</f>
        <v>1440</v>
      </c>
    </row>
    <row r="31" spans="1:21" x14ac:dyDescent="0.25">
      <c r="A31" s="4" t="s">
        <v>88</v>
      </c>
      <c r="B31" s="44">
        <f>'ACTIVOS FIJOS'!D19</f>
        <v>79</v>
      </c>
      <c r="C31" s="44">
        <f>B31*12</f>
        <v>948</v>
      </c>
      <c r="D31" s="44">
        <f t="shared" si="16"/>
        <v>962.97839999999997</v>
      </c>
      <c r="E31" s="44">
        <f t="shared" si="16"/>
        <v>978.19345871999997</v>
      </c>
      <c r="F31" s="44">
        <f t="shared" si="16"/>
        <v>993.648915367776</v>
      </c>
      <c r="G31" s="44">
        <f t="shared" si="16"/>
        <v>1009.3485682305868</v>
      </c>
      <c r="I31" s="170" t="s">
        <v>187</v>
      </c>
      <c r="J31" s="7">
        <f>C73</f>
        <v>13200</v>
      </c>
      <c r="K31" s="7">
        <f>D73</f>
        <v>13200</v>
      </c>
      <c r="L31" s="7">
        <f>E73</f>
        <v>13200</v>
      </c>
      <c r="M31" s="7">
        <f>F73</f>
        <v>13200</v>
      </c>
      <c r="N31" s="7">
        <f>G73</f>
        <v>13200</v>
      </c>
      <c r="P31" s="147" t="s">
        <v>29</v>
      </c>
      <c r="Q31" s="147"/>
      <c r="R31" s="147"/>
      <c r="S31" s="147"/>
      <c r="T31" s="147"/>
      <c r="U31" s="147"/>
    </row>
    <row r="32" spans="1:21" x14ac:dyDescent="0.25">
      <c r="A32" s="151" t="s">
        <v>188</v>
      </c>
      <c r="B32" s="152">
        <f t="shared" ref="B32:G32" si="17">SUM(B19:B31)</f>
        <v>448.32000000000005</v>
      </c>
      <c r="C32" s="152">
        <f t="shared" si="17"/>
        <v>5379.84</v>
      </c>
      <c r="D32" s="152">
        <f t="shared" si="17"/>
        <v>5464.841472000001</v>
      </c>
      <c r="E32" s="152">
        <f t="shared" si="17"/>
        <v>5551.1859672576002</v>
      </c>
      <c r="F32" s="152">
        <f t="shared" si="17"/>
        <v>5638.8947055402696</v>
      </c>
      <c r="G32" s="152">
        <f t="shared" si="17"/>
        <v>5727.9892418878062</v>
      </c>
      <c r="I32" s="13" t="s">
        <v>320</v>
      </c>
      <c r="J32" s="169">
        <f>J31</f>
        <v>13200</v>
      </c>
      <c r="K32" s="169">
        <f>K31</f>
        <v>13200</v>
      </c>
      <c r="L32" s="169">
        <f>L31</f>
        <v>13200</v>
      </c>
      <c r="M32" s="169">
        <f>M31</f>
        <v>13200</v>
      </c>
      <c r="N32" s="169">
        <f>N31</f>
        <v>13200</v>
      </c>
      <c r="P32" s="146" t="s">
        <v>30</v>
      </c>
      <c r="Q32" s="2">
        <v>900</v>
      </c>
      <c r="R32" s="2">
        <v>0</v>
      </c>
      <c r="S32" s="2">
        <v>0</v>
      </c>
      <c r="T32" s="2">
        <v>0</v>
      </c>
      <c r="U32" s="2">
        <v>0</v>
      </c>
    </row>
    <row r="33" spans="1:21" x14ac:dyDescent="0.25">
      <c r="A33" s="4"/>
      <c r="B33" s="4"/>
      <c r="C33" s="4"/>
      <c r="D33" s="4"/>
      <c r="E33" s="4"/>
      <c r="F33" s="4"/>
      <c r="G33" s="4"/>
      <c r="I33" s="164" t="s">
        <v>238</v>
      </c>
      <c r="J33" s="5"/>
      <c r="K33" s="5"/>
      <c r="L33" s="5"/>
      <c r="M33" s="5"/>
      <c r="N33" s="5"/>
      <c r="P33" s="146" t="s">
        <v>31</v>
      </c>
      <c r="Q33" s="2">
        <v>1100</v>
      </c>
      <c r="R33" s="2">
        <v>0</v>
      </c>
      <c r="S33" s="2">
        <v>0</v>
      </c>
      <c r="T33" s="2">
        <v>0</v>
      </c>
      <c r="U33" s="2">
        <v>0</v>
      </c>
    </row>
    <row r="34" spans="1:21" x14ac:dyDescent="0.25">
      <c r="A34" s="212" t="s">
        <v>183</v>
      </c>
      <c r="B34" s="212"/>
      <c r="C34" s="212"/>
      <c r="D34" s="212"/>
      <c r="E34" s="212"/>
      <c r="F34" s="212"/>
      <c r="G34" s="212"/>
      <c r="I34" s="155" t="s">
        <v>184</v>
      </c>
      <c r="J34" s="7">
        <f>C35</f>
        <v>1800</v>
      </c>
      <c r="K34" s="7">
        <f>D35</f>
        <v>1828.44</v>
      </c>
      <c r="L34" s="7">
        <f>E35</f>
        <v>1857.329352</v>
      </c>
      <c r="M34" s="7">
        <f>F35</f>
        <v>1886.6751557616001</v>
      </c>
      <c r="N34" s="7">
        <f>G35</f>
        <v>1916.4846232226334</v>
      </c>
      <c r="P34" s="4" t="s">
        <v>109</v>
      </c>
      <c r="Q34" s="2">
        <v>1800</v>
      </c>
      <c r="R34" s="2">
        <v>0</v>
      </c>
      <c r="S34" s="2">
        <v>0</v>
      </c>
      <c r="T34" s="2">
        <v>0</v>
      </c>
      <c r="U34" s="2">
        <v>0</v>
      </c>
    </row>
    <row r="35" spans="1:21" x14ac:dyDescent="0.25">
      <c r="A35" s="20" t="s">
        <v>184</v>
      </c>
      <c r="B35" s="45">
        <v>150</v>
      </c>
      <c r="C35" s="45">
        <f>B35*12</f>
        <v>1800</v>
      </c>
      <c r="D35" s="45">
        <f>(C35*1.58%)+C35</f>
        <v>1828.44</v>
      </c>
      <c r="E35" s="45">
        <f>(D35*1.58%)+D35</f>
        <v>1857.329352</v>
      </c>
      <c r="F35" s="45">
        <f>(E35*1.58%)+E35</f>
        <v>1886.6751557616001</v>
      </c>
      <c r="G35" s="45">
        <f>(F35*1.58%)+F35</f>
        <v>1916.4846232226334</v>
      </c>
      <c r="I35" s="162" t="s">
        <v>231</v>
      </c>
      <c r="J35" s="7">
        <f>C69</f>
        <v>1500</v>
      </c>
      <c r="K35" s="7">
        <f>D69</f>
        <v>1500</v>
      </c>
      <c r="L35" s="7">
        <f>E69</f>
        <v>1500</v>
      </c>
      <c r="M35" s="7">
        <f>F69</f>
        <v>1500</v>
      </c>
      <c r="N35" s="7">
        <f>G69</f>
        <v>1500</v>
      </c>
      <c r="P35" s="18" t="s">
        <v>67</v>
      </c>
      <c r="Q35" s="157">
        <f>SUM(Q32:Q34)</f>
        <v>3800</v>
      </c>
      <c r="R35" s="157">
        <f>SUM(R32:R34)</f>
        <v>0</v>
      </c>
      <c r="S35" s="157">
        <f>SUM(S32:S34)</f>
        <v>0</v>
      </c>
      <c r="T35" s="157">
        <f>SUM(T32:T34)</f>
        <v>0</v>
      </c>
      <c r="U35" s="157">
        <f>SUM(U32:U34)</f>
        <v>0</v>
      </c>
    </row>
    <row r="36" spans="1:21" ht="30" x14ac:dyDescent="0.25">
      <c r="A36" s="18" t="s">
        <v>191</v>
      </c>
      <c r="B36" s="49">
        <f t="shared" ref="B36:G36" si="18">B35</f>
        <v>150</v>
      </c>
      <c r="C36" s="49">
        <f t="shared" si="18"/>
        <v>1800</v>
      </c>
      <c r="D36" s="49">
        <f t="shared" si="18"/>
        <v>1828.44</v>
      </c>
      <c r="E36" s="49">
        <f t="shared" si="18"/>
        <v>1857.329352</v>
      </c>
      <c r="F36" s="49">
        <f t="shared" si="18"/>
        <v>1886.6751557616001</v>
      </c>
      <c r="G36" s="49">
        <f t="shared" si="18"/>
        <v>1916.4846232226334</v>
      </c>
      <c r="I36" s="13" t="s">
        <v>321</v>
      </c>
      <c r="J36" s="169">
        <f>SUM(J34:J35)</f>
        <v>3300</v>
      </c>
      <c r="K36" s="169">
        <f>SUM(K34:K35)</f>
        <v>3328.44</v>
      </c>
      <c r="L36" s="169">
        <f>SUM(L34:L35)</f>
        <v>3357.3293519999997</v>
      </c>
      <c r="M36" s="169">
        <f>SUM(M34:M35)</f>
        <v>3386.6751557615999</v>
      </c>
      <c r="N36" s="169">
        <f>SUM(N34:N35)</f>
        <v>3416.4846232226337</v>
      </c>
      <c r="P36" s="114" t="s">
        <v>240</v>
      </c>
      <c r="Q36" s="154">
        <f>Q10+Q25+Q30+Q35</f>
        <v>64208.347999999998</v>
      </c>
      <c r="R36" s="154">
        <f>R10+R25+R30+R35</f>
        <v>51853.349471999994</v>
      </c>
      <c r="S36" s="154">
        <f>S10+S25+S30+S35</f>
        <v>47619.693967257597</v>
      </c>
      <c r="T36" s="154">
        <f>T10+T25+T30+T35</f>
        <v>46267.402705540262</v>
      </c>
      <c r="U36" s="154">
        <f>U10+U25+U30+U35</f>
        <v>44916.497241887802</v>
      </c>
    </row>
    <row r="37" spans="1:21" ht="15" customHeight="1" x14ac:dyDescent="0.25">
      <c r="A37" s="4"/>
      <c r="B37" s="4"/>
      <c r="C37" s="4"/>
      <c r="D37" s="4"/>
      <c r="E37" s="4"/>
      <c r="F37" s="4"/>
      <c r="G37" s="4"/>
      <c r="I37" s="41" t="s">
        <v>276</v>
      </c>
      <c r="J37" s="29">
        <f>J29+J32+J36</f>
        <v>27420</v>
      </c>
      <c r="K37" s="29">
        <f>K29+K32+K36</f>
        <v>27448.44</v>
      </c>
      <c r="L37" s="29">
        <f>L29+L32+L36</f>
        <v>27477.329352000001</v>
      </c>
      <c r="M37" s="29">
        <f>M29+M32+M36</f>
        <v>27506.675155761601</v>
      </c>
      <c r="N37" s="29">
        <f>N29+N32+N36</f>
        <v>27536.484623222634</v>
      </c>
    </row>
    <row r="38" spans="1:21" x14ac:dyDescent="0.25">
      <c r="A38" s="212" t="s">
        <v>193</v>
      </c>
      <c r="B38" s="212"/>
      <c r="C38" s="212"/>
      <c r="D38" s="212"/>
      <c r="E38" s="212"/>
      <c r="F38" s="212"/>
      <c r="G38" s="212"/>
      <c r="I38" s="10" t="s">
        <v>266</v>
      </c>
      <c r="J38" s="11">
        <f>J22+J37</f>
        <v>158195.78447782184</v>
      </c>
      <c r="K38" s="11">
        <f>K22+K37</f>
        <v>159387.53620457143</v>
      </c>
      <c r="L38" s="11">
        <f>L22+L37</f>
        <v>160598.11760860367</v>
      </c>
      <c r="M38" s="11">
        <f>M22+M37</f>
        <v>161827.82619881959</v>
      </c>
      <c r="N38" s="11">
        <f>N22+N37</f>
        <v>163076.96418476093</v>
      </c>
    </row>
    <row r="39" spans="1:21" x14ac:dyDescent="0.25">
      <c r="A39" s="20" t="s">
        <v>79</v>
      </c>
      <c r="B39" s="27">
        <v>60</v>
      </c>
      <c r="C39" s="39">
        <f>B39*12</f>
        <v>720</v>
      </c>
      <c r="D39" s="39">
        <f t="shared" ref="D39:G42" si="19">C39</f>
        <v>720</v>
      </c>
      <c r="E39" s="39">
        <f t="shared" si="19"/>
        <v>720</v>
      </c>
      <c r="F39" s="39">
        <f t="shared" si="19"/>
        <v>720</v>
      </c>
      <c r="G39" s="39">
        <f t="shared" si="19"/>
        <v>720</v>
      </c>
    </row>
    <row r="40" spans="1:21" x14ac:dyDescent="0.25">
      <c r="A40" s="20" t="s">
        <v>78</v>
      </c>
      <c r="B40" s="27">
        <v>700</v>
      </c>
      <c r="C40" s="39">
        <f>B40*12</f>
        <v>8400</v>
      </c>
      <c r="D40" s="39">
        <f t="shared" si="19"/>
        <v>8400</v>
      </c>
      <c r="E40" s="39">
        <f t="shared" si="19"/>
        <v>8400</v>
      </c>
      <c r="F40" s="39">
        <f t="shared" si="19"/>
        <v>8400</v>
      </c>
      <c r="G40" s="39">
        <f t="shared" si="19"/>
        <v>8400</v>
      </c>
    </row>
    <row r="41" spans="1:21" x14ac:dyDescent="0.25">
      <c r="A41" s="20" t="s">
        <v>16</v>
      </c>
      <c r="B41" s="27">
        <v>100</v>
      </c>
      <c r="C41" s="39">
        <f>B41*12</f>
        <v>1200</v>
      </c>
      <c r="D41" s="39">
        <f t="shared" si="19"/>
        <v>1200</v>
      </c>
      <c r="E41" s="39">
        <f t="shared" si="19"/>
        <v>1200</v>
      </c>
      <c r="F41" s="39">
        <f t="shared" si="19"/>
        <v>1200</v>
      </c>
      <c r="G41" s="39">
        <f t="shared" si="19"/>
        <v>1200</v>
      </c>
      <c r="J41" s="198"/>
      <c r="K41" s="198"/>
      <c r="L41" s="198"/>
      <c r="M41" s="198"/>
      <c r="N41" s="198"/>
    </row>
    <row r="42" spans="1:21" x14ac:dyDescent="0.25">
      <c r="A42" s="20" t="s">
        <v>80</v>
      </c>
      <c r="B42" s="27">
        <v>50</v>
      </c>
      <c r="C42" s="39">
        <f>B42*12</f>
        <v>600</v>
      </c>
      <c r="D42" s="39">
        <f t="shared" si="19"/>
        <v>600</v>
      </c>
      <c r="E42" s="39">
        <f t="shared" si="19"/>
        <v>600</v>
      </c>
      <c r="F42" s="39">
        <f t="shared" si="19"/>
        <v>600</v>
      </c>
      <c r="G42" s="39">
        <f t="shared" si="19"/>
        <v>600</v>
      </c>
    </row>
    <row r="43" spans="1:21" x14ac:dyDescent="0.25">
      <c r="A43" s="99" t="s">
        <v>192</v>
      </c>
      <c r="B43" s="46">
        <f t="shared" ref="B43:G43" si="20">SUM(B39:B42)</f>
        <v>910</v>
      </c>
      <c r="C43" s="47">
        <f t="shared" si="20"/>
        <v>10920</v>
      </c>
      <c r="D43" s="47">
        <f t="shared" si="20"/>
        <v>10920</v>
      </c>
      <c r="E43" s="47">
        <f t="shared" si="20"/>
        <v>10920</v>
      </c>
      <c r="F43" s="47">
        <f t="shared" si="20"/>
        <v>10920</v>
      </c>
      <c r="G43" s="47">
        <f t="shared" si="20"/>
        <v>10920</v>
      </c>
    </row>
    <row r="44" spans="1:21" ht="16.5" customHeight="1" x14ac:dyDescent="0.25">
      <c r="A44" s="4"/>
      <c r="B44" s="4"/>
      <c r="C44" s="4"/>
      <c r="D44" s="4"/>
      <c r="E44" s="4"/>
      <c r="F44" s="4"/>
      <c r="G44" s="4"/>
    </row>
    <row r="45" spans="1:21" x14ac:dyDescent="0.25">
      <c r="A45" s="215" t="s">
        <v>194</v>
      </c>
      <c r="B45" s="215"/>
      <c r="C45" s="215"/>
      <c r="D45" s="215"/>
      <c r="E45" s="215"/>
      <c r="F45" s="215"/>
      <c r="G45" s="215"/>
    </row>
    <row r="46" spans="1:21" x14ac:dyDescent="0.25">
      <c r="A46" s="20" t="s">
        <v>74</v>
      </c>
      <c r="B46" s="14">
        <v>180</v>
      </c>
      <c r="C46" s="14">
        <f>B46*12</f>
        <v>2160</v>
      </c>
      <c r="D46" s="14">
        <f>B46*6</f>
        <v>1080</v>
      </c>
      <c r="E46" s="14">
        <f>B46*3</f>
        <v>540</v>
      </c>
      <c r="F46" s="14">
        <f>B46*2</f>
        <v>360</v>
      </c>
      <c r="G46" s="14">
        <f>B46</f>
        <v>180</v>
      </c>
    </row>
    <row r="47" spans="1:21" x14ac:dyDescent="0.25">
      <c r="A47" s="20" t="s">
        <v>75</v>
      </c>
      <c r="B47" s="14">
        <v>300</v>
      </c>
      <c r="C47" s="14">
        <f>B47*12</f>
        <v>3600</v>
      </c>
      <c r="D47" s="14">
        <f>B47*6</f>
        <v>1800</v>
      </c>
      <c r="E47" s="14">
        <f>B47*3</f>
        <v>900</v>
      </c>
      <c r="F47" s="14">
        <f>B47*2</f>
        <v>600</v>
      </c>
      <c r="G47" s="14">
        <f>B47</f>
        <v>300</v>
      </c>
    </row>
    <row r="48" spans="1:21" x14ac:dyDescent="0.25">
      <c r="A48" s="37" t="s">
        <v>189</v>
      </c>
      <c r="B48" s="14">
        <f>480*2</f>
        <v>960</v>
      </c>
      <c r="C48" s="14">
        <f>B48*12</f>
        <v>11520</v>
      </c>
      <c r="D48" s="14">
        <f>B48*6</f>
        <v>5760</v>
      </c>
      <c r="E48" s="14">
        <f>B48*3</f>
        <v>2880</v>
      </c>
      <c r="F48" s="14">
        <f>B48*2</f>
        <v>1920</v>
      </c>
      <c r="G48" s="14">
        <f>B48</f>
        <v>960</v>
      </c>
    </row>
    <row r="49" spans="1:7" x14ac:dyDescent="0.25">
      <c r="A49" s="100" t="s">
        <v>195</v>
      </c>
      <c r="B49" s="48">
        <f t="shared" ref="B49:G49" si="21">SUM(B46:B48)</f>
        <v>1440</v>
      </c>
      <c r="C49" s="42">
        <f t="shared" si="21"/>
        <v>17280</v>
      </c>
      <c r="D49" s="42">
        <f t="shared" si="21"/>
        <v>8640</v>
      </c>
      <c r="E49" s="42">
        <f t="shared" si="21"/>
        <v>4320</v>
      </c>
      <c r="F49" s="42">
        <f t="shared" si="21"/>
        <v>2880</v>
      </c>
      <c r="G49" s="42">
        <f t="shared" si="21"/>
        <v>1440</v>
      </c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212" t="s">
        <v>227</v>
      </c>
      <c r="B51" s="212"/>
      <c r="C51" s="212"/>
      <c r="D51" s="212"/>
      <c r="E51" s="212"/>
      <c r="F51" s="212"/>
      <c r="G51" s="212"/>
    </row>
    <row r="52" spans="1:7" x14ac:dyDescent="0.25">
      <c r="A52" s="4" t="s">
        <v>221</v>
      </c>
      <c r="B52" s="44">
        <f>C52/12</f>
        <v>5659.9003731518196</v>
      </c>
      <c r="C52" s="14">
        <f>'MATERIA PRIMA'!D3</f>
        <v>67918.804477821832</v>
      </c>
      <c r="D52" s="14">
        <f>(C52*1.58%)+C52</f>
        <v>68991.921588571422</v>
      </c>
      <c r="E52" s="14">
        <f>(D52*1.58%)+D52</f>
        <v>70081.993949670854</v>
      </c>
      <c r="F52" s="14">
        <f>(E52*1.58%)+E52</f>
        <v>71189.289454075653</v>
      </c>
      <c r="G52" s="14">
        <f>(F52*1.58%)+F52</f>
        <v>72314.080227450046</v>
      </c>
    </row>
    <row r="53" spans="1:7" x14ac:dyDescent="0.25">
      <c r="A53" s="4" t="s">
        <v>222</v>
      </c>
      <c r="B53" s="44">
        <f>C53/12</f>
        <v>62.5</v>
      </c>
      <c r="C53" s="14">
        <f>'MATERIA PRIMA'!D4</f>
        <v>750</v>
      </c>
      <c r="D53" s="14">
        <f t="shared" ref="D53:G56" si="22">(C53*1.58%)+C53</f>
        <v>761.85</v>
      </c>
      <c r="E53" s="14">
        <f t="shared" si="22"/>
        <v>773.88723000000005</v>
      </c>
      <c r="F53" s="14">
        <f t="shared" si="22"/>
        <v>786.11464823400001</v>
      </c>
      <c r="G53" s="14">
        <f t="shared" si="22"/>
        <v>798.53525967609721</v>
      </c>
    </row>
    <row r="54" spans="1:7" x14ac:dyDescent="0.25">
      <c r="A54" s="4" t="s">
        <v>139</v>
      </c>
      <c r="B54" s="44">
        <f>C54/12</f>
        <v>17.333333333333332</v>
      </c>
      <c r="C54" s="14">
        <f>'MATERIA PRIMA'!D5</f>
        <v>208</v>
      </c>
      <c r="D54" s="14">
        <f t="shared" si="22"/>
        <v>211.28640000000001</v>
      </c>
      <c r="E54" s="14">
        <f t="shared" si="22"/>
        <v>214.62472512000002</v>
      </c>
      <c r="F54" s="14">
        <f t="shared" si="22"/>
        <v>218.01579577689603</v>
      </c>
      <c r="G54" s="14">
        <f t="shared" si="22"/>
        <v>221.46044535017097</v>
      </c>
    </row>
    <row r="55" spans="1:7" x14ac:dyDescent="0.25">
      <c r="A55" s="153" t="s">
        <v>223</v>
      </c>
      <c r="B55" s="44">
        <f>C55/12</f>
        <v>30.333333333333339</v>
      </c>
      <c r="C55" s="14">
        <f>'MATERIA PRIMA'!D6</f>
        <v>364.00000000000006</v>
      </c>
      <c r="D55" s="14">
        <f t="shared" si="22"/>
        <v>369.75120000000004</v>
      </c>
      <c r="E55" s="14">
        <f t="shared" si="22"/>
        <v>375.59326896000005</v>
      </c>
      <c r="F55" s="14">
        <f t="shared" si="22"/>
        <v>381.52764260956803</v>
      </c>
      <c r="G55" s="14">
        <f t="shared" si="22"/>
        <v>387.55577936279923</v>
      </c>
    </row>
    <row r="56" spans="1:7" x14ac:dyDescent="0.25">
      <c r="A56" s="4" t="s">
        <v>140</v>
      </c>
      <c r="B56" s="44">
        <f>C56/12</f>
        <v>43.333333333333336</v>
      </c>
      <c r="C56" s="14">
        <f>'MATERIA PRIMA'!D7</f>
        <v>520</v>
      </c>
      <c r="D56" s="14">
        <f t="shared" si="22"/>
        <v>528.21600000000001</v>
      </c>
      <c r="E56" s="14">
        <f t="shared" si="22"/>
        <v>536.56181279999998</v>
      </c>
      <c r="F56" s="14">
        <f t="shared" si="22"/>
        <v>545.03948944223998</v>
      </c>
      <c r="G56" s="14">
        <f t="shared" si="22"/>
        <v>553.65111337542737</v>
      </c>
    </row>
    <row r="57" spans="1:7" x14ac:dyDescent="0.25">
      <c r="A57" s="100" t="s">
        <v>229</v>
      </c>
      <c r="B57" s="48">
        <f t="shared" ref="B57:G57" si="23">SUM(B52:B56)</f>
        <v>5813.4003731518187</v>
      </c>
      <c r="C57" s="48">
        <f t="shared" si="23"/>
        <v>69760.804477821832</v>
      </c>
      <c r="D57" s="48">
        <f t="shared" si="23"/>
        <v>70863.025188571424</v>
      </c>
      <c r="E57" s="48">
        <f t="shared" si="23"/>
        <v>71982.660986550851</v>
      </c>
      <c r="F57" s="48">
        <f t="shared" si="23"/>
        <v>73119.987030138349</v>
      </c>
      <c r="G57" s="48">
        <f t="shared" si="23"/>
        <v>74275.282825214526</v>
      </c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215" t="s">
        <v>228</v>
      </c>
      <c r="B59" s="215"/>
      <c r="C59" s="215"/>
      <c r="D59" s="215"/>
      <c r="E59" s="215"/>
      <c r="F59" s="215"/>
      <c r="G59" s="215"/>
    </row>
    <row r="60" spans="1:7" x14ac:dyDescent="0.25">
      <c r="A60" s="4" t="s">
        <v>89</v>
      </c>
      <c r="B60" s="44">
        <f>'ACTIVOS FIJOS'!D21</f>
        <v>128.56</v>
      </c>
      <c r="C60" s="14">
        <f>B60*12</f>
        <v>1542.72</v>
      </c>
      <c r="D60" s="44">
        <f t="shared" ref="D60:G62" si="24">(C60*1.58%)+C60</f>
        <v>1567.0949760000001</v>
      </c>
      <c r="E60" s="44">
        <f t="shared" si="24"/>
        <v>1591.8550766208</v>
      </c>
      <c r="F60" s="44">
        <f t="shared" si="24"/>
        <v>1617.0063868314087</v>
      </c>
      <c r="G60" s="44">
        <f t="shared" si="24"/>
        <v>1642.555087743345</v>
      </c>
    </row>
    <row r="61" spans="1:7" x14ac:dyDescent="0.25">
      <c r="A61" s="5" t="s">
        <v>12</v>
      </c>
      <c r="B61" s="44">
        <f>'ACTIVOS FIJOS'!D22</f>
        <v>172</v>
      </c>
      <c r="C61" s="14">
        <f>B61*12</f>
        <v>2064</v>
      </c>
      <c r="D61" s="44">
        <f t="shared" si="24"/>
        <v>2096.6111999999998</v>
      </c>
      <c r="E61" s="44">
        <f t="shared" si="24"/>
        <v>2129.7376569599996</v>
      </c>
      <c r="F61" s="44">
        <f t="shared" si="24"/>
        <v>2163.3875119399677</v>
      </c>
      <c r="G61" s="44">
        <f t="shared" si="24"/>
        <v>2197.5690346286192</v>
      </c>
    </row>
    <row r="62" spans="1:7" x14ac:dyDescent="0.25">
      <c r="A62" s="5" t="s">
        <v>14</v>
      </c>
      <c r="B62" s="44">
        <f>'ACTIVOS FIJOS'!D23</f>
        <v>6.2</v>
      </c>
      <c r="C62" s="14">
        <f>B62*12</f>
        <v>74.400000000000006</v>
      </c>
      <c r="D62" s="44">
        <f t="shared" si="24"/>
        <v>75.575520000000012</v>
      </c>
      <c r="E62" s="44">
        <f t="shared" si="24"/>
        <v>76.76961321600001</v>
      </c>
      <c r="F62" s="44">
        <f t="shared" si="24"/>
        <v>77.982573104812815</v>
      </c>
      <c r="G62" s="44">
        <f t="shared" si="24"/>
        <v>79.214697759868855</v>
      </c>
    </row>
    <row r="63" spans="1:7" x14ac:dyDescent="0.25">
      <c r="A63" s="4" t="s">
        <v>87</v>
      </c>
      <c r="B63" s="44">
        <f>C63/12</f>
        <v>4.2</v>
      </c>
      <c r="C63" s="14">
        <f>'MATERIA PRIMA'!K6</f>
        <v>50.4</v>
      </c>
      <c r="D63" s="14">
        <f>(C63*1.58%)+C63</f>
        <v>51.19632</v>
      </c>
      <c r="E63" s="14">
        <f>(D63*1.58%)+D63</f>
        <v>52.005221855999999</v>
      </c>
      <c r="F63" s="14">
        <f>(E63*1.58%)+E63</f>
        <v>52.8269043613248</v>
      </c>
      <c r="G63" s="14">
        <f>(F63*1.58%)+F63</f>
        <v>53.661569450233735</v>
      </c>
    </row>
    <row r="64" spans="1:7" x14ac:dyDescent="0.25">
      <c r="A64" s="4" t="s">
        <v>90</v>
      </c>
      <c r="B64" s="44">
        <f>C64/12</f>
        <v>5</v>
      </c>
      <c r="C64" s="14">
        <f>'MATERIA PRIMA'!K7</f>
        <v>60</v>
      </c>
      <c r="D64" s="14">
        <f t="shared" ref="D64:G65" si="25">(C64*1.58%)+C64</f>
        <v>60.948</v>
      </c>
      <c r="E64" s="14">
        <f t="shared" si="25"/>
        <v>61.910978399999998</v>
      </c>
      <c r="F64" s="14">
        <f t="shared" si="25"/>
        <v>62.889171858719997</v>
      </c>
      <c r="G64" s="14">
        <f t="shared" si="25"/>
        <v>63.882820774087776</v>
      </c>
    </row>
    <row r="65" spans="1:7" x14ac:dyDescent="0.25">
      <c r="A65" s="4" t="s">
        <v>224</v>
      </c>
      <c r="B65" s="44">
        <f>C65/12</f>
        <v>6.25</v>
      </c>
      <c r="C65" s="14">
        <f>'MATERIA PRIMA'!K8</f>
        <v>75</v>
      </c>
      <c r="D65" s="14">
        <f t="shared" si="25"/>
        <v>76.185000000000002</v>
      </c>
      <c r="E65" s="14">
        <f t="shared" si="25"/>
        <v>77.388722999999999</v>
      </c>
      <c r="F65" s="14">
        <f t="shared" si="25"/>
        <v>78.611464823399999</v>
      </c>
      <c r="G65" s="14">
        <f t="shared" si="25"/>
        <v>79.853525967609713</v>
      </c>
    </row>
    <row r="66" spans="1:7" x14ac:dyDescent="0.25">
      <c r="A66" s="100" t="s">
        <v>230</v>
      </c>
      <c r="B66" s="48">
        <f t="shared" ref="B66:G66" si="26">SUM(B60:B65)</f>
        <v>322.20999999999998</v>
      </c>
      <c r="C66" s="48">
        <f t="shared" si="26"/>
        <v>3866.5200000000004</v>
      </c>
      <c r="D66" s="48">
        <f t="shared" si="26"/>
        <v>3927.6110159999994</v>
      </c>
      <c r="E66" s="48">
        <f t="shared" si="26"/>
        <v>3989.6672700527997</v>
      </c>
      <c r="F66" s="48">
        <f t="shared" si="26"/>
        <v>4052.7040129196344</v>
      </c>
      <c r="G66" s="48">
        <f t="shared" si="26"/>
        <v>4116.7367363237645</v>
      </c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215" t="s">
        <v>225</v>
      </c>
      <c r="B68" s="215"/>
      <c r="C68" s="215"/>
      <c r="D68" s="215"/>
      <c r="E68" s="215"/>
      <c r="F68" s="215"/>
      <c r="G68" s="215"/>
    </row>
    <row r="69" spans="1:7" x14ac:dyDescent="0.25">
      <c r="A69" s="4" t="s">
        <v>231</v>
      </c>
      <c r="B69" s="2">
        <f>C69/12</f>
        <v>125</v>
      </c>
      <c r="C69" s="2">
        <v>1500</v>
      </c>
      <c r="D69" s="2">
        <v>1500</v>
      </c>
      <c r="E69" s="2">
        <f>D69</f>
        <v>1500</v>
      </c>
      <c r="F69" s="2">
        <f>E69</f>
        <v>1500</v>
      </c>
      <c r="G69" s="2">
        <f>F69</f>
        <v>1500</v>
      </c>
    </row>
    <row r="70" spans="1:7" x14ac:dyDescent="0.25">
      <c r="A70" s="100" t="s">
        <v>232</v>
      </c>
      <c r="B70" s="48">
        <f t="shared" ref="B70:G70" si="27">B69</f>
        <v>125</v>
      </c>
      <c r="C70" s="48">
        <f t="shared" si="27"/>
        <v>1500</v>
      </c>
      <c r="D70" s="48">
        <f t="shared" si="27"/>
        <v>1500</v>
      </c>
      <c r="E70" s="48">
        <f t="shared" si="27"/>
        <v>1500</v>
      </c>
      <c r="F70" s="48">
        <f t="shared" si="27"/>
        <v>1500</v>
      </c>
      <c r="G70" s="48">
        <f t="shared" si="27"/>
        <v>1500</v>
      </c>
    </row>
    <row r="71" spans="1:7" x14ac:dyDescent="0.25">
      <c r="A71" s="100"/>
      <c r="B71" s="48"/>
      <c r="C71" s="42"/>
      <c r="D71" s="42"/>
      <c r="E71" s="42"/>
      <c r="F71" s="42"/>
      <c r="G71" s="42"/>
    </row>
    <row r="72" spans="1:7" x14ac:dyDescent="0.25">
      <c r="A72" s="216" t="s">
        <v>186</v>
      </c>
      <c r="B72" s="216"/>
      <c r="C72" s="216"/>
      <c r="D72" s="216"/>
      <c r="E72" s="216"/>
      <c r="F72" s="216"/>
      <c r="G72" s="216"/>
    </row>
    <row r="73" spans="1:7" x14ac:dyDescent="0.25">
      <c r="A73" s="98" t="s">
        <v>187</v>
      </c>
      <c r="B73" s="14">
        <v>1100</v>
      </c>
      <c r="C73" s="14">
        <f>B73*12</f>
        <v>13200</v>
      </c>
      <c r="D73" s="14">
        <f>C73</f>
        <v>13200</v>
      </c>
      <c r="E73" s="14">
        <f>D73</f>
        <v>13200</v>
      </c>
      <c r="F73" s="14">
        <f>E73</f>
        <v>13200</v>
      </c>
      <c r="G73" s="14">
        <f>F73</f>
        <v>13200</v>
      </c>
    </row>
    <row r="74" spans="1:7" x14ac:dyDescent="0.25">
      <c r="A74" s="100" t="s">
        <v>196</v>
      </c>
      <c r="B74" s="42">
        <f t="shared" ref="B74:G74" si="28">B73</f>
        <v>1100</v>
      </c>
      <c r="C74" s="42">
        <f t="shared" si="28"/>
        <v>13200</v>
      </c>
      <c r="D74" s="42">
        <f t="shared" si="28"/>
        <v>13200</v>
      </c>
      <c r="E74" s="42">
        <f t="shared" si="28"/>
        <v>13200</v>
      </c>
      <c r="F74" s="42">
        <f t="shared" si="28"/>
        <v>13200</v>
      </c>
      <c r="G74" s="42">
        <f t="shared" si="28"/>
        <v>13200</v>
      </c>
    </row>
    <row r="75" spans="1:7" x14ac:dyDescent="0.25">
      <c r="A75" s="4"/>
      <c r="B75" s="4"/>
      <c r="C75" s="4"/>
      <c r="D75" s="4"/>
      <c r="E75" s="4"/>
      <c r="F75" s="4"/>
      <c r="G75" s="4"/>
    </row>
    <row r="76" spans="1:7" x14ac:dyDescent="0.25">
      <c r="A76" s="212" t="s">
        <v>29</v>
      </c>
      <c r="B76" s="212"/>
      <c r="C76" s="212"/>
      <c r="D76" s="212"/>
      <c r="E76" s="212"/>
      <c r="F76" s="212"/>
      <c r="G76" s="212"/>
    </row>
    <row r="77" spans="1:7" x14ac:dyDescent="0.25">
      <c r="A77" s="5" t="s">
        <v>30</v>
      </c>
      <c r="B77" s="2">
        <f>C77/12</f>
        <v>75</v>
      </c>
      <c r="C77" s="7">
        <v>900</v>
      </c>
      <c r="D77" s="2">
        <v>0</v>
      </c>
      <c r="E77" s="2">
        <v>0</v>
      </c>
      <c r="F77" s="2">
        <v>0</v>
      </c>
      <c r="G77" s="2">
        <v>0</v>
      </c>
    </row>
    <row r="78" spans="1:7" x14ac:dyDescent="0.25">
      <c r="A78" s="5" t="s">
        <v>31</v>
      </c>
      <c r="B78" s="2">
        <f>C78/12</f>
        <v>91.666666666666671</v>
      </c>
      <c r="C78" s="7">
        <v>1100</v>
      </c>
      <c r="D78" s="2">
        <v>0</v>
      </c>
      <c r="E78" s="2">
        <v>0</v>
      </c>
      <c r="F78" s="2">
        <v>0</v>
      </c>
      <c r="G78" s="2">
        <v>0</v>
      </c>
    </row>
    <row r="79" spans="1:7" x14ac:dyDescent="0.25">
      <c r="A79" s="4" t="s">
        <v>109</v>
      </c>
      <c r="B79" s="2">
        <f>C79/12</f>
        <v>150</v>
      </c>
      <c r="C79" s="7">
        <v>1800</v>
      </c>
      <c r="D79" s="2">
        <v>0</v>
      </c>
      <c r="E79" s="2">
        <v>0</v>
      </c>
      <c r="F79" s="2">
        <v>0</v>
      </c>
      <c r="G79" s="2">
        <v>0</v>
      </c>
    </row>
    <row r="80" spans="1:7" x14ac:dyDescent="0.25">
      <c r="A80" s="18" t="s">
        <v>255</v>
      </c>
      <c r="B80" s="29">
        <f>SUM(B77:B79)</f>
        <v>316.66666666666669</v>
      </c>
      <c r="C80" s="29">
        <f>SUM(C77:C79)</f>
        <v>3800</v>
      </c>
      <c r="D80" s="29">
        <v>0</v>
      </c>
      <c r="E80" s="29">
        <v>0</v>
      </c>
      <c r="F80" s="29">
        <v>0</v>
      </c>
      <c r="G80" s="29">
        <v>0</v>
      </c>
    </row>
    <row r="81" spans="1:10" x14ac:dyDescent="0.25">
      <c r="A81" s="144" t="s">
        <v>323</v>
      </c>
      <c r="B81" s="101">
        <f t="shared" ref="B81:G81" si="29">B16+B32+B36+B43+B49+B57+B66+B70+B74+B80</f>
        <v>18533.677706485152</v>
      </c>
      <c r="C81" s="101">
        <f t="shared" si="29"/>
        <v>222404.13247782181</v>
      </c>
      <c r="D81" s="101">
        <f t="shared" si="29"/>
        <v>211240.88567657143</v>
      </c>
      <c r="E81" s="101">
        <f t="shared" si="29"/>
        <v>208217.81157586124</v>
      </c>
      <c r="F81" s="101">
        <f t="shared" si="29"/>
        <v>208095.22890435983</v>
      </c>
      <c r="G81" s="101">
        <f t="shared" si="29"/>
        <v>207993.46142664872</v>
      </c>
    </row>
    <row r="82" spans="1:10" x14ac:dyDescent="0.25">
      <c r="B82" s="50"/>
      <c r="C82" s="43"/>
      <c r="D82" s="38"/>
      <c r="E82" s="213"/>
      <c r="F82" s="213"/>
      <c r="G82" s="213"/>
      <c r="I82" s="30"/>
      <c r="J82" s="16"/>
    </row>
    <row r="83" spans="1:10" x14ac:dyDescent="0.25">
      <c r="B83" s="37"/>
      <c r="C83" s="16"/>
      <c r="D83" s="30"/>
      <c r="E83" s="37"/>
      <c r="F83" s="37"/>
      <c r="G83" s="39"/>
    </row>
    <row r="84" spans="1:10" x14ac:dyDescent="0.25">
      <c r="B84" s="37"/>
      <c r="C84" s="39"/>
      <c r="D84" s="37"/>
      <c r="E84" s="37"/>
      <c r="F84" s="37"/>
      <c r="G84" s="39"/>
    </row>
    <row r="85" spans="1:10" x14ac:dyDescent="0.25">
      <c r="B85" s="37"/>
      <c r="C85" s="39"/>
      <c r="D85" s="14"/>
      <c r="E85" s="37"/>
      <c r="F85" s="37"/>
      <c r="G85" s="39"/>
    </row>
    <row r="86" spans="1:10" x14ac:dyDescent="0.25">
      <c r="B86" s="37"/>
      <c r="C86" s="39"/>
      <c r="D86" s="37"/>
      <c r="E86" s="37"/>
      <c r="F86" s="37"/>
      <c r="G86" s="39"/>
    </row>
    <row r="87" spans="1:10" x14ac:dyDescent="0.25">
      <c r="E87" s="37"/>
      <c r="F87" s="37"/>
      <c r="G87" s="39"/>
    </row>
    <row r="88" spans="1:10" x14ac:dyDescent="0.25">
      <c r="E88" s="37"/>
      <c r="F88" s="37"/>
      <c r="G88" s="39"/>
    </row>
    <row r="89" spans="1:10" x14ac:dyDescent="0.25">
      <c r="E89" s="18"/>
      <c r="F89" s="37"/>
      <c r="G89" s="39"/>
    </row>
    <row r="96" spans="1:10" x14ac:dyDescent="0.25">
      <c r="A96" s="43"/>
    </row>
    <row r="97" spans="1:1" x14ac:dyDescent="0.25">
      <c r="A97" s="37"/>
    </row>
    <row r="98" spans="1:1" x14ac:dyDescent="0.25">
      <c r="A98" s="37"/>
    </row>
    <row r="99" spans="1:1" x14ac:dyDescent="0.25">
      <c r="A99" s="37"/>
    </row>
    <row r="100" spans="1:1" x14ac:dyDescent="0.25">
      <c r="A100" s="18"/>
    </row>
  </sheetData>
  <mergeCells count="17">
    <mergeCell ref="A1:G1"/>
    <mergeCell ref="E82:G82"/>
    <mergeCell ref="A18:G18"/>
    <mergeCell ref="A3:G3"/>
    <mergeCell ref="A34:G34"/>
    <mergeCell ref="A38:G38"/>
    <mergeCell ref="A45:G45"/>
    <mergeCell ref="A72:G72"/>
    <mergeCell ref="A68:G68"/>
    <mergeCell ref="A51:G51"/>
    <mergeCell ref="A59:G59"/>
    <mergeCell ref="A76:G76"/>
    <mergeCell ref="P1:U1"/>
    <mergeCell ref="P11:U11"/>
    <mergeCell ref="P3:U3"/>
    <mergeCell ref="I1:N1"/>
    <mergeCell ref="I3:N3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80" zoomScaleNormal="80" workbookViewId="0">
      <selection sqref="A1:L1"/>
    </sheetView>
  </sheetViews>
  <sheetFormatPr defaultColWidth="11.42578125" defaultRowHeight="15" x14ac:dyDescent="0.25"/>
  <cols>
    <col min="1" max="1" width="26" customWidth="1"/>
    <col min="2" max="2" width="9.140625" customWidth="1"/>
    <col min="3" max="3" width="8.42578125" customWidth="1"/>
    <col min="4" max="4" width="8.28515625" customWidth="1"/>
    <col min="5" max="5" width="11.85546875" customWidth="1"/>
    <col min="6" max="6" width="9.42578125" customWidth="1"/>
    <col min="7" max="7" width="10" customWidth="1"/>
    <col min="8" max="8" width="7.5703125" customWidth="1"/>
    <col min="9" max="9" width="11" customWidth="1"/>
    <col min="10" max="10" width="8.7109375" customWidth="1"/>
    <col min="11" max="11" width="10.42578125" customWidth="1"/>
    <col min="12" max="12" width="11.140625" customWidth="1"/>
    <col min="14" max="14" width="26.85546875" customWidth="1"/>
    <col min="15" max="15" width="13" customWidth="1"/>
  </cols>
  <sheetData>
    <row r="1" spans="1:19" ht="28.5" customHeight="1" x14ac:dyDescent="0.25">
      <c r="A1" s="209" t="s">
        <v>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9" ht="56.25" customHeight="1" x14ac:dyDescent="0.25">
      <c r="A2" s="113" t="s">
        <v>58</v>
      </c>
      <c r="B2" s="113" t="s">
        <v>47</v>
      </c>
      <c r="C2" s="113" t="s">
        <v>76</v>
      </c>
      <c r="D2" s="113" t="s">
        <v>77</v>
      </c>
      <c r="E2" s="113" t="s">
        <v>48</v>
      </c>
      <c r="F2" s="113" t="s">
        <v>49</v>
      </c>
      <c r="G2" s="113" t="s">
        <v>50</v>
      </c>
      <c r="H2" s="113" t="s">
        <v>51</v>
      </c>
      <c r="I2" s="113" t="s">
        <v>178</v>
      </c>
      <c r="J2" s="113" t="s">
        <v>46</v>
      </c>
      <c r="K2" s="113" t="s">
        <v>52</v>
      </c>
      <c r="L2" s="113" t="s">
        <v>277</v>
      </c>
      <c r="N2" s="218" t="s">
        <v>285</v>
      </c>
      <c r="O2" s="218"/>
    </row>
    <row r="3" spans="1:19" x14ac:dyDescent="0.25">
      <c r="A3" s="111" t="s">
        <v>66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146" t="s">
        <v>286</v>
      </c>
      <c r="O3" s="16">
        <v>292</v>
      </c>
    </row>
    <row r="4" spans="1:19" x14ac:dyDescent="0.25">
      <c r="A4" s="111" t="s">
        <v>57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146" t="s">
        <v>287</v>
      </c>
      <c r="O4" s="76">
        <v>9.35E-2</v>
      </c>
    </row>
    <row r="5" spans="1:19" x14ac:dyDescent="0.25">
      <c r="A5" s="23" t="s">
        <v>54</v>
      </c>
      <c r="B5" s="7">
        <v>500</v>
      </c>
      <c r="C5" s="7">
        <f>B5/12</f>
        <v>41.666666666666664</v>
      </c>
      <c r="D5" s="7">
        <f>B5/12</f>
        <v>41.666666666666664</v>
      </c>
      <c r="E5" s="7">
        <f>B5/24</f>
        <v>20.833333333333332</v>
      </c>
      <c r="F5" s="7">
        <f>B5/12</f>
        <v>41.666666666666664</v>
      </c>
      <c r="G5" s="7">
        <f>B5*11.15%</f>
        <v>55.75</v>
      </c>
      <c r="H5" s="7">
        <f>B5*1%</f>
        <v>5</v>
      </c>
      <c r="I5" s="7">
        <f>SUM(B5:H5)</f>
        <v>706.58333333333326</v>
      </c>
      <c r="J5" s="6">
        <v>1</v>
      </c>
      <c r="K5" s="35">
        <f>I5*J5</f>
        <v>706.58333333333326</v>
      </c>
      <c r="L5" s="35">
        <f>K5*12</f>
        <v>8479</v>
      </c>
      <c r="N5" s="146" t="s">
        <v>288</v>
      </c>
      <c r="O5" s="76">
        <v>0.1115</v>
      </c>
    </row>
    <row r="6" spans="1:19" x14ac:dyDescent="0.25">
      <c r="A6" s="23" t="s">
        <v>55</v>
      </c>
      <c r="B6" s="7">
        <v>292</v>
      </c>
      <c r="C6" s="7">
        <f t="shared" ref="C6:C16" si="0">B6/12</f>
        <v>24.333333333333332</v>
      </c>
      <c r="D6" s="7">
        <f t="shared" ref="D6:D16" si="1">B6/12</f>
        <v>24.333333333333332</v>
      </c>
      <c r="E6" s="7">
        <f t="shared" ref="E6:E16" si="2">B6/24</f>
        <v>12.166666666666666</v>
      </c>
      <c r="F6" s="7">
        <f t="shared" ref="F6:F16" si="3">B6/12</f>
        <v>24.333333333333332</v>
      </c>
      <c r="G6" s="7">
        <f t="shared" ref="G6:G16" si="4">B6*11.15%</f>
        <v>32.558</v>
      </c>
      <c r="H6" s="7">
        <f t="shared" ref="H6:H16" si="5">B6*1%</f>
        <v>2.92</v>
      </c>
      <c r="I6" s="7">
        <f>SUM(B6:H6)</f>
        <v>412.64466666666664</v>
      </c>
      <c r="J6" s="6">
        <v>1</v>
      </c>
      <c r="K6" s="35">
        <f t="shared" ref="K6:K16" si="6">I6*J6</f>
        <v>412.64466666666664</v>
      </c>
      <c r="L6" s="35">
        <f t="shared" ref="L6:L16" si="7">K6*12</f>
        <v>4951.7359999999999</v>
      </c>
      <c r="N6" s="37" t="s">
        <v>51</v>
      </c>
      <c r="O6" s="76">
        <v>0.01</v>
      </c>
    </row>
    <row r="7" spans="1:19" x14ac:dyDescent="0.25">
      <c r="A7" s="23" t="s">
        <v>56</v>
      </c>
      <c r="B7" s="7">
        <v>400</v>
      </c>
      <c r="C7" s="7">
        <f t="shared" si="0"/>
        <v>33.333333333333336</v>
      </c>
      <c r="D7" s="7">
        <f t="shared" si="1"/>
        <v>33.333333333333336</v>
      </c>
      <c r="E7" s="7">
        <f t="shared" si="2"/>
        <v>16.666666666666668</v>
      </c>
      <c r="F7" s="7">
        <f t="shared" si="3"/>
        <v>33.333333333333336</v>
      </c>
      <c r="G7" s="7">
        <f t="shared" si="4"/>
        <v>44.6</v>
      </c>
      <c r="H7" s="7">
        <f t="shared" si="5"/>
        <v>4</v>
      </c>
      <c r="I7" s="7">
        <f>SUM(B7:H7)</f>
        <v>565.26666666666665</v>
      </c>
      <c r="J7" s="6">
        <v>1</v>
      </c>
      <c r="K7" s="35">
        <f t="shared" si="6"/>
        <v>565.26666666666665</v>
      </c>
      <c r="L7" s="35">
        <f t="shared" si="7"/>
        <v>6783.2</v>
      </c>
      <c r="N7" s="60" t="s">
        <v>67</v>
      </c>
      <c r="O7" s="129">
        <v>0.215</v>
      </c>
    </row>
    <row r="8" spans="1:19" x14ac:dyDescent="0.25">
      <c r="A8" s="111" t="s">
        <v>59</v>
      </c>
      <c r="B8" s="7"/>
      <c r="C8" s="7"/>
      <c r="D8" s="7"/>
      <c r="E8" s="7"/>
      <c r="F8" s="7"/>
      <c r="G8" s="7"/>
      <c r="H8" s="7"/>
      <c r="I8" s="7"/>
      <c r="J8" s="6"/>
      <c r="K8" s="35"/>
      <c r="L8" s="35"/>
    </row>
    <row r="9" spans="1:19" x14ac:dyDescent="0.25">
      <c r="A9" s="23" t="s">
        <v>60</v>
      </c>
      <c r="B9" s="7">
        <v>450</v>
      </c>
      <c r="C9" s="7">
        <f t="shared" si="0"/>
        <v>37.5</v>
      </c>
      <c r="D9" s="7">
        <f t="shared" si="1"/>
        <v>37.5</v>
      </c>
      <c r="E9" s="7">
        <f t="shared" si="2"/>
        <v>18.75</v>
      </c>
      <c r="F9" s="7">
        <f t="shared" si="3"/>
        <v>37.5</v>
      </c>
      <c r="G9" s="7">
        <f t="shared" si="4"/>
        <v>50.175000000000004</v>
      </c>
      <c r="H9" s="7">
        <f t="shared" si="5"/>
        <v>4.5</v>
      </c>
      <c r="I9" s="7">
        <f>SUM(B9:H9)</f>
        <v>635.92499999999995</v>
      </c>
      <c r="J9" s="6">
        <v>1</v>
      </c>
      <c r="K9" s="35">
        <f t="shared" si="6"/>
        <v>635.92499999999995</v>
      </c>
      <c r="L9" s="35">
        <f t="shared" si="7"/>
        <v>7631.0999999999995</v>
      </c>
    </row>
    <row r="10" spans="1:19" x14ac:dyDescent="0.25">
      <c r="A10" s="23" t="s">
        <v>55</v>
      </c>
      <c r="B10" s="7">
        <v>292</v>
      </c>
      <c r="C10" s="7">
        <f t="shared" si="0"/>
        <v>24.333333333333332</v>
      </c>
      <c r="D10" s="7">
        <f t="shared" si="1"/>
        <v>24.333333333333332</v>
      </c>
      <c r="E10" s="7">
        <f t="shared" si="2"/>
        <v>12.166666666666666</v>
      </c>
      <c r="F10" s="7">
        <f t="shared" si="3"/>
        <v>24.333333333333332</v>
      </c>
      <c r="G10" s="7">
        <f t="shared" si="4"/>
        <v>32.558</v>
      </c>
      <c r="H10" s="7">
        <f t="shared" si="5"/>
        <v>2.92</v>
      </c>
      <c r="I10" s="7">
        <f>SUM(B10:H10)</f>
        <v>412.64466666666664</v>
      </c>
      <c r="J10" s="6">
        <v>1</v>
      </c>
      <c r="K10" s="35">
        <f t="shared" si="6"/>
        <v>412.64466666666664</v>
      </c>
      <c r="L10" s="35">
        <f t="shared" si="7"/>
        <v>4951.7359999999999</v>
      </c>
    </row>
    <row r="11" spans="1:19" x14ac:dyDescent="0.25">
      <c r="A11" s="23" t="s">
        <v>61</v>
      </c>
      <c r="B11" s="7">
        <v>292</v>
      </c>
      <c r="C11" s="7">
        <f t="shared" si="0"/>
        <v>24.333333333333332</v>
      </c>
      <c r="D11" s="7">
        <f t="shared" si="1"/>
        <v>24.333333333333332</v>
      </c>
      <c r="E11" s="7">
        <f t="shared" si="2"/>
        <v>12.166666666666666</v>
      </c>
      <c r="F11" s="7">
        <f t="shared" si="3"/>
        <v>24.333333333333332</v>
      </c>
      <c r="G11" s="7">
        <f t="shared" si="4"/>
        <v>32.558</v>
      </c>
      <c r="H11" s="7">
        <f t="shared" si="5"/>
        <v>2.92</v>
      </c>
      <c r="I11" s="7">
        <f>SUM(B11:H11)</f>
        <v>412.64466666666664</v>
      </c>
      <c r="J11" s="6">
        <v>1</v>
      </c>
      <c r="K11" s="35">
        <f t="shared" si="6"/>
        <v>412.64466666666664</v>
      </c>
      <c r="L11" s="35">
        <f t="shared" si="7"/>
        <v>4951.7359999999999</v>
      </c>
      <c r="N11" s="204" t="s">
        <v>45</v>
      </c>
      <c r="O11" s="204"/>
      <c r="P11" s="204"/>
      <c r="Q11" s="204"/>
      <c r="R11" s="204"/>
      <c r="S11" s="204"/>
    </row>
    <row r="12" spans="1:19" x14ac:dyDescent="0.25">
      <c r="A12" s="112" t="s">
        <v>45</v>
      </c>
      <c r="B12" s="7"/>
      <c r="C12" s="7"/>
      <c r="D12" s="7"/>
      <c r="E12" s="7"/>
      <c r="F12" s="7"/>
      <c r="G12" s="7"/>
      <c r="H12" s="7"/>
      <c r="I12" s="7"/>
      <c r="J12" s="6"/>
      <c r="K12" s="35"/>
      <c r="L12" s="35"/>
      <c r="N12" s="103"/>
      <c r="O12" s="104" t="s">
        <v>68</v>
      </c>
      <c r="P12" s="104" t="s">
        <v>69</v>
      </c>
      <c r="Q12" s="104" t="s">
        <v>70</v>
      </c>
      <c r="R12" s="104" t="s">
        <v>71</v>
      </c>
      <c r="S12" s="104" t="s">
        <v>72</v>
      </c>
    </row>
    <row r="13" spans="1:19" x14ac:dyDescent="0.25">
      <c r="A13" s="111" t="s">
        <v>62</v>
      </c>
      <c r="B13" s="7"/>
      <c r="C13" s="7"/>
      <c r="D13" s="7"/>
      <c r="E13" s="7"/>
      <c r="F13" s="7"/>
      <c r="G13" s="7"/>
      <c r="H13" s="7"/>
      <c r="I13" s="7"/>
      <c r="J13" s="6"/>
      <c r="K13" s="35"/>
      <c r="L13" s="35"/>
      <c r="N13" s="28" t="s">
        <v>182</v>
      </c>
      <c r="O13" s="150">
        <f>GASTOS!C14</f>
        <v>44565.623999999996</v>
      </c>
      <c r="P13" s="150">
        <f>GASTOS!D14</f>
        <v>44565.623999999996</v>
      </c>
      <c r="Q13" s="150">
        <f>GASTOS!E14</f>
        <v>44565.623999999996</v>
      </c>
      <c r="R13" s="150">
        <f>GASTOS!F14</f>
        <v>44565.623999999996</v>
      </c>
      <c r="S13" s="150">
        <f>GASTOS!G14</f>
        <v>44565.623999999996</v>
      </c>
    </row>
    <row r="14" spans="1:19" x14ac:dyDescent="0.25">
      <c r="A14" s="23" t="s">
        <v>63</v>
      </c>
      <c r="B14" s="7">
        <v>450</v>
      </c>
      <c r="C14" s="7">
        <f t="shared" si="0"/>
        <v>37.5</v>
      </c>
      <c r="D14" s="7">
        <f t="shared" si="1"/>
        <v>37.5</v>
      </c>
      <c r="E14" s="7">
        <f t="shared" si="2"/>
        <v>18.75</v>
      </c>
      <c r="F14" s="7">
        <f t="shared" si="3"/>
        <v>37.5</v>
      </c>
      <c r="G14" s="7">
        <f t="shared" si="4"/>
        <v>50.175000000000004</v>
      </c>
      <c r="H14" s="7">
        <f t="shared" si="5"/>
        <v>4.5</v>
      </c>
      <c r="I14" s="7">
        <f>SUM(B14:H14)</f>
        <v>635.92499999999995</v>
      </c>
      <c r="J14" s="6">
        <v>1</v>
      </c>
      <c r="K14" s="35">
        <f t="shared" si="6"/>
        <v>635.92499999999995</v>
      </c>
      <c r="L14" s="35">
        <f t="shared" si="7"/>
        <v>7631.0999999999995</v>
      </c>
      <c r="N14" s="108" t="s">
        <v>67</v>
      </c>
      <c r="O14" s="109">
        <f>O13</f>
        <v>44565.623999999996</v>
      </c>
      <c r="P14" s="109">
        <f>P13</f>
        <v>44565.623999999996</v>
      </c>
      <c r="Q14" s="109">
        <f>Q13</f>
        <v>44565.623999999996</v>
      </c>
      <c r="R14" s="109">
        <f>R13</f>
        <v>44565.623999999996</v>
      </c>
      <c r="S14" s="109">
        <f>S13</f>
        <v>44565.623999999996</v>
      </c>
    </row>
    <row r="15" spans="1:19" x14ac:dyDescent="0.25">
      <c r="A15" s="23" t="s">
        <v>64</v>
      </c>
      <c r="B15" s="7">
        <v>292</v>
      </c>
      <c r="C15" s="7">
        <f t="shared" si="0"/>
        <v>24.333333333333332</v>
      </c>
      <c r="D15" s="7">
        <f t="shared" si="1"/>
        <v>24.333333333333332</v>
      </c>
      <c r="E15" s="7">
        <f t="shared" si="2"/>
        <v>12.166666666666666</v>
      </c>
      <c r="F15" s="7">
        <f t="shared" si="3"/>
        <v>24.333333333333332</v>
      </c>
      <c r="G15" s="7">
        <f t="shared" si="4"/>
        <v>32.558</v>
      </c>
      <c r="H15" s="7">
        <f t="shared" si="5"/>
        <v>2.92</v>
      </c>
      <c r="I15" s="7">
        <f>SUM(B15:H15)</f>
        <v>412.64466666666664</v>
      </c>
      <c r="J15" s="6">
        <v>9</v>
      </c>
      <c r="K15" s="35">
        <f t="shared" si="6"/>
        <v>3713.8019999999997</v>
      </c>
      <c r="L15" s="35">
        <f t="shared" si="7"/>
        <v>44565.623999999996</v>
      </c>
    </row>
    <row r="16" spans="1:19" x14ac:dyDescent="0.25">
      <c r="A16" s="23" t="s">
        <v>65</v>
      </c>
      <c r="B16" s="7">
        <v>292</v>
      </c>
      <c r="C16" s="7">
        <f t="shared" si="0"/>
        <v>24.333333333333332</v>
      </c>
      <c r="D16" s="7">
        <f t="shared" si="1"/>
        <v>24.333333333333332</v>
      </c>
      <c r="E16" s="7">
        <f t="shared" si="2"/>
        <v>12.166666666666666</v>
      </c>
      <c r="F16" s="7">
        <f t="shared" si="3"/>
        <v>24.333333333333332</v>
      </c>
      <c r="G16" s="7">
        <f t="shared" si="4"/>
        <v>32.558</v>
      </c>
      <c r="H16" s="7">
        <f t="shared" si="5"/>
        <v>2.92</v>
      </c>
      <c r="I16" s="7">
        <f>SUM(B16:H16)</f>
        <v>412.64466666666664</v>
      </c>
      <c r="J16" s="6">
        <v>1</v>
      </c>
      <c r="K16" s="35">
        <f t="shared" si="6"/>
        <v>412.64466666666664</v>
      </c>
      <c r="L16" s="35">
        <f t="shared" si="7"/>
        <v>4951.7359999999999</v>
      </c>
      <c r="N16" s="204" t="s">
        <v>66</v>
      </c>
      <c r="O16" s="204"/>
      <c r="P16" s="204"/>
      <c r="Q16" s="204"/>
      <c r="R16" s="204"/>
      <c r="S16" s="204"/>
    </row>
    <row r="17" spans="1:19" ht="15.75" x14ac:dyDescent="0.25">
      <c r="A17" s="217" t="s">
        <v>67</v>
      </c>
      <c r="B17" s="217"/>
      <c r="C17" s="217"/>
      <c r="D17" s="217"/>
      <c r="E17" s="217"/>
      <c r="F17" s="217"/>
      <c r="G17" s="217"/>
      <c r="H17" s="217"/>
      <c r="I17" s="11">
        <f>SUM(I5:I16)</f>
        <v>4606.9233333333341</v>
      </c>
      <c r="J17" s="106">
        <f>SUM(J5:J16)</f>
        <v>17</v>
      </c>
      <c r="K17" s="107">
        <f>SUM(K5:K16)</f>
        <v>7908.0806666666667</v>
      </c>
      <c r="L17" s="107">
        <f>SUM(L5:L16)</f>
        <v>94896.967999999993</v>
      </c>
      <c r="N17" s="103"/>
      <c r="O17" s="104" t="s">
        <v>68</v>
      </c>
      <c r="P17" s="104" t="s">
        <v>69</v>
      </c>
      <c r="Q17" s="104" t="s">
        <v>70</v>
      </c>
      <c r="R17" s="104" t="s">
        <v>71</v>
      </c>
      <c r="S17" s="104" t="s">
        <v>72</v>
      </c>
    </row>
    <row r="18" spans="1:19" x14ac:dyDescent="0.25">
      <c r="N18" t="s">
        <v>63</v>
      </c>
      <c r="O18" s="16">
        <f>GASTOS!C13</f>
        <v>7631.0999999999995</v>
      </c>
      <c r="P18" s="16">
        <f>GASTOS!D13</f>
        <v>7631.0999999999995</v>
      </c>
      <c r="Q18" s="16">
        <f>GASTOS!E13</f>
        <v>7631.0999999999995</v>
      </c>
      <c r="R18" s="16">
        <f>GASTOS!F13</f>
        <v>7631.0999999999995</v>
      </c>
      <c r="S18" s="16">
        <f>GASTOS!G13</f>
        <v>7631.0999999999995</v>
      </c>
    </row>
    <row r="19" spans="1:19" x14ac:dyDescent="0.25">
      <c r="N19" t="s">
        <v>65</v>
      </c>
      <c r="O19" s="16">
        <f>GASTOS!C15</f>
        <v>4951.7359999999999</v>
      </c>
      <c r="P19" s="16">
        <f>GASTOS!D15</f>
        <v>4951.7359999999999</v>
      </c>
      <c r="Q19" s="16">
        <f>GASTOS!E15</f>
        <v>4951.7359999999999</v>
      </c>
      <c r="R19" s="16">
        <f>GASTOS!F15</f>
        <v>4951.7359999999999</v>
      </c>
      <c r="S19" s="16">
        <f>GASTOS!G15</f>
        <v>4951.7359999999999</v>
      </c>
    </row>
    <row r="20" spans="1:19" x14ac:dyDescent="0.25">
      <c r="N20" s="108" t="s">
        <v>67</v>
      </c>
      <c r="O20" s="110">
        <f>O18+O19</f>
        <v>12582.835999999999</v>
      </c>
      <c r="P20" s="110">
        <f>P18+P19</f>
        <v>12582.835999999999</v>
      </c>
      <c r="Q20" s="110">
        <f>Q18+Q19</f>
        <v>12582.835999999999</v>
      </c>
      <c r="R20" s="110">
        <f>R18+R19</f>
        <v>12582.835999999999</v>
      </c>
      <c r="S20" s="110">
        <f>S18+S19</f>
        <v>12582.835999999999</v>
      </c>
    </row>
  </sheetData>
  <mergeCells count="5">
    <mergeCell ref="A1:L1"/>
    <mergeCell ref="A17:H17"/>
    <mergeCell ref="N2:O2"/>
    <mergeCell ref="N11:S11"/>
    <mergeCell ref="N16:S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0" zoomScaleNormal="90" workbookViewId="0">
      <selection sqref="A1:D1"/>
    </sheetView>
  </sheetViews>
  <sheetFormatPr defaultColWidth="11.42578125" defaultRowHeight="15" x14ac:dyDescent="0.25"/>
  <cols>
    <col min="1" max="1" width="29.7109375" customWidth="1"/>
    <col min="2" max="2" width="16.85546875" customWidth="1"/>
    <col min="3" max="3" width="14.7109375" customWidth="1"/>
    <col min="4" max="4" width="12.5703125" bestFit="1" customWidth="1"/>
    <col min="5" max="5" width="11.42578125" customWidth="1"/>
    <col min="6" max="6" width="14.42578125" customWidth="1"/>
    <col min="7" max="7" width="11.42578125" customWidth="1"/>
    <col min="8" max="8" width="37.28515625" bestFit="1" customWidth="1"/>
    <col min="9" max="9" width="11.42578125" customWidth="1"/>
    <col min="10" max="10" width="13" customWidth="1"/>
    <col min="11" max="11" width="11.42578125" customWidth="1"/>
  </cols>
  <sheetData>
    <row r="1" spans="1:13" x14ac:dyDescent="0.25">
      <c r="A1" s="204" t="s">
        <v>137</v>
      </c>
      <c r="B1" s="204"/>
      <c r="C1" s="204"/>
      <c r="D1" s="204"/>
      <c r="E1" s="4"/>
      <c r="H1" s="204" t="s">
        <v>144</v>
      </c>
      <c r="I1" s="204"/>
      <c r="J1" s="204"/>
      <c r="K1" s="204"/>
    </row>
    <row r="2" spans="1:13" x14ac:dyDescent="0.25">
      <c r="A2" s="68" t="s">
        <v>141</v>
      </c>
      <c r="B2" s="68" t="s">
        <v>2</v>
      </c>
      <c r="C2" s="68" t="s">
        <v>142</v>
      </c>
      <c r="D2" s="68" t="s">
        <v>143</v>
      </c>
      <c r="E2" s="4"/>
      <c r="H2" s="68" t="s">
        <v>141</v>
      </c>
      <c r="I2" s="68" t="s">
        <v>2</v>
      </c>
      <c r="J2" s="68" t="s">
        <v>142</v>
      </c>
      <c r="K2" s="68" t="s">
        <v>143</v>
      </c>
    </row>
    <row r="3" spans="1:13" x14ac:dyDescent="0.25">
      <c r="A3" s="4" t="s">
        <v>221</v>
      </c>
      <c r="B3" s="124">
        <f>INGRESOS!Q5*1.5</f>
        <v>9702.6863539745482</v>
      </c>
      <c r="C3" s="2">
        <v>7</v>
      </c>
      <c r="D3" s="2">
        <f>C3*B3</f>
        <v>67918.804477821832</v>
      </c>
      <c r="E3" s="4"/>
      <c r="H3" s="146" t="s">
        <v>89</v>
      </c>
      <c r="I3" s="171">
        <v>48</v>
      </c>
      <c r="J3" s="7">
        <v>32.14</v>
      </c>
      <c r="K3" s="16">
        <f>GASTOS!C60</f>
        <v>1542.72</v>
      </c>
    </row>
    <row r="4" spans="1:13" x14ac:dyDescent="0.25">
      <c r="A4" s="4" t="s">
        <v>222</v>
      </c>
      <c r="B4" s="36">
        <v>250</v>
      </c>
      <c r="C4" s="2">
        <v>3</v>
      </c>
      <c r="D4" s="2">
        <f>C4*B4</f>
        <v>750</v>
      </c>
      <c r="E4" s="4"/>
      <c r="H4" s="5" t="s">
        <v>12</v>
      </c>
      <c r="I4" s="171">
        <v>48</v>
      </c>
      <c r="J4" s="7">
        <v>43</v>
      </c>
      <c r="K4" s="16">
        <f>GASTOS!C61</f>
        <v>2064</v>
      </c>
    </row>
    <row r="5" spans="1:13" x14ac:dyDescent="0.25">
      <c r="A5" s="4" t="s">
        <v>139</v>
      </c>
      <c r="B5" s="36">
        <v>5200</v>
      </c>
      <c r="C5" s="2">
        <v>0.04</v>
      </c>
      <c r="D5" s="2">
        <f>B5*C5</f>
        <v>208</v>
      </c>
      <c r="E5" s="4"/>
      <c r="H5" s="5" t="s">
        <v>14</v>
      </c>
      <c r="I5" s="171">
        <v>48</v>
      </c>
      <c r="J5" s="7">
        <v>1.55</v>
      </c>
      <c r="K5" s="16">
        <f>GASTOS!C62</f>
        <v>74.400000000000006</v>
      </c>
    </row>
    <row r="6" spans="1:13" x14ac:dyDescent="0.25">
      <c r="A6" s="4" t="s">
        <v>223</v>
      </c>
      <c r="B6" s="36">
        <v>5200</v>
      </c>
      <c r="C6" s="2">
        <v>7.0000000000000007E-2</v>
      </c>
      <c r="D6" s="2">
        <f>B6*C6</f>
        <v>364.00000000000006</v>
      </c>
      <c r="E6" s="4"/>
      <c r="H6" s="4" t="s">
        <v>87</v>
      </c>
      <c r="I6" s="36">
        <v>120</v>
      </c>
      <c r="J6" s="2">
        <v>0.42</v>
      </c>
      <c r="K6" s="2">
        <f>I6*J6</f>
        <v>50.4</v>
      </c>
      <c r="L6" s="16"/>
    </row>
    <row r="7" spans="1:13" x14ac:dyDescent="0.25">
      <c r="A7" s="4" t="s">
        <v>140</v>
      </c>
      <c r="B7" s="36">
        <v>5200</v>
      </c>
      <c r="C7" s="2">
        <v>0.1</v>
      </c>
      <c r="D7" s="2">
        <f>B7*C7</f>
        <v>520</v>
      </c>
      <c r="E7" s="4"/>
      <c r="H7" s="4" t="s">
        <v>90</v>
      </c>
      <c r="I7" s="36">
        <v>100</v>
      </c>
      <c r="J7" s="2">
        <v>0.6</v>
      </c>
      <c r="K7" s="2">
        <f>I7*J7</f>
        <v>60</v>
      </c>
    </row>
    <row r="8" spans="1:13" x14ac:dyDescent="0.25">
      <c r="A8" s="10" t="s">
        <v>146</v>
      </c>
      <c r="B8" s="12"/>
      <c r="C8" s="77">
        <f>SUM(C3:C7)</f>
        <v>10.209999999999999</v>
      </c>
      <c r="D8" s="11">
        <f>SUM(D3:D7)</f>
        <v>69760.804477821832</v>
      </c>
      <c r="E8" s="4"/>
      <c r="H8" s="4" t="s">
        <v>224</v>
      </c>
      <c r="I8" s="36">
        <v>150</v>
      </c>
      <c r="J8" s="2">
        <v>0.5</v>
      </c>
      <c r="K8" s="2">
        <f>I8*J8</f>
        <v>75</v>
      </c>
    </row>
    <row r="9" spans="1:13" x14ac:dyDescent="0.25">
      <c r="A9" s="18"/>
      <c r="B9" s="20"/>
      <c r="C9" s="20"/>
      <c r="D9" s="19"/>
      <c r="E9" s="4"/>
      <c r="H9" s="10" t="s">
        <v>145</v>
      </c>
      <c r="I9" s="12"/>
      <c r="J9" s="11">
        <f>SUM(J3:J8)</f>
        <v>78.209999999999994</v>
      </c>
      <c r="K9" s="11">
        <f>SUM(K3:K8)</f>
        <v>3866.5200000000004</v>
      </c>
    </row>
    <row r="11" spans="1:13" x14ac:dyDescent="0.25">
      <c r="A11" s="219" t="s">
        <v>324</v>
      </c>
      <c r="B11" s="219"/>
      <c r="C11" s="219"/>
      <c r="D11" s="219"/>
      <c r="E11" s="219"/>
      <c r="F11" s="219"/>
      <c r="H11" s="219" t="s">
        <v>325</v>
      </c>
      <c r="I11" s="219"/>
      <c r="J11" s="219"/>
      <c r="K11" s="219"/>
      <c r="L11" s="219"/>
      <c r="M11" s="219"/>
    </row>
    <row r="12" spans="1:13" s="28" customFormat="1" x14ac:dyDescent="0.25">
      <c r="A12"/>
      <c r="B12" s="67" t="s">
        <v>68</v>
      </c>
      <c r="C12" s="67" t="s">
        <v>69</v>
      </c>
      <c r="D12" s="67" t="s">
        <v>70</v>
      </c>
      <c r="E12" s="67" t="s">
        <v>71</v>
      </c>
      <c r="F12" s="67" t="s">
        <v>72</v>
      </c>
      <c r="H12" s="4"/>
      <c r="I12" s="67" t="s">
        <v>68</v>
      </c>
      <c r="J12" s="67" t="s">
        <v>69</v>
      </c>
      <c r="K12" s="67" t="s">
        <v>70</v>
      </c>
      <c r="L12" s="67" t="s">
        <v>71</v>
      </c>
      <c r="M12" s="67" t="s">
        <v>72</v>
      </c>
    </row>
    <row r="13" spans="1:13" x14ac:dyDescent="0.25">
      <c r="A13" t="s">
        <v>221</v>
      </c>
      <c r="B13" s="16">
        <f>GASTOS!C52</f>
        <v>67918.804477821832</v>
      </c>
      <c r="C13" s="16">
        <f>GASTOS!D52</f>
        <v>68991.921588571422</v>
      </c>
      <c r="D13" s="16">
        <f>GASTOS!E52</f>
        <v>70081.993949670854</v>
      </c>
      <c r="E13" s="16">
        <f>GASTOS!F52</f>
        <v>71189.289454075653</v>
      </c>
      <c r="F13" s="16">
        <f>GASTOS!G52</f>
        <v>72314.080227450046</v>
      </c>
      <c r="H13" t="s">
        <v>89</v>
      </c>
      <c r="I13" s="16">
        <f>GASTOS!C60</f>
        <v>1542.72</v>
      </c>
      <c r="J13" s="16">
        <f>GASTOS!D60</f>
        <v>1567.0949760000001</v>
      </c>
      <c r="K13" s="16">
        <f>GASTOS!E60</f>
        <v>1591.8550766208</v>
      </c>
      <c r="L13" s="16">
        <f>GASTOS!F60</f>
        <v>1617.0063868314087</v>
      </c>
      <c r="M13" s="16">
        <f>GASTOS!G60</f>
        <v>1642.555087743345</v>
      </c>
    </row>
    <row r="14" spans="1:13" x14ac:dyDescent="0.25">
      <c r="A14" t="s">
        <v>222</v>
      </c>
      <c r="B14" s="16">
        <f>GASTOS!C53</f>
        <v>750</v>
      </c>
      <c r="C14" s="16">
        <f>GASTOS!D53</f>
        <v>761.85</v>
      </c>
      <c r="D14" s="16">
        <f>GASTOS!E53</f>
        <v>773.88723000000005</v>
      </c>
      <c r="E14" s="16">
        <f>GASTOS!F53</f>
        <v>786.11464823400001</v>
      </c>
      <c r="F14" s="16">
        <f>GASTOS!G53</f>
        <v>798.53525967609721</v>
      </c>
      <c r="H14" t="s">
        <v>12</v>
      </c>
      <c r="I14" s="16">
        <f>GASTOS!C61</f>
        <v>2064</v>
      </c>
      <c r="J14" s="16">
        <f>GASTOS!D61</f>
        <v>2096.6111999999998</v>
      </c>
      <c r="K14" s="16">
        <f>GASTOS!E61</f>
        <v>2129.7376569599996</v>
      </c>
      <c r="L14" s="16">
        <f>GASTOS!F61</f>
        <v>2163.3875119399677</v>
      </c>
      <c r="M14" s="16">
        <f>GASTOS!G61</f>
        <v>2197.5690346286192</v>
      </c>
    </row>
    <row r="15" spans="1:13" x14ac:dyDescent="0.25">
      <c r="A15" t="s">
        <v>139</v>
      </c>
      <c r="B15" s="16">
        <f>GASTOS!C54</f>
        <v>208</v>
      </c>
      <c r="C15" s="16">
        <f>GASTOS!D54</f>
        <v>211.28640000000001</v>
      </c>
      <c r="D15" s="16">
        <f>GASTOS!E54</f>
        <v>214.62472512000002</v>
      </c>
      <c r="E15" s="16">
        <f>GASTOS!F54</f>
        <v>218.01579577689603</v>
      </c>
      <c r="F15" s="16">
        <f>GASTOS!G54</f>
        <v>221.46044535017097</v>
      </c>
      <c r="H15" t="s">
        <v>14</v>
      </c>
      <c r="I15" s="16">
        <f>GASTOS!C62</f>
        <v>74.400000000000006</v>
      </c>
      <c r="J15" s="16">
        <f>GASTOS!D62</f>
        <v>75.575520000000012</v>
      </c>
      <c r="K15" s="16">
        <f>GASTOS!E62</f>
        <v>76.76961321600001</v>
      </c>
      <c r="L15" s="16">
        <f>GASTOS!F62</f>
        <v>77.982573104812815</v>
      </c>
      <c r="M15" s="16">
        <f>GASTOS!G62</f>
        <v>79.214697759868855</v>
      </c>
    </row>
    <row r="16" spans="1:13" x14ac:dyDescent="0.25">
      <c r="A16" t="s">
        <v>223</v>
      </c>
      <c r="B16" s="16">
        <f>GASTOS!C55</f>
        <v>364.00000000000006</v>
      </c>
      <c r="C16" s="16">
        <f>GASTOS!D55</f>
        <v>369.75120000000004</v>
      </c>
      <c r="D16" s="16">
        <f>GASTOS!E55</f>
        <v>375.59326896000005</v>
      </c>
      <c r="E16" s="16">
        <f>GASTOS!F55</f>
        <v>381.52764260956803</v>
      </c>
      <c r="F16" s="16">
        <f>GASTOS!G55</f>
        <v>387.55577936279923</v>
      </c>
      <c r="H16" t="s">
        <v>87</v>
      </c>
      <c r="I16" s="16">
        <f>GASTOS!C63</f>
        <v>50.4</v>
      </c>
      <c r="J16" s="16">
        <f>GASTOS!D63</f>
        <v>51.19632</v>
      </c>
      <c r="K16" s="16">
        <f>GASTOS!E63</f>
        <v>52.005221855999999</v>
      </c>
      <c r="L16" s="16">
        <f>GASTOS!F63</f>
        <v>52.8269043613248</v>
      </c>
      <c r="M16" s="16">
        <f>GASTOS!G63</f>
        <v>53.661569450233735</v>
      </c>
    </row>
    <row r="17" spans="1:13" x14ac:dyDescent="0.25">
      <c r="A17" t="s">
        <v>140</v>
      </c>
      <c r="B17" s="16">
        <f>GASTOS!C56</f>
        <v>520</v>
      </c>
      <c r="C17" s="16">
        <f>GASTOS!D56</f>
        <v>528.21600000000001</v>
      </c>
      <c r="D17" s="16">
        <f>GASTOS!E56</f>
        <v>536.56181279999998</v>
      </c>
      <c r="E17" s="16">
        <f>GASTOS!F56</f>
        <v>545.03948944223998</v>
      </c>
      <c r="F17" s="16">
        <f>GASTOS!G56</f>
        <v>553.65111337542737</v>
      </c>
      <c r="H17" t="s">
        <v>90</v>
      </c>
      <c r="I17" s="16">
        <f>GASTOS!C64</f>
        <v>60</v>
      </c>
      <c r="J17" s="16">
        <f>GASTOS!D64</f>
        <v>60.948</v>
      </c>
      <c r="K17" s="16">
        <f>GASTOS!E64</f>
        <v>61.910978399999998</v>
      </c>
      <c r="L17" s="16">
        <f>GASTOS!F64</f>
        <v>62.889171858719997</v>
      </c>
      <c r="M17" s="16">
        <f>GASTOS!G64</f>
        <v>63.882820774087776</v>
      </c>
    </row>
    <row r="18" spans="1:13" x14ac:dyDescent="0.25">
      <c r="A18" s="108" t="s">
        <v>67</v>
      </c>
      <c r="B18" s="110">
        <f>SUM(B13:B17)</f>
        <v>69760.804477821832</v>
      </c>
      <c r="C18" s="110">
        <f>SUM(C13:C17)</f>
        <v>70863.025188571424</v>
      </c>
      <c r="D18" s="110">
        <f>SUM(D13:D17)</f>
        <v>71982.660986550851</v>
      </c>
      <c r="E18" s="110">
        <f>SUM(E13:E17)</f>
        <v>73119.987030138349</v>
      </c>
      <c r="F18" s="110">
        <f>SUM(F13:F17)</f>
        <v>74275.282825214526</v>
      </c>
      <c r="H18" t="s">
        <v>271</v>
      </c>
      <c r="I18" s="16">
        <f>GASTOS!C65</f>
        <v>75</v>
      </c>
      <c r="J18" s="16">
        <f>GASTOS!D65</f>
        <v>76.185000000000002</v>
      </c>
      <c r="K18" s="16">
        <f>GASTOS!E65</f>
        <v>77.388722999999999</v>
      </c>
      <c r="L18" s="16">
        <f>GASTOS!F65</f>
        <v>78.611464823399999</v>
      </c>
      <c r="M18" s="16">
        <f>GASTOS!G65</f>
        <v>79.853525967609713</v>
      </c>
    </row>
    <row r="19" spans="1:13" x14ac:dyDescent="0.25">
      <c r="E19" s="4"/>
      <c r="H19" s="108" t="s">
        <v>67</v>
      </c>
      <c r="I19" s="110">
        <f>SUM(I13:I18)</f>
        <v>3866.5200000000004</v>
      </c>
      <c r="J19" s="110">
        <f>SUM(J13:J18)</f>
        <v>3927.6110159999994</v>
      </c>
      <c r="K19" s="110">
        <f>SUM(K13:K18)</f>
        <v>3989.6672700527997</v>
      </c>
      <c r="L19" s="110">
        <f>SUM(L13:L18)</f>
        <v>4052.7040129196344</v>
      </c>
      <c r="M19" s="110">
        <f>SUM(M13:M18)</f>
        <v>4116.7367363237645</v>
      </c>
    </row>
    <row r="20" spans="1:1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3" x14ac:dyDescent="0.25">
      <c r="A22" s="4"/>
      <c r="B22" s="4"/>
      <c r="C22" s="4"/>
      <c r="D22" s="4"/>
      <c r="E22" s="4"/>
      <c r="J22" s="4"/>
      <c r="K22" s="4"/>
    </row>
    <row r="23" spans="1:13" x14ac:dyDescent="0.25">
      <c r="A23" s="4"/>
      <c r="B23" s="4"/>
      <c r="C23" s="4"/>
      <c r="D23" s="4"/>
      <c r="E23" s="4"/>
      <c r="J23" s="4"/>
      <c r="K23" s="4"/>
    </row>
    <row r="24" spans="1:13" x14ac:dyDescent="0.25">
      <c r="A24" s="4"/>
      <c r="B24" s="4"/>
      <c r="C24" s="4"/>
      <c r="D24" s="4"/>
      <c r="E24" s="4"/>
      <c r="J24" s="4"/>
      <c r="K24" s="4"/>
    </row>
  </sheetData>
  <mergeCells count="4">
    <mergeCell ref="A1:D1"/>
    <mergeCell ref="H1:K1"/>
    <mergeCell ref="H11:M11"/>
    <mergeCell ref="A11:F1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90" zoomScaleNormal="90" workbookViewId="0">
      <selection sqref="A1:H1"/>
    </sheetView>
  </sheetViews>
  <sheetFormatPr defaultColWidth="11.42578125" defaultRowHeight="15" x14ac:dyDescent="0.25"/>
  <cols>
    <col min="1" max="1" width="28.7109375" customWidth="1"/>
    <col min="2" max="2" width="10.140625" customWidth="1"/>
    <col min="3" max="4" width="11.42578125" bestFit="1" customWidth="1"/>
    <col min="5" max="5" width="8.28515625" customWidth="1"/>
    <col min="6" max="6" width="12.5703125" customWidth="1"/>
    <col min="7" max="7" width="9.42578125" customWidth="1"/>
    <col min="8" max="8" width="13" customWidth="1"/>
  </cols>
  <sheetData>
    <row r="1" spans="1:8" x14ac:dyDescent="0.25">
      <c r="A1" s="220" t="s">
        <v>210</v>
      </c>
      <c r="B1" s="220"/>
      <c r="C1" s="220"/>
      <c r="D1" s="220"/>
      <c r="E1" s="220"/>
      <c r="F1" s="220"/>
      <c r="G1" s="220"/>
      <c r="H1" s="220"/>
    </row>
    <row r="2" spans="1:8" ht="39.75" customHeight="1" x14ac:dyDescent="0.25">
      <c r="A2" s="172" t="s">
        <v>153</v>
      </c>
      <c r="B2" s="172" t="s">
        <v>2</v>
      </c>
      <c r="C2" s="172" t="s">
        <v>154</v>
      </c>
      <c r="D2" s="172" t="s">
        <v>143</v>
      </c>
      <c r="E2" s="172" t="s">
        <v>155</v>
      </c>
      <c r="F2" s="172" t="s">
        <v>156</v>
      </c>
      <c r="G2" s="172" t="s">
        <v>306</v>
      </c>
      <c r="H2" s="172" t="s">
        <v>157</v>
      </c>
    </row>
    <row r="3" spans="1:8" x14ac:dyDescent="0.25">
      <c r="A3" s="221" t="s">
        <v>158</v>
      </c>
      <c r="B3" s="221"/>
      <c r="C3" s="221"/>
      <c r="D3" s="221"/>
      <c r="E3" s="221"/>
      <c r="F3" s="221"/>
      <c r="G3" s="221"/>
      <c r="H3" s="221"/>
    </row>
    <row r="4" spans="1:8" ht="38.25" customHeight="1" x14ac:dyDescent="0.25">
      <c r="A4" s="173" t="s">
        <v>21</v>
      </c>
      <c r="B4" s="174">
        <v>1</v>
      </c>
      <c r="C4" s="175">
        <f>'ACTIVOS FIJOS'!C3</f>
        <v>260</v>
      </c>
      <c r="D4" s="175">
        <f>C4*B4</f>
        <v>260</v>
      </c>
      <c r="E4" s="174">
        <v>10</v>
      </c>
      <c r="F4" s="175">
        <f>D4/E4</f>
        <v>26</v>
      </c>
      <c r="G4" s="174">
        <v>10</v>
      </c>
      <c r="H4" s="175">
        <f>G4*F4</f>
        <v>260</v>
      </c>
    </row>
    <row r="5" spans="1:8" ht="35.25" customHeight="1" x14ac:dyDescent="0.25">
      <c r="A5" s="173" t="s">
        <v>3</v>
      </c>
      <c r="B5" s="174">
        <v>1</v>
      </c>
      <c r="C5" s="175">
        <f>'ACTIVOS FIJOS'!C4</f>
        <v>1790</v>
      </c>
      <c r="D5" s="175">
        <f>C5*B5</f>
        <v>1790</v>
      </c>
      <c r="E5" s="174">
        <v>10</v>
      </c>
      <c r="F5" s="175">
        <f t="shared" ref="F5:F12" si="0">D5/E5</f>
        <v>179</v>
      </c>
      <c r="G5" s="174">
        <v>10</v>
      </c>
      <c r="H5" s="175">
        <f t="shared" ref="H5:H11" si="1">G5*F5</f>
        <v>1790</v>
      </c>
    </row>
    <row r="6" spans="1:8" ht="30" customHeight="1" x14ac:dyDescent="0.25">
      <c r="A6" s="173" t="s">
        <v>278</v>
      </c>
      <c r="B6" s="174">
        <v>1</v>
      </c>
      <c r="C6" s="175">
        <f>'ACTIVOS FIJOS'!C5</f>
        <v>1870</v>
      </c>
      <c r="D6" s="175">
        <f t="shared" ref="D6:D11" si="2">C6*B6</f>
        <v>1870</v>
      </c>
      <c r="E6" s="174">
        <v>10</v>
      </c>
      <c r="F6" s="175">
        <f t="shared" si="0"/>
        <v>187</v>
      </c>
      <c r="G6" s="174">
        <v>10</v>
      </c>
      <c r="H6" s="175">
        <f t="shared" si="1"/>
        <v>1870</v>
      </c>
    </row>
    <row r="7" spans="1:8" ht="30" customHeight="1" x14ac:dyDescent="0.25">
      <c r="A7" s="173" t="s">
        <v>5</v>
      </c>
      <c r="B7" s="174">
        <v>1</v>
      </c>
      <c r="C7" s="175">
        <f>'ACTIVOS FIJOS'!C6</f>
        <v>1520</v>
      </c>
      <c r="D7" s="175">
        <f t="shared" si="2"/>
        <v>1520</v>
      </c>
      <c r="E7" s="174">
        <v>10</v>
      </c>
      <c r="F7" s="175">
        <f t="shared" si="0"/>
        <v>152</v>
      </c>
      <c r="G7" s="174">
        <v>10</v>
      </c>
      <c r="H7" s="175">
        <f t="shared" si="1"/>
        <v>1520</v>
      </c>
    </row>
    <row r="8" spans="1:8" ht="30" x14ac:dyDescent="0.25">
      <c r="A8" s="173" t="s">
        <v>6</v>
      </c>
      <c r="B8" s="174">
        <v>1</v>
      </c>
      <c r="C8" s="175">
        <f>'ACTIVOS FIJOS'!C7</f>
        <v>5600</v>
      </c>
      <c r="D8" s="175">
        <f t="shared" si="2"/>
        <v>5600</v>
      </c>
      <c r="E8" s="174">
        <v>10</v>
      </c>
      <c r="F8" s="175">
        <f t="shared" si="0"/>
        <v>560</v>
      </c>
      <c r="G8" s="174">
        <v>10</v>
      </c>
      <c r="H8" s="175">
        <f t="shared" si="1"/>
        <v>5600</v>
      </c>
    </row>
    <row r="9" spans="1:8" ht="30" customHeight="1" x14ac:dyDescent="0.25">
      <c r="A9" s="176" t="s">
        <v>7</v>
      </c>
      <c r="B9" s="174">
        <v>1</v>
      </c>
      <c r="C9" s="175">
        <f>'ACTIVOS FIJOS'!C8</f>
        <v>5400</v>
      </c>
      <c r="D9" s="175">
        <f t="shared" si="2"/>
        <v>5400</v>
      </c>
      <c r="E9" s="174">
        <v>10</v>
      </c>
      <c r="F9" s="175">
        <f t="shared" si="0"/>
        <v>540</v>
      </c>
      <c r="G9" s="174">
        <v>10</v>
      </c>
      <c r="H9" s="175">
        <f t="shared" si="1"/>
        <v>5400</v>
      </c>
    </row>
    <row r="10" spans="1:8" ht="30" customHeight="1" x14ac:dyDescent="0.25">
      <c r="A10" s="173" t="s">
        <v>8</v>
      </c>
      <c r="B10" s="174">
        <v>1</v>
      </c>
      <c r="C10" s="175">
        <f>'ACTIVOS FIJOS'!C9</f>
        <v>3500</v>
      </c>
      <c r="D10" s="175">
        <f>C10*B10</f>
        <v>3500</v>
      </c>
      <c r="E10" s="174">
        <v>10</v>
      </c>
      <c r="F10" s="175">
        <f t="shared" si="0"/>
        <v>350</v>
      </c>
      <c r="G10" s="174">
        <v>10</v>
      </c>
      <c r="H10" s="175">
        <f t="shared" si="1"/>
        <v>3500</v>
      </c>
    </row>
    <row r="11" spans="1:8" ht="30" customHeight="1" x14ac:dyDescent="0.25">
      <c r="A11" s="173" t="s">
        <v>9</v>
      </c>
      <c r="B11" s="177">
        <v>1</v>
      </c>
      <c r="C11" s="175">
        <f>'ACTIVOS FIJOS'!C10</f>
        <v>3300</v>
      </c>
      <c r="D11" s="178">
        <f t="shared" si="2"/>
        <v>3300</v>
      </c>
      <c r="E11" s="174">
        <v>10</v>
      </c>
      <c r="F11" s="175">
        <f t="shared" si="0"/>
        <v>330</v>
      </c>
      <c r="G11" s="174">
        <v>10</v>
      </c>
      <c r="H11" s="178">
        <f t="shared" si="1"/>
        <v>3300</v>
      </c>
    </row>
    <row r="12" spans="1:8" ht="30" customHeight="1" x14ac:dyDescent="0.25">
      <c r="A12" s="173" t="s">
        <v>10</v>
      </c>
      <c r="B12" s="174">
        <v>1</v>
      </c>
      <c r="C12" s="175">
        <f>'ACTIVOS FIJOS'!C11</f>
        <v>15000</v>
      </c>
      <c r="D12" s="175">
        <f>C12*B12</f>
        <v>15000</v>
      </c>
      <c r="E12" s="174">
        <v>10</v>
      </c>
      <c r="F12" s="175">
        <f t="shared" si="0"/>
        <v>1500</v>
      </c>
      <c r="G12" s="174">
        <v>10</v>
      </c>
      <c r="H12" s="175">
        <f>G12*F12</f>
        <v>15000</v>
      </c>
    </row>
    <row r="13" spans="1:8" ht="30" customHeight="1" x14ac:dyDescent="0.25">
      <c r="A13" s="179" t="s">
        <v>11</v>
      </c>
      <c r="B13" s="180"/>
      <c r="C13" s="178"/>
      <c r="D13" s="181">
        <f>SUM(D4:D12)</f>
        <v>38240</v>
      </c>
      <c r="E13" s="180"/>
      <c r="F13" s="181">
        <f>SUM(F4:F12)</f>
        <v>3824</v>
      </c>
      <c r="G13" s="177"/>
      <c r="H13" s="181">
        <f>SUM(H4:H12)</f>
        <v>38240</v>
      </c>
    </row>
    <row r="14" spans="1:8" x14ac:dyDescent="0.25">
      <c r="A14" s="222" t="s">
        <v>85</v>
      </c>
      <c r="B14" s="222"/>
      <c r="C14" s="222"/>
      <c r="D14" s="222"/>
      <c r="E14" s="222"/>
      <c r="F14" s="222"/>
      <c r="G14" s="222"/>
      <c r="H14" s="222"/>
    </row>
    <row r="15" spans="1:8" ht="15" customHeight="1" x14ac:dyDescent="0.25">
      <c r="A15" s="182" t="s">
        <v>165</v>
      </c>
      <c r="B15" s="174">
        <v>1</v>
      </c>
      <c r="C15" s="175">
        <f>'ACTIVOS FIJOS'!C15</f>
        <v>13000</v>
      </c>
      <c r="D15" s="175">
        <f>C15*1</f>
        <v>13000</v>
      </c>
      <c r="E15" s="174">
        <v>10</v>
      </c>
      <c r="F15" s="175">
        <f>D15/E15</f>
        <v>1300</v>
      </c>
      <c r="G15" s="174">
        <v>10</v>
      </c>
      <c r="H15" s="175">
        <f>F15*G15</f>
        <v>13000</v>
      </c>
    </row>
    <row r="16" spans="1:8" x14ac:dyDescent="0.25">
      <c r="A16" s="183" t="s">
        <v>86</v>
      </c>
      <c r="B16" s="180"/>
      <c r="C16" s="178"/>
      <c r="D16" s="181">
        <f>D15</f>
        <v>13000</v>
      </c>
      <c r="E16" s="183"/>
      <c r="F16" s="181">
        <f>F15</f>
        <v>1300</v>
      </c>
      <c r="G16" s="183"/>
      <c r="H16" s="181">
        <f>H15</f>
        <v>13000</v>
      </c>
    </row>
    <row r="17" spans="1:8" x14ac:dyDescent="0.25">
      <c r="A17" s="223" t="s">
        <v>159</v>
      </c>
      <c r="B17" s="223"/>
      <c r="C17" s="223"/>
      <c r="D17" s="223"/>
      <c r="E17" s="223"/>
      <c r="F17" s="223"/>
      <c r="G17" s="223"/>
      <c r="H17" s="223"/>
    </row>
    <row r="18" spans="1:8" x14ac:dyDescent="0.25">
      <c r="A18" s="182" t="s">
        <v>89</v>
      </c>
      <c r="B18" s="174">
        <v>4</v>
      </c>
      <c r="C18" s="175">
        <f>'ACTIVOS FIJOS'!C21</f>
        <v>32.14</v>
      </c>
      <c r="D18" s="175">
        <f>C18*B18</f>
        <v>128.56</v>
      </c>
      <c r="E18" s="174">
        <v>3</v>
      </c>
      <c r="F18" s="175">
        <f>D18/E18</f>
        <v>42.853333333333332</v>
      </c>
      <c r="G18" s="174">
        <v>3</v>
      </c>
      <c r="H18" s="175">
        <f>G18*F18</f>
        <v>128.56</v>
      </c>
    </row>
    <row r="19" spans="1:8" x14ac:dyDescent="0.25">
      <c r="A19" s="122" t="s">
        <v>12</v>
      </c>
      <c r="B19" s="9">
        <v>4</v>
      </c>
      <c r="C19" s="184">
        <f>'ACTIVOS FIJOS'!C22</f>
        <v>43</v>
      </c>
      <c r="D19" s="184">
        <f>B19*C19</f>
        <v>172</v>
      </c>
      <c r="E19" s="174">
        <v>3</v>
      </c>
      <c r="F19" s="175">
        <f>D19/E19</f>
        <v>57.333333333333336</v>
      </c>
      <c r="G19" s="174">
        <v>3</v>
      </c>
      <c r="H19" s="175">
        <f>G19*F19</f>
        <v>172</v>
      </c>
    </row>
    <row r="20" spans="1:8" x14ac:dyDescent="0.25">
      <c r="A20" s="122" t="s">
        <v>14</v>
      </c>
      <c r="B20" s="9">
        <v>4</v>
      </c>
      <c r="C20" s="184">
        <f>'ACTIVOS FIJOS'!C23</f>
        <v>1.55</v>
      </c>
      <c r="D20" s="184">
        <f>B20*C20</f>
        <v>6.2</v>
      </c>
      <c r="E20" s="174">
        <v>3</v>
      </c>
      <c r="F20" s="175">
        <f>D20/E20</f>
        <v>2.0666666666666669</v>
      </c>
      <c r="G20" s="174">
        <v>3</v>
      </c>
      <c r="H20" s="175">
        <f>G20*F20</f>
        <v>6.2000000000000011</v>
      </c>
    </row>
    <row r="21" spans="1:8" x14ac:dyDescent="0.25">
      <c r="A21" s="25" t="s">
        <v>160</v>
      </c>
      <c r="B21" s="185"/>
      <c r="C21" s="185"/>
      <c r="D21" s="186">
        <f>SUM(D18:D20)</f>
        <v>306.76</v>
      </c>
      <c r="E21" s="180"/>
      <c r="F21" s="181">
        <f>SUM(F18:F20)</f>
        <v>102.25333333333333</v>
      </c>
      <c r="G21" s="180"/>
      <c r="H21" s="181">
        <f>SUM(H18:H20)</f>
        <v>306.76</v>
      </c>
    </row>
    <row r="22" spans="1:8" x14ac:dyDescent="0.25">
      <c r="A22" s="147" t="s">
        <v>15</v>
      </c>
      <c r="B22" s="147"/>
      <c r="C22" s="147"/>
      <c r="D22" s="147"/>
      <c r="E22" s="187"/>
      <c r="F22" s="187"/>
      <c r="G22" s="187"/>
      <c r="H22" s="187"/>
    </row>
    <row r="23" spans="1:8" ht="30" x14ac:dyDescent="0.25">
      <c r="A23" s="162" t="s">
        <v>161</v>
      </c>
      <c r="B23" s="9">
        <v>3</v>
      </c>
      <c r="C23" s="184">
        <f>'ACTIVOS FIJOS'!C27</f>
        <v>392</v>
      </c>
      <c r="D23" s="184">
        <f>B23*C23</f>
        <v>1176</v>
      </c>
      <c r="E23" s="174">
        <v>10</v>
      </c>
      <c r="F23" s="175">
        <f>D23/E23</f>
        <v>117.6</v>
      </c>
      <c r="G23" s="174">
        <v>10</v>
      </c>
      <c r="H23" s="175">
        <f>F23*G23</f>
        <v>1176</v>
      </c>
    </row>
    <row r="24" spans="1:8" x14ac:dyDescent="0.25">
      <c r="A24" s="122" t="s">
        <v>162</v>
      </c>
      <c r="B24" s="9">
        <v>6</v>
      </c>
      <c r="C24" s="184">
        <f>'ACTIVOS FIJOS'!C28</f>
        <v>650</v>
      </c>
      <c r="D24" s="184">
        <f t="shared" ref="D24:D30" si="3">B24*C24</f>
        <v>3900</v>
      </c>
      <c r="E24" s="174">
        <v>3</v>
      </c>
      <c r="F24" s="175">
        <f t="shared" ref="F24:F29" si="4">D24/E24</f>
        <v>1300</v>
      </c>
      <c r="G24" s="174">
        <v>3</v>
      </c>
      <c r="H24" s="175">
        <f t="shared" ref="H24:H30" si="5">F24*G24</f>
        <v>3900</v>
      </c>
    </row>
    <row r="25" spans="1:8" x14ac:dyDescent="0.25">
      <c r="A25" s="122" t="s">
        <v>163</v>
      </c>
      <c r="B25" s="9">
        <v>3</v>
      </c>
      <c r="C25" s="184">
        <f>'ACTIVOS FIJOS'!C29</f>
        <v>75.599999999999994</v>
      </c>
      <c r="D25" s="184">
        <f t="shared" si="3"/>
        <v>226.79999999999998</v>
      </c>
      <c r="E25" s="174">
        <v>3</v>
      </c>
      <c r="F25" s="175">
        <f t="shared" si="4"/>
        <v>75.599999999999994</v>
      </c>
      <c r="G25" s="174">
        <v>3</v>
      </c>
      <c r="H25" s="175">
        <f t="shared" si="5"/>
        <v>226.79999999999998</v>
      </c>
    </row>
    <row r="26" spans="1:8" x14ac:dyDescent="0.25">
      <c r="A26" s="122" t="s">
        <v>16</v>
      </c>
      <c r="B26" s="9">
        <v>3</v>
      </c>
      <c r="C26" s="184">
        <f>'ACTIVOS FIJOS'!C30</f>
        <v>15</v>
      </c>
      <c r="D26" s="184">
        <f t="shared" si="3"/>
        <v>45</v>
      </c>
      <c r="E26" s="174">
        <v>3</v>
      </c>
      <c r="F26" s="175">
        <f t="shared" si="4"/>
        <v>15</v>
      </c>
      <c r="G26" s="174">
        <v>3</v>
      </c>
      <c r="H26" s="175">
        <f t="shared" si="5"/>
        <v>45</v>
      </c>
    </row>
    <row r="27" spans="1:8" x14ac:dyDescent="0.25">
      <c r="A27" s="122" t="s">
        <v>17</v>
      </c>
      <c r="B27" s="9">
        <v>8</v>
      </c>
      <c r="C27" s="184">
        <f>'ACTIVOS FIJOS'!C31</f>
        <v>35</v>
      </c>
      <c r="D27" s="184">
        <f t="shared" si="3"/>
        <v>280</v>
      </c>
      <c r="E27" s="174">
        <v>3</v>
      </c>
      <c r="F27" s="175">
        <f t="shared" si="4"/>
        <v>93.333333333333329</v>
      </c>
      <c r="G27" s="174">
        <v>3</v>
      </c>
      <c r="H27" s="175">
        <f t="shared" si="5"/>
        <v>280</v>
      </c>
    </row>
    <row r="28" spans="1:8" x14ac:dyDescent="0.25">
      <c r="A28" s="122" t="s">
        <v>18</v>
      </c>
      <c r="B28" s="9">
        <v>2</v>
      </c>
      <c r="C28" s="184">
        <f>'ACTIVOS FIJOS'!C32</f>
        <v>1440</v>
      </c>
      <c r="D28" s="184">
        <f t="shared" si="3"/>
        <v>2880</v>
      </c>
      <c r="E28" s="174">
        <v>3</v>
      </c>
      <c r="F28" s="175">
        <f t="shared" si="4"/>
        <v>960</v>
      </c>
      <c r="G28" s="174">
        <v>3</v>
      </c>
      <c r="H28" s="175">
        <f t="shared" si="5"/>
        <v>2880</v>
      </c>
    </row>
    <row r="29" spans="1:8" x14ac:dyDescent="0.25">
      <c r="A29" s="122" t="s">
        <v>25</v>
      </c>
      <c r="B29" s="9">
        <v>2</v>
      </c>
      <c r="C29" s="184">
        <f>'ACTIVOS FIJOS'!C33</f>
        <v>75</v>
      </c>
      <c r="D29" s="184">
        <f t="shared" si="3"/>
        <v>150</v>
      </c>
      <c r="E29" s="177">
        <v>3</v>
      </c>
      <c r="F29" s="175">
        <f t="shared" si="4"/>
        <v>50</v>
      </c>
      <c r="G29" s="177">
        <v>3</v>
      </c>
      <c r="H29" s="175">
        <f t="shared" si="5"/>
        <v>150</v>
      </c>
    </row>
    <row r="30" spans="1:8" x14ac:dyDescent="0.25">
      <c r="A30" s="122" t="s">
        <v>19</v>
      </c>
      <c r="B30" s="9">
        <v>1</v>
      </c>
      <c r="C30" s="184">
        <f>'ACTIVOS FIJOS'!C34</f>
        <v>120</v>
      </c>
      <c r="D30" s="184">
        <f t="shared" si="3"/>
        <v>120</v>
      </c>
      <c r="E30" s="177">
        <v>3</v>
      </c>
      <c r="F30" s="175">
        <f>D30/E30</f>
        <v>40</v>
      </c>
      <c r="G30" s="177">
        <v>3</v>
      </c>
      <c r="H30" s="175">
        <f t="shared" si="5"/>
        <v>120</v>
      </c>
    </row>
    <row r="31" spans="1:8" x14ac:dyDescent="0.25">
      <c r="A31" s="188" t="s">
        <v>20</v>
      </c>
      <c r="B31" s="185"/>
      <c r="C31" s="185"/>
      <c r="D31" s="186">
        <f>SUM(D23:D30)</f>
        <v>8777.7999999999993</v>
      </c>
      <c r="E31" s="180"/>
      <c r="F31" s="181">
        <f>SUM(F23:F30)</f>
        <v>2651.5333333333328</v>
      </c>
      <c r="G31" s="183"/>
      <c r="H31" s="181">
        <f>SUM(H23:H30)</f>
        <v>8777.7999999999993</v>
      </c>
    </row>
    <row r="32" spans="1:8" ht="15" customHeight="1" x14ac:dyDescent="0.25">
      <c r="A32" s="212" t="s">
        <v>164</v>
      </c>
      <c r="B32" s="212"/>
      <c r="C32" s="212"/>
      <c r="D32" s="212"/>
      <c r="E32" s="212"/>
      <c r="F32" s="212"/>
      <c r="G32" s="212"/>
      <c r="H32" s="212"/>
    </row>
    <row r="33" spans="1:8" x14ac:dyDescent="0.25">
      <c r="A33" s="121" t="s">
        <v>24</v>
      </c>
      <c r="B33" s="9">
        <v>6</v>
      </c>
      <c r="C33" s="184">
        <v>150</v>
      </c>
      <c r="D33" s="184">
        <f>B33*C33</f>
        <v>900</v>
      </c>
      <c r="E33" s="174">
        <v>10</v>
      </c>
      <c r="F33" s="175">
        <f>D33/E33</f>
        <v>90</v>
      </c>
      <c r="G33" s="174">
        <v>10</v>
      </c>
      <c r="H33" s="175">
        <f>F33*G33</f>
        <v>900</v>
      </c>
    </row>
    <row r="34" spans="1:8" x14ac:dyDescent="0.25">
      <c r="A34" s="122" t="s">
        <v>26</v>
      </c>
      <c r="B34" s="9">
        <v>12</v>
      </c>
      <c r="C34" s="184">
        <v>50</v>
      </c>
      <c r="D34" s="184">
        <f>B34*C34</f>
        <v>600</v>
      </c>
      <c r="E34" s="174">
        <v>10</v>
      </c>
      <c r="F34" s="175">
        <f>D34/E34</f>
        <v>60</v>
      </c>
      <c r="G34" s="174">
        <v>10</v>
      </c>
      <c r="H34" s="175">
        <f>F34*G34</f>
        <v>600</v>
      </c>
    </row>
    <row r="35" spans="1:8" x14ac:dyDescent="0.25">
      <c r="A35" s="122" t="s">
        <v>27</v>
      </c>
      <c r="B35" s="9">
        <v>3</v>
      </c>
      <c r="C35" s="184">
        <v>80</v>
      </c>
      <c r="D35" s="184">
        <f>B35*C35</f>
        <v>240</v>
      </c>
      <c r="E35" s="174">
        <v>10</v>
      </c>
      <c r="F35" s="175">
        <f>D35/E35</f>
        <v>24</v>
      </c>
      <c r="G35" s="174">
        <v>10</v>
      </c>
      <c r="H35" s="175">
        <f>F35*G35</f>
        <v>240</v>
      </c>
    </row>
    <row r="36" spans="1:8" x14ac:dyDescent="0.25">
      <c r="A36" s="122" t="s">
        <v>23</v>
      </c>
      <c r="B36" s="9">
        <v>3</v>
      </c>
      <c r="C36" s="184">
        <f>'ACTIVOS FIJOS'!C55</f>
        <v>375</v>
      </c>
      <c r="D36" s="184">
        <f>B36*C36</f>
        <v>1125</v>
      </c>
      <c r="E36" s="174">
        <v>10</v>
      </c>
      <c r="F36" s="175">
        <f>D36/E36</f>
        <v>112.5</v>
      </c>
      <c r="G36" s="174">
        <v>10</v>
      </c>
      <c r="H36" s="175">
        <f>F36*G36</f>
        <v>1125</v>
      </c>
    </row>
    <row r="37" spans="1:8" ht="34.5" customHeight="1" x14ac:dyDescent="0.25">
      <c r="A37" s="188" t="s">
        <v>28</v>
      </c>
      <c r="B37" s="185"/>
      <c r="C37" s="189"/>
      <c r="D37" s="186">
        <f>SUM(D33:D36)</f>
        <v>2865</v>
      </c>
      <c r="E37" s="183"/>
      <c r="F37" s="181">
        <f>SUM(F33:F36)</f>
        <v>286.5</v>
      </c>
      <c r="G37" s="183"/>
      <c r="H37" s="181">
        <f>SUM(H33:H36)</f>
        <v>2865</v>
      </c>
    </row>
    <row r="38" spans="1:8" x14ac:dyDescent="0.25">
      <c r="A38" s="148" t="s">
        <v>166</v>
      </c>
      <c r="B38" s="190"/>
      <c r="C38" s="191"/>
      <c r="D38" s="191"/>
      <c r="E38" s="191"/>
      <c r="F38" s="192">
        <f>F13+F16+F21+F31+F37</f>
        <v>8164.286666666666</v>
      </c>
      <c r="G38" s="190"/>
      <c r="H38" s="190"/>
    </row>
  </sheetData>
  <mergeCells count="5">
    <mergeCell ref="A1:H1"/>
    <mergeCell ref="A32:H32"/>
    <mergeCell ref="A3:H3"/>
    <mergeCell ref="A14:H14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ACTIVOS FIJOS</vt:lpstr>
      <vt:lpstr>ACTIVOS INTANGIBLES</vt:lpstr>
      <vt:lpstr>CAPITAL DE TRABAJO</vt:lpstr>
      <vt:lpstr>INVERSIONES-AMORTIZACIÓN</vt:lpstr>
      <vt:lpstr>INGRESOS</vt:lpstr>
      <vt:lpstr>GASTOS</vt:lpstr>
      <vt:lpstr>SUELDOS</vt:lpstr>
      <vt:lpstr>MATERIA PRIMA</vt:lpstr>
      <vt:lpstr>DEPRECIACIÓN</vt:lpstr>
      <vt:lpstr>ESTADO DE SITUACIÓN INICIAL</vt:lpstr>
      <vt:lpstr>ESTADO DE RESULTADO INTEGRAL</vt:lpstr>
      <vt:lpstr>FLUJO DE CAJA PURO</vt:lpstr>
      <vt:lpstr>FLUJO DEL INVERSIONISTA</vt:lpstr>
      <vt:lpstr>Ke,Ko, Tir, Van</vt:lpstr>
      <vt:lpstr>ANÁLISIS DE SENSIBILIDAD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</dc:creator>
  <cp:lastModifiedBy>Roger Córdova</cp:lastModifiedBy>
  <cp:lastPrinted>2012-02-09T00:26:15Z</cp:lastPrinted>
  <dcterms:created xsi:type="dcterms:W3CDTF">2012-01-21T19:17:33Z</dcterms:created>
  <dcterms:modified xsi:type="dcterms:W3CDTF">2012-02-23T14:30:21Z</dcterms:modified>
</cp:coreProperties>
</file>