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tabRatio="987" activeTab="0"/>
  </bookViews>
  <sheets>
    <sheet name="Flujo de Efectivo" sheetId="1" r:id="rId1"/>
    <sheet name="Gastos Generales" sheetId="2" r:id="rId2"/>
    <sheet name="Equipos y Maquinaria" sheetId="3" r:id="rId3"/>
    <sheet name="Constitucion Empresa" sheetId="4" r:id="rId4"/>
    <sheet name="Alquiler" sheetId="5" r:id="rId5"/>
    <sheet name="Publicidad" sheetId="6" r:id="rId6"/>
    <sheet name="Servicios Basicos" sheetId="7" r:id="rId7"/>
    <sheet name="Personal" sheetId="8" r:id="rId8"/>
    <sheet name="Obras Fisicas" sheetId="9" r:id="rId9"/>
    <sheet name="Depreciacion y Amotizacion" sheetId="10" r:id="rId10"/>
    <sheet name="Prestamo Banc" sheetId="11" r:id="rId11"/>
    <sheet name="Balance Inicial" sheetId="12" r:id="rId12"/>
    <sheet name="Capital de Trabajo e Ingresos" sheetId="13" r:id="rId13"/>
    <sheet name="Inversion Inicial Requerida" sheetId="14" r:id="rId14"/>
    <sheet name="Payback" sheetId="15" r:id="rId15"/>
    <sheet name="Analisis de Sensibilidad" sheetId="16" r:id="rId16"/>
    <sheet name="Pto. Equilibrio" sheetId="17" r:id="rId17"/>
    <sheet name="Hoja1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<sst xmlns="http://schemas.openxmlformats.org/spreadsheetml/2006/main" count="337" uniqueCount="252">
  <si>
    <t>Precio</t>
  </si>
  <si>
    <t>Cantidad</t>
  </si>
  <si>
    <t>Ingresos</t>
  </si>
  <si>
    <t>Coste de Venta</t>
  </si>
  <si>
    <t>Margen Bruto</t>
  </si>
  <si>
    <t>Gastos de Servicios Basicos</t>
  </si>
  <si>
    <t>Gastos de Promocion y Publicidad</t>
  </si>
  <si>
    <t>Gastos de Alquiler</t>
  </si>
  <si>
    <t>Utilidad Operativo</t>
  </si>
  <si>
    <t>Gastos por intereses</t>
  </si>
  <si>
    <t>Utilidad antes de Impuestos</t>
  </si>
  <si>
    <t>Utilidad Antes de Impuesto a la Renta</t>
  </si>
  <si>
    <t>Utilidad Neta</t>
  </si>
  <si>
    <t>Gastos de depreciacion</t>
  </si>
  <si>
    <t>Flujo Neto de Efectivo</t>
  </si>
  <si>
    <t>Capital de Trabajo</t>
  </si>
  <si>
    <t>Valor de desecho Proyecto</t>
  </si>
  <si>
    <t>TMAR</t>
  </si>
  <si>
    <t>VAN</t>
  </si>
  <si>
    <t>TIR</t>
  </si>
  <si>
    <t>anual</t>
  </si>
  <si>
    <t>Concepto</t>
  </si>
  <si>
    <t>Agua potable</t>
  </si>
  <si>
    <t>Linea telefonica</t>
  </si>
  <si>
    <t>Electricidad</t>
  </si>
  <si>
    <t>Total $</t>
  </si>
  <si>
    <t>Gastos de servicio basicos</t>
  </si>
  <si>
    <t>Mensual</t>
  </si>
  <si>
    <t>Anual</t>
  </si>
  <si>
    <t>Gastos generales</t>
  </si>
  <si>
    <t>Suministros de oficina</t>
  </si>
  <si>
    <t>Suministros de limpieza</t>
  </si>
  <si>
    <t>Gasto de seguro</t>
  </si>
  <si>
    <t>Mantenimiento de equipo y oficina</t>
  </si>
  <si>
    <t>Gastos de alquiler</t>
  </si>
  <si>
    <t xml:space="preserve">Mensual </t>
  </si>
  <si>
    <t>Oficina</t>
  </si>
  <si>
    <t>Terreno</t>
  </si>
  <si>
    <t>Gastos de constitucion de la empresa</t>
  </si>
  <si>
    <t>Patente</t>
  </si>
  <si>
    <t xml:space="preserve">Gastos de legalización </t>
  </si>
  <si>
    <t>Permiso de funcionamiento</t>
  </si>
  <si>
    <t>Permiso de bomberos</t>
  </si>
  <si>
    <t>Organización en marcha</t>
  </si>
  <si>
    <t>Matricula de comercio</t>
  </si>
  <si>
    <t xml:space="preserve">Equipos de Computación </t>
  </si>
  <si>
    <t xml:space="preserve">Cantidad </t>
  </si>
  <si>
    <t>Costo Unitario</t>
  </si>
  <si>
    <t>Costo Total</t>
  </si>
  <si>
    <t>Maquinarias</t>
  </si>
  <si>
    <t xml:space="preserve">Computadoras </t>
  </si>
  <si>
    <t>Optima Steamer DMF</t>
  </si>
  <si>
    <t>Impresora multifuncion</t>
  </si>
  <si>
    <t>Paquetes de Trapeadores de microfibra de absorción (20 hojas)</t>
  </si>
  <si>
    <t xml:space="preserve">Total ($) </t>
  </si>
  <si>
    <t xml:space="preserve">Equipos de oficina </t>
  </si>
  <si>
    <t xml:space="preserve">Teléfonos </t>
  </si>
  <si>
    <t>Radios talk</t>
  </si>
  <si>
    <t xml:space="preserve">Aire Acondicionado </t>
  </si>
  <si>
    <t xml:space="preserve">Lector de tarjeta de crédito </t>
  </si>
  <si>
    <t xml:space="preserve">Mueble de oficina </t>
  </si>
  <si>
    <t xml:space="preserve">Escritorios </t>
  </si>
  <si>
    <t xml:space="preserve">Sillas de espera  </t>
  </si>
  <si>
    <t xml:space="preserve">Sillas con manubrio </t>
  </si>
  <si>
    <t xml:space="preserve">Silla Gerencial </t>
  </si>
  <si>
    <t xml:space="preserve">Mesa </t>
  </si>
  <si>
    <t>Accesorios de la maquinaria</t>
  </si>
  <si>
    <t>Revista autos universo</t>
  </si>
  <si>
    <t>Gastos de publicidad</t>
  </si>
  <si>
    <t>folletos (volantes)</t>
  </si>
  <si>
    <t>Radio</t>
  </si>
  <si>
    <t>Unitario</t>
  </si>
  <si>
    <t>Gerente</t>
  </si>
  <si>
    <t>Supervisor</t>
  </si>
  <si>
    <t>Secretaria</t>
  </si>
  <si>
    <t>Operarios</t>
  </si>
  <si>
    <t>Guardia</t>
  </si>
  <si>
    <t>Rubro</t>
  </si>
  <si>
    <t>Instalaciones electricas</t>
  </si>
  <si>
    <t>Lineas telefónicas</t>
  </si>
  <si>
    <t>Oficinas</t>
  </si>
  <si>
    <t>Sueldos y Salarios</t>
  </si>
  <si>
    <t xml:space="preserve">Año 0 </t>
  </si>
  <si>
    <t>Año 1</t>
  </si>
  <si>
    <t>Año 2</t>
  </si>
  <si>
    <t>Año 3</t>
  </si>
  <si>
    <t>Año 4</t>
  </si>
  <si>
    <t>Año 5</t>
  </si>
  <si>
    <t>Participacion de Trabajadores (15%)</t>
  </si>
  <si>
    <t>Gastos Generales</t>
  </si>
  <si>
    <t>Amortizacion de la deuda</t>
  </si>
  <si>
    <t>BALANCE DE MAQUINARIAS Y EQUIPOS</t>
  </si>
  <si>
    <t>CANTIDAD</t>
  </si>
  <si>
    <t>VALOR TOTAL</t>
  </si>
  <si>
    <t>VIDA UTIL</t>
  </si>
  <si>
    <t>DEPRECIACION ANUAL</t>
  </si>
  <si>
    <t>AÑOS</t>
  </si>
  <si>
    <t>DEP. ACUM</t>
  </si>
  <si>
    <t>V.EN LIBROS</t>
  </si>
  <si>
    <t>OPTIMA DMF</t>
  </si>
  <si>
    <t>COMPUTADORAS</t>
  </si>
  <si>
    <t>IMPRESORA</t>
  </si>
  <si>
    <t>DEPRECIACION</t>
  </si>
  <si>
    <t>VALOR DE DESECHO</t>
  </si>
  <si>
    <t>VALOR UNITARIO</t>
  </si>
  <si>
    <t>TELEFONOS</t>
  </si>
  <si>
    <t>Gastos Operativos</t>
  </si>
  <si>
    <t>Total Gastos Operativo</t>
  </si>
  <si>
    <t>Prestamo</t>
  </si>
  <si>
    <t>Año 0</t>
  </si>
  <si>
    <t>Tasa  (%)</t>
  </si>
  <si>
    <t>Plazo</t>
  </si>
  <si>
    <t>TIEMPO (AÑO)</t>
  </si>
  <si>
    <t>DESCRIPCIÓN</t>
  </si>
  <si>
    <t>Monto del Préstamo / Principal</t>
  </si>
  <si>
    <t>Abono a Capital</t>
  </si>
  <si>
    <t>Amortización</t>
  </si>
  <si>
    <t xml:space="preserve">Intereses </t>
  </si>
  <si>
    <t>Re</t>
  </si>
  <si>
    <t>Activos Circulantes</t>
  </si>
  <si>
    <t>Capital de trabajo</t>
  </si>
  <si>
    <t xml:space="preserve">CARGO </t>
  </si>
  <si>
    <t>No. de 
personal</t>
  </si>
  <si>
    <t>Sueldo 
mensual</t>
  </si>
  <si>
    <t>Sueldo annual</t>
  </si>
  <si>
    <t>Decimocuarto anual</t>
  </si>
  <si>
    <t>Decimotercero anual</t>
  </si>
  <si>
    <t>Vacaciones anual</t>
  </si>
  <si>
    <t>IESS F. Reserva</t>
  </si>
  <si>
    <t>IESS A. Patronal (11,15%)</t>
  </si>
  <si>
    <t>IECE y SECAP (1%)</t>
  </si>
  <si>
    <t>Total</t>
  </si>
  <si>
    <t>mensual</t>
  </si>
  <si>
    <t>FRECUENCIA DE COMPRA</t>
  </si>
  <si>
    <t>Frecuencia de Compra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</si>
  <si>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</si>
  <si>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</si>
  <si>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</si>
  <si>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</si>
  <si>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</si>
  <si>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</si>
  <si>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</si>
  <si>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</si>
  <si>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</si>
  <si>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</si>
  <si>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</si>
  <si>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</si>
  <si>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 Demandada</t>
  </si>
  <si>
    <t xml:space="preserve">Ingreso Mensual </t>
  </si>
  <si>
    <t>Ingreso Anual</t>
  </si>
  <si>
    <t>Ingreso Mensual Promedio</t>
  </si>
  <si>
    <t>Demanda Anual</t>
  </si>
  <si>
    <t>Demanda Promedio Mensual</t>
  </si>
  <si>
    <t>Demanda Diaria</t>
  </si>
  <si>
    <t>Demanda Proyectada</t>
  </si>
  <si>
    <t>Flujo del accionista</t>
  </si>
  <si>
    <t>Gasto de Constitucion</t>
  </si>
  <si>
    <t>DEPRECIACION Y AMORTIZACION</t>
  </si>
  <si>
    <t>Gastos de Depreciacion y Amortizacion</t>
  </si>
  <si>
    <t>Inversion Inicial</t>
  </si>
  <si>
    <t>Inversiones</t>
  </si>
  <si>
    <t>Tabla de Inversion Total Requerida</t>
  </si>
  <si>
    <t>Alquiler + Garantia</t>
  </si>
  <si>
    <t>Maquinaria</t>
  </si>
  <si>
    <t>Gastos De Constitucion</t>
  </si>
  <si>
    <t>Obras Fisicas</t>
  </si>
  <si>
    <t>Suministros Varios</t>
  </si>
  <si>
    <t>Gasto de Publicidad Lanzamiento</t>
  </si>
  <si>
    <t>Uniformes</t>
  </si>
  <si>
    <t>Recuperacion del capital de trabajo</t>
  </si>
  <si>
    <t>Equipos</t>
  </si>
  <si>
    <t>FLUJO DE CAJA</t>
  </si>
  <si>
    <t>FLIJO DESCONTADO</t>
  </si>
  <si>
    <t>FLUJO DESC. ACUM.</t>
  </si>
  <si>
    <t>Periodo de recuperacion</t>
  </si>
  <si>
    <t>Años</t>
  </si>
  <si>
    <t>Meses</t>
  </si>
  <si>
    <t>Impuesto a la Renta  (23%)</t>
  </si>
  <si>
    <t>tasa de descuento</t>
  </si>
  <si>
    <t xml:space="preserve">PAYBACK </t>
  </si>
  <si>
    <t>Publicidad de lanzamiento</t>
  </si>
  <si>
    <t>Televisor plasma 32°</t>
  </si>
  <si>
    <t>total de uniformes</t>
  </si>
  <si>
    <t>Mailing Masivo</t>
  </si>
  <si>
    <t>Letrero Acrilico Led</t>
  </si>
  <si>
    <t>TOTAL</t>
  </si>
  <si>
    <t>Flyers</t>
  </si>
  <si>
    <t xml:space="preserve">Costo de Venta </t>
  </si>
  <si>
    <t>PRECIO</t>
  </si>
  <si>
    <t>% Costo de venta</t>
  </si>
  <si>
    <t xml:space="preserve">Solver </t>
  </si>
  <si>
    <t xml:space="preserve">Precio Minimo </t>
  </si>
  <si>
    <t>TMAR minima</t>
  </si>
  <si>
    <t>Costo Maximo</t>
  </si>
  <si>
    <t>Cantidad Minima diaria</t>
  </si>
  <si>
    <t>Activos Fijos</t>
  </si>
  <si>
    <t>Equipo de Oficina</t>
  </si>
  <si>
    <t>Equipo de computacion</t>
  </si>
  <si>
    <t>Activos Diferidos</t>
  </si>
  <si>
    <t>Muebles de oficina</t>
  </si>
  <si>
    <t>Total Activos</t>
  </si>
  <si>
    <t>Pasivo diferido</t>
  </si>
  <si>
    <t>Prestamo a largo plazo</t>
  </si>
  <si>
    <t>Total Pasivos</t>
  </si>
  <si>
    <t>Patrimonio</t>
  </si>
  <si>
    <t>Capital Propio</t>
  </si>
  <si>
    <t>Total Patrimonio + Pasivos</t>
  </si>
  <si>
    <t>maquinas</t>
  </si>
  <si>
    <t>capacidad de lavado</t>
  </si>
  <si>
    <t>costos fijos</t>
  </si>
  <si>
    <t>costos variables</t>
  </si>
  <si>
    <t xml:space="preserve">inversion </t>
  </si>
  <si>
    <t>van</t>
  </si>
  <si>
    <t>Incremento de alquiler</t>
  </si>
  <si>
    <t>Incremento de costos</t>
  </si>
  <si>
    <t>Incremento de sueldos</t>
  </si>
  <si>
    <t>Imprevistos</t>
  </si>
  <si>
    <t>Estructura de Financiamiento</t>
  </si>
  <si>
    <t>Porcentaje de Apalancamiento</t>
  </si>
  <si>
    <t>Aporte de cada inversionista</t>
  </si>
  <si>
    <t>Radios Walkie Talkie</t>
  </si>
  <si>
    <t>Televisor plasma 32''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</si>
  <si>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</si>
  <si>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</si>
  <si>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</si>
  <si>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</si>
  <si>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</si>
  <si>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</si>
  <si>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</si>
  <si>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</si>
  <si>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</si>
  <si>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</si>
  <si>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</si>
  <si>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</si>
  <si>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 xml:space="preserve">Ingresos </t>
  </si>
  <si>
    <t>Costo de venta</t>
  </si>
  <si>
    <t>Mano de obra</t>
  </si>
  <si>
    <t>Gastos basicos</t>
  </si>
  <si>
    <t>Gastos publicidad</t>
  </si>
  <si>
    <t>Gastos alquiler</t>
  </si>
  <si>
    <t>Egresos</t>
  </si>
  <si>
    <t>Saldo mensual</t>
  </si>
  <si>
    <t>Saldo acumulado</t>
  </si>
  <si>
    <t xml:space="preserve">Activos </t>
  </si>
  <si>
    <t xml:space="preserve">Pasivos </t>
  </si>
  <si>
    <t>CON FORMULA DE PUNTO DE EQUILIBRIO</t>
  </si>
  <si>
    <t>INGRESOS</t>
  </si>
  <si>
    <t>COSTOS DE VENTAS</t>
  </si>
  <si>
    <t>CF</t>
  </si>
  <si>
    <t>Punto de Equilibrio (%)</t>
  </si>
  <si>
    <t>Punto de Equilibrio ($)</t>
  </si>
  <si>
    <t>Punto de Equilibrio (Q)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</si>
</sst>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[Red]\(&quot;$&quot;\ #,##0\)"/>
    <numFmt numFmtId="165" formatCode="&quot;$&quot;\ #,##0.00_);[Red]\(&quot;$&quot;\ #,##0.00\)"/>
    <numFmt numFmtId="166" formatCode="_(&quot;$&quot;\ * #,##0.00_);_(&quot;$&quot;\ * \(#,##0.00\);_(&quot;$&quot;\ * &quot;-&quot;??_);_(@_)"/>
    <numFmt numFmtId="167" formatCode="&quot;$&quot;\ #,##0.00"/>
    <numFmt numFmtId="168" formatCode="0.0"/>
    <numFmt numFmtId="169" formatCode="_(* #,##0_);_(* \(#,##0\);_(* &quot;-&quot;??_);_(@_)"/>
    <numFmt numFmtId="170" formatCode="_-* #,##0.00\ &quot;€&quot;_-;\-* #,##0.00\ &quot;€&quot;_-;_-* &quot;-&quot;??\ &quot;€&quot;_-;_-@_-"/>
    <numFmt numFmtId="171" formatCode="_ * #,##0.00_ ;_ * \-#,##0.00_ ;_ * &quot;-&quot;??_ ;_ @_ "/>
    <numFmt numFmtId="172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Cambria Math"/>
      <family val="0"/>
    </font>
    <font>
      <sz val="12"/>
      <color indexed="8"/>
      <name val="Cambria Math"/>
      <family val="0"/>
    </font>
    <font>
      <sz val="11"/>
      <color indexed="8"/>
      <name val="Times New Roman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0"/>
      <color theme="0"/>
      <name val="Arial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0" fontId="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right" vertical="top" wrapText="1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9" fillId="0" borderId="10" xfId="0" applyFont="1" applyBorder="1" applyAlignment="1">
      <alignment vertical="top"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 horizontal="right" vertical="center" wrapText="1"/>
    </xf>
    <xf numFmtId="0" fontId="48" fillId="0" borderId="0" xfId="0" applyFont="1" applyBorder="1" applyAlignment="1">
      <alignment vertical="top"/>
    </xf>
    <xf numFmtId="0" fontId="48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8" fillId="0" borderId="10" xfId="0" applyFont="1" applyBorder="1" applyAlignment="1">
      <alignment horizontal="right" vertical="top"/>
    </xf>
    <xf numFmtId="0" fontId="48" fillId="0" borderId="0" xfId="0" applyFont="1" applyAlignment="1">
      <alignment vertical="top"/>
    </xf>
    <xf numFmtId="0" fontId="48" fillId="0" borderId="0" xfId="0" applyFont="1" applyAlignment="1">
      <alignment horizontal="right" vertical="top"/>
    </xf>
    <xf numFmtId="0" fontId="0" fillId="0" borderId="0" xfId="0" applyAlignment="1">
      <alignment/>
    </xf>
    <xf numFmtId="0" fontId="47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167" fontId="0" fillId="0" borderId="10" xfId="0" applyNumberFormat="1" applyBorder="1" applyAlignment="1">
      <alignment horizontal="right"/>
    </xf>
    <xf numFmtId="0" fontId="6" fillId="0" borderId="10" xfId="0" applyFont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0" fontId="0" fillId="0" borderId="10" xfId="63" applyNumberFormat="1" applyFont="1" applyBorder="1" applyAlignment="1">
      <alignment horizontal="right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167" fontId="0" fillId="0" borderId="11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50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166" fontId="50" fillId="0" borderId="12" xfId="56" applyFont="1" applyFill="1" applyBorder="1" applyAlignment="1">
      <alignment horizontal="right"/>
    </xf>
    <xf numFmtId="166" fontId="4" fillId="0" borderId="12" xfId="56" applyNumberFormat="1" applyFont="1" applyFill="1" applyBorder="1" applyAlignment="1">
      <alignment horizontal="right"/>
    </xf>
    <xf numFmtId="166" fontId="6" fillId="0" borderId="12" xfId="56" applyFont="1" applyFill="1" applyBorder="1" applyAlignment="1">
      <alignment horizontal="right"/>
    </xf>
    <xf numFmtId="166" fontId="4" fillId="0" borderId="12" xfId="56" applyFont="1" applyFill="1" applyBorder="1" applyAlignment="1">
      <alignment horizontal="right"/>
    </xf>
    <xf numFmtId="166" fontId="4" fillId="0" borderId="13" xfId="56" applyFont="1" applyFill="1" applyBorder="1" applyAlignment="1">
      <alignment horizontal="right"/>
    </xf>
    <xf numFmtId="166" fontId="50" fillId="0" borderId="0" xfId="0" applyNumberFormat="1" applyFont="1" applyAlignment="1">
      <alignment/>
    </xf>
    <xf numFmtId="166" fontId="50" fillId="0" borderId="10" xfId="56" applyFont="1" applyFill="1" applyBorder="1" applyAlignment="1">
      <alignment horizontal="right"/>
    </xf>
    <xf numFmtId="166" fontId="4" fillId="0" borderId="10" xfId="56" applyNumberFormat="1" applyFont="1" applyFill="1" applyBorder="1" applyAlignment="1">
      <alignment horizontal="right"/>
    </xf>
    <xf numFmtId="166" fontId="6" fillId="0" borderId="10" xfId="56" applyFont="1" applyFill="1" applyBorder="1" applyAlignment="1">
      <alignment horizontal="right"/>
    </xf>
    <xf numFmtId="166" fontId="4" fillId="0" borderId="10" xfId="56" applyFont="1" applyFill="1" applyBorder="1" applyAlignment="1">
      <alignment horizontal="right"/>
    </xf>
    <xf numFmtId="166" fontId="4" fillId="0" borderId="14" xfId="56" applyFont="1" applyFill="1" applyBorder="1" applyAlignment="1">
      <alignment horizontal="right"/>
    </xf>
    <xf numFmtId="0" fontId="5" fillId="0" borderId="15" xfId="59" applyFont="1" applyFill="1" applyBorder="1" applyAlignment="1">
      <alignment horizontal="center"/>
      <protection/>
    </xf>
    <xf numFmtId="0" fontId="5" fillId="33" borderId="16" xfId="59" applyFont="1" applyFill="1" applyBorder="1" applyAlignment="1">
      <alignment horizontal="center"/>
      <protection/>
    </xf>
    <xf numFmtId="166" fontId="5" fillId="33" borderId="16" xfId="56" applyFont="1" applyFill="1" applyBorder="1" applyAlignment="1">
      <alignment horizontal="right"/>
    </xf>
    <xf numFmtId="166" fontId="51" fillId="0" borderId="16" xfId="56" applyFont="1" applyBorder="1" applyAlignment="1">
      <alignment horizontal="right"/>
    </xf>
    <xf numFmtId="166" fontId="3" fillId="0" borderId="16" xfId="56" applyFont="1" applyBorder="1" applyAlignment="1">
      <alignment horizontal="right"/>
    </xf>
    <xf numFmtId="166" fontId="3" fillId="0" borderId="17" xfId="56" applyFont="1" applyBorder="1" applyAlignment="1">
      <alignment horizontal="right"/>
    </xf>
    <xf numFmtId="166" fontId="51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47" fillId="0" borderId="12" xfId="0" applyFont="1" applyBorder="1" applyAlignment="1">
      <alignment/>
    </xf>
    <xf numFmtId="0" fontId="5" fillId="0" borderId="0" xfId="59" applyFont="1">
      <alignment/>
      <protection/>
    </xf>
    <xf numFmtId="165" fontId="6" fillId="0" borderId="12" xfId="59" applyNumberFormat="1" applyFont="1" applyFill="1" applyBorder="1">
      <alignment/>
      <protection/>
    </xf>
    <xf numFmtId="0" fontId="50" fillId="0" borderId="0" xfId="0" applyFont="1" applyFill="1" applyAlignment="1">
      <alignment/>
    </xf>
    <xf numFmtId="43" fontId="50" fillId="0" borderId="10" xfId="50" applyNumberFormat="1" applyFont="1" applyFill="1" applyBorder="1" applyAlignment="1">
      <alignment horizontal="center"/>
    </xf>
    <xf numFmtId="0" fontId="5" fillId="0" borderId="10" xfId="59" applyFont="1" applyFill="1" applyBorder="1" applyAlignment="1">
      <alignment horizontal="left"/>
      <protection/>
    </xf>
    <xf numFmtId="2" fontId="52" fillId="0" borderId="10" xfId="0" applyNumberFormat="1" applyFont="1" applyFill="1" applyBorder="1" applyAlignment="1">
      <alignment/>
    </xf>
    <xf numFmtId="0" fontId="5" fillId="0" borderId="18" xfId="59" applyFont="1" applyFill="1" applyBorder="1">
      <alignment/>
      <protection/>
    </xf>
    <xf numFmtId="165" fontId="6" fillId="0" borderId="18" xfId="59" applyNumberFormat="1" applyFont="1" applyFill="1" applyBorder="1">
      <alignment/>
      <protection/>
    </xf>
    <xf numFmtId="0" fontId="5" fillId="0" borderId="12" xfId="59" applyFont="1" applyFill="1" applyBorder="1">
      <alignment/>
      <protection/>
    </xf>
    <xf numFmtId="0" fontId="51" fillId="0" borderId="10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53" fillId="0" borderId="12" xfId="0" applyFont="1" applyFill="1" applyBorder="1" applyAlignment="1">
      <alignment horizontal="center" vertical="center"/>
    </xf>
    <xf numFmtId="169" fontId="50" fillId="0" borderId="10" xfId="50" applyNumberFormat="1" applyFont="1" applyFill="1" applyBorder="1" applyAlignment="1">
      <alignment horizontal="right"/>
    </xf>
    <xf numFmtId="0" fontId="51" fillId="0" borderId="2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47" fillId="0" borderId="21" xfId="0" applyFont="1" applyFill="1" applyBorder="1" applyAlignment="1">
      <alignment/>
    </xf>
    <xf numFmtId="9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68" fontId="0" fillId="0" borderId="10" xfId="0" applyNumberFormat="1" applyBorder="1" applyAlignment="1">
      <alignment/>
    </xf>
    <xf numFmtId="0" fontId="0" fillId="0" borderId="20" xfId="0" applyBorder="1" applyAlignment="1">
      <alignment/>
    </xf>
    <xf numFmtId="10" fontId="0" fillId="0" borderId="10" xfId="0" applyNumberFormat="1" applyBorder="1" applyAlignment="1">
      <alignment/>
    </xf>
    <xf numFmtId="166" fontId="0" fillId="0" borderId="10" xfId="56" applyFont="1" applyBorder="1" applyAlignment="1">
      <alignment/>
    </xf>
    <xf numFmtId="16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19" xfId="0" applyFill="1" applyBorder="1" applyAlignment="1">
      <alignment/>
    </xf>
    <xf numFmtId="166" fontId="47" fillId="0" borderId="10" xfId="56" applyFont="1" applyBorder="1" applyAlignment="1">
      <alignment/>
    </xf>
    <xf numFmtId="166" fontId="47" fillId="0" borderId="0" xfId="56" applyFont="1" applyAlignment="1">
      <alignment/>
    </xf>
    <xf numFmtId="166" fontId="0" fillId="0" borderId="17" xfId="56" applyFont="1" applyBorder="1" applyAlignment="1">
      <alignment horizontal="center"/>
    </xf>
    <xf numFmtId="10" fontId="47" fillId="0" borderId="10" xfId="56" applyNumberFormat="1" applyFont="1" applyBorder="1" applyAlignment="1">
      <alignment/>
    </xf>
    <xf numFmtId="166" fontId="0" fillId="0" borderId="10" xfId="56" applyFont="1" applyBorder="1" applyAlignment="1">
      <alignment vertical="center" wrapText="1"/>
    </xf>
    <xf numFmtId="166" fontId="47" fillId="35" borderId="10" xfId="56" applyFont="1" applyFill="1" applyBorder="1" applyAlignment="1">
      <alignment vertical="center" wrapText="1"/>
    </xf>
    <xf numFmtId="166" fontId="47" fillId="0" borderId="10" xfId="56" applyFont="1" applyFill="1" applyBorder="1" applyAlignment="1">
      <alignment vertical="center" wrapText="1"/>
    </xf>
    <xf numFmtId="166" fontId="47" fillId="0" borderId="10" xfId="56" applyFont="1" applyBorder="1" applyAlignment="1">
      <alignment vertical="center" wrapText="1"/>
    </xf>
    <xf numFmtId="166" fontId="47" fillId="26" borderId="10" xfId="56" applyFont="1" applyFill="1" applyBorder="1" applyAlignment="1">
      <alignment vertical="center" wrapText="1"/>
    </xf>
    <xf numFmtId="166" fontId="47" fillId="17" borderId="10" xfId="56" applyFont="1" applyFill="1" applyBorder="1" applyAlignment="1">
      <alignment vertical="center" wrapText="1"/>
    </xf>
    <xf numFmtId="166" fontId="47" fillId="7" borderId="10" xfId="56" applyFont="1" applyFill="1" applyBorder="1" applyAlignment="1">
      <alignment vertical="center" wrapText="1"/>
    </xf>
    <xf numFmtId="166" fontId="47" fillId="10" borderId="10" xfId="56" applyFont="1" applyFill="1" applyBorder="1" applyAlignment="1">
      <alignment vertical="center" wrapText="1"/>
    </xf>
    <xf numFmtId="2" fontId="47" fillId="0" borderId="10" xfId="56" applyNumberFormat="1" applyFont="1" applyBorder="1" applyAlignment="1">
      <alignment/>
    </xf>
    <xf numFmtId="2" fontId="47" fillId="0" borderId="10" xfId="56" applyNumberFormat="1" applyFont="1" applyFill="1" applyBorder="1" applyAlignment="1">
      <alignment/>
    </xf>
    <xf numFmtId="166" fontId="0" fillId="0" borderId="0" xfId="56" applyFont="1" applyAlignment="1">
      <alignment/>
    </xf>
    <xf numFmtId="166" fontId="0" fillId="0" borderId="0" xfId="56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9" fontId="0" fillId="0" borderId="10" xfId="63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0" fontId="0" fillId="0" borderId="10" xfId="63" applyNumberFormat="1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6" fillId="33" borderId="10" xfId="59" applyFont="1" applyFill="1" applyBorder="1" applyAlignment="1">
      <alignment horizontal="right"/>
      <protection/>
    </xf>
    <xf numFmtId="166" fontId="6" fillId="33" borderId="10" xfId="56" applyFont="1" applyFill="1" applyBorder="1" applyAlignment="1">
      <alignment/>
    </xf>
    <xf numFmtId="0" fontId="6" fillId="33" borderId="18" xfId="59" applyFont="1" applyFill="1" applyBorder="1" applyAlignment="1">
      <alignment horizontal="right"/>
      <protection/>
    </xf>
    <xf numFmtId="166" fontId="6" fillId="33" borderId="18" xfId="63" applyNumberFormat="1" applyFont="1" applyFill="1" applyBorder="1" applyAlignment="1">
      <alignment/>
    </xf>
    <xf numFmtId="0" fontId="6" fillId="33" borderId="12" xfId="59" applyFont="1" applyFill="1" applyBorder="1" applyAlignment="1">
      <alignment horizontal="right"/>
      <protection/>
    </xf>
    <xf numFmtId="166" fontId="6" fillId="33" borderId="12" xfId="59" applyNumberFormat="1" applyFont="1" applyFill="1" applyBorder="1">
      <alignment/>
      <protection/>
    </xf>
    <xf numFmtId="0" fontId="50" fillId="33" borderId="0" xfId="0" applyFont="1" applyFill="1" applyAlignment="1">
      <alignment/>
    </xf>
    <xf numFmtId="10" fontId="50" fillId="33" borderId="10" xfId="63" applyNumberFormat="1" applyFont="1" applyFill="1" applyBorder="1" applyAlignment="1">
      <alignment/>
    </xf>
    <xf numFmtId="166" fontId="50" fillId="33" borderId="10" xfId="56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1" fontId="50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1" fillId="0" borderId="22" xfId="0" applyFont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xcel Built-in Comma" xfId="46"/>
    <cellStyle name="Excel Built-in Normal" xfId="47"/>
    <cellStyle name="Excel Built-in Normal 1" xfId="48"/>
    <cellStyle name="Incorrecto" xfId="49"/>
    <cellStyle name="Comma" xfId="50"/>
    <cellStyle name="Comma [0]" xfId="51"/>
    <cellStyle name="Millares [0] 2" xfId="52"/>
    <cellStyle name="Millares 2" xfId="53"/>
    <cellStyle name="Millares 2 2" xfId="54"/>
    <cellStyle name="Millares 3" xfId="55"/>
    <cellStyle name="Currency" xfId="56"/>
    <cellStyle name="Currency [0]" xfId="57"/>
    <cellStyle name="Neutral" xfId="58"/>
    <cellStyle name="Normal 2" xfId="59"/>
    <cellStyle name="Normal 3" xfId="60"/>
    <cellStyle name="Normal 6" xfId="61"/>
    <cellStyle name="Notas" xfId="62"/>
    <cellStyle name="Percent" xfId="63"/>
    <cellStyle name="Porcentual 2 2" xfId="64"/>
    <cellStyle name="Porcentual 3 2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Precio vs. VAN</a:t>
            </a:r>
          </a:p>
        </c:rich>
      </c:tx>
      <c:layout>
        <c:manualLayout>
          <c:xMode val="factor"/>
          <c:yMode val="factor"/>
          <c:x val="-0.001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65"/>
          <c:w val="0.855"/>
          <c:h val="0.8365"/>
        </c:manualLayout>
      </c:layout>
      <c:lineChart>
        <c:grouping val="standard"/>
        <c:varyColors val="0"/>
        <c:ser>
          <c:idx val="1"/>
          <c:order val="0"/>
          <c:tx>
            <c:strRef>
              <c:f>'[1]ANALISIS DE SENSIBILIDAD'!$C$21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'[1]ANALISIS DE SENSIBILIDAD'!$D$20:$I$20</c:f>
              <c:numCache>
                <c:ptCount val="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cat>
          <c:val>
            <c:numRef>
              <c:f>'[1]ANALISIS DE SENSIBILIDAD'!$D$21:$I$21</c:f>
              <c:numCache>
                <c:ptCount val="6"/>
                <c:pt idx="0">
                  <c:v>-38080.11397459122</c:v>
                </c:pt>
                <c:pt idx="1">
                  <c:v>-8334.933472474397</c:v>
                </c:pt>
                <c:pt idx="2">
                  <c:v>21410.24702964237</c:v>
                </c:pt>
                <c:pt idx="3">
                  <c:v>51155.427531759175</c:v>
                </c:pt>
                <c:pt idx="4">
                  <c:v>80900.60803387586</c:v>
                </c:pt>
                <c:pt idx="5">
                  <c:v>110645.78853599273</c:v>
                </c:pt>
              </c:numCache>
            </c:numRef>
          </c:val>
          <c:smooth val="0"/>
        </c:ser>
        <c:marker val="1"/>
        <c:axId val="34320478"/>
        <c:axId val="40448847"/>
      </c:lineChart>
      <c:catAx>
        <c:axId val="34320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48847"/>
        <c:crosses val="autoZero"/>
        <c:auto val="1"/>
        <c:lblOffset val="100"/>
        <c:tickLblSkip val="1"/>
        <c:noMultiLvlLbl val="0"/>
      </c:catAx>
      <c:valAx>
        <c:axId val="404488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20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"/>
          <c:y val="0.533"/>
          <c:w val="0.1065"/>
          <c:h val="0.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Costo de venta vs. VAN</a:t>
            </a:r>
          </a:p>
        </c:rich>
      </c:tx>
      <c:layout>
        <c:manualLayout>
          <c:xMode val="factor"/>
          <c:yMode val="factor"/>
          <c:x val="-0.001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625"/>
          <c:w val="0.8567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'[1]ANALISIS DE SENSIBILIDAD'!$C$91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'[1]ANALISIS DE SENSIBILIDAD'!$D$90:$I$90</c:f>
              <c:numCache>
                <c:ptCount val="6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</c:numCache>
            </c:numRef>
          </c:cat>
          <c:val>
            <c:numRef>
              <c:f>'[1]ANALISIS DE SENSIBILIDAD'!$D$91:$I$91</c:f>
              <c:numCache>
                <c:ptCount val="6"/>
                <c:pt idx="0">
                  <c:v>34369.84821210724</c:v>
                </c:pt>
                <c:pt idx="1">
                  <c:v>21410.24702964237</c:v>
                </c:pt>
                <c:pt idx="2">
                  <c:v>8450.645847177511</c:v>
                </c:pt>
                <c:pt idx="3">
                  <c:v>-4508.955335287361</c:v>
                </c:pt>
                <c:pt idx="4">
                  <c:v>-17468.556517752233</c:v>
                </c:pt>
                <c:pt idx="5">
                  <c:v>-30428.15770021711</c:v>
                </c:pt>
              </c:numCache>
            </c:numRef>
          </c:val>
          <c:smooth val="0"/>
        </c:ser>
        <c:marker val="1"/>
        <c:axId val="28495304"/>
        <c:axId val="55131145"/>
      </c:lineChart>
      <c:catAx>
        <c:axId val="28495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31145"/>
        <c:crosses val="autoZero"/>
        <c:auto val="1"/>
        <c:lblOffset val="100"/>
        <c:tickLblSkip val="1"/>
        <c:noMultiLvlLbl val="0"/>
      </c:catAx>
      <c:valAx>
        <c:axId val="551311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95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5275"/>
          <c:w val="0.105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733425</xdr:colOff>
      <xdr:row>12</xdr:row>
      <xdr:rowOff>66675</xdr:rowOff>
    </xdr:from>
    <xdr:to>
      <xdr:col>17</xdr:col>
      <xdr:colOff>19050</xdr:colOff>
      <xdr:row>21</xdr:row>
      <xdr:rowOff>342900</xdr:rowOff>
    </xdr:to>
    <xdr:sp>
      <xdr:nvSpPr>
        <xdr:cNvPr id="1" name="Rectangle 15"/>
        <xdr:cNvSpPr>
          <a:spLocks/>
        </xdr:cNvSpPr>
      </xdr:nvSpPr>
      <xdr:spPr>
        <a:xfrm>
          <a:off x="9886950" y="2352675"/>
          <a:ext cx="385762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DESARROLLO DE LA FORMULA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Re= (rf +B (rm</a:t>
          </a:r>
          <a:r>
            <a:rPr lang="en-US" cap="none" sz="1200" b="1" i="0" u="none" baseline="0">
              <a:solidFill>
                <a:srgbClr val="000000"/>
              </a:solidFill>
            </a:rPr>
            <a:t>‐</a:t>
          </a:r>
          <a:r>
            <a:rPr lang="en-US" cap="none" sz="1200" b="1" i="0" u="none" baseline="0">
              <a:solidFill>
                <a:srgbClr val="000000"/>
              </a:solidFill>
            </a:rPr>
            <a:t>rf))+ riesgo país.
</a:t>
          </a:r>
          <a:r>
            <a:rPr lang="en-US" cap="none" sz="1200" b="1" i="0" u="none" baseline="0">
              <a:solidFill>
                <a:srgbClr val="000000"/>
              </a:solidFill>
            </a:rPr>
            <a:t>Re= (</a:t>
          </a:r>
          <a:r>
            <a:rPr lang="en-US" cap="none" sz="1200" b="0" i="0" u="none" baseline="0">
              <a:solidFill>
                <a:srgbClr val="000000"/>
              </a:solidFill>
            </a:rPr>
            <a:t>0.0085 + 0.59 (0.0817</a:t>
          </a:r>
          <a:r>
            <a:rPr lang="en-US" cap="none" sz="1200" b="0" i="0" u="none" baseline="0">
              <a:solidFill>
                <a:srgbClr val="000000"/>
              </a:solidFill>
            </a:rPr>
            <a:t>‐</a:t>
          </a:r>
          <a:r>
            <a:rPr lang="en-US" cap="none" sz="1200" b="0" i="0" u="none" baseline="0">
              <a:solidFill>
                <a:srgbClr val="000000"/>
              </a:solidFill>
            </a:rPr>
            <a:t>0.0085)) + 0.0808
</a:t>
          </a:r>
          <a:r>
            <a:rPr lang="en-US" cap="none" sz="1200" b="1" i="0" u="none" baseline="0">
              <a:solidFill>
                <a:srgbClr val="000000"/>
              </a:solidFill>
            </a:rPr>
            <a:t>Re= </a:t>
          </a:r>
          <a:r>
            <a:rPr lang="en-US" cap="none" sz="1200" b="0" i="0" u="none" baseline="0">
              <a:solidFill>
                <a:srgbClr val="000000"/>
              </a:solidFill>
            </a:rPr>
            <a:t>0.132488 = 13.25</a:t>
          </a:r>
          <a:r>
            <a:rPr lang="en-US" cap="none" sz="1200" b="1" i="0" u="none" baseline="0">
              <a:solidFill>
                <a:srgbClr val="000000"/>
              </a:solidFill>
            </a:rPr>
            <a:t>%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0</xdr:rowOff>
    </xdr:from>
    <xdr:to>
      <xdr:col>8</xdr:col>
      <xdr:colOff>704850</xdr:colOff>
      <xdr:row>21</xdr:row>
      <xdr:rowOff>104775</xdr:rowOff>
    </xdr:to>
    <xdr:graphicFrame>
      <xdr:nvGraphicFramePr>
        <xdr:cNvPr id="1" name="1 Gráfico"/>
        <xdr:cNvGraphicFramePr/>
      </xdr:nvGraphicFramePr>
      <xdr:xfrm>
        <a:off x="1695450" y="1714500"/>
        <a:ext cx="57054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25</xdr:row>
      <xdr:rowOff>57150</xdr:rowOff>
    </xdr:from>
    <xdr:to>
      <xdr:col>8</xdr:col>
      <xdr:colOff>733425</xdr:colOff>
      <xdr:row>39</xdr:row>
      <xdr:rowOff>85725</xdr:rowOff>
    </xdr:to>
    <xdr:graphicFrame>
      <xdr:nvGraphicFramePr>
        <xdr:cNvPr id="2" name="2 Gráfico"/>
        <xdr:cNvGraphicFramePr/>
      </xdr:nvGraphicFramePr>
      <xdr:xfrm>
        <a:off x="1638300" y="4819650"/>
        <a:ext cx="5791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INREUMI%20FLUJOS%2011abr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SALARIOS ADM"/>
      <sheetName val="TABLA SALARIOS SALUD"/>
      <sheetName val="EXAMENES PRECIOS"/>
      <sheetName val="ACTIVOS FIJOS VIEJOS"/>
      <sheetName val="REEMPLAZO A.FIJOS"/>
      <sheetName val="PUBLICIDAD"/>
      <sheetName val="SUELDOS Y OTROS"/>
      <sheetName val="VARIOS"/>
      <sheetName val="K de trabajo"/>
      <sheetName val="BALANCE SIN REINGENIERIA"/>
      <sheetName val="FLUJO CAJA SIN REINGENIERIA"/>
      <sheetName val="BALANCE CON REINGENIERIA"/>
      <sheetName val="FLUJO CAJA CON REINGENIERIA"/>
      <sheetName val="FLUJO INCREMENTAL"/>
      <sheetName val="TASA DESCUENTO"/>
      <sheetName val="PAYBACK"/>
      <sheetName val="PTO. EQUILIBRIO"/>
      <sheetName val="ANALISIS DE SENSIBILIDAD"/>
    </sheetNames>
    <sheetDataSet>
      <sheetData sheetId="17">
        <row r="20">
          <cell r="D20">
            <v>6</v>
          </cell>
          <cell r="E20">
            <v>7</v>
          </cell>
          <cell r="F20">
            <v>8</v>
          </cell>
          <cell r="G20">
            <v>9</v>
          </cell>
          <cell r="H20">
            <v>10</v>
          </cell>
          <cell r="I20">
            <v>11</v>
          </cell>
        </row>
        <row r="21">
          <cell r="C21" t="str">
            <v>VAN</v>
          </cell>
          <cell r="D21">
            <v>-38080.11397459122</v>
          </cell>
          <cell r="E21">
            <v>-8334.933472474397</v>
          </cell>
          <cell r="F21">
            <v>21410.24702964237</v>
          </cell>
          <cell r="G21">
            <v>51155.427531759175</v>
          </cell>
          <cell r="H21">
            <v>80900.60803387586</v>
          </cell>
          <cell r="I21">
            <v>110645.78853599273</v>
          </cell>
        </row>
        <row r="90">
          <cell r="D90">
            <v>0.05</v>
          </cell>
          <cell r="E90">
            <v>0.1</v>
          </cell>
          <cell r="F90">
            <v>0.15</v>
          </cell>
          <cell r="G90">
            <v>0.2</v>
          </cell>
          <cell r="H90">
            <v>0.25</v>
          </cell>
          <cell r="I90">
            <v>0.3</v>
          </cell>
        </row>
        <row r="91">
          <cell r="C91" t="str">
            <v>VAN</v>
          </cell>
          <cell r="D91">
            <v>34369.84821210724</v>
          </cell>
          <cell r="E91">
            <v>21410.24702964237</v>
          </cell>
          <cell r="F91">
            <v>8450.645847177511</v>
          </cell>
          <cell r="G91">
            <v>-4508.955335287361</v>
          </cell>
          <cell r="H91">
            <v>-17468.556517752233</v>
          </cell>
          <cell r="I91">
            <v>-30428.15770021711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P37"/>
  <sheetViews>
    <sheetView tabSelected="1" zoomScalePageLayoutView="0" workbookViewId="0" topLeftCell="C24">
      <selection activeCell="L44" sqref="L44"/>
    </sheetView>
  </sheetViews>
  <sheetFormatPr defaultColWidth="11.421875" defaultRowHeight="15"/>
  <cols>
    <col min="3" max="3" width="32.7109375" style="0" customWidth="1"/>
    <col min="4" max="4" width="11.00390625" style="0" bestFit="1" customWidth="1"/>
    <col min="5" max="9" width="9.57421875" style="0" bestFit="1" customWidth="1"/>
  </cols>
  <sheetData>
    <row r="5" spans="3:13" ht="15">
      <c r="C5" s="114"/>
      <c r="D5" s="110" t="s">
        <v>82</v>
      </c>
      <c r="E5" s="110" t="s">
        <v>83</v>
      </c>
      <c r="F5" s="110" t="s">
        <v>84</v>
      </c>
      <c r="G5" s="110" t="s">
        <v>85</v>
      </c>
      <c r="H5" s="110" t="s">
        <v>86</v>
      </c>
      <c r="I5" s="110" t="s">
        <v>87</v>
      </c>
      <c r="K5" s="98" t="s">
        <v>187</v>
      </c>
      <c r="M5" s="99">
        <v>0.1</v>
      </c>
    </row>
    <row r="6" spans="3:13" ht="15">
      <c r="C6" s="114" t="s">
        <v>0</v>
      </c>
      <c r="D6" s="122"/>
      <c r="E6" s="122">
        <v>8</v>
      </c>
      <c r="F6" s="122">
        <f>E6</f>
        <v>8</v>
      </c>
      <c r="G6" s="122">
        <f>F6</f>
        <v>8</v>
      </c>
      <c r="H6" s="122">
        <f>G6</f>
        <v>8</v>
      </c>
      <c r="I6" s="122">
        <f>H6</f>
        <v>8</v>
      </c>
      <c r="K6" t="s">
        <v>213</v>
      </c>
      <c r="M6" s="99">
        <v>0.05</v>
      </c>
    </row>
    <row r="7" spans="3:13" ht="15">
      <c r="C7" s="114" t="s">
        <v>1</v>
      </c>
      <c r="D7" s="122"/>
      <c r="E7" s="122">
        <f>'Capital de Trabajo e Ingresos'!D25</f>
        <v>12968.99999999999</v>
      </c>
      <c r="F7" s="122">
        <f aca="true" t="shared" si="0" ref="F7:H8">E7*1.05</f>
        <v>13617.449999999992</v>
      </c>
      <c r="G7" s="122">
        <f t="shared" si="0"/>
        <v>14298.322499999991</v>
      </c>
      <c r="H7" s="122">
        <f t="shared" si="0"/>
        <v>15013.23862499999</v>
      </c>
      <c r="I7" s="122">
        <f>H7*1.05</f>
        <v>15763.900556249991</v>
      </c>
      <c r="K7" t="s">
        <v>214</v>
      </c>
      <c r="M7" s="99">
        <v>0.05</v>
      </c>
    </row>
    <row r="8" spans="3:13" ht="15">
      <c r="C8" s="114" t="s">
        <v>2</v>
      </c>
      <c r="D8" s="122"/>
      <c r="E8" s="122">
        <f>'Capital de Trabajo e Ingresos'!D23</f>
        <v>103751.99999999993</v>
      </c>
      <c r="F8" s="122">
        <f t="shared" si="0"/>
        <v>108939.59999999993</v>
      </c>
      <c r="G8" s="122">
        <f t="shared" si="0"/>
        <v>114386.57999999993</v>
      </c>
      <c r="H8" s="122">
        <f t="shared" si="0"/>
        <v>120105.90899999993</v>
      </c>
      <c r="I8" s="122">
        <f>H8*1.05</f>
        <v>126111.20444999993</v>
      </c>
      <c r="K8" t="s">
        <v>215</v>
      </c>
      <c r="M8" s="99">
        <v>0.1</v>
      </c>
    </row>
    <row r="9" spans="3:9" ht="15">
      <c r="C9" s="114" t="s">
        <v>3</v>
      </c>
      <c r="D9" s="122"/>
      <c r="E9" s="122">
        <f>E8*$M$5</f>
        <v>10375.199999999993</v>
      </c>
      <c r="F9" s="122">
        <f>F8*$M$5</f>
        <v>10893.959999999994</v>
      </c>
      <c r="G9" s="122">
        <f>G8*$M$5</f>
        <v>11438.657999999994</v>
      </c>
      <c r="H9" s="122">
        <f>H8*$M$5</f>
        <v>12010.590899999994</v>
      </c>
      <c r="I9" s="122">
        <f>I8*$M$5</f>
        <v>12611.120444999993</v>
      </c>
    </row>
    <row r="10" spans="3:9" ht="15">
      <c r="C10" s="115" t="s">
        <v>4</v>
      </c>
      <c r="D10" s="122"/>
      <c r="E10" s="122">
        <f>E8-E9</f>
        <v>93376.79999999993</v>
      </c>
      <c r="F10" s="122">
        <f>F8-F9</f>
        <v>98045.63999999994</v>
      </c>
      <c r="G10" s="122">
        <f>G8-G9</f>
        <v>102947.92199999993</v>
      </c>
      <c r="H10" s="122">
        <f>H8-H9</f>
        <v>108095.31809999993</v>
      </c>
      <c r="I10" s="122">
        <f>I8-I9</f>
        <v>113500.08400499994</v>
      </c>
    </row>
    <row r="11" spans="3:9" s="35" customFormat="1" ht="15">
      <c r="C11" s="116" t="s">
        <v>106</v>
      </c>
      <c r="D11" s="123"/>
      <c r="E11" s="123"/>
      <c r="F11" s="123"/>
      <c r="G11" s="123"/>
      <c r="H11" s="123"/>
      <c r="I11" s="123"/>
    </row>
    <row r="12" spans="3:9" ht="15">
      <c r="C12" s="114" t="s">
        <v>81</v>
      </c>
      <c r="D12" s="122"/>
      <c r="E12" s="122">
        <f>Personal!K8</f>
        <v>55645.232</v>
      </c>
      <c r="F12" s="122">
        <f>E12*(1+$M$8)</f>
        <v>61209.75520000001</v>
      </c>
      <c r="G12" s="122">
        <f>F12*(1+$M$8)</f>
        <v>67330.73072</v>
      </c>
      <c r="H12" s="122">
        <f>G12*(1+$M$8)</f>
        <v>74063.80379200002</v>
      </c>
      <c r="I12" s="122">
        <f>H12*(1+$M$8)</f>
        <v>81470.18417120003</v>
      </c>
    </row>
    <row r="13" spans="3:9" ht="15">
      <c r="C13" s="114" t="s">
        <v>89</v>
      </c>
      <c r="D13" s="122"/>
      <c r="E13" s="122">
        <f>'Gastos Generales'!E18</f>
        <v>8160</v>
      </c>
      <c r="F13" s="122">
        <f>E13*(1+$M$7)</f>
        <v>8568</v>
      </c>
      <c r="G13" s="122">
        <f>F13*(1+$M$7)</f>
        <v>8996.4</v>
      </c>
      <c r="H13" s="122">
        <f>G13*(1+$M$7)</f>
        <v>9446.22</v>
      </c>
      <c r="I13" s="122">
        <f>H13*(1+$M$7)</f>
        <v>9918.530999999999</v>
      </c>
    </row>
    <row r="14" spans="3:9" ht="15">
      <c r="C14" s="114" t="s">
        <v>5</v>
      </c>
      <c r="D14" s="122"/>
      <c r="E14" s="122">
        <f>'Servicios Basicos'!D9</f>
        <v>4380</v>
      </c>
      <c r="F14" s="122">
        <f>E14*(1+$M$7)</f>
        <v>4599</v>
      </c>
      <c r="G14" s="122">
        <f>F14*(1+$M$7)</f>
        <v>4828.95</v>
      </c>
      <c r="H14" s="122">
        <f>G14*(1+$M$7)</f>
        <v>5070.3975</v>
      </c>
      <c r="I14" s="122">
        <f>H14*(1+$M$7)</f>
        <v>5323.917375</v>
      </c>
    </row>
    <row r="15" spans="3:9" ht="15">
      <c r="C15" s="114" t="s">
        <v>6</v>
      </c>
      <c r="D15" s="122"/>
      <c r="E15" s="122">
        <f>Publicidad!E13</f>
        <v>5196</v>
      </c>
      <c r="F15" s="122">
        <f>E15*(1+$M$7)</f>
        <v>5455.8</v>
      </c>
      <c r="G15" s="122">
        <f>F15*(1+$M$7)</f>
        <v>5728.59</v>
      </c>
      <c r="H15" s="122">
        <f>G15*(1+$M$7)</f>
        <v>6015.0195</v>
      </c>
      <c r="I15" s="122">
        <f>H15*(1+$M$7)</f>
        <v>6315.770475</v>
      </c>
    </row>
    <row r="16" spans="3:9" ht="15">
      <c r="C16" s="114" t="s">
        <v>7</v>
      </c>
      <c r="D16" s="122"/>
      <c r="E16" s="122">
        <f>Alquiler!F6</f>
        <v>11040</v>
      </c>
      <c r="F16" s="122">
        <f>E16*(1+$M$6)</f>
        <v>11592</v>
      </c>
      <c r="G16" s="122">
        <f>F16*(1+$M$6)</f>
        <v>12171.6</v>
      </c>
      <c r="H16" s="122">
        <f>G16*(1+$M$6)</f>
        <v>12780.18</v>
      </c>
      <c r="I16" s="122">
        <f>H16*(1+$M$6)</f>
        <v>13419.189</v>
      </c>
    </row>
    <row r="17" spans="3:9" ht="30">
      <c r="C17" s="114" t="s">
        <v>158</v>
      </c>
      <c r="D17" s="122"/>
      <c r="E17" s="122">
        <f>-'Depreciacion y Amotizacion'!F18</f>
        <v>-3676.8676666666665</v>
      </c>
      <c r="F17" s="122">
        <f>-'Depreciacion y Amotizacion'!F18</f>
        <v>-3676.8676666666665</v>
      </c>
      <c r="G17" s="122">
        <f>F17</f>
        <v>-3676.8676666666665</v>
      </c>
      <c r="H17" s="122">
        <f>G17</f>
        <v>-3676.8676666666665</v>
      </c>
      <c r="I17" s="122">
        <f>H17</f>
        <v>-3676.8676666666665</v>
      </c>
    </row>
    <row r="18" spans="3:9" ht="15">
      <c r="C18" s="117" t="s">
        <v>107</v>
      </c>
      <c r="D18" s="122"/>
      <c r="E18" s="122">
        <f>SUM(E12:E17)</f>
        <v>80744.36433333333</v>
      </c>
      <c r="F18" s="122">
        <f>SUM(F12:F17)</f>
        <v>87747.68753333334</v>
      </c>
      <c r="G18" s="122">
        <f>SUM(G12:G17)</f>
        <v>95379.40305333333</v>
      </c>
      <c r="H18" s="122">
        <f>SUM(H12:H17)</f>
        <v>103698.75312533336</v>
      </c>
      <c r="I18" s="122">
        <f>SUM(I12:I17)</f>
        <v>112770.72435453336</v>
      </c>
    </row>
    <row r="19" spans="3:9" ht="15">
      <c r="C19" s="118" t="s">
        <v>8</v>
      </c>
      <c r="D19" s="122"/>
      <c r="E19" s="122">
        <f>E10-E18</f>
        <v>12632.435666666599</v>
      </c>
      <c r="F19" s="122">
        <f>F10-F18</f>
        <v>10297.952466666597</v>
      </c>
      <c r="G19" s="122">
        <f>G10-G18</f>
        <v>7568.518946666605</v>
      </c>
      <c r="H19" s="122">
        <f>H10-H18</f>
        <v>4396.564974666573</v>
      </c>
      <c r="I19" s="122">
        <f>I10-I18</f>
        <v>729.3596504665766</v>
      </c>
    </row>
    <row r="20" spans="3:9" ht="15">
      <c r="C20" s="114" t="s">
        <v>9</v>
      </c>
      <c r="D20" s="122"/>
      <c r="E20" s="122">
        <f>'Prestamo Banc'!B26</f>
        <v>-1551.9434662800002</v>
      </c>
      <c r="F20" s="122">
        <f>'Prestamo Banc'!C26</f>
        <v>-1296.623134924886</v>
      </c>
      <c r="G20" s="122">
        <f>'Prestamo Banc'!D26</f>
        <v>-1016.3324751632417</v>
      </c>
      <c r="H20" s="122">
        <f>'Prestamo Banc'!E26</f>
        <v>-708.6293888769086</v>
      </c>
      <c r="I20" s="122">
        <f>'Prestamo Banc'!F26</f>
        <v>-370.8329407517722</v>
      </c>
    </row>
    <row r="21" spans="3:9" ht="15">
      <c r="C21" s="119" t="s">
        <v>10</v>
      </c>
      <c r="D21" s="122"/>
      <c r="E21" s="122">
        <f>E19+E20</f>
        <v>11080.4922003866</v>
      </c>
      <c r="F21" s="122">
        <f>F19+F20</f>
        <v>9001.32933174171</v>
      </c>
      <c r="G21" s="122">
        <f>G19+G20</f>
        <v>6552.1864715033635</v>
      </c>
      <c r="H21" s="122">
        <f>H19+H20</f>
        <v>3687.9355857896644</v>
      </c>
      <c r="I21" s="122">
        <f>I19+I20</f>
        <v>358.5267097148044</v>
      </c>
    </row>
    <row r="22" spans="3:9" ht="30">
      <c r="C22" s="114" t="s">
        <v>88</v>
      </c>
      <c r="D22" s="122"/>
      <c r="E22" s="122">
        <f>E21*0.15</f>
        <v>1662.0738300579899</v>
      </c>
      <c r="F22" s="122">
        <f>F21*0.15</f>
        <v>1350.1993997612565</v>
      </c>
      <c r="G22" s="122">
        <f>G21*0.15</f>
        <v>982.8279707255044</v>
      </c>
      <c r="H22" s="122">
        <f>H21*0.15</f>
        <v>553.1903378684497</v>
      </c>
      <c r="I22" s="122">
        <f>I21*0.15</f>
        <v>53.77900645722065</v>
      </c>
    </row>
    <row r="23" spans="3:9" ht="30">
      <c r="C23" s="120" t="s">
        <v>11</v>
      </c>
      <c r="D23" s="122"/>
      <c r="E23" s="122">
        <f>E21-E22</f>
        <v>9418.418370328609</v>
      </c>
      <c r="F23" s="122">
        <f>F21-F22</f>
        <v>7651.129931980454</v>
      </c>
      <c r="G23" s="122">
        <f>G21-G22</f>
        <v>5569.358500777859</v>
      </c>
      <c r="H23" s="122">
        <f>H21-H22</f>
        <v>3134.7452479212147</v>
      </c>
      <c r="I23" s="122">
        <f>I21-I22</f>
        <v>304.74770325758374</v>
      </c>
    </row>
    <row r="24" spans="3:16" ht="15">
      <c r="C24" s="114" t="s">
        <v>177</v>
      </c>
      <c r="D24" s="122"/>
      <c r="E24" s="122">
        <f>E23*0.23</f>
        <v>2166.2362251755803</v>
      </c>
      <c r="F24" s="122">
        <f>F23*0.23</f>
        <v>1759.7598843555045</v>
      </c>
      <c r="G24" s="122">
        <f>G23*0.23</f>
        <v>1280.9524551789077</v>
      </c>
      <c r="H24" s="122">
        <f>H23*0.23</f>
        <v>720.9914070218795</v>
      </c>
      <c r="I24" s="122">
        <f>I23*0.23</f>
        <v>70.09197174924427</v>
      </c>
      <c r="M24" t="s">
        <v>118</v>
      </c>
      <c r="N24" s="53">
        <v>0.1325</v>
      </c>
      <c r="P24" t="s">
        <v>178</v>
      </c>
    </row>
    <row r="25" spans="3:9" ht="15">
      <c r="C25" s="121" t="s">
        <v>12</v>
      </c>
      <c r="D25" s="122"/>
      <c r="E25" s="122">
        <f>E23-E24</f>
        <v>7252.182145153029</v>
      </c>
      <c r="F25" s="122">
        <f>F23-F24</f>
        <v>5891.37004762495</v>
      </c>
      <c r="G25" s="122">
        <f>G23-G24</f>
        <v>4288.406045598951</v>
      </c>
      <c r="H25" s="122">
        <f>H23-H24</f>
        <v>2413.753840899335</v>
      </c>
      <c r="I25" s="122">
        <f>I23-I24</f>
        <v>234.65573150833947</v>
      </c>
    </row>
    <row r="26" spans="3:9" ht="15">
      <c r="C26" s="114" t="s">
        <v>13</v>
      </c>
      <c r="D26" s="122"/>
      <c r="E26" s="122">
        <f>'Depreciacion y Amotizacion'!F18</f>
        <v>3676.8676666666665</v>
      </c>
      <c r="F26" s="122">
        <f>'Depreciacion y Amotizacion'!$F$18</f>
        <v>3676.8676666666665</v>
      </c>
      <c r="G26" s="122">
        <f>'Depreciacion y Amotizacion'!$F$18</f>
        <v>3676.8676666666665</v>
      </c>
      <c r="H26" s="122">
        <f>'Depreciacion y Amotizacion'!$F$18</f>
        <v>3676.8676666666665</v>
      </c>
      <c r="I26" s="122">
        <f>'Depreciacion y Amotizacion'!$F$18</f>
        <v>3676.8676666666665</v>
      </c>
    </row>
    <row r="27" spans="3:9" ht="15">
      <c r="C27" s="114" t="s">
        <v>90</v>
      </c>
      <c r="D27" s="122"/>
      <c r="E27" s="122">
        <f>'Prestamo Banc'!B25</f>
        <v>2610.6373349193673</v>
      </c>
      <c r="F27" s="122">
        <f>'Prestamo Banc'!C25</f>
        <v>2865.9576662744817</v>
      </c>
      <c r="G27" s="122">
        <f>'Prestamo Banc'!D25</f>
        <v>3146.248326036126</v>
      </c>
      <c r="H27" s="122">
        <f>'Prestamo Banc'!E25</f>
        <v>3453.951412322459</v>
      </c>
      <c r="I27" s="122">
        <f>'Prestamo Banc'!F25</f>
        <v>3791.7478604475955</v>
      </c>
    </row>
    <row r="28" spans="3:9" ht="15">
      <c r="C28" s="117" t="s">
        <v>155</v>
      </c>
      <c r="D28" s="122"/>
      <c r="E28" s="122">
        <f>E25+E26-E27</f>
        <v>8318.412476900328</v>
      </c>
      <c r="F28" s="122">
        <f>F25+F26-F27</f>
        <v>6702.280048017134</v>
      </c>
      <c r="G28" s="122">
        <f>G25+G26-G27</f>
        <v>4819.025386229492</v>
      </c>
      <c r="H28" s="122">
        <f>H25+H26-H27</f>
        <v>2636.670095243543</v>
      </c>
      <c r="I28" s="122">
        <f>I25+I26-I27</f>
        <v>119.77553772741066</v>
      </c>
    </row>
    <row r="29" spans="3:9" ht="15">
      <c r="C29" s="114" t="s">
        <v>159</v>
      </c>
      <c r="D29" s="122">
        <f>'Inversion Inicial Requerida'!D13</f>
        <v>29386.190000000002</v>
      </c>
      <c r="E29" s="122"/>
      <c r="F29" s="122"/>
      <c r="G29" s="122"/>
      <c r="H29" s="122"/>
      <c r="I29" s="122"/>
    </row>
    <row r="30" spans="3:9" ht="15">
      <c r="C30" s="114" t="s">
        <v>15</v>
      </c>
      <c r="D30" s="122">
        <f>-'Capital de Trabajo e Ingresos'!D12</f>
        <v>5861.058991869923</v>
      </c>
      <c r="E30" s="122"/>
      <c r="F30" s="122"/>
      <c r="G30" s="122"/>
      <c r="H30" s="122"/>
      <c r="I30" s="122"/>
    </row>
    <row r="31" spans="3:9" ht="15">
      <c r="C31" s="114" t="s">
        <v>108</v>
      </c>
      <c r="D31" s="122">
        <f>'Prestamo Banc'!B18</f>
        <v>15868.542600000002</v>
      </c>
      <c r="E31" s="122"/>
      <c r="F31" s="122"/>
      <c r="G31" s="122"/>
      <c r="H31" s="122"/>
      <c r="I31" s="122"/>
    </row>
    <row r="32" spans="3:11" ht="30">
      <c r="C32" s="114" t="s">
        <v>169</v>
      </c>
      <c r="D32" s="122"/>
      <c r="E32" s="122"/>
      <c r="F32" s="122"/>
      <c r="G32" s="122"/>
      <c r="H32" s="122"/>
      <c r="I32" s="122">
        <f>-'Capital de Trabajo e Ingresos'!D12</f>
        <v>5861.058991869923</v>
      </c>
      <c r="K32">
        <f>D31/D29</f>
        <v>0.54</v>
      </c>
    </row>
    <row r="33" spans="3:9" ht="15">
      <c r="C33" s="114" t="s">
        <v>16</v>
      </c>
      <c r="D33" s="122"/>
      <c r="E33" s="122"/>
      <c r="F33" s="122"/>
      <c r="G33" s="122"/>
      <c r="H33" s="122"/>
      <c r="I33" s="122">
        <f>'Depreciacion y Amotizacion'!$I$18</f>
        <v>9538.505000000001</v>
      </c>
    </row>
    <row r="34" spans="3:9" ht="15">
      <c r="C34" s="119" t="s">
        <v>14</v>
      </c>
      <c r="D34" s="122">
        <f>-(D29+D30-D31)</f>
        <v>-19378.706391869928</v>
      </c>
      <c r="E34" s="122">
        <f>SUM(E28:E33)</f>
        <v>8318.412476900328</v>
      </c>
      <c r="F34" s="122">
        <f>SUM(F28:F33)</f>
        <v>6702.280048017134</v>
      </c>
      <c r="G34" s="122">
        <f>SUM(G28:G33)</f>
        <v>4819.025386229492</v>
      </c>
      <c r="H34" s="122">
        <f>SUM(H28:H33)</f>
        <v>2636.670095243543</v>
      </c>
      <c r="I34" s="122">
        <f>SUM(I28:I33)</f>
        <v>15519.339529597335</v>
      </c>
    </row>
    <row r="35" spans="3:9" ht="15.75" thickBot="1">
      <c r="C35" s="116" t="s">
        <v>17</v>
      </c>
      <c r="D35" s="113">
        <f>N24</f>
        <v>0.1325</v>
      </c>
      <c r="E35" s="111"/>
      <c r="F35" s="111"/>
      <c r="G35" s="111"/>
      <c r="H35" s="111"/>
      <c r="I35" s="111"/>
    </row>
    <row r="36" spans="3:9" ht="15.75" thickBot="1">
      <c r="C36" s="116" t="s">
        <v>18</v>
      </c>
      <c r="D36" s="112">
        <f>NPV($N$24,E34:I34)+D34</f>
        <v>6443.547728060315</v>
      </c>
      <c r="E36" s="111"/>
      <c r="F36" s="111"/>
      <c r="G36" s="111"/>
      <c r="H36" s="111"/>
      <c r="I36" s="111"/>
    </row>
    <row r="37" spans="3:9" ht="15">
      <c r="C37" s="116" t="s">
        <v>19</v>
      </c>
      <c r="D37" s="113">
        <f>IRR(D34:I34)</f>
        <v>0.2547710629114339</v>
      </c>
      <c r="E37" s="111"/>
      <c r="F37" s="111"/>
      <c r="G37" s="111"/>
      <c r="H37" s="111"/>
      <c r="I37" s="11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37"/>
  <sheetViews>
    <sheetView zoomScalePageLayoutView="0" workbookViewId="0" topLeftCell="A16">
      <selection activeCell="N35" sqref="N35"/>
    </sheetView>
  </sheetViews>
  <sheetFormatPr defaultColWidth="11.421875" defaultRowHeight="15"/>
  <cols>
    <col min="1" max="1" width="35.140625" style="0" customWidth="1"/>
    <col min="2" max="2" width="12.00390625" style="0" customWidth="1"/>
    <col min="3" max="3" width="11.28125" style="0" customWidth="1"/>
    <col min="4" max="4" width="12.8515625" style="0" customWidth="1"/>
    <col min="5" max="5" width="13.28125" style="0" customWidth="1"/>
    <col min="6" max="6" width="11.8515625" style="0" customWidth="1"/>
    <col min="7" max="7" width="15.00390625" style="0" customWidth="1"/>
    <col min="8" max="8" width="9.421875" style="0" customWidth="1"/>
  </cols>
  <sheetData>
    <row r="3" spans="1:9" ht="15">
      <c r="A3" s="3" t="s">
        <v>91</v>
      </c>
      <c r="B3" s="3" t="s">
        <v>92</v>
      </c>
      <c r="C3" s="3" t="s">
        <v>104</v>
      </c>
      <c r="D3" s="3" t="s">
        <v>93</v>
      </c>
      <c r="E3" s="3" t="s">
        <v>94</v>
      </c>
      <c r="F3" s="3" t="s">
        <v>95</v>
      </c>
      <c r="G3" s="3" t="s">
        <v>96</v>
      </c>
      <c r="H3" s="3" t="s">
        <v>97</v>
      </c>
      <c r="I3" s="3" t="s">
        <v>98</v>
      </c>
    </row>
    <row r="4" spans="1:9" ht="15">
      <c r="A4" s="1" t="s">
        <v>99</v>
      </c>
      <c r="B4" s="1">
        <f>'Equipos y Maquinaria'!I3</f>
        <v>3</v>
      </c>
      <c r="C4" s="1">
        <v>5180.67</v>
      </c>
      <c r="D4" s="1">
        <f>C4*B4</f>
        <v>15542.01</v>
      </c>
      <c r="E4" s="1">
        <v>10</v>
      </c>
      <c r="F4" s="36">
        <f>D4/E4</f>
        <v>1554.201</v>
      </c>
      <c r="G4" s="1">
        <v>5</v>
      </c>
      <c r="H4" s="36">
        <f>F4*G4</f>
        <v>7771.005</v>
      </c>
      <c r="I4" s="36">
        <f>D4/2</f>
        <v>7771.005</v>
      </c>
    </row>
    <row r="5" spans="1:9" ht="15">
      <c r="A5" s="1" t="s">
        <v>100</v>
      </c>
      <c r="B5" s="1">
        <v>3</v>
      </c>
      <c r="C5" s="1">
        <v>1410</v>
      </c>
      <c r="D5" s="1">
        <f aca="true" t="shared" si="0" ref="D5:D16">C5*B5</f>
        <v>4230</v>
      </c>
      <c r="E5" s="1">
        <v>3</v>
      </c>
      <c r="F5" s="1">
        <f aca="true" t="shared" si="1" ref="F5:F16">D5/E5</f>
        <v>1410</v>
      </c>
      <c r="G5" s="1">
        <v>3</v>
      </c>
      <c r="H5" s="1">
        <f aca="true" t="shared" si="2" ref="H5:H16">F5*G5</f>
        <v>4230</v>
      </c>
      <c r="I5" s="1">
        <v>0</v>
      </c>
    </row>
    <row r="6" spans="1:9" ht="15">
      <c r="A6" s="1" t="s">
        <v>101</v>
      </c>
      <c r="B6" s="1">
        <v>1</v>
      </c>
      <c r="C6" s="1">
        <v>320</v>
      </c>
      <c r="D6" s="1">
        <f t="shared" si="0"/>
        <v>320</v>
      </c>
      <c r="E6" s="1">
        <v>3</v>
      </c>
      <c r="F6" s="37">
        <f t="shared" si="1"/>
        <v>106.66666666666667</v>
      </c>
      <c r="G6" s="1">
        <v>3</v>
      </c>
      <c r="H6" s="1">
        <f t="shared" si="2"/>
        <v>320</v>
      </c>
      <c r="I6" s="1">
        <v>0</v>
      </c>
    </row>
    <row r="7" spans="1:9" ht="15">
      <c r="A7" s="1" t="s">
        <v>105</v>
      </c>
      <c r="B7" s="1">
        <v>2</v>
      </c>
      <c r="C7" s="1">
        <v>60</v>
      </c>
      <c r="D7" s="1">
        <f t="shared" si="0"/>
        <v>120</v>
      </c>
      <c r="E7" s="1">
        <v>10</v>
      </c>
      <c r="F7" s="1">
        <f t="shared" si="1"/>
        <v>12</v>
      </c>
      <c r="G7" s="1">
        <v>5</v>
      </c>
      <c r="H7" s="1">
        <f t="shared" si="2"/>
        <v>60</v>
      </c>
      <c r="I7" s="1">
        <f aca="true" t="shared" si="3" ref="I7:I16">D7/2</f>
        <v>60</v>
      </c>
    </row>
    <row r="8" spans="1:9" ht="15">
      <c r="A8" s="1" t="s">
        <v>57</v>
      </c>
      <c r="B8" s="1">
        <v>5</v>
      </c>
      <c r="C8" s="1">
        <v>75</v>
      </c>
      <c r="D8" s="1">
        <f t="shared" si="0"/>
        <v>375</v>
      </c>
      <c r="E8" s="1">
        <v>10</v>
      </c>
      <c r="F8" s="36">
        <f t="shared" si="1"/>
        <v>37.5</v>
      </c>
      <c r="G8" s="1">
        <v>5</v>
      </c>
      <c r="H8" s="36">
        <f t="shared" si="2"/>
        <v>187.5</v>
      </c>
      <c r="I8" s="1">
        <v>0</v>
      </c>
    </row>
    <row r="9" spans="1:9" ht="15">
      <c r="A9" s="1" t="s">
        <v>58</v>
      </c>
      <c r="B9" s="1">
        <v>1</v>
      </c>
      <c r="C9" s="1">
        <v>925</v>
      </c>
      <c r="D9" s="1">
        <f t="shared" si="0"/>
        <v>925</v>
      </c>
      <c r="E9" s="1">
        <v>10</v>
      </c>
      <c r="F9" s="36">
        <f t="shared" si="1"/>
        <v>92.5</v>
      </c>
      <c r="G9" s="1">
        <v>5</v>
      </c>
      <c r="H9" s="36">
        <f t="shared" si="2"/>
        <v>462.5</v>
      </c>
      <c r="I9" s="1">
        <f t="shared" si="3"/>
        <v>462.5</v>
      </c>
    </row>
    <row r="10" spans="1:9" ht="15">
      <c r="A10" s="1" t="s">
        <v>59</v>
      </c>
      <c r="B10" s="1">
        <v>1</v>
      </c>
      <c r="C10" s="1">
        <v>580</v>
      </c>
      <c r="D10" s="1">
        <f t="shared" si="0"/>
        <v>580</v>
      </c>
      <c r="E10" s="1">
        <v>10</v>
      </c>
      <c r="F10" s="1">
        <f t="shared" si="1"/>
        <v>58</v>
      </c>
      <c r="G10" s="1">
        <v>5</v>
      </c>
      <c r="H10" s="1">
        <f t="shared" si="2"/>
        <v>290</v>
      </c>
      <c r="I10" s="1">
        <f t="shared" si="3"/>
        <v>290</v>
      </c>
    </row>
    <row r="11" spans="1:9" ht="15">
      <c r="A11" s="1" t="s">
        <v>61</v>
      </c>
      <c r="B11" s="1">
        <v>3</v>
      </c>
      <c r="C11" s="1">
        <v>200</v>
      </c>
      <c r="D11" s="1">
        <f t="shared" si="0"/>
        <v>600</v>
      </c>
      <c r="E11" s="1">
        <v>10</v>
      </c>
      <c r="F11" s="1">
        <f t="shared" si="1"/>
        <v>60</v>
      </c>
      <c r="G11" s="1">
        <v>5</v>
      </c>
      <c r="H11" s="1">
        <f t="shared" si="2"/>
        <v>300</v>
      </c>
      <c r="I11" s="1">
        <f t="shared" si="3"/>
        <v>300</v>
      </c>
    </row>
    <row r="12" spans="1:9" ht="15">
      <c r="A12" s="1" t="s">
        <v>62</v>
      </c>
      <c r="B12" s="1">
        <v>6</v>
      </c>
      <c r="C12" s="1">
        <v>40</v>
      </c>
      <c r="D12" s="1">
        <f t="shared" si="0"/>
        <v>240</v>
      </c>
      <c r="E12" s="1">
        <v>10</v>
      </c>
      <c r="F12" s="1">
        <f t="shared" si="1"/>
        <v>24</v>
      </c>
      <c r="G12" s="1">
        <v>5</v>
      </c>
      <c r="H12" s="1">
        <f t="shared" si="2"/>
        <v>120</v>
      </c>
      <c r="I12" s="1">
        <f t="shared" si="3"/>
        <v>120</v>
      </c>
    </row>
    <row r="13" spans="1:9" ht="15">
      <c r="A13" s="1" t="s">
        <v>63</v>
      </c>
      <c r="B13" s="1">
        <v>3</v>
      </c>
      <c r="C13" s="1">
        <v>50</v>
      </c>
      <c r="D13" s="1">
        <f t="shared" si="0"/>
        <v>150</v>
      </c>
      <c r="E13" s="1">
        <v>10</v>
      </c>
      <c r="F13" s="1">
        <f t="shared" si="1"/>
        <v>15</v>
      </c>
      <c r="G13" s="1">
        <v>5</v>
      </c>
      <c r="H13" s="1">
        <f t="shared" si="2"/>
        <v>75</v>
      </c>
      <c r="I13" s="1">
        <f t="shared" si="3"/>
        <v>75</v>
      </c>
    </row>
    <row r="14" spans="1:9" ht="15">
      <c r="A14" s="1" t="s">
        <v>64</v>
      </c>
      <c r="B14" s="1">
        <v>1</v>
      </c>
      <c r="C14" s="1">
        <v>140</v>
      </c>
      <c r="D14" s="1">
        <f t="shared" si="0"/>
        <v>140</v>
      </c>
      <c r="E14" s="1">
        <v>10</v>
      </c>
      <c r="F14" s="1">
        <f t="shared" si="1"/>
        <v>14</v>
      </c>
      <c r="G14" s="1">
        <v>5</v>
      </c>
      <c r="H14" s="1">
        <f t="shared" si="2"/>
        <v>70</v>
      </c>
      <c r="I14" s="1">
        <f t="shared" si="3"/>
        <v>70</v>
      </c>
    </row>
    <row r="15" spans="1:9" ht="15">
      <c r="A15" s="1" t="s">
        <v>65</v>
      </c>
      <c r="B15" s="1">
        <v>1</v>
      </c>
      <c r="C15" s="1">
        <v>230</v>
      </c>
      <c r="D15" s="1">
        <f t="shared" si="0"/>
        <v>230</v>
      </c>
      <c r="E15" s="1">
        <v>10</v>
      </c>
      <c r="F15" s="1">
        <f t="shared" si="1"/>
        <v>23</v>
      </c>
      <c r="G15" s="1">
        <v>5</v>
      </c>
      <c r="H15" s="1">
        <f t="shared" si="2"/>
        <v>115</v>
      </c>
      <c r="I15" s="1">
        <f t="shared" si="3"/>
        <v>115</v>
      </c>
    </row>
    <row r="16" spans="1:9" ht="15">
      <c r="A16" s="38" t="s">
        <v>221</v>
      </c>
      <c r="B16" s="38">
        <v>1</v>
      </c>
      <c r="C16" s="38">
        <v>550</v>
      </c>
      <c r="D16" s="38">
        <f t="shared" si="0"/>
        <v>550</v>
      </c>
      <c r="E16" s="1">
        <v>10</v>
      </c>
      <c r="F16" s="1">
        <f t="shared" si="1"/>
        <v>55</v>
      </c>
      <c r="G16" s="1">
        <v>5</v>
      </c>
      <c r="H16" s="1">
        <f t="shared" si="2"/>
        <v>275</v>
      </c>
      <c r="I16" s="1">
        <f t="shared" si="3"/>
        <v>275</v>
      </c>
    </row>
    <row r="17" spans="1:9" ht="15">
      <c r="A17" s="38" t="s">
        <v>156</v>
      </c>
      <c r="B17" s="38"/>
      <c r="C17" s="38">
        <v>1075</v>
      </c>
      <c r="D17" s="38">
        <v>1075</v>
      </c>
      <c r="E17" s="1">
        <v>5</v>
      </c>
      <c r="F17" s="1">
        <f>D17/E17</f>
        <v>215</v>
      </c>
      <c r="G17" s="1"/>
      <c r="H17" s="1"/>
      <c r="I17" s="1"/>
    </row>
    <row r="18" spans="5:9" ht="15">
      <c r="E18" s="80" t="s">
        <v>157</v>
      </c>
      <c r="F18" s="37">
        <f>SUM(F4:F17)</f>
        <v>3676.8676666666665</v>
      </c>
      <c r="G18" s="3" t="s">
        <v>103</v>
      </c>
      <c r="H18" s="1"/>
      <c r="I18" s="36">
        <f>SUM(I4:I16)</f>
        <v>9538.505000000001</v>
      </c>
    </row>
    <row r="21" ht="15">
      <c r="B21" t="s">
        <v>103</v>
      </c>
    </row>
    <row r="23" spans="2:10" ht="60">
      <c r="B23" s="126" t="s">
        <v>91</v>
      </c>
      <c r="C23" s="127" t="s">
        <v>92</v>
      </c>
      <c r="D23" s="127" t="s">
        <v>104</v>
      </c>
      <c r="E23" s="127" t="s">
        <v>93</v>
      </c>
      <c r="F23" s="127" t="s">
        <v>94</v>
      </c>
      <c r="G23" s="127" t="s">
        <v>95</v>
      </c>
      <c r="H23" s="127" t="s">
        <v>96</v>
      </c>
      <c r="I23" s="127" t="s">
        <v>97</v>
      </c>
      <c r="J23" s="127" t="s">
        <v>98</v>
      </c>
    </row>
    <row r="24" spans="2:10" ht="15">
      <c r="B24" s="1" t="s">
        <v>99</v>
      </c>
      <c r="C24" s="1">
        <v>3</v>
      </c>
      <c r="D24" s="1">
        <v>5180.67</v>
      </c>
      <c r="E24" s="1">
        <f>D24*C24</f>
        <v>15542.01</v>
      </c>
      <c r="F24" s="1">
        <v>10</v>
      </c>
      <c r="G24" s="36">
        <f>E24/F24</f>
        <v>1554.201</v>
      </c>
      <c r="H24" s="1">
        <v>5</v>
      </c>
      <c r="I24" s="36">
        <f>G24*H24</f>
        <v>7771.005</v>
      </c>
      <c r="J24" s="36">
        <f>E24/2</f>
        <v>7771.005</v>
      </c>
    </row>
    <row r="25" spans="2:10" ht="15">
      <c r="B25" s="1" t="s">
        <v>100</v>
      </c>
      <c r="C25" s="1">
        <v>3</v>
      </c>
      <c r="D25" s="1">
        <v>1410</v>
      </c>
      <c r="E25" s="1">
        <f aca="true" t="shared" si="4" ref="E25:E36">D25*C25</f>
        <v>4230</v>
      </c>
      <c r="F25" s="1">
        <v>3</v>
      </c>
      <c r="G25" s="1">
        <f aca="true" t="shared" si="5" ref="G25:G36">E25/F25</f>
        <v>1410</v>
      </c>
      <c r="H25" s="1">
        <v>3</v>
      </c>
      <c r="I25" s="1">
        <f aca="true" t="shared" si="6" ref="I25:I36">G25*H25</f>
        <v>4230</v>
      </c>
      <c r="J25" s="1">
        <v>0</v>
      </c>
    </row>
    <row r="26" spans="2:10" ht="15">
      <c r="B26" s="1" t="s">
        <v>101</v>
      </c>
      <c r="C26" s="1">
        <v>1</v>
      </c>
      <c r="D26" s="1">
        <v>320</v>
      </c>
      <c r="E26" s="1">
        <f t="shared" si="4"/>
        <v>320</v>
      </c>
      <c r="F26" s="1">
        <v>3</v>
      </c>
      <c r="G26" s="37">
        <f t="shared" si="5"/>
        <v>106.66666666666667</v>
      </c>
      <c r="H26" s="1">
        <v>3</v>
      </c>
      <c r="I26" s="1">
        <f t="shared" si="6"/>
        <v>320</v>
      </c>
      <c r="J26" s="1">
        <v>0</v>
      </c>
    </row>
    <row r="27" spans="2:10" ht="15">
      <c r="B27" s="1" t="s">
        <v>105</v>
      </c>
      <c r="C27" s="1">
        <v>2</v>
      </c>
      <c r="D27" s="1">
        <v>60</v>
      </c>
      <c r="E27" s="1">
        <f t="shared" si="4"/>
        <v>120</v>
      </c>
      <c r="F27" s="1">
        <v>10</v>
      </c>
      <c r="G27" s="1">
        <f t="shared" si="5"/>
        <v>12</v>
      </c>
      <c r="H27" s="1">
        <v>5</v>
      </c>
      <c r="I27" s="1">
        <f t="shared" si="6"/>
        <v>60</v>
      </c>
      <c r="J27" s="1">
        <f>E27/2</f>
        <v>60</v>
      </c>
    </row>
    <row r="28" spans="2:10" ht="15">
      <c r="B28" s="1" t="s">
        <v>220</v>
      </c>
      <c r="C28" s="1">
        <v>5</v>
      </c>
      <c r="D28" s="1">
        <v>75</v>
      </c>
      <c r="E28" s="1">
        <f t="shared" si="4"/>
        <v>375</v>
      </c>
      <c r="F28" s="1">
        <v>10</v>
      </c>
      <c r="G28" s="36">
        <f t="shared" si="5"/>
        <v>37.5</v>
      </c>
      <c r="H28" s="1">
        <v>5</v>
      </c>
      <c r="I28" s="36">
        <f t="shared" si="6"/>
        <v>187.5</v>
      </c>
      <c r="J28" s="1">
        <v>0</v>
      </c>
    </row>
    <row r="29" spans="2:10" ht="15">
      <c r="B29" s="1" t="s">
        <v>58</v>
      </c>
      <c r="C29" s="1">
        <v>1</v>
      </c>
      <c r="D29" s="1">
        <v>925</v>
      </c>
      <c r="E29" s="1">
        <f t="shared" si="4"/>
        <v>925</v>
      </c>
      <c r="F29" s="1">
        <v>10</v>
      </c>
      <c r="G29" s="36">
        <f t="shared" si="5"/>
        <v>92.5</v>
      </c>
      <c r="H29" s="1">
        <v>5</v>
      </c>
      <c r="I29" s="36">
        <f t="shared" si="6"/>
        <v>462.5</v>
      </c>
      <c r="J29" s="1">
        <f aca="true" t="shared" si="7" ref="J29:J36">E29/2</f>
        <v>462.5</v>
      </c>
    </row>
    <row r="30" spans="2:10" ht="15">
      <c r="B30" s="1" t="s">
        <v>59</v>
      </c>
      <c r="C30" s="1">
        <v>1</v>
      </c>
      <c r="D30" s="1">
        <v>580</v>
      </c>
      <c r="E30" s="1">
        <f t="shared" si="4"/>
        <v>580</v>
      </c>
      <c r="F30" s="1">
        <v>10</v>
      </c>
      <c r="G30" s="1">
        <f t="shared" si="5"/>
        <v>58</v>
      </c>
      <c r="H30" s="1">
        <v>5</v>
      </c>
      <c r="I30" s="1">
        <f t="shared" si="6"/>
        <v>290</v>
      </c>
      <c r="J30" s="1">
        <f t="shared" si="7"/>
        <v>290</v>
      </c>
    </row>
    <row r="31" spans="2:10" ht="15">
      <c r="B31" s="1" t="s">
        <v>61</v>
      </c>
      <c r="C31" s="1">
        <v>3</v>
      </c>
      <c r="D31" s="1">
        <v>200</v>
      </c>
      <c r="E31" s="1">
        <f t="shared" si="4"/>
        <v>600</v>
      </c>
      <c r="F31" s="1">
        <v>10</v>
      </c>
      <c r="G31" s="1">
        <f t="shared" si="5"/>
        <v>60</v>
      </c>
      <c r="H31" s="1">
        <v>5</v>
      </c>
      <c r="I31" s="1">
        <f t="shared" si="6"/>
        <v>300</v>
      </c>
      <c r="J31" s="1">
        <f t="shared" si="7"/>
        <v>300</v>
      </c>
    </row>
    <row r="32" spans="2:10" ht="15">
      <c r="B32" s="1" t="s">
        <v>62</v>
      </c>
      <c r="C32" s="1">
        <v>6</v>
      </c>
      <c r="D32" s="1">
        <v>40</v>
      </c>
      <c r="E32" s="1">
        <f t="shared" si="4"/>
        <v>240</v>
      </c>
      <c r="F32" s="1">
        <v>10</v>
      </c>
      <c r="G32" s="1">
        <f t="shared" si="5"/>
        <v>24</v>
      </c>
      <c r="H32" s="1">
        <v>5</v>
      </c>
      <c r="I32" s="1">
        <f t="shared" si="6"/>
        <v>120</v>
      </c>
      <c r="J32" s="1">
        <f t="shared" si="7"/>
        <v>120</v>
      </c>
    </row>
    <row r="33" spans="2:10" ht="15">
      <c r="B33" s="1" t="s">
        <v>63</v>
      </c>
      <c r="C33" s="1">
        <v>3</v>
      </c>
      <c r="D33" s="1">
        <v>50</v>
      </c>
      <c r="E33" s="1">
        <f t="shared" si="4"/>
        <v>150</v>
      </c>
      <c r="F33" s="1">
        <v>10</v>
      </c>
      <c r="G33" s="1">
        <f t="shared" si="5"/>
        <v>15</v>
      </c>
      <c r="H33" s="1">
        <v>5</v>
      </c>
      <c r="I33" s="1">
        <f t="shared" si="6"/>
        <v>75</v>
      </c>
      <c r="J33" s="1">
        <f t="shared" si="7"/>
        <v>75</v>
      </c>
    </row>
    <row r="34" spans="2:10" ht="15">
      <c r="B34" s="1" t="s">
        <v>64</v>
      </c>
      <c r="C34" s="1">
        <v>1</v>
      </c>
      <c r="D34" s="1">
        <v>140</v>
      </c>
      <c r="E34" s="1">
        <f t="shared" si="4"/>
        <v>140</v>
      </c>
      <c r="F34" s="1">
        <v>10</v>
      </c>
      <c r="G34" s="1">
        <f t="shared" si="5"/>
        <v>14</v>
      </c>
      <c r="H34" s="1">
        <v>5</v>
      </c>
      <c r="I34" s="1">
        <f t="shared" si="6"/>
        <v>70</v>
      </c>
      <c r="J34" s="1">
        <f t="shared" si="7"/>
        <v>70</v>
      </c>
    </row>
    <row r="35" spans="2:10" ht="15">
      <c r="B35" s="1" t="s">
        <v>65</v>
      </c>
      <c r="C35" s="1">
        <v>1</v>
      </c>
      <c r="D35" s="1">
        <v>230</v>
      </c>
      <c r="E35" s="1">
        <f t="shared" si="4"/>
        <v>230</v>
      </c>
      <c r="F35" s="1">
        <v>10</v>
      </c>
      <c r="G35" s="1">
        <f t="shared" si="5"/>
        <v>23</v>
      </c>
      <c r="H35" s="1">
        <v>5</v>
      </c>
      <c r="I35" s="1">
        <f t="shared" si="6"/>
        <v>115</v>
      </c>
      <c r="J35" s="1">
        <f t="shared" si="7"/>
        <v>115</v>
      </c>
    </row>
    <row r="36" spans="2:10" ht="15">
      <c r="B36" s="38" t="s">
        <v>221</v>
      </c>
      <c r="C36" s="38">
        <v>1</v>
      </c>
      <c r="D36" s="38">
        <v>550</v>
      </c>
      <c r="E36" s="38">
        <f t="shared" si="4"/>
        <v>550</v>
      </c>
      <c r="F36" s="1">
        <v>10</v>
      </c>
      <c r="G36" s="1">
        <f t="shared" si="5"/>
        <v>55</v>
      </c>
      <c r="H36" s="1">
        <v>5</v>
      </c>
      <c r="I36" s="1">
        <f t="shared" si="6"/>
        <v>275</v>
      </c>
      <c r="J36" s="1">
        <f t="shared" si="7"/>
        <v>275</v>
      </c>
    </row>
    <row r="37" spans="6:10" ht="15">
      <c r="F37" s="3" t="s">
        <v>102</v>
      </c>
      <c r="G37" s="37">
        <f>SUM(G24:G36)</f>
        <v>3461.8676666666665</v>
      </c>
      <c r="H37" s="3" t="s">
        <v>103</v>
      </c>
      <c r="I37" s="1"/>
      <c r="J37" s="36">
        <f>SUM(J24:J36)</f>
        <v>9538.505000000001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8:G27"/>
  <sheetViews>
    <sheetView zoomScalePageLayoutView="0" workbookViewId="0" topLeftCell="A13">
      <selection activeCell="H36" sqref="H36"/>
    </sheetView>
  </sheetViews>
  <sheetFormatPr defaultColWidth="11.421875" defaultRowHeight="15"/>
  <cols>
    <col min="1" max="1" width="27.57421875" style="0" customWidth="1"/>
    <col min="3" max="3" width="11.421875" style="0" customWidth="1"/>
  </cols>
  <sheetData>
    <row r="18" spans="1:7" ht="15">
      <c r="A18" s="41" t="s">
        <v>108</v>
      </c>
      <c r="B18" s="50">
        <f>(0.54*'Inversion Inicial Requerida'!D13)</f>
        <v>15868.542600000002</v>
      </c>
      <c r="C18" s="43" t="s">
        <v>109</v>
      </c>
      <c r="D18" s="42">
        <f>-B18</f>
        <v>-15868.542600000002</v>
      </c>
      <c r="E18" s="51"/>
      <c r="F18" s="51"/>
      <c r="G18" s="6"/>
    </row>
    <row r="19" spans="1:7" ht="15">
      <c r="A19" s="41" t="s">
        <v>110</v>
      </c>
      <c r="B19" s="44">
        <v>0.0978</v>
      </c>
      <c r="C19" s="51"/>
      <c r="D19" s="51"/>
      <c r="E19" s="51"/>
      <c r="F19" s="51"/>
      <c r="G19" s="6"/>
    </row>
    <row r="20" spans="1:7" ht="15">
      <c r="A20" s="41" t="s">
        <v>111</v>
      </c>
      <c r="B20" s="45">
        <v>5</v>
      </c>
      <c r="C20" s="51"/>
      <c r="D20" s="51"/>
      <c r="E20" s="51"/>
      <c r="F20" s="51"/>
      <c r="G20" s="6"/>
    </row>
    <row r="21" spans="1:7" ht="15">
      <c r="A21" s="46" t="s">
        <v>112</v>
      </c>
      <c r="B21" s="144">
        <v>1</v>
      </c>
      <c r="C21" s="144">
        <v>2</v>
      </c>
      <c r="D21" s="144">
        <v>3</v>
      </c>
      <c r="E21" s="144">
        <v>4</v>
      </c>
      <c r="F21" s="144">
        <v>5</v>
      </c>
      <c r="G21" s="52"/>
    </row>
    <row r="22" spans="1:7" ht="15">
      <c r="A22" s="47" t="s">
        <v>113</v>
      </c>
      <c r="B22" s="144"/>
      <c r="C22" s="144"/>
      <c r="D22" s="144"/>
      <c r="E22" s="144"/>
      <c r="F22" s="144"/>
      <c r="G22" s="52"/>
    </row>
    <row r="23" spans="1:7" ht="15">
      <c r="A23" s="48" t="s">
        <v>114</v>
      </c>
      <c r="B23" s="39">
        <f>+D18+B25</f>
        <v>-13257.905265080635</v>
      </c>
      <c r="C23" s="39">
        <f>+B23+C25</f>
        <v>-10391.947598806153</v>
      </c>
      <c r="D23" s="39">
        <f>+C23+D25</f>
        <v>-7245.699272770027</v>
      </c>
      <c r="E23" s="39">
        <f>+D23+E25</f>
        <v>-3791.747860447568</v>
      </c>
      <c r="F23" s="39">
        <f>+E23+F25</f>
        <v>2.7284841053187847E-11</v>
      </c>
      <c r="G23" s="52"/>
    </row>
    <row r="24" spans="1:7" ht="15">
      <c r="A24" s="47" t="s">
        <v>115</v>
      </c>
      <c r="B24" s="39">
        <f>-PMT($B$19,$B$20,$B$18)</f>
        <v>4162.580801199368</v>
      </c>
      <c r="C24" s="39">
        <f>-PMT($B$19,$B$20,$B$18)</f>
        <v>4162.580801199368</v>
      </c>
      <c r="D24" s="39">
        <f>-PMT($B$19,$B$20,$B$18)</f>
        <v>4162.580801199368</v>
      </c>
      <c r="E24" s="39">
        <f>-PMT($B$19,$B$20,$B$18)</f>
        <v>4162.580801199368</v>
      </c>
      <c r="F24" s="39">
        <f>-PMT($B$19,$B$20,$B$18)</f>
        <v>4162.580801199368</v>
      </c>
      <c r="G24" s="52"/>
    </row>
    <row r="25" spans="1:7" ht="15">
      <c r="A25" s="49" t="s">
        <v>116</v>
      </c>
      <c r="B25" s="40">
        <f>+B24+B26</f>
        <v>2610.6373349193673</v>
      </c>
      <c r="C25" s="40">
        <f>+C24+C26</f>
        <v>2865.9576662744817</v>
      </c>
      <c r="D25" s="40">
        <f>+D24+D26</f>
        <v>3146.248326036126</v>
      </c>
      <c r="E25" s="40">
        <f>+E24+E26</f>
        <v>3453.951412322459</v>
      </c>
      <c r="F25" s="40">
        <f>+F24+F26</f>
        <v>3791.7478604475955</v>
      </c>
      <c r="G25" s="52"/>
    </row>
    <row r="26" spans="1:7" ht="15">
      <c r="A26" s="49" t="s">
        <v>117</v>
      </c>
      <c r="B26" s="40">
        <f>+D18*B19</f>
        <v>-1551.9434662800002</v>
      </c>
      <c r="C26" s="40">
        <f>+B23*$B$19</f>
        <v>-1296.623134924886</v>
      </c>
      <c r="D26" s="40">
        <f>+C23*$B$19</f>
        <v>-1016.3324751632417</v>
      </c>
      <c r="E26" s="40">
        <f>+D23*$B$19</f>
        <v>-708.6293888769086</v>
      </c>
      <c r="F26" s="40">
        <f>+E23*$B$19</f>
        <v>-370.8329407517722</v>
      </c>
      <c r="G26" s="52"/>
    </row>
    <row r="27" spans="1:7" ht="15">
      <c r="A27" s="6"/>
      <c r="B27" s="6"/>
      <c r="C27" s="6"/>
      <c r="D27" s="6"/>
      <c r="E27" s="6"/>
      <c r="F27" s="6"/>
      <c r="G27" s="52"/>
    </row>
  </sheetData>
  <sheetProtection/>
  <mergeCells count="5">
    <mergeCell ref="B21:B22"/>
    <mergeCell ref="C21:C22"/>
    <mergeCell ref="D21:D22"/>
    <mergeCell ref="E21:E22"/>
    <mergeCell ref="F21:F2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H6" sqref="H6:I14"/>
    </sheetView>
  </sheetViews>
  <sheetFormatPr defaultColWidth="11.421875" defaultRowHeight="15"/>
  <cols>
    <col min="2" max="2" width="25.7109375" style="0" customWidth="1"/>
    <col min="3" max="3" width="16.7109375" style="0" customWidth="1"/>
    <col min="4" max="4" width="24.140625" style="0" bestFit="1" customWidth="1"/>
    <col min="5" max="5" width="12.00390625" style="0" bestFit="1" customWidth="1"/>
    <col min="6" max="6" width="11.28125" style="0" customWidth="1"/>
    <col min="7" max="7" width="11.421875" style="0" hidden="1" customWidth="1"/>
    <col min="8" max="8" width="26.421875" style="0" customWidth="1"/>
    <col min="9" max="9" width="25.00390625" style="0" customWidth="1"/>
  </cols>
  <sheetData>
    <row r="1" spans="2:4" ht="18.75">
      <c r="B1" s="129" t="s">
        <v>243</v>
      </c>
      <c r="D1" s="129" t="s">
        <v>244</v>
      </c>
    </row>
    <row r="2" spans="2:4" ht="15">
      <c r="B2" s="130" t="s">
        <v>119</v>
      </c>
      <c r="D2" s="130" t="s">
        <v>201</v>
      </c>
    </row>
    <row r="3" spans="2:5" ht="15">
      <c r="B3" t="s">
        <v>120</v>
      </c>
      <c r="C3" s="124">
        <f>'Flujo de Efectivo'!D30</f>
        <v>5861.058991869923</v>
      </c>
      <c r="D3" t="s">
        <v>202</v>
      </c>
      <c r="E3" s="124">
        <f>'Prestamo Banc'!B18</f>
        <v>15868.542600000002</v>
      </c>
    </row>
    <row r="4" spans="2:5" ht="15">
      <c r="B4" t="s">
        <v>131</v>
      </c>
      <c r="C4" s="124">
        <f>C3</f>
        <v>5861.058991869923</v>
      </c>
      <c r="D4" t="s">
        <v>203</v>
      </c>
      <c r="E4" s="124">
        <f>E3</f>
        <v>15868.542600000002</v>
      </c>
    </row>
    <row r="5" spans="3:5" ht="15">
      <c r="C5" s="124"/>
      <c r="E5" s="124"/>
    </row>
    <row r="6" spans="2:9" ht="15">
      <c r="B6" s="130" t="s">
        <v>195</v>
      </c>
      <c r="C6" s="124"/>
      <c r="E6" s="124"/>
      <c r="H6" s="145" t="s">
        <v>217</v>
      </c>
      <c r="I6" s="145"/>
    </row>
    <row r="7" spans="2:9" ht="15">
      <c r="B7" t="s">
        <v>49</v>
      </c>
      <c r="C7" s="124">
        <f>'Equipos y Maquinaria'!K5</f>
        <v>15601.19</v>
      </c>
      <c r="D7" s="130" t="s">
        <v>204</v>
      </c>
      <c r="E7" s="124"/>
      <c r="H7" s="145" t="s">
        <v>218</v>
      </c>
      <c r="I7" s="145"/>
    </row>
    <row r="8" spans="2:9" ht="15">
      <c r="B8" t="s">
        <v>199</v>
      </c>
      <c r="C8" s="124">
        <f>'Equipos y Maquinaria'!F25</f>
        <v>1360</v>
      </c>
      <c r="D8" t="s">
        <v>205</v>
      </c>
      <c r="E8" s="124">
        <f>C21-E4</f>
        <v>12308.706391869922</v>
      </c>
      <c r="H8" s="128">
        <f>H10/E21</f>
        <v>0.5631686260279918</v>
      </c>
      <c r="I8" s="128">
        <f>I10/E21</f>
        <v>0.4368313739720082</v>
      </c>
    </row>
    <row r="9" spans="2:9" ht="15">
      <c r="B9" t="s">
        <v>196</v>
      </c>
      <c r="C9" s="124">
        <f>'Equipos y Maquinaria'!F15</f>
        <v>2550</v>
      </c>
      <c r="H9" s="1" t="s">
        <v>108</v>
      </c>
      <c r="I9" s="1" t="s">
        <v>205</v>
      </c>
    </row>
    <row r="10" spans="2:9" ht="15">
      <c r="B10" t="s">
        <v>197</v>
      </c>
      <c r="C10" s="124">
        <f>'Equipos y Maquinaria'!F5</f>
        <v>1730</v>
      </c>
      <c r="H10" s="100">
        <f>E3</f>
        <v>15868.542600000002</v>
      </c>
      <c r="I10" s="100">
        <f>E8</f>
        <v>12308.706391869922</v>
      </c>
    </row>
    <row r="11" spans="2:3" ht="15">
      <c r="B11" t="s">
        <v>131</v>
      </c>
      <c r="C11" s="124">
        <f>SUM(C7:C10)</f>
        <v>21241.190000000002</v>
      </c>
    </row>
    <row r="12" ht="15">
      <c r="C12" s="124"/>
    </row>
    <row r="13" spans="2:3" ht="15">
      <c r="B13" s="130" t="s">
        <v>198</v>
      </c>
      <c r="C13" s="124"/>
    </row>
    <row r="14" spans="2:9" ht="15">
      <c r="B14" s="6" t="s">
        <v>39</v>
      </c>
      <c r="C14" s="125">
        <v>320</v>
      </c>
      <c r="H14" s="1" t="s">
        <v>219</v>
      </c>
      <c r="I14" s="100">
        <f>I10/3</f>
        <v>4102.902130623307</v>
      </c>
    </row>
    <row r="15" spans="2:3" ht="15">
      <c r="B15" s="6" t="s">
        <v>40</v>
      </c>
      <c r="C15" s="125">
        <v>130</v>
      </c>
    </row>
    <row r="16" spans="2:3" ht="15">
      <c r="B16" s="6" t="s">
        <v>41</v>
      </c>
      <c r="C16" s="125">
        <v>150</v>
      </c>
    </row>
    <row r="17" spans="2:3" ht="15">
      <c r="B17" s="6" t="s">
        <v>42</v>
      </c>
      <c r="C17" s="125">
        <v>100</v>
      </c>
    </row>
    <row r="18" spans="2:3" ht="15">
      <c r="B18" s="6" t="s">
        <v>43</v>
      </c>
      <c r="C18" s="125">
        <v>175</v>
      </c>
    </row>
    <row r="19" spans="2:3" ht="15">
      <c r="B19" s="6" t="s">
        <v>44</v>
      </c>
      <c r="C19" s="125">
        <v>200</v>
      </c>
    </row>
    <row r="20" spans="2:3" ht="15">
      <c r="B20" s="52" t="s">
        <v>131</v>
      </c>
      <c r="C20" s="124">
        <f>SUM(C14:C19)</f>
        <v>1075</v>
      </c>
    </row>
    <row r="21" spans="2:5" ht="15">
      <c r="B21" s="29" t="s">
        <v>200</v>
      </c>
      <c r="C21" s="124">
        <f>SUM(C4+C11+C20)</f>
        <v>28177.248991869925</v>
      </c>
      <c r="D21" s="4" t="s">
        <v>206</v>
      </c>
      <c r="E21" s="124">
        <f>E4+E8</f>
        <v>28177.248991869925</v>
      </c>
    </row>
  </sheetData>
  <sheetProtection/>
  <mergeCells count="2">
    <mergeCell ref="H6:I6"/>
    <mergeCell ref="H7:I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O34"/>
  <sheetViews>
    <sheetView zoomScalePageLayoutView="0" workbookViewId="0" topLeftCell="A11">
      <selection activeCell="C29" sqref="C29"/>
    </sheetView>
  </sheetViews>
  <sheetFormatPr defaultColWidth="11.421875" defaultRowHeight="15"/>
  <cols>
    <col min="2" max="2" width="29.00390625" style="0" bestFit="1" customWidth="1"/>
    <col min="3" max="3" width="11.421875" style="0" customWidth="1"/>
    <col min="4" max="5" width="11.7109375" style="0" bestFit="1" customWidth="1"/>
    <col min="6" max="6" width="12.00390625" style="0" bestFit="1" customWidth="1"/>
    <col min="7" max="14" width="12.7109375" style="0" bestFit="1" customWidth="1"/>
    <col min="15" max="15" width="11.57421875" style="0" bestFit="1" customWidth="1"/>
  </cols>
  <sheetData>
    <row r="2" spans="2:14" ht="15">
      <c r="B2" s="6"/>
      <c r="C2" s="1" t="s">
        <v>222</v>
      </c>
      <c r="D2" s="1" t="s">
        <v>223</v>
      </c>
      <c r="E2" s="1" t="s">
        <v>224</v>
      </c>
      <c r="F2" s="1" t="s">
        <v>225</v>
      </c>
      <c r="G2" s="1" t="s">
        <v>226</v>
      </c>
      <c r="H2" s="1" t="s">
        <v>227</v>
      </c>
      <c r="I2" s="1" t="s">
        <v>228</v>
      </c>
      <c r="J2" s="1" t="s">
        <v>229</v>
      </c>
      <c r="K2" s="1" t="s">
        <v>230</v>
      </c>
      <c r="L2" s="1" t="s">
        <v>231</v>
      </c>
      <c r="M2" s="1" t="s">
        <v>232</v>
      </c>
      <c r="N2" s="1" t="s">
        <v>233</v>
      </c>
    </row>
    <row r="3" spans="2:14" ht="15">
      <c r="B3" s="3" t="s">
        <v>234</v>
      </c>
      <c r="C3" s="106">
        <f>D22</f>
        <v>5061.0731707317045</v>
      </c>
      <c r="D3" s="106">
        <f aca="true" t="shared" si="0" ref="D3:N3">E22</f>
        <v>5061.0731707317045</v>
      </c>
      <c r="E3" s="106">
        <f t="shared" si="0"/>
        <v>7591.609756097557</v>
      </c>
      <c r="F3" s="106">
        <f t="shared" si="0"/>
        <v>10122.146341463409</v>
      </c>
      <c r="G3" s="106">
        <f t="shared" si="0"/>
        <v>10122.146341463409</v>
      </c>
      <c r="H3" s="106">
        <f t="shared" si="0"/>
        <v>10122.146341463409</v>
      </c>
      <c r="I3" s="106">
        <f t="shared" si="0"/>
        <v>10122.146341463409</v>
      </c>
      <c r="J3" s="106">
        <f t="shared" si="0"/>
        <v>10122.146341463409</v>
      </c>
      <c r="K3" s="106">
        <f t="shared" si="0"/>
        <v>10122.146341463409</v>
      </c>
      <c r="L3" s="106">
        <f t="shared" si="0"/>
        <v>10122.146341463409</v>
      </c>
      <c r="M3" s="106">
        <f t="shared" si="0"/>
        <v>10122.146341463409</v>
      </c>
      <c r="N3" s="106">
        <f t="shared" si="0"/>
        <v>5061.0731707317045</v>
      </c>
    </row>
    <row r="4" spans="2:14" ht="15">
      <c r="B4" s="1" t="s">
        <v>235</v>
      </c>
      <c r="C4" s="106">
        <f>C3*0.1</f>
        <v>506.10731707317046</v>
      </c>
      <c r="D4" s="106">
        <f aca="true" t="shared" si="1" ref="D4:N4">D3*0.1</f>
        <v>506.10731707317046</v>
      </c>
      <c r="E4" s="106">
        <f t="shared" si="1"/>
        <v>759.1609756097557</v>
      </c>
      <c r="F4" s="106">
        <f t="shared" si="1"/>
        <v>1012.2146341463409</v>
      </c>
      <c r="G4" s="106">
        <f t="shared" si="1"/>
        <v>1012.2146341463409</v>
      </c>
      <c r="H4" s="106">
        <f t="shared" si="1"/>
        <v>1012.2146341463409</v>
      </c>
      <c r="I4" s="106">
        <f t="shared" si="1"/>
        <v>1012.2146341463409</v>
      </c>
      <c r="J4" s="106">
        <f t="shared" si="1"/>
        <v>1012.2146341463409</v>
      </c>
      <c r="K4" s="106">
        <f t="shared" si="1"/>
        <v>1012.2146341463409</v>
      </c>
      <c r="L4" s="106">
        <f t="shared" si="1"/>
        <v>1012.2146341463409</v>
      </c>
      <c r="M4" s="106">
        <f t="shared" si="1"/>
        <v>1012.2146341463409</v>
      </c>
      <c r="N4" s="106">
        <f t="shared" si="1"/>
        <v>506.10731707317046</v>
      </c>
    </row>
    <row r="5" spans="2:14" ht="15">
      <c r="B5" s="1" t="s">
        <v>236</v>
      </c>
      <c r="C5" s="106">
        <f>Personal!$K$10</f>
        <v>4637.102666666667</v>
      </c>
      <c r="D5" s="106">
        <f>Personal!$K$10</f>
        <v>4637.102666666667</v>
      </c>
      <c r="E5" s="106">
        <f>Personal!$K$10</f>
        <v>4637.102666666667</v>
      </c>
      <c r="F5" s="106">
        <f>Personal!$K$10</f>
        <v>4637.102666666667</v>
      </c>
      <c r="G5" s="106">
        <f>Personal!$K$10</f>
        <v>4637.102666666667</v>
      </c>
      <c r="H5" s="106">
        <f>Personal!$K$10</f>
        <v>4637.102666666667</v>
      </c>
      <c r="I5" s="106">
        <f>Personal!$K$10</f>
        <v>4637.102666666667</v>
      </c>
      <c r="J5" s="106">
        <f>Personal!$K$10</f>
        <v>4637.102666666667</v>
      </c>
      <c r="K5" s="106">
        <f>Personal!$K$10</f>
        <v>4637.102666666667</v>
      </c>
      <c r="L5" s="106">
        <f>Personal!$K$10</f>
        <v>4637.102666666667</v>
      </c>
      <c r="M5" s="106">
        <f>Personal!$K$10</f>
        <v>4637.102666666667</v>
      </c>
      <c r="N5" s="106">
        <f>Personal!$K$10</f>
        <v>4637.102666666667</v>
      </c>
    </row>
    <row r="6" spans="2:14" ht="15">
      <c r="B6" s="1" t="s">
        <v>29</v>
      </c>
      <c r="C6" s="106">
        <f>'Gastos Generales'!$D$18</f>
        <v>680</v>
      </c>
      <c r="D6" s="106">
        <f>'Gastos Generales'!$D$18</f>
        <v>680</v>
      </c>
      <c r="E6" s="106">
        <f>'Gastos Generales'!$D$18</f>
        <v>680</v>
      </c>
      <c r="F6" s="106">
        <f>'Gastos Generales'!$D$18</f>
        <v>680</v>
      </c>
      <c r="G6" s="106">
        <f>'Gastos Generales'!$D$18</f>
        <v>680</v>
      </c>
      <c r="H6" s="106">
        <f>'Gastos Generales'!$D$18</f>
        <v>680</v>
      </c>
      <c r="I6" s="106">
        <f>'Gastos Generales'!$D$18</f>
        <v>680</v>
      </c>
      <c r="J6" s="106">
        <f>'Gastos Generales'!$D$18</f>
        <v>680</v>
      </c>
      <c r="K6" s="106">
        <f>'Gastos Generales'!$D$18</f>
        <v>680</v>
      </c>
      <c r="L6" s="106">
        <f>'Gastos Generales'!$D$18</f>
        <v>680</v>
      </c>
      <c r="M6" s="106">
        <f>'Gastos Generales'!$D$18</f>
        <v>680</v>
      </c>
      <c r="N6" s="106">
        <f>'Gastos Generales'!$D$18</f>
        <v>680</v>
      </c>
    </row>
    <row r="7" spans="2:14" ht="15">
      <c r="B7" s="1" t="s">
        <v>237</v>
      </c>
      <c r="C7" s="106">
        <f>'Servicios Basicos'!$C$9</f>
        <v>365</v>
      </c>
      <c r="D7" s="106">
        <f>'Servicios Basicos'!$C$9</f>
        <v>365</v>
      </c>
      <c r="E7" s="106">
        <f>'Servicios Basicos'!$C$9</f>
        <v>365</v>
      </c>
      <c r="F7" s="106">
        <f>'Servicios Basicos'!$C$9</f>
        <v>365</v>
      </c>
      <c r="G7" s="106">
        <f>'Servicios Basicos'!$C$9</f>
        <v>365</v>
      </c>
      <c r="H7" s="106">
        <f>'Servicios Basicos'!$C$9</f>
        <v>365</v>
      </c>
      <c r="I7" s="106">
        <f>'Servicios Basicos'!$C$9</f>
        <v>365</v>
      </c>
      <c r="J7" s="106">
        <f>'Servicios Basicos'!$C$9</f>
        <v>365</v>
      </c>
      <c r="K7" s="106">
        <f>'Servicios Basicos'!$C$9</f>
        <v>365</v>
      </c>
      <c r="L7" s="106">
        <f>'Servicios Basicos'!$C$9</f>
        <v>365</v>
      </c>
      <c r="M7" s="106">
        <f>'Servicios Basicos'!$C$9</f>
        <v>365</v>
      </c>
      <c r="N7" s="106">
        <f>'Servicios Basicos'!$C$9</f>
        <v>365</v>
      </c>
    </row>
    <row r="8" spans="2:14" ht="15">
      <c r="B8" s="1" t="s">
        <v>238</v>
      </c>
      <c r="C8" s="106">
        <f>Publicidad!$D$13+'Inversion Inicial Requerida'!I10</f>
        <v>2067</v>
      </c>
      <c r="D8" s="106">
        <f>Publicidad!$D$13</f>
        <v>712</v>
      </c>
      <c r="E8" s="106">
        <f>Publicidad!$D$13</f>
        <v>712</v>
      </c>
      <c r="F8" s="106">
        <f>Publicidad!$D$13</f>
        <v>712</v>
      </c>
      <c r="G8" s="106">
        <f>Publicidad!$D$13</f>
        <v>712</v>
      </c>
      <c r="H8" s="106">
        <f>Publicidad!$D$13</f>
        <v>712</v>
      </c>
      <c r="I8" s="106">
        <f>Publicidad!$D$13</f>
        <v>712</v>
      </c>
      <c r="J8" s="106">
        <f>Publicidad!$D$13</f>
        <v>712</v>
      </c>
      <c r="K8" s="106">
        <f>Publicidad!$D$13</f>
        <v>712</v>
      </c>
      <c r="L8" s="106">
        <f>Publicidad!$D$13</f>
        <v>712</v>
      </c>
      <c r="M8" s="106">
        <f>Publicidad!$D$13</f>
        <v>712</v>
      </c>
      <c r="N8" s="106">
        <f>Publicidad!$D$13</f>
        <v>712</v>
      </c>
    </row>
    <row r="9" spans="2:14" ht="15">
      <c r="B9" s="1" t="s">
        <v>239</v>
      </c>
      <c r="C9" s="106">
        <f>Alquiler!$E$6</f>
        <v>920</v>
      </c>
      <c r="D9" s="106">
        <f>Alquiler!$E$6</f>
        <v>920</v>
      </c>
      <c r="E9" s="106">
        <f>Alquiler!$E$6</f>
        <v>920</v>
      </c>
      <c r="F9" s="106">
        <f>Alquiler!$E$6</f>
        <v>920</v>
      </c>
      <c r="G9" s="106">
        <f>Alquiler!$E$6</f>
        <v>920</v>
      </c>
      <c r="H9" s="106">
        <f>Alquiler!$E$6</f>
        <v>920</v>
      </c>
      <c r="I9" s="106">
        <f>Alquiler!$E$6</f>
        <v>920</v>
      </c>
      <c r="J9" s="106">
        <f>Alquiler!$E$6</f>
        <v>920</v>
      </c>
      <c r="K9" s="106">
        <f>Alquiler!$E$6</f>
        <v>920</v>
      </c>
      <c r="L9" s="106">
        <f>Alquiler!$E$6</f>
        <v>920</v>
      </c>
      <c r="M9" s="106">
        <f>Alquiler!$E$6</f>
        <v>920</v>
      </c>
      <c r="N9" s="106">
        <f>Alquiler!$E$6</f>
        <v>920</v>
      </c>
    </row>
    <row r="10" spans="2:14" ht="15">
      <c r="B10" s="3" t="s">
        <v>240</v>
      </c>
      <c r="C10" s="106">
        <f>SUM(C5:C9)</f>
        <v>8669.102666666666</v>
      </c>
      <c r="D10" s="106">
        <f aca="true" t="shared" si="2" ref="D10:N10">SUM(D5:D9)</f>
        <v>7314.102666666667</v>
      </c>
      <c r="E10" s="106">
        <f t="shared" si="2"/>
        <v>7314.102666666667</v>
      </c>
      <c r="F10" s="106">
        <f t="shared" si="2"/>
        <v>7314.102666666667</v>
      </c>
      <c r="G10" s="106">
        <f t="shared" si="2"/>
        <v>7314.102666666667</v>
      </c>
      <c r="H10" s="106">
        <f t="shared" si="2"/>
        <v>7314.102666666667</v>
      </c>
      <c r="I10" s="106">
        <f t="shared" si="2"/>
        <v>7314.102666666667</v>
      </c>
      <c r="J10" s="106">
        <f t="shared" si="2"/>
        <v>7314.102666666667</v>
      </c>
      <c r="K10" s="106">
        <f t="shared" si="2"/>
        <v>7314.102666666667</v>
      </c>
      <c r="L10" s="106">
        <f t="shared" si="2"/>
        <v>7314.102666666667</v>
      </c>
      <c r="M10" s="106">
        <f t="shared" si="2"/>
        <v>7314.102666666667</v>
      </c>
      <c r="N10" s="106">
        <f t="shared" si="2"/>
        <v>7314.102666666667</v>
      </c>
    </row>
    <row r="11" spans="2:14" ht="15">
      <c r="B11" s="1" t="s">
        <v>241</v>
      </c>
      <c r="C11" s="106">
        <f>C3-C10</f>
        <v>-3608.0294959349612</v>
      </c>
      <c r="D11" s="106">
        <f aca="true" t="shared" si="3" ref="D11:N11">D3-D10</f>
        <v>-2253.029495934962</v>
      </c>
      <c r="E11" s="106">
        <f t="shared" si="3"/>
        <v>277.5070894308901</v>
      </c>
      <c r="F11" s="106">
        <f t="shared" si="3"/>
        <v>2808.0436747967424</v>
      </c>
      <c r="G11" s="106">
        <f t="shared" si="3"/>
        <v>2808.0436747967424</v>
      </c>
      <c r="H11" s="106">
        <f t="shared" si="3"/>
        <v>2808.0436747967424</v>
      </c>
      <c r="I11" s="106">
        <f t="shared" si="3"/>
        <v>2808.0436747967424</v>
      </c>
      <c r="J11" s="106">
        <f t="shared" si="3"/>
        <v>2808.0436747967424</v>
      </c>
      <c r="K11" s="106">
        <f t="shared" si="3"/>
        <v>2808.0436747967424</v>
      </c>
      <c r="L11" s="106">
        <f t="shared" si="3"/>
        <v>2808.0436747967424</v>
      </c>
      <c r="M11" s="106">
        <f t="shared" si="3"/>
        <v>2808.0436747967424</v>
      </c>
      <c r="N11" s="106">
        <f t="shared" si="3"/>
        <v>-2253.029495934962</v>
      </c>
    </row>
    <row r="12" spans="2:14" ht="15">
      <c r="B12" s="1" t="s">
        <v>242</v>
      </c>
      <c r="C12" s="106">
        <f>C11</f>
        <v>-3608.0294959349612</v>
      </c>
      <c r="D12" s="106">
        <f>C12+D11</f>
        <v>-5861.058991869923</v>
      </c>
      <c r="E12" s="106">
        <f>D12+E11</f>
        <v>-5583.551902439033</v>
      </c>
      <c r="F12" s="106">
        <f aca="true" t="shared" si="4" ref="F12:N12">E12+F11</f>
        <v>-2775.508227642291</v>
      </c>
      <c r="G12" s="106">
        <f>F12+G11</f>
        <v>32.535447154451504</v>
      </c>
      <c r="H12" s="106">
        <f t="shared" si="4"/>
        <v>2840.579121951194</v>
      </c>
      <c r="I12" s="106">
        <f t="shared" si="4"/>
        <v>5648.622796747936</v>
      </c>
      <c r="J12" s="106">
        <f t="shared" si="4"/>
        <v>8456.666471544679</v>
      </c>
      <c r="K12" s="106">
        <f t="shared" si="4"/>
        <v>11264.710146341422</v>
      </c>
      <c r="L12" s="106">
        <f t="shared" si="4"/>
        <v>14072.753821138165</v>
      </c>
      <c r="M12" s="106">
        <f t="shared" si="4"/>
        <v>16880.79749593491</v>
      </c>
      <c r="N12" s="106">
        <f t="shared" si="4"/>
        <v>14627.767999999945</v>
      </c>
    </row>
    <row r="16" ht="15">
      <c r="B16" s="104" t="s">
        <v>133</v>
      </c>
    </row>
    <row r="17" spans="2:15" ht="15">
      <c r="B17" s="37">
        <v>1265.2682926829261</v>
      </c>
      <c r="C17" s="1"/>
      <c r="D17" s="1" t="s">
        <v>135</v>
      </c>
      <c r="E17" s="1" t="s">
        <v>136</v>
      </c>
      <c r="F17" s="1" t="s">
        <v>137</v>
      </c>
      <c r="G17" s="1" t="s">
        <v>138</v>
      </c>
      <c r="H17" s="1" t="s">
        <v>139</v>
      </c>
      <c r="I17" s="1" t="s">
        <v>140</v>
      </c>
      <c r="J17" s="1" t="s">
        <v>141</v>
      </c>
      <c r="K17" s="1" t="s">
        <v>142</v>
      </c>
      <c r="L17" s="1" t="s">
        <v>143</v>
      </c>
      <c r="M17" s="1" t="s">
        <v>144</v>
      </c>
      <c r="N17" s="1" t="s">
        <v>145</v>
      </c>
      <c r="O17" s="1" t="s">
        <v>146</v>
      </c>
    </row>
    <row r="18" spans="2:15" ht="15">
      <c r="B18" s="1" t="s">
        <v>134</v>
      </c>
      <c r="C18" s="1"/>
      <c r="D18" s="105">
        <v>0.5</v>
      </c>
      <c r="E18" s="105">
        <v>0.5</v>
      </c>
      <c r="F18" s="105">
        <v>0.75</v>
      </c>
      <c r="G18" s="105">
        <v>1</v>
      </c>
      <c r="H18" s="105">
        <v>1</v>
      </c>
      <c r="I18" s="105">
        <v>1</v>
      </c>
      <c r="J18" s="105">
        <v>1</v>
      </c>
      <c r="K18" s="105">
        <v>1</v>
      </c>
      <c r="L18" s="105">
        <v>1</v>
      </c>
      <c r="M18" s="105">
        <v>1</v>
      </c>
      <c r="N18" s="105">
        <v>1</v>
      </c>
      <c r="O18" s="105">
        <v>0.5</v>
      </c>
    </row>
    <row r="19" spans="2:15" ht="15">
      <c r="B19" s="1" t="s">
        <v>147</v>
      </c>
      <c r="C19" s="1"/>
      <c r="D19" s="37">
        <f>$B$17*D18</f>
        <v>632.6341463414631</v>
      </c>
      <c r="E19" s="37">
        <f aca="true" t="shared" si="5" ref="E19:O19">$B$17*E18</f>
        <v>632.6341463414631</v>
      </c>
      <c r="F19" s="37">
        <f t="shared" si="5"/>
        <v>948.9512195121946</v>
      </c>
      <c r="G19" s="37">
        <f t="shared" si="5"/>
        <v>1265.2682926829261</v>
      </c>
      <c r="H19" s="37">
        <f t="shared" si="5"/>
        <v>1265.2682926829261</v>
      </c>
      <c r="I19" s="37">
        <f t="shared" si="5"/>
        <v>1265.2682926829261</v>
      </c>
      <c r="J19" s="37">
        <f t="shared" si="5"/>
        <v>1265.2682926829261</v>
      </c>
      <c r="K19" s="37">
        <f t="shared" si="5"/>
        <v>1265.2682926829261</v>
      </c>
      <c r="L19" s="37">
        <f t="shared" si="5"/>
        <v>1265.2682926829261</v>
      </c>
      <c r="M19" s="37">
        <f t="shared" si="5"/>
        <v>1265.2682926829261</v>
      </c>
      <c r="N19" s="37">
        <f t="shared" si="5"/>
        <v>1265.2682926829261</v>
      </c>
      <c r="O19" s="37">
        <f t="shared" si="5"/>
        <v>632.6341463414631</v>
      </c>
    </row>
    <row r="21" spans="2:4" ht="15">
      <c r="B21" s="1" t="s">
        <v>0</v>
      </c>
      <c r="C21" s="1"/>
      <c r="D21" s="1">
        <v>8</v>
      </c>
    </row>
    <row r="22" spans="2:15" ht="15">
      <c r="B22" s="1" t="s">
        <v>148</v>
      </c>
      <c r="C22" s="1"/>
      <c r="D22" s="37">
        <f>D19*$D$21</f>
        <v>5061.0731707317045</v>
      </c>
      <c r="E22" s="124">
        <f aca="true" t="shared" si="6" ref="E22:O22">E19*$D$21</f>
        <v>5061.0731707317045</v>
      </c>
      <c r="F22" s="124">
        <f t="shared" si="6"/>
        <v>7591.609756097557</v>
      </c>
      <c r="G22" s="124">
        <f t="shared" si="6"/>
        <v>10122.146341463409</v>
      </c>
      <c r="H22" s="124">
        <f t="shared" si="6"/>
        <v>10122.146341463409</v>
      </c>
      <c r="I22" s="124">
        <f t="shared" si="6"/>
        <v>10122.146341463409</v>
      </c>
      <c r="J22" s="124">
        <f t="shared" si="6"/>
        <v>10122.146341463409</v>
      </c>
      <c r="K22" s="124">
        <f t="shared" si="6"/>
        <v>10122.146341463409</v>
      </c>
      <c r="L22" s="124">
        <f t="shared" si="6"/>
        <v>10122.146341463409</v>
      </c>
      <c r="M22" s="124">
        <f t="shared" si="6"/>
        <v>10122.146341463409</v>
      </c>
      <c r="N22" s="124">
        <f t="shared" si="6"/>
        <v>10122.146341463409</v>
      </c>
      <c r="O22" s="124">
        <f t="shared" si="6"/>
        <v>5061.0731707317045</v>
      </c>
    </row>
    <row r="23" spans="2:4" ht="15">
      <c r="B23" s="1" t="s">
        <v>149</v>
      </c>
      <c r="C23" s="1"/>
      <c r="D23" s="37">
        <f>SUM(D22:O22)</f>
        <v>103751.99999999993</v>
      </c>
    </row>
    <row r="24" spans="2:4" ht="15">
      <c r="B24" s="1" t="s">
        <v>150</v>
      </c>
      <c r="C24" s="1"/>
      <c r="D24" s="37">
        <f>D23/12</f>
        <v>8645.999999999995</v>
      </c>
    </row>
    <row r="25" spans="2:7" ht="15">
      <c r="B25" s="1" t="s">
        <v>151</v>
      </c>
      <c r="C25" s="1"/>
      <c r="D25" s="37">
        <f>SUM(D19:O19)</f>
        <v>12968.99999999999</v>
      </c>
      <c r="F25">
        <v>12969</v>
      </c>
      <c r="G25" s="79">
        <f>F25*1.3</f>
        <v>16859.7</v>
      </c>
    </row>
    <row r="26" spans="2:4" ht="15">
      <c r="B26" s="1" t="s">
        <v>152</v>
      </c>
      <c r="C26" s="1"/>
      <c r="D26" s="37">
        <f>D25/12</f>
        <v>1080.7499999999993</v>
      </c>
    </row>
    <row r="27" spans="2:4" ht="15">
      <c r="B27" s="1" t="s">
        <v>153</v>
      </c>
      <c r="C27" s="1"/>
      <c r="D27" s="37">
        <f>D26/30</f>
        <v>36.02499999999998</v>
      </c>
    </row>
    <row r="29" spans="2:4" ht="15">
      <c r="B29" s="3" t="s">
        <v>154</v>
      </c>
      <c r="C29" s="3"/>
      <c r="D29" s="3" t="s">
        <v>2</v>
      </c>
    </row>
    <row r="30" spans="2:4" ht="15">
      <c r="B30" s="1" t="s">
        <v>83</v>
      </c>
      <c r="C30" s="37">
        <f>D25</f>
        <v>12968.99999999999</v>
      </c>
      <c r="D30" s="37">
        <f>D23</f>
        <v>103751.99999999993</v>
      </c>
    </row>
    <row r="31" spans="2:4" ht="15">
      <c r="B31" s="1" t="s">
        <v>84</v>
      </c>
      <c r="C31" s="37">
        <f>C30*1.05</f>
        <v>13617.449999999992</v>
      </c>
      <c r="D31" s="103">
        <f>D30*1.05</f>
        <v>108939.59999999993</v>
      </c>
    </row>
    <row r="32" spans="2:4" ht="15">
      <c r="B32" s="1" t="s">
        <v>85</v>
      </c>
      <c r="C32" s="37">
        <f>C31*1.05</f>
        <v>14298.322499999991</v>
      </c>
      <c r="D32" s="103">
        <f>D31*1.05</f>
        <v>114386.57999999993</v>
      </c>
    </row>
    <row r="33" spans="2:4" ht="15">
      <c r="B33" s="1" t="s">
        <v>86</v>
      </c>
      <c r="C33" s="37">
        <f>C32*1.05</f>
        <v>15013.23862499999</v>
      </c>
      <c r="D33" s="103">
        <f>D32*1.05</f>
        <v>120105.90899999993</v>
      </c>
    </row>
    <row r="34" spans="2:4" ht="15">
      <c r="B34" s="1" t="s">
        <v>87</v>
      </c>
      <c r="C34" s="37">
        <f>C33*1.05</f>
        <v>15763.900556249991</v>
      </c>
      <c r="D34" s="103">
        <f>D33*1.05</f>
        <v>126111.20444999993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2:I13"/>
  <sheetViews>
    <sheetView zoomScalePageLayoutView="0" workbookViewId="0" topLeftCell="A1">
      <selection activeCell="C4" sqref="C4:D13"/>
    </sheetView>
  </sheetViews>
  <sheetFormatPr defaultColWidth="11.421875" defaultRowHeight="15"/>
  <cols>
    <col min="3" max="3" width="32.140625" style="0" bestFit="1" customWidth="1"/>
    <col min="7" max="7" width="24.7109375" style="0" bestFit="1" customWidth="1"/>
  </cols>
  <sheetData>
    <row r="2" ht="15">
      <c r="C2" t="s">
        <v>160</v>
      </c>
    </row>
    <row r="4" ht="15">
      <c r="C4" t="s">
        <v>161</v>
      </c>
    </row>
    <row r="5" spans="3:7" ht="15">
      <c r="C5" s="1" t="s">
        <v>162</v>
      </c>
      <c r="D5" s="1">
        <f>Alquiler!E6*2</f>
        <v>1840</v>
      </c>
      <c r="G5" t="s">
        <v>180</v>
      </c>
    </row>
    <row r="6" spans="3:9" ht="15">
      <c r="C6" s="1" t="s">
        <v>163</v>
      </c>
      <c r="D6" s="1">
        <f>'Equipos y Maquinaria'!K5</f>
        <v>15601.19</v>
      </c>
      <c r="G6" s="6"/>
      <c r="H6" s="1" t="s">
        <v>92</v>
      </c>
      <c r="I6" s="7" t="s">
        <v>185</v>
      </c>
    </row>
    <row r="7" spans="3:9" ht="15">
      <c r="C7" s="1" t="s">
        <v>164</v>
      </c>
      <c r="D7" s="1">
        <f>'Constitucion Empresa'!D10</f>
        <v>1075</v>
      </c>
      <c r="G7" s="1" t="s">
        <v>183</v>
      </c>
      <c r="H7" s="1">
        <v>10000</v>
      </c>
      <c r="I7" s="106">
        <v>155</v>
      </c>
    </row>
    <row r="8" spans="3:9" ht="15">
      <c r="C8" s="1" t="s">
        <v>170</v>
      </c>
      <c r="D8" s="1">
        <f>'Equipos y Maquinaria'!F27</f>
        <v>5640</v>
      </c>
      <c r="G8" s="1" t="s">
        <v>184</v>
      </c>
      <c r="H8" s="1">
        <v>1</v>
      </c>
      <c r="I8" s="107">
        <v>750</v>
      </c>
    </row>
    <row r="9" spans="3:9" ht="15">
      <c r="C9" s="1" t="s">
        <v>165</v>
      </c>
      <c r="D9" s="1">
        <f>'Obras Fisicas'!F9</f>
        <v>2825</v>
      </c>
      <c r="G9" s="1" t="s">
        <v>186</v>
      </c>
      <c r="H9" s="1">
        <v>100</v>
      </c>
      <c r="I9" s="1">
        <v>450</v>
      </c>
    </row>
    <row r="10" spans="3:9" ht="15">
      <c r="C10" s="1" t="s">
        <v>166</v>
      </c>
      <c r="D10" s="1">
        <f>120</f>
        <v>120</v>
      </c>
      <c r="I10" s="100">
        <f>SUM(I7:I9)</f>
        <v>1355</v>
      </c>
    </row>
    <row r="11" spans="3:4" ht="15">
      <c r="C11" s="1" t="s">
        <v>167</v>
      </c>
      <c r="D11" s="97">
        <f>I10</f>
        <v>1355</v>
      </c>
    </row>
    <row r="12" spans="3:4" ht="15">
      <c r="C12" s="1" t="s">
        <v>168</v>
      </c>
      <c r="D12" s="1">
        <f>Personal!M7</f>
        <v>930</v>
      </c>
    </row>
    <row r="13" spans="3:4" ht="15">
      <c r="C13" s="1" t="s">
        <v>131</v>
      </c>
      <c r="D13" s="1">
        <f>SUM(D5:D12)</f>
        <v>29386.190000000002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3:H11"/>
  <sheetViews>
    <sheetView zoomScalePageLayoutView="0" workbookViewId="0" topLeftCell="C1">
      <selection activeCell="Q23" sqref="Q23"/>
    </sheetView>
  </sheetViews>
  <sheetFormatPr defaultColWidth="11.421875" defaultRowHeight="15"/>
  <cols>
    <col min="2" max="2" width="20.7109375" style="0" customWidth="1"/>
    <col min="3" max="4" width="11.8515625" style="0" bestFit="1" customWidth="1"/>
    <col min="5" max="8" width="10.57421875" style="0" customWidth="1"/>
  </cols>
  <sheetData>
    <row r="3" spans="2:8" ht="15">
      <c r="B3" s="81" t="s">
        <v>179</v>
      </c>
      <c r="C3" s="55"/>
      <c r="D3" s="55"/>
      <c r="E3" s="55"/>
      <c r="F3" s="55"/>
      <c r="G3" s="55"/>
      <c r="H3" s="55"/>
    </row>
    <row r="4" spans="2:8" ht="15">
      <c r="B4" s="90"/>
      <c r="C4" s="90">
        <v>0</v>
      </c>
      <c r="D4" s="90">
        <v>1</v>
      </c>
      <c r="E4" s="90">
        <v>2</v>
      </c>
      <c r="F4" s="90">
        <v>3</v>
      </c>
      <c r="G4" s="90">
        <v>4</v>
      </c>
      <c r="H4" s="90">
        <v>5</v>
      </c>
    </row>
    <row r="5" spans="2:8" ht="15">
      <c r="B5" s="85" t="s">
        <v>171</v>
      </c>
      <c r="C5" s="86">
        <v>-19247.24899186992</v>
      </c>
      <c r="D5" s="86">
        <v>8288.370962193429</v>
      </c>
      <c r="E5" s="86">
        <v>6671.507762069562</v>
      </c>
      <c r="F5" s="86">
        <v>4787.45085961394</v>
      </c>
      <c r="G5" s="86">
        <v>2604.21486882267</v>
      </c>
      <c r="H5" s="86">
        <v>15485.917470930157</v>
      </c>
    </row>
    <row r="6" spans="2:8" ht="15.75" thickBot="1">
      <c r="B6" s="87" t="s">
        <v>172</v>
      </c>
      <c r="C6" s="88">
        <f>C5</f>
        <v>-19247.24899186992</v>
      </c>
      <c r="D6" s="88">
        <f>PV('Flujo de Efectivo'!$D$35,Payback!D4,,-Payback!D5)</f>
        <v>7318.649856241437</v>
      </c>
      <c r="E6" s="88">
        <f>PV('Flujo de Efectivo'!$D$35,Payback!E4,,-Payback!E5)</f>
        <v>5201.7272241038645</v>
      </c>
      <c r="F6" s="88">
        <f>PV('Flujo de Efectivo'!$D$35,Payback!F4,,-Payback!F5)</f>
        <v>3296.01892888776</v>
      </c>
      <c r="G6" s="88">
        <f>PV('Flujo de Efectivo'!$D$35,Payback!G4,,-Payback!G5)</f>
        <v>1583.1569486983392</v>
      </c>
      <c r="H6" s="88">
        <f>PV('Flujo de Efectivo'!$D$35,Payback!H4,,-Payback!H5)</f>
        <v>8312.772345431269</v>
      </c>
    </row>
    <row r="7" spans="2:8" ht="15.75" thickBot="1">
      <c r="B7" s="89" t="s">
        <v>173</v>
      </c>
      <c r="C7" s="82">
        <f>C5</f>
        <v>-19247.24899186992</v>
      </c>
      <c r="D7" s="88">
        <f>C7+D6</f>
        <v>-11928.599135628483</v>
      </c>
      <c r="E7" s="88">
        <f>D7+E6</f>
        <v>-6726.871911524619</v>
      </c>
      <c r="F7" s="88">
        <f>E7+F6</f>
        <v>-3430.8529826368585</v>
      </c>
      <c r="G7" s="88">
        <f>F7+G6</f>
        <v>-1847.6960339385193</v>
      </c>
      <c r="H7" s="88">
        <f>G7+H6</f>
        <v>6465.0763114927495</v>
      </c>
    </row>
    <row r="8" spans="2:8" ht="15">
      <c r="B8" s="55"/>
      <c r="C8" s="55"/>
      <c r="D8" s="55"/>
      <c r="E8" s="83"/>
      <c r="F8" s="83"/>
      <c r="G8" s="55"/>
      <c r="H8" s="55"/>
    </row>
    <row r="9" spans="2:8" ht="25.5">
      <c r="B9" s="95" t="s">
        <v>174</v>
      </c>
      <c r="C9" s="90" t="s">
        <v>175</v>
      </c>
      <c r="D9" s="90" t="s">
        <v>176</v>
      </c>
      <c r="E9" s="55"/>
      <c r="F9" s="55"/>
      <c r="G9" s="55"/>
      <c r="H9" s="55"/>
    </row>
    <row r="10" spans="2:8" ht="15">
      <c r="B10" s="91"/>
      <c r="C10" s="84">
        <f>F4+(-F7/G6)</f>
        <v>5.1670959316179506</v>
      </c>
      <c r="D10" s="92"/>
      <c r="E10" s="55"/>
      <c r="F10" s="55"/>
      <c r="G10" s="55"/>
      <c r="H10" s="55"/>
    </row>
    <row r="11" spans="2:8" ht="15">
      <c r="B11" s="93"/>
      <c r="C11" s="94">
        <v>5</v>
      </c>
      <c r="D11" s="94">
        <f>(C10-C11)*12</f>
        <v>2.0051511794154067</v>
      </c>
      <c r="E11" s="55"/>
      <c r="F11" s="55"/>
      <c r="G11" s="55"/>
      <c r="H11" s="5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C2:I25"/>
  <sheetViews>
    <sheetView zoomScalePageLayoutView="0" workbookViewId="0" topLeftCell="A1">
      <selection activeCell="L1" sqref="L1"/>
    </sheetView>
  </sheetViews>
  <sheetFormatPr defaultColWidth="11.421875" defaultRowHeight="15"/>
  <cols>
    <col min="3" max="3" width="16.28125" style="0" bestFit="1" customWidth="1"/>
    <col min="4" max="5" width="12.140625" style="0" bestFit="1" customWidth="1"/>
    <col min="6" max="6" width="11.57421875" style="0" bestFit="1" customWidth="1"/>
    <col min="7" max="9" width="12.7109375" style="0" bestFit="1" customWidth="1"/>
  </cols>
  <sheetData>
    <row r="2" ht="15">
      <c r="D2" t="s">
        <v>190</v>
      </c>
    </row>
    <row r="3" spans="4:6" ht="15">
      <c r="D3" s="1" t="s">
        <v>191</v>
      </c>
      <c r="E3" s="1"/>
      <c r="F3" s="1">
        <v>7.78</v>
      </c>
    </row>
    <row r="4" spans="4:6" ht="15">
      <c r="D4" s="1" t="s">
        <v>193</v>
      </c>
      <c r="E4" s="1"/>
      <c r="F4" s="108">
        <v>0.18</v>
      </c>
    </row>
    <row r="5" spans="4:6" ht="15">
      <c r="D5" s="1" t="s">
        <v>192</v>
      </c>
      <c r="E5" s="1"/>
      <c r="F5" s="131">
        <v>0.2548</v>
      </c>
    </row>
    <row r="6" spans="4:6" ht="15">
      <c r="D6" s="1" t="s">
        <v>194</v>
      </c>
      <c r="E6" s="1"/>
      <c r="F6" s="1">
        <v>33</v>
      </c>
    </row>
    <row r="8" spans="3:9" ht="15">
      <c r="C8" s="102" t="s">
        <v>188</v>
      </c>
      <c r="D8" s="100">
        <v>6</v>
      </c>
      <c r="E8" s="100">
        <v>7</v>
      </c>
      <c r="F8" s="100">
        <v>8</v>
      </c>
      <c r="G8" s="100">
        <v>9</v>
      </c>
      <c r="H8" s="100">
        <v>10</v>
      </c>
      <c r="I8" s="100">
        <v>11</v>
      </c>
    </row>
    <row r="9" spans="3:9" ht="15">
      <c r="C9" s="102" t="s">
        <v>18</v>
      </c>
      <c r="D9" s="101">
        <v>-53046.8132761732</v>
      </c>
      <c r="E9" s="101">
        <v>-23301.632774056365</v>
      </c>
      <c r="F9" s="101">
        <v>6443.547728060315</v>
      </c>
      <c r="G9" s="101">
        <v>36188.72823017715</v>
      </c>
      <c r="H9" s="101">
        <v>65933.90873229394</v>
      </c>
      <c r="I9" s="101">
        <v>95679.08923441073</v>
      </c>
    </row>
    <row r="24" spans="3:9" ht="15">
      <c r="C24" s="102" t="s">
        <v>189</v>
      </c>
      <c r="D24" s="1">
        <v>0.05</v>
      </c>
      <c r="E24" s="1">
        <v>0.1</v>
      </c>
      <c r="F24" s="1">
        <v>0.15</v>
      </c>
      <c r="G24" s="1">
        <v>0.2</v>
      </c>
      <c r="H24" s="1">
        <v>0.25</v>
      </c>
      <c r="I24" s="1">
        <v>0.3</v>
      </c>
    </row>
    <row r="25" spans="3:9" ht="15">
      <c r="C25" s="102" t="s">
        <v>18</v>
      </c>
      <c r="D25" s="106">
        <v>19403.148910525175</v>
      </c>
      <c r="E25" s="106">
        <v>6443.547728060315</v>
      </c>
      <c r="F25" s="106">
        <v>-6516.053454404539</v>
      </c>
      <c r="G25" s="106">
        <v>-19475.654636869403</v>
      </c>
      <c r="H25" s="106">
        <v>-32435.25581933427</v>
      </c>
      <c r="I25" s="106">
        <v>-45394.85700179912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G13"/>
  <sheetViews>
    <sheetView zoomScale="90" zoomScaleNormal="90" zoomScalePageLayoutView="0" workbookViewId="0" topLeftCell="A1">
      <selection activeCell="M31" sqref="M31"/>
    </sheetView>
  </sheetViews>
  <sheetFormatPr defaultColWidth="11.421875" defaultRowHeight="15"/>
  <cols>
    <col min="1" max="1" width="11.421875" style="55" customWidth="1"/>
    <col min="2" max="2" width="19.7109375" style="55" customWidth="1"/>
    <col min="3" max="7" width="13.57421875" style="55" customWidth="1"/>
    <col min="8" max="16384" width="11.421875" style="55" customWidth="1"/>
  </cols>
  <sheetData>
    <row r="3" spans="2:7" ht="12.75">
      <c r="B3" s="146" t="s">
        <v>245</v>
      </c>
      <c r="C3" s="146"/>
      <c r="D3" s="146"/>
      <c r="E3" s="146"/>
      <c r="F3" s="146"/>
      <c r="G3" s="146"/>
    </row>
    <row r="4" spans="2:7" ht="12.75">
      <c r="B4" s="132"/>
      <c r="C4" s="142">
        <v>1</v>
      </c>
      <c r="D4" s="142">
        <v>2</v>
      </c>
      <c r="E4" s="142">
        <v>3</v>
      </c>
      <c r="F4" s="142">
        <v>4</v>
      </c>
      <c r="G4" s="142">
        <v>5</v>
      </c>
    </row>
    <row r="5" spans="2:7" ht="12.75">
      <c r="B5" s="133" t="s">
        <v>246</v>
      </c>
      <c r="C5" s="134">
        <f>'Flujo de Efectivo'!E8</f>
        <v>103751.99999999993</v>
      </c>
      <c r="D5" s="134">
        <f>'Flujo de Efectivo'!F8</f>
        <v>108939.59999999993</v>
      </c>
      <c r="E5" s="134">
        <f>'Flujo de Efectivo'!G8</f>
        <v>114386.57999999993</v>
      </c>
      <c r="F5" s="134">
        <f>'Flujo de Efectivo'!H8</f>
        <v>120105.90899999993</v>
      </c>
      <c r="G5" s="134">
        <f>'Flujo de Efectivo'!I8</f>
        <v>126111.20444999993</v>
      </c>
    </row>
    <row r="6" spans="2:7" ht="12.75">
      <c r="B6" s="133" t="s">
        <v>247</v>
      </c>
      <c r="C6" s="134">
        <f>'Flujo de Efectivo'!E9</f>
        <v>10375.199999999993</v>
      </c>
      <c r="D6" s="134">
        <f>'Flujo de Efectivo'!F9</f>
        <v>10893.959999999994</v>
      </c>
      <c r="E6" s="134">
        <f>'Flujo de Efectivo'!G9</f>
        <v>11438.657999999994</v>
      </c>
      <c r="F6" s="134">
        <f>'Flujo de Efectivo'!H9</f>
        <v>12010.590899999994</v>
      </c>
      <c r="G6" s="134">
        <f>'Flujo de Efectivo'!I9</f>
        <v>12611.120444999993</v>
      </c>
    </row>
    <row r="7" spans="2:7" ht="13.5" thickBot="1">
      <c r="B7" s="135" t="s">
        <v>248</v>
      </c>
      <c r="C7" s="136">
        <f>'Flujo de Efectivo'!E18</f>
        <v>80744.36433333333</v>
      </c>
      <c r="D7" s="136">
        <f>'Flujo de Efectivo'!F18</f>
        <v>87747.68753333334</v>
      </c>
      <c r="E7" s="136">
        <f>'Flujo de Efectivo'!G18</f>
        <v>95379.40305333333</v>
      </c>
      <c r="F7" s="136">
        <f>'Flujo de Efectivo'!H18</f>
        <v>103698.75312533336</v>
      </c>
      <c r="G7" s="136">
        <f>'Flujo de Efectivo'!I18</f>
        <v>112770.72435453336</v>
      </c>
    </row>
    <row r="8" spans="2:7" ht="12.75">
      <c r="B8" s="137" t="s">
        <v>12</v>
      </c>
      <c r="C8" s="138">
        <f>C5-C6-C7</f>
        <v>12632.435666666599</v>
      </c>
      <c r="D8" s="138">
        <f>D5-D6-D7</f>
        <v>10297.952466666597</v>
      </c>
      <c r="E8" s="138">
        <f>E5-E6-E7</f>
        <v>7568.518946666605</v>
      </c>
      <c r="F8" s="138">
        <f>F5-F6-F7</f>
        <v>4396.564974666573</v>
      </c>
      <c r="G8" s="138">
        <f>G5-G6-G7</f>
        <v>729.3596504665766</v>
      </c>
    </row>
    <row r="9" spans="2:7" ht="12.75">
      <c r="B9" s="139"/>
      <c r="C9" s="139"/>
      <c r="D9" s="139"/>
      <c r="E9" s="139"/>
      <c r="F9" s="139"/>
      <c r="G9" s="139"/>
    </row>
    <row r="10" spans="2:7" ht="12.75">
      <c r="B10" s="139"/>
      <c r="C10" s="142">
        <v>1</v>
      </c>
      <c r="D10" s="142">
        <v>2</v>
      </c>
      <c r="E10" s="142">
        <v>3</v>
      </c>
      <c r="F10" s="142">
        <v>4</v>
      </c>
      <c r="G10" s="142">
        <v>5</v>
      </c>
    </row>
    <row r="11" spans="2:7" ht="12.75">
      <c r="B11" s="142" t="s">
        <v>249</v>
      </c>
      <c r="C11" s="140">
        <f>C7/(C5-C6)</f>
        <v>0.8647154789340971</v>
      </c>
      <c r="D11" s="140">
        <f>D7/(D5-D6)</f>
        <v>0.894967767392139</v>
      </c>
      <c r="E11" s="140">
        <f>E7/(E5-E6)</f>
        <v>0.9264820620015369</v>
      </c>
      <c r="F11" s="140">
        <f>F7/(F5-F6)</f>
        <v>0.9593269620558471</v>
      </c>
      <c r="G11" s="140">
        <f>G7/(G5-G6)</f>
        <v>0.9935739285405776</v>
      </c>
    </row>
    <row r="12" spans="2:7" ht="12.75">
      <c r="B12" s="142" t="s">
        <v>250</v>
      </c>
      <c r="C12" s="141">
        <f>C5*C11</f>
        <v>89715.96037037038</v>
      </c>
      <c r="D12" s="141">
        <f>D5*D11</f>
        <v>97497.4305925926</v>
      </c>
      <c r="E12" s="141">
        <f>E5*E11</f>
        <v>105977.1145037037</v>
      </c>
      <c r="F12" s="141">
        <f>F5*F11</f>
        <v>115220.83680592595</v>
      </c>
      <c r="G12" s="141">
        <f>G5*G11</f>
        <v>125300.8048383704</v>
      </c>
    </row>
    <row r="13" spans="2:7" ht="12.75">
      <c r="B13" s="142" t="s">
        <v>251</v>
      </c>
      <c r="C13" s="143">
        <f>C12/8</f>
        <v>11214.495046296297</v>
      </c>
      <c r="D13" s="143">
        <f>D12/8</f>
        <v>12187.178824074075</v>
      </c>
      <c r="E13" s="143">
        <f>E12/8</f>
        <v>13247.139312962963</v>
      </c>
      <c r="F13" s="143">
        <f>F12/8</f>
        <v>14402.604600740744</v>
      </c>
      <c r="G13" s="143">
        <f>G12/8</f>
        <v>15662.6006047963</v>
      </c>
    </row>
  </sheetData>
  <sheetProtection/>
  <mergeCells count="1"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J41"/>
  <sheetViews>
    <sheetView zoomScalePageLayoutView="0" workbookViewId="0" topLeftCell="A1">
      <selection activeCell="C11" sqref="C11:E18"/>
    </sheetView>
  </sheetViews>
  <sheetFormatPr defaultColWidth="11.421875" defaultRowHeight="15"/>
  <cols>
    <col min="3" max="3" width="32.57421875" style="0" customWidth="1"/>
    <col min="8" max="8" width="21.7109375" style="0" customWidth="1"/>
  </cols>
  <sheetData>
    <row r="2" spans="3:10" ht="15">
      <c r="C2" s="5"/>
      <c r="D2" s="5"/>
      <c r="E2" s="5"/>
      <c r="H2" s="5"/>
      <c r="I2" s="5"/>
      <c r="J2" s="5"/>
    </row>
    <row r="3" spans="3:10" ht="15">
      <c r="C3" s="5"/>
      <c r="D3" s="5"/>
      <c r="E3" s="5"/>
      <c r="H3" s="5"/>
      <c r="I3" s="5"/>
      <c r="J3" s="5"/>
    </row>
    <row r="4" spans="3:10" ht="15">
      <c r="C4" s="6"/>
      <c r="D4" s="6"/>
      <c r="E4" s="6"/>
      <c r="H4" s="6"/>
      <c r="I4" s="6"/>
      <c r="J4" s="6"/>
    </row>
    <row r="5" spans="3:10" ht="15">
      <c r="C5" s="6"/>
      <c r="D5" s="6"/>
      <c r="E5" s="6"/>
      <c r="H5" s="6"/>
      <c r="I5" s="6"/>
      <c r="J5" s="6"/>
    </row>
    <row r="6" spans="3:10" ht="15">
      <c r="C6" s="6"/>
      <c r="D6" s="6"/>
      <c r="E6" s="6"/>
      <c r="H6" s="6"/>
      <c r="I6" s="6"/>
      <c r="J6" s="6"/>
    </row>
    <row r="7" spans="3:10" ht="15">
      <c r="C7" s="5"/>
      <c r="D7" s="5"/>
      <c r="E7" s="5"/>
      <c r="H7" s="5"/>
      <c r="I7" s="5"/>
      <c r="J7" s="5"/>
    </row>
    <row r="8" spans="3:5" ht="15">
      <c r="C8" s="6"/>
      <c r="D8" s="6"/>
      <c r="E8" s="6"/>
    </row>
    <row r="10" ht="15">
      <c r="C10" s="4" t="s">
        <v>29</v>
      </c>
    </row>
    <row r="11" spans="3:10" ht="15">
      <c r="C11" s="3" t="s">
        <v>21</v>
      </c>
      <c r="D11" s="3" t="s">
        <v>27</v>
      </c>
      <c r="E11" s="3" t="s">
        <v>28</v>
      </c>
      <c r="H11" s="5"/>
      <c r="I11" s="6"/>
      <c r="J11" s="6"/>
    </row>
    <row r="12" spans="3:10" ht="15">
      <c r="C12" s="1" t="s">
        <v>30</v>
      </c>
      <c r="D12" s="1">
        <v>200</v>
      </c>
      <c r="E12" s="1">
        <f>D12*12</f>
        <v>2400</v>
      </c>
      <c r="H12" s="29"/>
      <c r="I12" s="29"/>
      <c r="J12" s="29"/>
    </row>
    <row r="13" spans="3:10" ht="15">
      <c r="C13" s="1" t="s">
        <v>31</v>
      </c>
      <c r="D13" s="1">
        <v>30</v>
      </c>
      <c r="E13" s="1">
        <f>D13*12</f>
        <v>360</v>
      </c>
      <c r="H13" s="6"/>
      <c r="I13" s="30"/>
      <c r="J13" s="6"/>
    </row>
    <row r="14" spans="3:10" ht="15">
      <c r="C14" s="1" t="s">
        <v>66</v>
      </c>
      <c r="D14" s="1">
        <v>120</v>
      </c>
      <c r="E14" s="1">
        <f>D14*12</f>
        <v>1440</v>
      </c>
      <c r="H14" s="6"/>
      <c r="I14" s="30"/>
      <c r="J14" s="6"/>
    </row>
    <row r="15" spans="3:10" ht="15">
      <c r="C15" s="1" t="s">
        <v>32</v>
      </c>
      <c r="D15" s="1">
        <v>65</v>
      </c>
      <c r="E15" s="1">
        <f>D15*12</f>
        <v>780</v>
      </c>
      <c r="H15" s="5"/>
      <c r="I15" s="31"/>
      <c r="J15" s="5"/>
    </row>
    <row r="16" spans="3:5" ht="15">
      <c r="C16" s="1" t="s">
        <v>33</v>
      </c>
      <c r="D16" s="1">
        <v>230</v>
      </c>
      <c r="E16" s="1">
        <f>D16*12</f>
        <v>2760</v>
      </c>
    </row>
    <row r="17" spans="3:5" ht="15">
      <c r="C17" s="109" t="s">
        <v>216</v>
      </c>
      <c r="D17" s="109">
        <v>35</v>
      </c>
      <c r="E17" s="109">
        <f>D17*12</f>
        <v>420</v>
      </c>
    </row>
    <row r="18" spans="3:5" s="4" customFormat="1" ht="15">
      <c r="C18" s="3" t="s">
        <v>25</v>
      </c>
      <c r="D18" s="3">
        <f>SUM(D12:D17)</f>
        <v>680</v>
      </c>
      <c r="E18" s="3">
        <f>SUM(E12:E17)</f>
        <v>8160</v>
      </c>
    </row>
    <row r="19" spans="8:10" ht="15">
      <c r="H19" s="5"/>
      <c r="I19" s="6"/>
      <c r="J19" s="6"/>
    </row>
    <row r="20" spans="8:10" ht="15">
      <c r="H20" s="5"/>
      <c r="I20" s="6"/>
      <c r="J20" s="6"/>
    </row>
    <row r="21" spans="8:10" ht="15">
      <c r="H21" s="6"/>
      <c r="I21" s="6"/>
      <c r="J21" s="6"/>
    </row>
    <row r="22" spans="8:10" ht="15">
      <c r="H22" s="6"/>
      <c r="I22" s="6"/>
      <c r="J22" s="6"/>
    </row>
    <row r="23" spans="8:10" ht="15">
      <c r="H23" s="5"/>
      <c r="I23" s="6"/>
      <c r="J23" s="6"/>
    </row>
    <row r="24" spans="8:10" ht="15">
      <c r="H24" s="6"/>
      <c r="I24" s="6"/>
      <c r="J24" s="6"/>
    </row>
    <row r="25" spans="3:10" ht="15">
      <c r="C25" s="5"/>
      <c r="D25" s="6"/>
      <c r="H25" s="6"/>
      <c r="I25" s="6"/>
      <c r="J25" s="6"/>
    </row>
    <row r="26" spans="3:10" ht="15">
      <c r="C26" s="6"/>
      <c r="D26" s="6"/>
      <c r="H26" s="5"/>
      <c r="I26" s="5"/>
      <c r="J26" s="5"/>
    </row>
    <row r="27" spans="3:10" ht="15">
      <c r="C27" s="6"/>
      <c r="D27" s="6"/>
      <c r="H27" s="5"/>
      <c r="I27" s="5"/>
      <c r="J27" s="5"/>
    </row>
    <row r="28" spans="3:10" ht="15">
      <c r="C28" s="6"/>
      <c r="D28" s="6"/>
      <c r="H28" s="6"/>
      <c r="I28" s="6"/>
      <c r="J28" s="6"/>
    </row>
    <row r="29" spans="3:10" ht="15">
      <c r="C29" s="6"/>
      <c r="D29" s="6"/>
      <c r="H29" s="6"/>
      <c r="I29" s="6"/>
      <c r="J29" s="6"/>
    </row>
    <row r="30" spans="3:10" ht="15">
      <c r="C30" s="6"/>
      <c r="D30" s="6"/>
      <c r="H30" s="5"/>
      <c r="I30" s="6"/>
      <c r="J30" s="6"/>
    </row>
    <row r="31" spans="3:4" ht="15">
      <c r="C31" s="6"/>
      <c r="D31" s="6"/>
    </row>
    <row r="32" spans="3:4" ht="15">
      <c r="C32" s="5"/>
      <c r="D32" s="5"/>
    </row>
    <row r="35" spans="3:4" ht="15">
      <c r="C35" s="32"/>
      <c r="D35" s="32"/>
    </row>
    <row r="36" spans="3:4" ht="15">
      <c r="C36" s="32"/>
      <c r="D36" s="32"/>
    </row>
    <row r="37" spans="3:4" ht="15">
      <c r="C37" s="32"/>
      <c r="D37" s="32"/>
    </row>
    <row r="38" spans="3:4" ht="15">
      <c r="C38" s="32"/>
      <c r="D38" s="32"/>
    </row>
    <row r="39" spans="3:4" ht="15">
      <c r="C39" s="32"/>
      <c r="D39" s="32"/>
    </row>
    <row r="40" spans="3:4" ht="15">
      <c r="C40" s="32"/>
      <c r="D40" s="32"/>
    </row>
    <row r="41" spans="3:4" ht="15">
      <c r="C41" s="32"/>
      <c r="D41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K27"/>
  <sheetViews>
    <sheetView zoomScalePageLayoutView="0" workbookViewId="0" topLeftCell="A17">
      <selection activeCell="K3" sqref="K3"/>
    </sheetView>
  </sheetViews>
  <sheetFormatPr defaultColWidth="11.421875" defaultRowHeight="15"/>
  <cols>
    <col min="1" max="1" width="9.140625" style="0" customWidth="1"/>
    <col min="2" max="2" width="6.140625" style="0" customWidth="1"/>
    <col min="3" max="3" width="22.8515625" style="0" customWidth="1"/>
    <col min="8" max="8" width="13.140625" style="0" customWidth="1"/>
  </cols>
  <sheetData>
    <row r="2" spans="3:11" ht="25.5" customHeight="1">
      <c r="C2" s="9" t="s">
        <v>45</v>
      </c>
      <c r="D2" s="9" t="s">
        <v>46</v>
      </c>
      <c r="E2" s="10" t="s">
        <v>47</v>
      </c>
      <c r="F2" s="11" t="s">
        <v>48</v>
      </c>
      <c r="H2" s="9" t="s">
        <v>49</v>
      </c>
      <c r="I2" s="9" t="s">
        <v>46</v>
      </c>
      <c r="J2" s="10" t="s">
        <v>47</v>
      </c>
      <c r="K2" s="11" t="s">
        <v>48</v>
      </c>
    </row>
    <row r="3" spans="3:11" ht="24" customHeight="1">
      <c r="C3" s="12" t="s">
        <v>50</v>
      </c>
      <c r="D3" s="12">
        <v>3</v>
      </c>
      <c r="E3" s="13">
        <v>470</v>
      </c>
      <c r="F3" s="1">
        <f>D3*E3</f>
        <v>1410</v>
      </c>
      <c r="H3" s="14" t="s">
        <v>51</v>
      </c>
      <c r="I3" s="14">
        <v>3</v>
      </c>
      <c r="J3" s="1">
        <v>5180.67</v>
      </c>
      <c r="K3" s="15">
        <f>I3*J3</f>
        <v>15542.01</v>
      </c>
    </row>
    <row r="4" spans="3:11" ht="37.5" customHeight="1">
      <c r="C4" s="16" t="s">
        <v>52</v>
      </c>
      <c r="D4" s="12">
        <v>1</v>
      </c>
      <c r="E4" s="13">
        <v>320</v>
      </c>
      <c r="F4" s="1">
        <f>D4*E4</f>
        <v>320</v>
      </c>
      <c r="H4" s="17" t="s">
        <v>53</v>
      </c>
      <c r="I4" s="14">
        <v>1</v>
      </c>
      <c r="J4" s="18">
        <v>59.18</v>
      </c>
      <c r="K4" s="15">
        <f>I4*J4</f>
        <v>59.18</v>
      </c>
    </row>
    <row r="5" spans="3:11" ht="15">
      <c r="C5" s="11" t="s">
        <v>54</v>
      </c>
      <c r="D5" s="11"/>
      <c r="E5" s="3">
        <f>E3+E4</f>
        <v>790</v>
      </c>
      <c r="F5" s="3">
        <f>F3+F4</f>
        <v>1730</v>
      </c>
      <c r="H5" s="11" t="s">
        <v>54</v>
      </c>
      <c r="I5" s="11"/>
      <c r="J5" s="3">
        <f>J3+J4</f>
        <v>5239.85</v>
      </c>
      <c r="K5" s="3">
        <f>K3+K4</f>
        <v>15601.19</v>
      </c>
    </row>
    <row r="6" spans="3:6" ht="15">
      <c r="C6" s="19"/>
      <c r="D6" s="19"/>
      <c r="E6" s="5"/>
      <c r="F6" s="5"/>
    </row>
    <row r="7" spans="3:6" ht="15">
      <c r="C7" s="19"/>
      <c r="D7" s="19"/>
      <c r="E7" s="5"/>
      <c r="F7" s="5"/>
    </row>
    <row r="8" spans="3:5" ht="15">
      <c r="C8" s="20"/>
      <c r="D8" s="21"/>
      <c r="E8" s="22"/>
    </row>
    <row r="9" spans="3:6" ht="25.5">
      <c r="C9" s="9" t="s">
        <v>55</v>
      </c>
      <c r="D9" s="9" t="s">
        <v>46</v>
      </c>
      <c r="E9" s="10" t="s">
        <v>47</v>
      </c>
      <c r="F9" s="11" t="s">
        <v>48</v>
      </c>
    </row>
    <row r="10" spans="3:6" ht="15">
      <c r="C10" s="12" t="s">
        <v>56</v>
      </c>
      <c r="D10" s="23">
        <v>2</v>
      </c>
      <c r="E10" s="13">
        <v>60</v>
      </c>
      <c r="F10" s="1">
        <f>D10*E10</f>
        <v>120</v>
      </c>
    </row>
    <row r="11" spans="3:6" ht="15">
      <c r="C11" s="12" t="s">
        <v>181</v>
      </c>
      <c r="D11" s="23">
        <v>1</v>
      </c>
      <c r="E11" s="13">
        <v>550</v>
      </c>
      <c r="F11" s="1">
        <f>D11*E11</f>
        <v>550</v>
      </c>
    </row>
    <row r="12" spans="3:6" ht="15">
      <c r="C12" s="12" t="s">
        <v>57</v>
      </c>
      <c r="D12" s="24">
        <v>5</v>
      </c>
      <c r="E12" s="13">
        <v>75</v>
      </c>
      <c r="F12" s="1">
        <f>D12*E12</f>
        <v>375</v>
      </c>
    </row>
    <row r="13" spans="3:6" ht="16.5" customHeight="1">
      <c r="C13" s="12" t="s">
        <v>58</v>
      </c>
      <c r="D13" s="24">
        <v>1</v>
      </c>
      <c r="E13" s="13">
        <v>925</v>
      </c>
      <c r="F13" s="1">
        <f>D13*E13</f>
        <v>925</v>
      </c>
    </row>
    <row r="14" spans="3:6" ht="15">
      <c r="C14" s="16" t="s">
        <v>59</v>
      </c>
      <c r="D14" s="24">
        <v>1</v>
      </c>
      <c r="E14" s="13">
        <v>580</v>
      </c>
      <c r="F14" s="1">
        <f>D14*E14</f>
        <v>580</v>
      </c>
    </row>
    <row r="15" spans="3:6" ht="15">
      <c r="C15" s="11" t="s">
        <v>54</v>
      </c>
      <c r="D15" s="11"/>
      <c r="E15" s="25">
        <f>SUM(E10:E14)</f>
        <v>2190</v>
      </c>
      <c r="F15" s="25">
        <f>SUM(F10:F14)</f>
        <v>2550</v>
      </c>
    </row>
    <row r="16" spans="3:6" ht="15">
      <c r="C16" s="26"/>
      <c r="D16" s="26"/>
      <c r="E16" s="27"/>
      <c r="F16" s="27"/>
    </row>
    <row r="17" spans="3:5" ht="15">
      <c r="C17" s="20"/>
      <c r="D17" s="28"/>
      <c r="E17" s="22"/>
    </row>
    <row r="18" spans="3:5" ht="15">
      <c r="C18" s="20"/>
      <c r="D18" s="28"/>
      <c r="E18" s="22"/>
    </row>
    <row r="19" spans="3:6" ht="25.5">
      <c r="C19" s="9" t="s">
        <v>60</v>
      </c>
      <c r="D19" s="9" t="s">
        <v>46</v>
      </c>
      <c r="E19" s="10" t="s">
        <v>47</v>
      </c>
      <c r="F19" s="11" t="s">
        <v>48</v>
      </c>
    </row>
    <row r="20" spans="3:6" ht="15">
      <c r="C20" s="12" t="s">
        <v>61</v>
      </c>
      <c r="D20" s="12">
        <v>3</v>
      </c>
      <c r="E20" s="13">
        <v>200</v>
      </c>
      <c r="F20" s="1">
        <f>D20*E20</f>
        <v>600</v>
      </c>
    </row>
    <row r="21" spans="3:6" ht="15">
      <c r="C21" s="12" t="s">
        <v>62</v>
      </c>
      <c r="D21" s="12">
        <v>6</v>
      </c>
      <c r="E21" s="13">
        <v>40</v>
      </c>
      <c r="F21" s="1">
        <f>D21*E21</f>
        <v>240</v>
      </c>
    </row>
    <row r="22" spans="3:6" ht="15">
      <c r="C22" s="12" t="s">
        <v>63</v>
      </c>
      <c r="D22" s="12">
        <v>3</v>
      </c>
      <c r="E22" s="13">
        <v>50</v>
      </c>
      <c r="F22" s="1">
        <f>D22*E22</f>
        <v>150</v>
      </c>
    </row>
    <row r="23" spans="3:6" ht="15">
      <c r="C23" s="12" t="s">
        <v>64</v>
      </c>
      <c r="D23" s="12">
        <v>1</v>
      </c>
      <c r="E23" s="13">
        <v>140</v>
      </c>
      <c r="F23" s="1">
        <f>D23*E23</f>
        <v>140</v>
      </c>
    </row>
    <row r="24" spans="3:6" ht="15">
      <c r="C24" s="12" t="s">
        <v>65</v>
      </c>
      <c r="D24" s="12">
        <v>1</v>
      </c>
      <c r="E24" s="13">
        <v>230</v>
      </c>
      <c r="F24" s="1">
        <f>D24*E24</f>
        <v>230</v>
      </c>
    </row>
    <row r="25" spans="3:6" ht="15">
      <c r="C25" s="11" t="s">
        <v>54</v>
      </c>
      <c r="D25" s="11"/>
      <c r="E25" s="3">
        <f>SUM(E20:E24)</f>
        <v>660</v>
      </c>
      <c r="F25" s="3">
        <f>SUM(F20:F24)</f>
        <v>1360</v>
      </c>
    </row>
    <row r="26" spans="3:6" ht="15">
      <c r="C26" s="1"/>
      <c r="D26" s="1"/>
      <c r="E26" s="1"/>
      <c r="F26" s="1"/>
    </row>
    <row r="27" spans="3:6" ht="15">
      <c r="C27" s="11" t="s">
        <v>54</v>
      </c>
      <c r="D27" s="11"/>
      <c r="E27" s="3">
        <f>SUM((E5)+(E15)+(E25))</f>
        <v>3640</v>
      </c>
      <c r="F27" s="3">
        <f>SUM((F5)+(F15)+(F25))</f>
        <v>5640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3:D10"/>
  <sheetViews>
    <sheetView zoomScalePageLayoutView="0" workbookViewId="0" topLeftCell="A1">
      <selection activeCell="L26" sqref="L26"/>
    </sheetView>
  </sheetViews>
  <sheetFormatPr defaultColWidth="11.421875" defaultRowHeight="15"/>
  <cols>
    <col min="3" max="3" width="21.57421875" style="0" customWidth="1"/>
  </cols>
  <sheetData>
    <row r="3" ht="15">
      <c r="C3" s="4" t="s">
        <v>38</v>
      </c>
    </row>
    <row r="4" spans="3:4" ht="15">
      <c r="C4" s="1" t="s">
        <v>39</v>
      </c>
      <c r="D4" s="1">
        <v>320</v>
      </c>
    </row>
    <row r="5" spans="3:4" ht="15">
      <c r="C5" s="1" t="s">
        <v>40</v>
      </c>
      <c r="D5" s="1">
        <v>130</v>
      </c>
    </row>
    <row r="6" spans="3:4" ht="15">
      <c r="C6" s="1" t="s">
        <v>41</v>
      </c>
      <c r="D6" s="1">
        <v>150</v>
      </c>
    </row>
    <row r="7" spans="3:4" ht="15">
      <c r="C7" s="1" t="s">
        <v>42</v>
      </c>
      <c r="D7" s="1">
        <v>100</v>
      </c>
    </row>
    <row r="8" spans="3:4" ht="15">
      <c r="C8" s="1" t="s">
        <v>43</v>
      </c>
      <c r="D8" s="1">
        <v>175</v>
      </c>
    </row>
    <row r="9" spans="3:4" ht="15">
      <c r="C9" s="1" t="s">
        <v>44</v>
      </c>
      <c r="D9" s="1">
        <v>200</v>
      </c>
    </row>
    <row r="10" spans="3:4" ht="15">
      <c r="C10" s="3" t="s">
        <v>25</v>
      </c>
      <c r="D10" s="3">
        <f>SUM(D4:D9)</f>
        <v>1075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H14"/>
  <sheetViews>
    <sheetView zoomScalePageLayoutView="0" workbookViewId="0" topLeftCell="A1">
      <selection activeCell="H23" sqref="H23"/>
    </sheetView>
  </sheetViews>
  <sheetFormatPr defaultColWidth="11.421875" defaultRowHeight="15"/>
  <cols>
    <col min="4" max="4" width="18.8515625" style="0" bestFit="1" customWidth="1"/>
    <col min="5" max="5" width="10.8515625" style="0" bestFit="1" customWidth="1"/>
    <col min="6" max="6" width="15.00390625" style="0" bestFit="1" customWidth="1"/>
    <col min="7" max="7" width="9.7109375" style="0" bestFit="1" customWidth="1"/>
  </cols>
  <sheetData>
    <row r="2" ht="15">
      <c r="D2" s="4" t="s">
        <v>34</v>
      </c>
    </row>
    <row r="3" spans="4:6" ht="15">
      <c r="D3" s="2" t="s">
        <v>21</v>
      </c>
      <c r="E3" s="2" t="s">
        <v>35</v>
      </c>
      <c r="F3" s="2" t="s">
        <v>20</v>
      </c>
    </row>
    <row r="4" spans="4:6" ht="15">
      <c r="D4" s="1" t="s">
        <v>36</v>
      </c>
      <c r="E4" s="7">
        <v>550</v>
      </c>
      <c r="F4" s="1">
        <f>E4*12</f>
        <v>6600</v>
      </c>
    </row>
    <row r="5" spans="4:6" ht="15">
      <c r="D5" s="1" t="s">
        <v>37</v>
      </c>
      <c r="E5" s="7">
        <v>370</v>
      </c>
      <c r="F5" s="1">
        <f>E5*12</f>
        <v>4440</v>
      </c>
    </row>
    <row r="6" spans="4:6" ht="15">
      <c r="D6" s="3" t="s">
        <v>25</v>
      </c>
      <c r="E6" s="8">
        <f>SUM(E4:E5)</f>
        <v>920</v>
      </c>
      <c r="F6" s="3">
        <f>SUM(F4:F5)</f>
        <v>11040</v>
      </c>
    </row>
    <row r="11" spans="3:8" ht="15">
      <c r="C11" s="1" t="s">
        <v>207</v>
      </c>
      <c r="D11" s="1" t="s">
        <v>208</v>
      </c>
      <c r="E11" s="1" t="s">
        <v>209</v>
      </c>
      <c r="F11" s="1" t="s">
        <v>210</v>
      </c>
      <c r="G11" s="1" t="s">
        <v>211</v>
      </c>
      <c r="H11" s="1" t="s">
        <v>212</v>
      </c>
    </row>
    <row r="12" spans="3:8" ht="15">
      <c r="C12" s="1">
        <v>3</v>
      </c>
      <c r="D12" s="1">
        <v>12969</v>
      </c>
      <c r="E12" s="1"/>
      <c r="F12" s="1"/>
      <c r="G12" s="36">
        <v>29581.190000000002</v>
      </c>
      <c r="H12" s="36">
        <v>21410.24702964237</v>
      </c>
    </row>
    <row r="13" spans="3:8" ht="15">
      <c r="C13" s="1">
        <v>5</v>
      </c>
      <c r="D13" s="37">
        <v>16211.000000000018</v>
      </c>
      <c r="E13" s="1"/>
      <c r="F13" s="1"/>
      <c r="G13" s="36">
        <v>40342.53</v>
      </c>
      <c r="H13" s="36">
        <v>27897.99110064718</v>
      </c>
    </row>
    <row r="14" spans="3:8" ht="15">
      <c r="C14" s="1">
        <v>7</v>
      </c>
      <c r="D14" s="37">
        <v>19453.999999999996</v>
      </c>
      <c r="E14" s="1"/>
      <c r="F14" s="1"/>
      <c r="G14" s="36">
        <v>51103.87</v>
      </c>
      <c r="H14" s="36">
        <v>34404.083652182955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E13"/>
  <sheetViews>
    <sheetView zoomScalePageLayoutView="0" workbookViewId="0" topLeftCell="A1">
      <selection activeCell="C9" sqref="C9:E13"/>
    </sheetView>
  </sheetViews>
  <sheetFormatPr defaultColWidth="11.421875" defaultRowHeight="15"/>
  <cols>
    <col min="3" max="3" width="21.00390625" style="0" customWidth="1"/>
  </cols>
  <sheetData>
    <row r="2" spans="3:5" ht="15">
      <c r="C2" s="5"/>
      <c r="D2" s="6"/>
      <c r="E2" s="6"/>
    </row>
    <row r="3" spans="3:5" ht="15">
      <c r="C3" s="5"/>
      <c r="D3" s="6"/>
      <c r="E3" s="6"/>
    </row>
    <row r="4" spans="3:5" ht="15">
      <c r="C4" s="6"/>
      <c r="D4" s="6"/>
      <c r="E4" s="6"/>
    </row>
    <row r="5" spans="3:5" ht="15">
      <c r="C5" s="6"/>
      <c r="D5" s="6"/>
      <c r="E5" s="6"/>
    </row>
    <row r="6" spans="3:5" ht="15">
      <c r="C6" s="5"/>
      <c r="D6" s="6"/>
      <c r="E6" s="6"/>
    </row>
    <row r="8" spans="3:5" ht="15">
      <c r="C8" s="4" t="s">
        <v>68</v>
      </c>
      <c r="D8" s="4"/>
      <c r="E8" s="4"/>
    </row>
    <row r="9" spans="3:5" ht="15">
      <c r="C9" s="3" t="s">
        <v>21</v>
      </c>
      <c r="D9" s="3" t="s">
        <v>27</v>
      </c>
      <c r="E9" s="3" t="s">
        <v>28</v>
      </c>
    </row>
    <row r="10" spans="3:5" ht="15">
      <c r="C10" s="1" t="s">
        <v>69</v>
      </c>
      <c r="D10" s="1">
        <v>100</v>
      </c>
      <c r="E10" s="1">
        <f>D10*12</f>
        <v>1200</v>
      </c>
    </row>
    <row r="11" spans="3:5" ht="15">
      <c r="C11" s="1" t="s">
        <v>70</v>
      </c>
      <c r="D11" s="1">
        <v>240</v>
      </c>
      <c r="E11" s="1">
        <f>D11*12</f>
        <v>2880</v>
      </c>
    </row>
    <row r="12" spans="3:5" ht="15">
      <c r="C12" s="1" t="s">
        <v>67</v>
      </c>
      <c r="D12" s="1">
        <f>93*4</f>
        <v>372</v>
      </c>
      <c r="E12" s="1">
        <f>D12*3</f>
        <v>1116</v>
      </c>
    </row>
    <row r="13" spans="3:5" ht="15">
      <c r="C13" s="3" t="s">
        <v>25</v>
      </c>
      <c r="D13" s="1">
        <f>SUM(D10:D12)</f>
        <v>712</v>
      </c>
      <c r="E13" s="1">
        <f>SUM(E10:E12)</f>
        <v>5196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D9"/>
  <sheetViews>
    <sheetView zoomScalePageLayoutView="0" workbookViewId="0" topLeftCell="A1">
      <selection activeCell="K26" sqref="K26"/>
    </sheetView>
  </sheetViews>
  <sheetFormatPr defaultColWidth="11.421875" defaultRowHeight="15"/>
  <cols>
    <col min="2" max="2" width="21.7109375" style="0" customWidth="1"/>
  </cols>
  <sheetData>
    <row r="4" spans="2:4" ht="15">
      <c r="B4" s="4" t="s">
        <v>26</v>
      </c>
      <c r="C4" s="4"/>
      <c r="D4" s="4"/>
    </row>
    <row r="5" spans="2:4" ht="15">
      <c r="B5" s="3" t="s">
        <v>21</v>
      </c>
      <c r="C5" s="3" t="s">
        <v>27</v>
      </c>
      <c r="D5" s="3" t="s">
        <v>28</v>
      </c>
    </row>
    <row r="6" spans="2:4" ht="15">
      <c r="B6" s="1" t="s">
        <v>22</v>
      </c>
      <c r="C6" s="1">
        <v>60</v>
      </c>
      <c r="D6" s="1">
        <f>C6*12</f>
        <v>720</v>
      </c>
    </row>
    <row r="7" spans="2:4" ht="15">
      <c r="B7" s="1" t="s">
        <v>23</v>
      </c>
      <c r="C7" s="1">
        <v>50</v>
      </c>
      <c r="D7" s="1">
        <f>C7*12</f>
        <v>600</v>
      </c>
    </row>
    <row r="8" spans="2:4" ht="15">
      <c r="B8" s="1" t="s">
        <v>24</v>
      </c>
      <c r="C8" s="1">
        <v>255</v>
      </c>
      <c r="D8" s="1">
        <f>C8*12</f>
        <v>3060</v>
      </c>
    </row>
    <row r="9" spans="2:4" ht="15">
      <c r="B9" s="3" t="s">
        <v>25</v>
      </c>
      <c r="C9" s="3">
        <f>SUM(C6:C8)</f>
        <v>365</v>
      </c>
      <c r="D9" s="3">
        <f>SUM(D6:D8)</f>
        <v>4380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A2" sqref="A2:K10"/>
    </sheetView>
  </sheetViews>
  <sheetFormatPr defaultColWidth="11.421875" defaultRowHeight="15"/>
  <cols>
    <col min="2" max="2" width="24.00390625" style="0" customWidth="1"/>
    <col min="4" max="4" width="18.28125" style="0" customWidth="1"/>
    <col min="5" max="5" width="15.421875" style="0" customWidth="1"/>
    <col min="6" max="6" width="15.7109375" style="0" customWidth="1"/>
    <col min="11" max="11" width="16.421875" style="0" customWidth="1"/>
  </cols>
  <sheetData>
    <row r="1" ht="15.75" thickBot="1"/>
    <row r="2" spans="1:12" ht="39" thickBot="1">
      <c r="A2" s="76" t="s">
        <v>121</v>
      </c>
      <c r="B2" s="77" t="s">
        <v>122</v>
      </c>
      <c r="C2" s="77" t="s">
        <v>123</v>
      </c>
      <c r="D2" s="77" t="s">
        <v>124</v>
      </c>
      <c r="E2" s="77" t="s">
        <v>125</v>
      </c>
      <c r="F2" s="77" t="s">
        <v>126</v>
      </c>
      <c r="G2" s="77" t="s">
        <v>127</v>
      </c>
      <c r="H2" s="77" t="s">
        <v>128</v>
      </c>
      <c r="I2" s="77" t="s">
        <v>129</v>
      </c>
      <c r="J2" s="78" t="s">
        <v>130</v>
      </c>
      <c r="K2" s="55"/>
      <c r="L2" s="96" t="s">
        <v>168</v>
      </c>
    </row>
    <row r="3" spans="1:13" ht="15">
      <c r="A3" s="1" t="s">
        <v>72</v>
      </c>
      <c r="B3" s="1">
        <v>1</v>
      </c>
      <c r="C3" s="56">
        <v>550</v>
      </c>
      <c r="D3" s="57">
        <f>C3*12</f>
        <v>6600</v>
      </c>
      <c r="E3" s="58">
        <v>292</v>
      </c>
      <c r="F3" s="59">
        <f>C3</f>
        <v>550</v>
      </c>
      <c r="G3" s="60">
        <f>D3/24</f>
        <v>275</v>
      </c>
      <c r="H3" s="60">
        <f>D3/12</f>
        <v>550</v>
      </c>
      <c r="I3" s="60">
        <f>(11.15%)*D3</f>
        <v>735.9</v>
      </c>
      <c r="J3" s="61">
        <f>(1%)*D3</f>
        <v>66</v>
      </c>
      <c r="K3" s="62"/>
      <c r="L3">
        <v>110</v>
      </c>
      <c r="M3">
        <f>L3*B3</f>
        <v>110</v>
      </c>
    </row>
    <row r="4" spans="1:13" ht="15">
      <c r="A4" s="1" t="s">
        <v>73</v>
      </c>
      <c r="B4" s="1">
        <v>1</v>
      </c>
      <c r="C4" s="56">
        <v>390</v>
      </c>
      <c r="D4" s="63">
        <f>C4*12</f>
        <v>4680</v>
      </c>
      <c r="E4" s="64">
        <v>292</v>
      </c>
      <c r="F4" s="65">
        <f>C4</f>
        <v>390</v>
      </c>
      <c r="G4" s="66">
        <f>D4/24</f>
        <v>195</v>
      </c>
      <c r="H4" s="66">
        <f>D4/12</f>
        <v>390</v>
      </c>
      <c r="I4" s="66">
        <f>(11.15%)*D4</f>
        <v>521.82</v>
      </c>
      <c r="J4" s="67">
        <f>(1%)*D4</f>
        <v>46.800000000000004</v>
      </c>
      <c r="K4" s="62"/>
      <c r="L4">
        <v>110</v>
      </c>
      <c r="M4">
        <f>L4*B4</f>
        <v>110</v>
      </c>
    </row>
    <row r="5" spans="1:13" ht="15">
      <c r="A5" s="1" t="s">
        <v>74</v>
      </c>
      <c r="B5" s="1">
        <v>1</v>
      </c>
      <c r="C5" s="56">
        <v>320</v>
      </c>
      <c r="D5" s="63">
        <f>C5*12</f>
        <v>3840</v>
      </c>
      <c r="E5" s="64">
        <v>292</v>
      </c>
      <c r="F5" s="65">
        <f>C5</f>
        <v>320</v>
      </c>
      <c r="G5" s="66">
        <f>D5/24</f>
        <v>160</v>
      </c>
      <c r="H5" s="66">
        <f>D5/12</f>
        <v>320</v>
      </c>
      <c r="I5" s="66">
        <f>(11.15%)*D5</f>
        <v>428.16</v>
      </c>
      <c r="J5" s="67">
        <f>(1%)*D5</f>
        <v>38.4</v>
      </c>
      <c r="K5" s="62"/>
      <c r="L5">
        <v>110</v>
      </c>
      <c r="M5">
        <f>L5*B5</f>
        <v>110</v>
      </c>
    </row>
    <row r="6" spans="1:13" ht="15">
      <c r="A6" s="1" t="s">
        <v>75</v>
      </c>
      <c r="B6" s="1">
        <f>'Equipos y Maquinaria'!I3*2</f>
        <v>6</v>
      </c>
      <c r="C6" s="56">
        <v>292</v>
      </c>
      <c r="D6" s="63">
        <f>C6*12*B6</f>
        <v>21024</v>
      </c>
      <c r="E6" s="64">
        <f>292*B6</f>
        <v>1752</v>
      </c>
      <c r="F6" s="65">
        <f>C6*B6</f>
        <v>1752</v>
      </c>
      <c r="G6" s="66">
        <f>D6/24</f>
        <v>876</v>
      </c>
      <c r="H6" s="66">
        <f>D6/12</f>
        <v>1752</v>
      </c>
      <c r="I6" s="66">
        <f>(11.15%)*D6</f>
        <v>2344.176</v>
      </c>
      <c r="J6" s="67">
        <f>(1%)*D6</f>
        <v>210.24</v>
      </c>
      <c r="K6" s="62"/>
      <c r="L6">
        <v>100</v>
      </c>
      <c r="M6">
        <f>L6*B6</f>
        <v>600</v>
      </c>
    </row>
    <row r="7" spans="1:13" ht="15.75" thickBot="1">
      <c r="A7" s="1" t="s">
        <v>76</v>
      </c>
      <c r="B7" s="1">
        <v>1</v>
      </c>
      <c r="C7" s="56">
        <v>292</v>
      </c>
      <c r="D7" s="63">
        <f>C7*12</f>
        <v>3504</v>
      </c>
      <c r="E7" s="64">
        <v>292</v>
      </c>
      <c r="F7" s="65">
        <f>C7</f>
        <v>292</v>
      </c>
      <c r="G7" s="66">
        <f>D7/24</f>
        <v>146</v>
      </c>
      <c r="H7" s="66">
        <f>D7/12</f>
        <v>292</v>
      </c>
      <c r="I7" s="66">
        <f>(11.15%)*D7</f>
        <v>390.696</v>
      </c>
      <c r="J7" s="67">
        <f>(1%)*D7</f>
        <v>35.04</v>
      </c>
      <c r="K7" s="62"/>
      <c r="L7" t="s">
        <v>182</v>
      </c>
      <c r="M7">
        <f>SUM(M3:M6)</f>
        <v>930</v>
      </c>
    </row>
    <row r="8" spans="1:11" ht="15.75" thickBot="1">
      <c r="A8" s="68" t="s">
        <v>131</v>
      </c>
      <c r="B8" s="69">
        <f aca="true" t="shared" si="0" ref="B8:J8">SUM(B3:B7)</f>
        <v>10</v>
      </c>
      <c r="C8" s="70">
        <f t="shared" si="0"/>
        <v>1844</v>
      </c>
      <c r="D8" s="71">
        <f t="shared" si="0"/>
        <v>39648</v>
      </c>
      <c r="E8" s="72">
        <f t="shared" si="0"/>
        <v>2920</v>
      </c>
      <c r="F8" s="72">
        <f t="shared" si="0"/>
        <v>3304</v>
      </c>
      <c r="G8" s="72">
        <f t="shared" si="0"/>
        <v>1652</v>
      </c>
      <c r="H8" s="72">
        <f t="shared" si="0"/>
        <v>3304</v>
      </c>
      <c r="I8" s="72">
        <f t="shared" si="0"/>
        <v>4420.752</v>
      </c>
      <c r="J8" s="73">
        <f t="shared" si="0"/>
        <v>396.4800000000001</v>
      </c>
      <c r="K8" s="74">
        <f>SUM(D8:J8)</f>
        <v>55645.232</v>
      </c>
    </row>
    <row r="9" spans="2:6" ht="15">
      <c r="B9" s="19"/>
      <c r="C9" s="19"/>
      <c r="D9" s="31"/>
      <c r="E9" s="31"/>
      <c r="F9" s="6"/>
    </row>
    <row r="10" spans="10:11" ht="15">
      <c r="J10" t="s">
        <v>132</v>
      </c>
      <c r="K10" s="75">
        <f>K8/12</f>
        <v>4637.102666666667</v>
      </c>
    </row>
    <row r="13" spans="2:12" ht="15">
      <c r="B13" s="5"/>
      <c r="C13" s="5"/>
      <c r="D13" s="31"/>
      <c r="E13" s="6"/>
      <c r="F13" s="6"/>
      <c r="G13" s="6"/>
      <c r="H13" s="6"/>
      <c r="I13" s="6"/>
      <c r="J13" s="6"/>
      <c r="K13" s="6"/>
      <c r="L13" s="6"/>
    </row>
    <row r="14" spans="2:12" ht="15">
      <c r="B14" s="6"/>
      <c r="C14" s="6"/>
      <c r="D14" s="30"/>
      <c r="E14" s="6"/>
      <c r="F14" s="6"/>
      <c r="G14" s="6"/>
      <c r="H14" s="6"/>
      <c r="I14" s="6"/>
      <c r="J14" s="6"/>
      <c r="K14" s="6"/>
      <c r="L14" s="6"/>
    </row>
    <row r="15" spans="2:12" ht="15">
      <c r="B15" s="6"/>
      <c r="C15" s="6"/>
      <c r="D15" s="30"/>
      <c r="E15" s="6"/>
      <c r="F15" s="6"/>
      <c r="G15" s="6"/>
      <c r="H15" s="6"/>
      <c r="I15" s="6"/>
      <c r="J15" s="6"/>
      <c r="K15" s="6"/>
      <c r="L15" s="6"/>
    </row>
    <row r="16" spans="2:12" ht="15">
      <c r="B16" s="6"/>
      <c r="C16" s="6"/>
      <c r="D16" s="30"/>
      <c r="E16" s="6"/>
      <c r="F16" s="6"/>
      <c r="G16" s="6"/>
      <c r="H16" s="6"/>
      <c r="I16" s="6"/>
      <c r="J16" s="6"/>
      <c r="K16" s="6"/>
      <c r="L16" s="6"/>
    </row>
    <row r="17" spans="2:12" ht="15">
      <c r="B17" s="6"/>
      <c r="C17" s="6"/>
      <c r="D17" s="30"/>
      <c r="E17" s="6"/>
      <c r="F17" s="6"/>
      <c r="G17" s="6"/>
      <c r="H17" s="6"/>
      <c r="I17" s="6"/>
      <c r="J17" s="6"/>
      <c r="K17" s="6"/>
      <c r="L17" s="6"/>
    </row>
    <row r="18" spans="2:12" ht="15">
      <c r="B18" s="6"/>
      <c r="C18" s="6"/>
      <c r="D18" s="30"/>
      <c r="E18" s="6"/>
      <c r="F18" s="6"/>
      <c r="G18" s="6"/>
      <c r="H18" s="6"/>
      <c r="I18" s="6"/>
      <c r="J18" s="6"/>
      <c r="K18" s="6"/>
      <c r="L18" s="6"/>
    </row>
    <row r="19" spans="2:12" ht="15">
      <c r="B19" s="19"/>
      <c r="C19" s="19"/>
      <c r="D19" s="31"/>
      <c r="E19" s="6"/>
      <c r="F19" s="6"/>
      <c r="G19" s="6"/>
      <c r="H19" s="6"/>
      <c r="I19" s="6"/>
      <c r="J19" s="6"/>
      <c r="K19" s="6"/>
      <c r="L19" s="6"/>
    </row>
    <row r="24" spans="1:6" ht="15">
      <c r="A24" s="6"/>
      <c r="B24" s="6"/>
      <c r="C24" s="6"/>
      <c r="D24" s="6"/>
      <c r="E24" s="6"/>
      <c r="F24" s="6"/>
    </row>
    <row r="25" spans="1:6" ht="15">
      <c r="A25" s="6"/>
      <c r="B25" s="5"/>
      <c r="C25" s="5"/>
      <c r="D25" s="31"/>
      <c r="E25" s="31"/>
      <c r="F25" s="6"/>
    </row>
    <row r="26" spans="1:6" ht="15">
      <c r="A26" s="6"/>
      <c r="B26" s="6"/>
      <c r="C26" s="6"/>
      <c r="D26" s="30"/>
      <c r="E26" s="54"/>
      <c r="F26" s="6"/>
    </row>
    <row r="27" spans="1:6" ht="15">
      <c r="A27" s="6"/>
      <c r="B27" s="6"/>
      <c r="C27" s="6"/>
      <c r="D27" s="30"/>
      <c r="E27" s="30"/>
      <c r="F27" s="6"/>
    </row>
    <row r="28" spans="1:6" ht="15">
      <c r="A28" s="6"/>
      <c r="B28" s="6"/>
      <c r="C28" s="6"/>
      <c r="D28" s="30"/>
      <c r="E28" s="30"/>
      <c r="F28" s="6"/>
    </row>
    <row r="29" spans="1:6" ht="15">
      <c r="A29" s="6"/>
      <c r="B29" s="6"/>
      <c r="C29" s="6"/>
      <c r="D29" s="30"/>
      <c r="E29" s="30"/>
      <c r="F29" s="6"/>
    </row>
    <row r="30" spans="1:6" ht="15">
      <c r="A30" s="6"/>
      <c r="B30" s="6"/>
      <c r="C30" s="6"/>
      <c r="D30" s="30"/>
      <c r="E30" s="30"/>
      <c r="F30" s="6"/>
    </row>
    <row r="31" spans="1:6" ht="15">
      <c r="A31" s="6"/>
      <c r="B31" s="19"/>
      <c r="C31" s="19"/>
      <c r="D31" s="31"/>
      <c r="E31" s="31"/>
      <c r="F31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F9"/>
  <sheetViews>
    <sheetView zoomScalePageLayoutView="0" workbookViewId="0" topLeftCell="A4">
      <selection activeCell="M28" sqref="M28"/>
    </sheetView>
  </sheetViews>
  <sheetFormatPr defaultColWidth="11.421875" defaultRowHeight="15"/>
  <cols>
    <col min="3" max="3" width="23.140625" style="0" customWidth="1"/>
  </cols>
  <sheetData>
    <row r="5" spans="3:6" ht="15">
      <c r="C5" s="3" t="s">
        <v>77</v>
      </c>
      <c r="D5" s="3" t="s">
        <v>1</v>
      </c>
      <c r="E5" s="8" t="s">
        <v>71</v>
      </c>
      <c r="F5" s="8" t="s">
        <v>48</v>
      </c>
    </row>
    <row r="6" spans="3:6" ht="15">
      <c r="C6" s="1" t="s">
        <v>78</v>
      </c>
      <c r="D6" s="1">
        <v>1</v>
      </c>
      <c r="E6" s="7">
        <v>650</v>
      </c>
      <c r="F6" s="33">
        <v>650</v>
      </c>
    </row>
    <row r="7" spans="3:6" ht="15">
      <c r="C7" s="1" t="s">
        <v>79</v>
      </c>
      <c r="D7" s="1">
        <v>3</v>
      </c>
      <c r="E7" s="7">
        <v>175</v>
      </c>
      <c r="F7" s="7">
        <f>E7*D7</f>
        <v>525</v>
      </c>
    </row>
    <row r="8" spans="3:6" ht="15">
      <c r="C8" s="1" t="s">
        <v>80</v>
      </c>
      <c r="D8" s="11">
        <v>3</v>
      </c>
      <c r="E8" s="34">
        <v>550</v>
      </c>
      <c r="F8" s="7">
        <f>E8*D8</f>
        <v>1650</v>
      </c>
    </row>
    <row r="9" spans="3:6" ht="15">
      <c r="C9" s="11" t="s">
        <v>54</v>
      </c>
      <c r="D9" s="8"/>
      <c r="E9" s="8">
        <f>SUM(E6:E8)</f>
        <v>1375</v>
      </c>
      <c r="F9" s="8">
        <f>SUM(F6:F8)</f>
        <v>2825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Guest</cp:lastModifiedBy>
  <dcterms:created xsi:type="dcterms:W3CDTF">2012-04-10T21:15:00Z</dcterms:created>
  <dcterms:modified xsi:type="dcterms:W3CDTF">2012-04-22T21:08:22Z</dcterms:modified>
  <cp:category/>
  <cp:version/>
  <cp:contentType/>
  <cp:contentStatus/>
</cp:coreProperties>
</file>