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8115" windowHeight="7485" tabRatio="598" firstSheet="5" activeTab="13"/>
  </bookViews>
  <sheets>
    <sheet name="DEMANDA" sheetId="5" r:id="rId1"/>
    <sheet name="INV. INICIAL" sheetId="1" r:id="rId2"/>
    <sheet name="INGRESOS" sheetId="12" r:id="rId3"/>
    <sheet name="CAPM" sheetId="19" r:id="rId4"/>
    <sheet name="GASTOS" sheetId="10" r:id="rId5"/>
    <sheet name="k trab" sheetId="4" r:id="rId6"/>
    <sheet name="V. DESECHO" sheetId="18" r:id="rId7"/>
    <sheet name="Depreciaciones" sheetId="3" r:id="rId8"/>
    <sheet name="AMORTIZACIÓN" sheetId="11" r:id="rId9"/>
    <sheet name="ER" sheetId="13" r:id="rId10"/>
    <sheet name="FC" sheetId="15" r:id="rId11"/>
    <sheet name="Hoja2" sheetId="16" state="hidden" r:id="rId12"/>
    <sheet name="Variables AS" sheetId="25" r:id="rId13"/>
    <sheet name="Sensibilidad" sheetId="20" r:id="rId14"/>
  </sheets>
  <definedNames>
    <definedName name="_xlnm.Print_Area" localSheetId="8">AMORTIZACIÓN!$B$2:$J$26</definedName>
    <definedName name="_xlnm.Print_Area" localSheetId="3">CAPM!$A$1:$N$17</definedName>
    <definedName name="_xlnm.Print_Area" localSheetId="7">Depreciaciones!$B$1:$R$61</definedName>
    <definedName name="_xlnm.Print_Area" localSheetId="10">FC!$D$33:$H$45</definedName>
    <definedName name="_xlnm.Print_Area" localSheetId="4">GASTOS!$A$1:$P$50</definedName>
    <definedName name="_xlnm.Print_Area" localSheetId="2">INGRESOS!$A$1:$M$27</definedName>
    <definedName name="_xlnm.Print_Area" localSheetId="1">'INV. INICIAL'!$A$1:$K$29</definedName>
    <definedName name="_xlnm.Print_Area" localSheetId="5">'k trab'!$B$2:$O$19</definedName>
    <definedName name="_xlnm.Print_Area" localSheetId="13">Sensibilidad!$C$2:$V$104</definedName>
    <definedName name="_xlnm.Print_Area" localSheetId="6">'V. DESECHO'!$A$1:$H$37</definedName>
    <definedName name="_xlnm.Print_Area" localSheetId="12">'Variables AS'!$A$3:$M$51</definedName>
  </definedNames>
  <calcPr calcId="125725"/>
</workbook>
</file>

<file path=xl/calcChain.xml><?xml version="1.0" encoding="utf-8"?>
<calcChain xmlns="http://schemas.openxmlformats.org/spreadsheetml/2006/main">
  <c r="K36" i="10"/>
  <c r="J10" i="11"/>
  <c r="J9"/>
  <c r="J8"/>
  <c r="K15" i="12" l="1"/>
  <c r="K11" i="1"/>
  <c r="K5"/>
  <c r="K8"/>
  <c r="K7"/>
  <c r="K6"/>
  <c r="K4"/>
  <c r="K3"/>
  <c r="C6" i="11"/>
  <c r="H27" i="18"/>
  <c r="J35" i="25" l="1"/>
  <c r="B29"/>
  <c r="A24"/>
  <c r="A23"/>
  <c r="A22"/>
  <c r="A21"/>
  <c r="A20"/>
  <c r="A19"/>
  <c r="A18"/>
  <c r="A17"/>
  <c r="A16"/>
  <c r="A15"/>
  <c r="A28" s="1"/>
  <c r="A14"/>
  <c r="A13"/>
  <c r="A12"/>
  <c r="A11"/>
  <c r="A10"/>
  <c r="A9"/>
  <c r="L8"/>
  <c r="K8"/>
  <c r="J8"/>
  <c r="I8"/>
  <c r="H8"/>
  <c r="G8"/>
  <c r="F8"/>
  <c r="E8"/>
  <c r="D8"/>
  <c r="C8"/>
  <c r="B8"/>
  <c r="A8"/>
  <c r="K32" i="15"/>
  <c r="C10" i="19"/>
  <c r="E4" i="1" l="1"/>
  <c r="C8" i="18" s="1"/>
  <c r="E8" s="1"/>
  <c r="G8" s="1"/>
  <c r="B10" i="5"/>
  <c r="M5" i="3"/>
  <c r="M10" s="1"/>
  <c r="F4" i="5" l="1"/>
  <c r="C25" i="18" l="1"/>
  <c r="E11" i="13" s="1"/>
  <c r="D15" i="25" s="1"/>
  <c r="D28" s="1"/>
  <c r="C26" i="18"/>
  <c r="F11" i="13" s="1"/>
  <c r="E15" i="25" s="1"/>
  <c r="E28" s="1"/>
  <c r="C27" i="18"/>
  <c r="G11" i="13" s="1"/>
  <c r="F15" i="25" s="1"/>
  <c r="F28" s="1"/>
  <c r="C28" i="18"/>
  <c r="H11" i="13" s="1"/>
  <c r="G15" i="25" s="1"/>
  <c r="G28" s="1"/>
  <c r="C29" i="18"/>
  <c r="I11" i="13" s="1"/>
  <c r="H15" i="25" s="1"/>
  <c r="H28" s="1"/>
  <c r="C30" i="18"/>
  <c r="J11" i="13" s="1"/>
  <c r="I15" i="25" s="1"/>
  <c r="I28" s="1"/>
  <c r="C31" i="18"/>
  <c r="K11" i="13" s="1"/>
  <c r="J15" i="25" s="1"/>
  <c r="J28" s="1"/>
  <c r="C32" i="18"/>
  <c r="L11" i="13" s="1"/>
  <c r="K15" i="25" s="1"/>
  <c r="K28" s="1"/>
  <c r="C33" i="18"/>
  <c r="M11" i="13" s="1"/>
  <c r="L15" i="25" s="1"/>
  <c r="L28" s="1"/>
  <c r="C24" i="18"/>
  <c r="D11" i="13" s="1"/>
  <c r="E18" i="1"/>
  <c r="E5"/>
  <c r="E6"/>
  <c r="E7"/>
  <c r="E3"/>
  <c r="C15" i="25" l="1"/>
  <c r="C28" s="1"/>
  <c r="E8" i="1"/>
  <c r="C14" i="18"/>
  <c r="E14" s="1"/>
  <c r="G14" s="1"/>
  <c r="C10"/>
  <c r="G29" i="25" s="1"/>
  <c r="C9" i="18"/>
  <c r="C7"/>
  <c r="H7" s="1"/>
  <c r="P29" i="10"/>
  <c r="D13" i="13" s="1"/>
  <c r="C17" i="25" s="1"/>
  <c r="C27" i="10"/>
  <c r="B6" i="15"/>
  <c r="B4"/>
  <c r="C4"/>
  <c r="D4"/>
  <c r="E4"/>
  <c r="F4"/>
  <c r="G4"/>
  <c r="H4"/>
  <c r="I4"/>
  <c r="J4"/>
  <c r="K4"/>
  <c r="L4"/>
  <c r="M4"/>
  <c r="B5"/>
  <c r="B7"/>
  <c r="B8"/>
  <c r="B9"/>
  <c r="B10"/>
  <c r="B11"/>
  <c r="B24" s="1"/>
  <c r="D11"/>
  <c r="D24" s="1"/>
  <c r="E11"/>
  <c r="E24" s="1"/>
  <c r="F11"/>
  <c r="F24" s="1"/>
  <c r="G11"/>
  <c r="G24" s="1"/>
  <c r="H11"/>
  <c r="H24" s="1"/>
  <c r="I11"/>
  <c r="I24" s="1"/>
  <c r="J11"/>
  <c r="J24" s="1"/>
  <c r="K11"/>
  <c r="K24" s="1"/>
  <c r="L11"/>
  <c r="L24" s="1"/>
  <c r="M11"/>
  <c r="M24" s="1"/>
  <c r="B12"/>
  <c r="B13"/>
  <c r="B14"/>
  <c r="B15"/>
  <c r="B16"/>
  <c r="B17"/>
  <c r="B18"/>
  <c r="B19"/>
  <c r="B20"/>
  <c r="D7" i="4"/>
  <c r="E7"/>
  <c r="F7"/>
  <c r="G7"/>
  <c r="H7"/>
  <c r="I7"/>
  <c r="J7"/>
  <c r="K7"/>
  <c r="L7"/>
  <c r="M7"/>
  <c r="N7"/>
  <c r="C7"/>
  <c r="F33" i="10"/>
  <c r="D9" i="13" s="1"/>
  <c r="C13" i="25" s="1"/>
  <c r="F37" i="10"/>
  <c r="E37" s="1"/>
  <c r="E33"/>
  <c r="B26" i="12"/>
  <c r="K14"/>
  <c r="G13" i="13" l="1"/>
  <c r="F17" i="25" s="1"/>
  <c r="D9" i="15"/>
  <c r="H25"/>
  <c r="E10" i="18"/>
  <c r="E9"/>
  <c r="G9" s="1"/>
  <c r="D13" i="15"/>
  <c r="E13" i="13"/>
  <c r="D17" i="25" s="1"/>
  <c r="J13" i="13"/>
  <c r="I17" i="25" s="1"/>
  <c r="F13" i="13"/>
  <c r="E17" i="25" s="1"/>
  <c r="L13" i="13"/>
  <c r="K17" i="25" s="1"/>
  <c r="H13" i="13"/>
  <c r="G17" i="25" s="1"/>
  <c r="M13" i="13"/>
  <c r="L17" i="25" s="1"/>
  <c r="K13" i="13"/>
  <c r="J17" i="25" s="1"/>
  <c r="I13" i="13"/>
  <c r="H17" i="25" s="1"/>
  <c r="C26" i="12"/>
  <c r="G10" i="18" l="1"/>
  <c r="H10" s="1"/>
  <c r="C14" i="12"/>
  <c r="C19"/>
  <c r="I24" i="10" s="1"/>
  <c r="I13" i="15"/>
  <c r="K13"/>
  <c r="H9" i="18"/>
  <c r="M13" i="15"/>
  <c r="L13"/>
  <c r="J13"/>
  <c r="H13"/>
  <c r="F13"/>
  <c r="E13"/>
  <c r="G13"/>
  <c r="C16" i="12"/>
  <c r="F24" i="10" s="1"/>
  <c r="C18" i="12"/>
  <c r="H24" i="10" s="1"/>
  <c r="C20" i="12"/>
  <c r="J24" i="10" s="1"/>
  <c r="C22" i="12"/>
  <c r="L24" i="10" s="1"/>
  <c r="C24" i="12"/>
  <c r="N24" i="10" s="1"/>
  <c r="D24"/>
  <c r="D26" s="1"/>
  <c r="C15" i="12"/>
  <c r="E24" i="10" s="1"/>
  <c r="C17" i="12"/>
  <c r="G24" i="10" s="1"/>
  <c r="C21" i="12"/>
  <c r="K24" i="10" s="1"/>
  <c r="C23" i="12"/>
  <c r="M24" i="10" s="1"/>
  <c r="C25" i="12"/>
  <c r="O24" i="10" s="1"/>
  <c r="O26" l="1"/>
  <c r="O25"/>
  <c r="K26"/>
  <c r="K25"/>
  <c r="G26"/>
  <c r="G25"/>
  <c r="D25"/>
  <c r="P24"/>
  <c r="H25"/>
  <c r="H26"/>
  <c r="M26"/>
  <c r="M25"/>
  <c r="I26"/>
  <c r="I25"/>
  <c r="E26"/>
  <c r="E25"/>
  <c r="N25"/>
  <c r="N26"/>
  <c r="J25"/>
  <c r="J26"/>
  <c r="F25"/>
  <c r="F26"/>
  <c r="L25"/>
  <c r="L26"/>
  <c r="L27" l="1"/>
  <c r="F27"/>
  <c r="J27"/>
  <c r="N27"/>
  <c r="H27"/>
  <c r="G27"/>
  <c r="K27"/>
  <c r="O27"/>
  <c r="E27"/>
  <c r="I27"/>
  <c r="M27"/>
  <c r="D27"/>
  <c r="P25"/>
  <c r="P26"/>
  <c r="P27" l="1"/>
  <c r="D10" i="13"/>
  <c r="C14" i="25" s="1"/>
  <c r="F1" i="5"/>
  <c r="B11"/>
  <c r="E35" i="3"/>
  <c r="E38" s="1"/>
  <c r="I5"/>
  <c r="E15" i="10"/>
  <c r="F15"/>
  <c r="G15"/>
  <c r="E16"/>
  <c r="F16"/>
  <c r="G16"/>
  <c r="E17"/>
  <c r="F17"/>
  <c r="G17"/>
  <c r="E18"/>
  <c r="F18"/>
  <c r="G18"/>
  <c r="E19"/>
  <c r="F19"/>
  <c r="G19"/>
  <c r="E20"/>
  <c r="F20"/>
  <c r="G20"/>
  <c r="C21"/>
  <c r="F5"/>
  <c r="G5" s="1"/>
  <c r="F6"/>
  <c r="F7"/>
  <c r="F8"/>
  <c r="G8" s="1"/>
  <c r="F9"/>
  <c r="G9" s="1"/>
  <c r="F10"/>
  <c r="G10" s="1"/>
  <c r="C11"/>
  <c r="E11"/>
  <c r="E11" i="1"/>
  <c r="E12"/>
  <c r="C13" i="18" s="1"/>
  <c r="E13" s="1"/>
  <c r="G13" s="1"/>
  <c r="E10" i="1"/>
  <c r="C11" i="18" s="1"/>
  <c r="D8" i="1"/>
  <c r="I10" i="3" l="1"/>
  <c r="G13" s="1"/>
  <c r="K11"/>
  <c r="K8"/>
  <c r="K10"/>
  <c r="K12"/>
  <c r="K14"/>
  <c r="K6"/>
  <c r="R6" s="1"/>
  <c r="Q6" s="1"/>
  <c r="K7"/>
  <c r="K9"/>
  <c r="K13"/>
  <c r="K15"/>
  <c r="E41"/>
  <c r="C40"/>
  <c r="C41"/>
  <c r="C39"/>
  <c r="D39" s="1"/>
  <c r="G15"/>
  <c r="G14"/>
  <c r="E11" i="18"/>
  <c r="G11" s="1"/>
  <c r="I20" i="3"/>
  <c r="I23" s="1"/>
  <c r="C12" i="18"/>
  <c r="E20" i="3"/>
  <c r="E10" i="13"/>
  <c r="D14" i="25" s="1"/>
  <c r="D10" i="15"/>
  <c r="C11" i="5"/>
  <c r="M15" i="12"/>
  <c r="E5" i="13" s="1"/>
  <c r="D9" i="25" s="1"/>
  <c r="D4" s="1"/>
  <c r="D5" s="1"/>
  <c r="M20" i="3"/>
  <c r="M23" s="1"/>
  <c r="F11" i="10"/>
  <c r="E36" s="1"/>
  <c r="M14" i="12"/>
  <c r="D5" i="13" s="1"/>
  <c r="C9" i="25" s="1"/>
  <c r="C4" s="1"/>
  <c r="C5" s="1"/>
  <c r="E15" i="12"/>
  <c r="D13" i="4" s="1"/>
  <c r="E18" i="12"/>
  <c r="G13" i="4" s="1"/>
  <c r="E17" i="12"/>
  <c r="F13" i="4" s="1"/>
  <c r="E16" i="12"/>
  <c r="E13" i="4" s="1"/>
  <c r="H19" i="10"/>
  <c r="H17"/>
  <c r="H15"/>
  <c r="H20"/>
  <c r="H18"/>
  <c r="H16"/>
  <c r="G7"/>
  <c r="G6"/>
  <c r="E23" i="3" l="1"/>
  <c r="C22"/>
  <c r="G11"/>
  <c r="H11" s="1"/>
  <c r="G12"/>
  <c r="D5" i="15"/>
  <c r="L6" i="3"/>
  <c r="L7" s="1"/>
  <c r="L8" s="1"/>
  <c r="L9" s="1"/>
  <c r="L10" s="1"/>
  <c r="M6"/>
  <c r="M7" s="1"/>
  <c r="M8" s="1"/>
  <c r="M9" s="1"/>
  <c r="L11"/>
  <c r="L12" s="1"/>
  <c r="L13" s="1"/>
  <c r="L14" s="1"/>
  <c r="L15" s="1"/>
  <c r="M11"/>
  <c r="M12" s="1"/>
  <c r="M13" s="1"/>
  <c r="M14" s="1"/>
  <c r="M15" s="1"/>
  <c r="H8" i="18" s="1"/>
  <c r="G24" i="3"/>
  <c r="I26"/>
  <c r="I24"/>
  <c r="K24"/>
  <c r="M26"/>
  <c r="K25"/>
  <c r="K26"/>
  <c r="E39"/>
  <c r="C24"/>
  <c r="D24" s="1"/>
  <c r="C25"/>
  <c r="E26"/>
  <c r="C26"/>
  <c r="E24"/>
  <c r="C44"/>
  <c r="E44"/>
  <c r="C42"/>
  <c r="D42" s="1"/>
  <c r="C43"/>
  <c r="I11"/>
  <c r="E12" i="18"/>
  <c r="G12" s="1"/>
  <c r="E5" i="15"/>
  <c r="F10" i="13"/>
  <c r="E14" i="25" s="1"/>
  <c r="E10" i="15"/>
  <c r="E42" i="10"/>
  <c r="C6" i="4" s="1"/>
  <c r="G11" i="10"/>
  <c r="F36" s="1"/>
  <c r="H21"/>
  <c r="E19" i="12"/>
  <c r="H13" i="4" s="1"/>
  <c r="H12" i="3" l="1"/>
  <c r="H13" s="1"/>
  <c r="H14" s="1"/>
  <c r="H15" s="1"/>
  <c r="I12"/>
  <c r="I13" s="1"/>
  <c r="I14" s="1"/>
  <c r="I15" s="1"/>
  <c r="E42"/>
  <c r="E43" s="1"/>
  <c r="D43"/>
  <c r="D44" s="1"/>
  <c r="E25"/>
  <c r="C45"/>
  <c r="D45" s="1"/>
  <c r="M29"/>
  <c r="K27"/>
  <c r="L27" s="1"/>
  <c r="E29"/>
  <c r="C28"/>
  <c r="C27"/>
  <c r="D27" s="1"/>
  <c r="C29"/>
  <c r="D25"/>
  <c r="D26" s="1"/>
  <c r="I29"/>
  <c r="G27"/>
  <c r="H27" s="1"/>
  <c r="M24"/>
  <c r="M25" s="1"/>
  <c r="K28"/>
  <c r="L24"/>
  <c r="H24"/>
  <c r="G28"/>
  <c r="G10" i="13"/>
  <c r="F14" i="25" s="1"/>
  <c r="F10" i="15"/>
  <c r="D8" i="13"/>
  <c r="C12" i="25" s="1"/>
  <c r="F42" i="10"/>
  <c r="E20" i="12"/>
  <c r="I13" i="4" s="1"/>
  <c r="E27" i="3" l="1"/>
  <c r="E28" s="1"/>
  <c r="I27"/>
  <c r="I28" s="1"/>
  <c r="H28"/>
  <c r="C30"/>
  <c r="D30" s="1"/>
  <c r="G30"/>
  <c r="H30" s="1"/>
  <c r="M27"/>
  <c r="M28" s="1"/>
  <c r="K30"/>
  <c r="L30" s="1"/>
  <c r="L28"/>
  <c r="L25"/>
  <c r="L26" s="1"/>
  <c r="E45"/>
  <c r="H14" i="18" s="1"/>
  <c r="D28" i="3"/>
  <c r="D29" s="1"/>
  <c r="D8" i="15"/>
  <c r="H10" i="13"/>
  <c r="G14" i="25" s="1"/>
  <c r="G10" i="15"/>
  <c r="E8" i="13"/>
  <c r="D12" i="25" s="1"/>
  <c r="E6" i="4"/>
  <c r="N6"/>
  <c r="J6"/>
  <c r="F6"/>
  <c r="M6"/>
  <c r="L6"/>
  <c r="H6"/>
  <c r="D6"/>
  <c r="K6"/>
  <c r="G6"/>
  <c r="I6"/>
  <c r="E21" i="12"/>
  <c r="J13" i="4" s="1"/>
  <c r="I30" i="3" l="1"/>
  <c r="H12" i="18" s="1"/>
  <c r="M30" i="3"/>
  <c r="H13" i="18" s="1"/>
  <c r="E30" i="3"/>
  <c r="H11" i="18" s="1"/>
  <c r="F8" i="13"/>
  <c r="E12" i="25" s="1"/>
  <c r="E8" i="15"/>
  <c r="I10" i="13"/>
  <c r="H14" i="25" s="1"/>
  <c r="H10" i="15"/>
  <c r="E22" i="12"/>
  <c r="K13" i="4" s="1"/>
  <c r="J10" i="13" l="1"/>
  <c r="I14" i="25" s="1"/>
  <c r="I10" i="15"/>
  <c r="G8" i="13"/>
  <c r="F12" i="25" s="1"/>
  <c r="F8" i="15"/>
  <c r="E23" i="12"/>
  <c r="L13" i="4" s="1"/>
  <c r="H8" i="13" l="1"/>
  <c r="G12" i="25" s="1"/>
  <c r="G8" i="15"/>
  <c r="K10" i="13"/>
  <c r="J14" i="25" s="1"/>
  <c r="J10" i="15"/>
  <c r="E24" i="12"/>
  <c r="M13" i="4" s="1"/>
  <c r="L10" i="13" l="1"/>
  <c r="K14" i="25" s="1"/>
  <c r="K10" i="15"/>
  <c r="I8" i="13"/>
  <c r="H12" i="25" s="1"/>
  <c r="H8" i="15"/>
  <c r="E25" i="12"/>
  <c r="N13" i="4" s="1"/>
  <c r="J8" i="13" l="1"/>
  <c r="I12" i="25" s="1"/>
  <c r="I8" i="15"/>
  <c r="M10" i="13"/>
  <c r="L14" i="25" s="1"/>
  <c r="L10" i="15"/>
  <c r="B12" i="5"/>
  <c r="F6" i="13" s="1"/>
  <c r="E10" i="25" s="1"/>
  <c r="M10" i="15" l="1"/>
  <c r="K8" i="13"/>
  <c r="J12" i="25" s="1"/>
  <c r="J8" i="15"/>
  <c r="B13" i="5"/>
  <c r="C13" s="1"/>
  <c r="K16" i="12"/>
  <c r="M16" s="1"/>
  <c r="F5" i="13" s="1"/>
  <c r="E9" i="25" s="1"/>
  <c r="E4" s="1"/>
  <c r="E5" s="1"/>
  <c r="C12" i="5"/>
  <c r="E6" i="25" l="1"/>
  <c r="F5" i="15"/>
  <c r="K8"/>
  <c r="L8" i="13"/>
  <c r="K12" i="25" s="1"/>
  <c r="B14" i="5"/>
  <c r="K17" i="12"/>
  <c r="M17" s="1"/>
  <c r="G5" i="13" s="1"/>
  <c r="F9" i="25" s="1"/>
  <c r="F4" s="1"/>
  <c r="F5" s="1"/>
  <c r="D26" i="1"/>
  <c r="D19"/>
  <c r="D13"/>
  <c r="C37" i="3"/>
  <c r="C38"/>
  <c r="C36"/>
  <c r="K22"/>
  <c r="K23"/>
  <c r="K21"/>
  <c r="K29" s="1"/>
  <c r="G22"/>
  <c r="G26" s="1"/>
  <c r="G23"/>
  <c r="G21"/>
  <c r="G25" s="1"/>
  <c r="C23"/>
  <c r="C21"/>
  <c r="G29" l="1"/>
  <c r="H29" s="1"/>
  <c r="I25"/>
  <c r="H25"/>
  <c r="H26" s="1"/>
  <c r="R11"/>
  <c r="G5" i="15"/>
  <c r="L8"/>
  <c r="M8" i="13"/>
  <c r="L12" i="25" s="1"/>
  <c r="B15" i="5"/>
  <c r="K18" i="12"/>
  <c r="M18" s="1"/>
  <c r="H5" i="13" s="1"/>
  <c r="G9" i="25" s="1"/>
  <c r="G4" s="1"/>
  <c r="G5" s="1"/>
  <c r="C14" i="5"/>
  <c r="L21" i="3"/>
  <c r="R10"/>
  <c r="D21"/>
  <c r="R8"/>
  <c r="H21"/>
  <c r="R9"/>
  <c r="E36"/>
  <c r="D36"/>
  <c r="E21"/>
  <c r="M21"/>
  <c r="G7"/>
  <c r="G8"/>
  <c r="G9"/>
  <c r="G10"/>
  <c r="G6"/>
  <c r="M8" i="15" l="1"/>
  <c r="Q11" i="3"/>
  <c r="D37"/>
  <c r="E37"/>
  <c r="E40"/>
  <c r="M22"/>
  <c r="I21"/>
  <c r="L22"/>
  <c r="L29"/>
  <c r="E22"/>
  <c r="D22"/>
  <c r="H22"/>
  <c r="H5" i="15"/>
  <c r="B16" i="5"/>
  <c r="K19" i="12"/>
  <c r="M19" s="1"/>
  <c r="I5" i="13" s="1"/>
  <c r="H9" i="25" s="1"/>
  <c r="H4" s="1"/>
  <c r="H5" s="1"/>
  <c r="C15" i="5"/>
  <c r="Q9" i="3"/>
  <c r="Q8"/>
  <c r="Q10"/>
  <c r="H6"/>
  <c r="R7"/>
  <c r="I6"/>
  <c r="D38" l="1"/>
  <c r="H23"/>
  <c r="L23"/>
  <c r="I22"/>
  <c r="D23"/>
  <c r="I5" i="15"/>
  <c r="B17" i="5"/>
  <c r="K20" i="12"/>
  <c r="M20" s="1"/>
  <c r="J5" i="13" s="1"/>
  <c r="I9" i="25" s="1"/>
  <c r="I4" s="1"/>
  <c r="I5" s="1"/>
  <c r="C16" i="5"/>
  <c r="Q7" i="3"/>
  <c r="I7"/>
  <c r="H7"/>
  <c r="H8" l="1"/>
  <c r="J5" i="15"/>
  <c r="B18" i="5"/>
  <c r="K21" i="12"/>
  <c r="M21" s="1"/>
  <c r="K5" i="13" s="1"/>
  <c r="J9" i="25" s="1"/>
  <c r="J4" s="1"/>
  <c r="J5" s="1"/>
  <c r="C17" i="5"/>
  <c r="I8" i="3"/>
  <c r="I9" s="1"/>
  <c r="K5" i="15" l="1"/>
  <c r="B19" i="5"/>
  <c r="K22" i="12"/>
  <c r="M22" s="1"/>
  <c r="L5" i="13" s="1"/>
  <c r="K9" i="25" s="1"/>
  <c r="K4" s="1"/>
  <c r="K5" s="1"/>
  <c r="C18" i="5"/>
  <c r="H9" i="3"/>
  <c r="L5" i="15" l="1"/>
  <c r="C19" i="5"/>
  <c r="K23" i="12"/>
  <c r="M23" s="1"/>
  <c r="M5" i="13" s="1"/>
  <c r="L9" i="25" s="1"/>
  <c r="L4" s="1"/>
  <c r="L5" s="1"/>
  <c r="M5" i="15" l="1"/>
  <c r="H10" i="3"/>
  <c r="E16" i="1" l="1"/>
  <c r="E21"/>
  <c r="E13"/>
  <c r="E24"/>
  <c r="E23"/>
  <c r="E22"/>
  <c r="C17" i="18"/>
  <c r="E17" i="1"/>
  <c r="C16" i="18" s="1"/>
  <c r="C15" l="1"/>
  <c r="E20" s="1"/>
  <c r="E19" i="1"/>
  <c r="E16" i="18"/>
  <c r="G16" s="1"/>
  <c r="E17"/>
  <c r="G17" s="1"/>
  <c r="E15"/>
  <c r="G15" s="1"/>
  <c r="I35" i="3"/>
  <c r="I49"/>
  <c r="I52" s="1"/>
  <c r="E5"/>
  <c r="E49"/>
  <c r="E52" s="1"/>
  <c r="E26" i="1"/>
  <c r="E27" s="1"/>
  <c r="H29" i="25" l="1"/>
  <c r="E29"/>
  <c r="K29"/>
  <c r="C7" i="11"/>
  <c r="G53" i="3"/>
  <c r="H53" s="1"/>
  <c r="G55"/>
  <c r="G54"/>
  <c r="I55"/>
  <c r="I39"/>
  <c r="I41" s="1"/>
  <c r="G44" s="1"/>
  <c r="I38"/>
  <c r="C53"/>
  <c r="E53" s="1"/>
  <c r="C54"/>
  <c r="E55"/>
  <c r="C55"/>
  <c r="F25" i="15"/>
  <c r="L25"/>
  <c r="I25"/>
  <c r="C18" i="18"/>
  <c r="G50" i="3"/>
  <c r="G51"/>
  <c r="G52"/>
  <c r="C51"/>
  <c r="C52"/>
  <c r="C50"/>
  <c r="G38"/>
  <c r="G36"/>
  <c r="G37"/>
  <c r="I36"/>
  <c r="I40" s="1"/>
  <c r="M49"/>
  <c r="C9"/>
  <c r="C13"/>
  <c r="C10"/>
  <c r="C14"/>
  <c r="C7"/>
  <c r="C11"/>
  <c r="C15"/>
  <c r="C8"/>
  <c r="C12"/>
  <c r="C6"/>
  <c r="R5" s="1"/>
  <c r="G43" l="1"/>
  <c r="I53"/>
  <c r="I54" s="1"/>
  <c r="E54"/>
  <c r="G42"/>
  <c r="H42" s="1"/>
  <c r="I44"/>
  <c r="G45" s="1"/>
  <c r="H45" s="1"/>
  <c r="H54"/>
  <c r="H55" s="1"/>
  <c r="G41"/>
  <c r="G39"/>
  <c r="H39" s="1"/>
  <c r="G40"/>
  <c r="I58"/>
  <c r="G57"/>
  <c r="G56"/>
  <c r="H56" s="1"/>
  <c r="G58"/>
  <c r="C57"/>
  <c r="C56"/>
  <c r="D56" s="1"/>
  <c r="E58"/>
  <c r="C58"/>
  <c r="E50"/>
  <c r="E51" s="1"/>
  <c r="I50"/>
  <c r="I51" s="1"/>
  <c r="I37"/>
  <c r="E18" i="18"/>
  <c r="G18" s="1"/>
  <c r="C25" i="15"/>
  <c r="D50" i="3"/>
  <c r="R13"/>
  <c r="K50"/>
  <c r="M50" s="1"/>
  <c r="D6"/>
  <c r="D7" s="1"/>
  <c r="D8" s="1"/>
  <c r="D9" s="1"/>
  <c r="D10" s="1"/>
  <c r="D11" s="1"/>
  <c r="D12" s="1"/>
  <c r="D13" s="1"/>
  <c r="D14" s="1"/>
  <c r="D15" s="1"/>
  <c r="H36"/>
  <c r="R12"/>
  <c r="E6"/>
  <c r="E7" s="1"/>
  <c r="E8" s="1"/>
  <c r="E9" s="1"/>
  <c r="E10" s="1"/>
  <c r="E11" s="1"/>
  <c r="E12" s="1"/>
  <c r="E13" s="1"/>
  <c r="E14" s="1"/>
  <c r="E15" s="1"/>
  <c r="R14"/>
  <c r="H50"/>
  <c r="H43" l="1"/>
  <c r="H44" s="1"/>
  <c r="H18" i="18"/>
  <c r="E19"/>
  <c r="I42" i="3"/>
  <c r="I43" s="1"/>
  <c r="H57"/>
  <c r="H58" s="1"/>
  <c r="E56"/>
  <c r="E57" s="1"/>
  <c r="I56"/>
  <c r="I57" s="1"/>
  <c r="G59"/>
  <c r="H59" s="1"/>
  <c r="C59"/>
  <c r="D59" s="1"/>
  <c r="D57"/>
  <c r="D58" s="1"/>
  <c r="I45"/>
  <c r="H15" i="18" s="1"/>
  <c r="D51" i="3"/>
  <c r="H51"/>
  <c r="H37"/>
  <c r="H40"/>
  <c r="Q5"/>
  <c r="Q12"/>
  <c r="Q13"/>
  <c r="Q14"/>
  <c r="K51"/>
  <c r="K52" s="1"/>
  <c r="K53" s="1"/>
  <c r="K54" s="1"/>
  <c r="K55" s="1"/>
  <c r="K56" s="1"/>
  <c r="K57" s="1"/>
  <c r="K58" s="1"/>
  <c r="K59" s="1"/>
  <c r="R15"/>
  <c r="R16" s="1"/>
  <c r="L50"/>
  <c r="L51" l="1"/>
  <c r="L52" s="1"/>
  <c r="L53" s="1"/>
  <c r="L54" s="1"/>
  <c r="L55" s="1"/>
  <c r="L56" s="1"/>
  <c r="L57" s="1"/>
  <c r="L58" s="1"/>
  <c r="L59" s="1"/>
  <c r="E59"/>
  <c r="H16" i="18" s="1"/>
  <c r="I59" i="3"/>
  <c r="H17" i="18" s="1"/>
  <c r="H52" i="3"/>
  <c r="D52"/>
  <c r="H38"/>
  <c r="H41"/>
  <c r="Q15"/>
  <c r="Q16" s="1"/>
  <c r="E34" i="10" s="1"/>
  <c r="E43" s="1"/>
  <c r="M51" i="3"/>
  <c r="M52" s="1"/>
  <c r="M53" s="1"/>
  <c r="M54" s="1"/>
  <c r="M55" s="1"/>
  <c r="M56" s="1"/>
  <c r="M57" s="1"/>
  <c r="M58" s="1"/>
  <c r="M59" s="1"/>
  <c r="H19" i="18" l="1"/>
  <c r="F34" i="10"/>
  <c r="F43" s="1"/>
  <c r="D12" i="13"/>
  <c r="C16" i="25" s="1"/>
  <c r="C25" s="1"/>
  <c r="M28" i="15" l="1"/>
  <c r="L32" i="25"/>
  <c r="D12" i="15"/>
  <c r="D21" s="1"/>
  <c r="E12" i="13"/>
  <c r="D16" i="25" s="1"/>
  <c r="D25" s="1"/>
  <c r="E9" i="13"/>
  <c r="D13" i="25" s="1"/>
  <c r="E12" i="15" l="1"/>
  <c r="E21" s="1"/>
  <c r="F12" i="13"/>
  <c r="E16" i="25" s="1"/>
  <c r="E25" s="1"/>
  <c r="E9" i="15"/>
  <c r="F9" i="13"/>
  <c r="E13" i="25" s="1"/>
  <c r="G12" i="13" l="1"/>
  <c r="F16" i="25" s="1"/>
  <c r="F25" s="1"/>
  <c r="F12" i="15"/>
  <c r="F21" s="1"/>
  <c r="F9"/>
  <c r="G9" i="13"/>
  <c r="F13" i="25" s="1"/>
  <c r="G12" i="15" l="1"/>
  <c r="G21" s="1"/>
  <c r="H12" i="13"/>
  <c r="G16" i="25" s="1"/>
  <c r="G25" s="1"/>
  <c r="G9" i="15"/>
  <c r="H9" i="13"/>
  <c r="G13" i="25" s="1"/>
  <c r="H12" i="15" l="1"/>
  <c r="H21" s="1"/>
  <c r="I12" i="13"/>
  <c r="H16" i="25" s="1"/>
  <c r="H25" s="1"/>
  <c r="H9" i="15"/>
  <c r="I9" i="13"/>
  <c r="H13" i="25" s="1"/>
  <c r="J12" i="13" l="1"/>
  <c r="I16" i="25" s="1"/>
  <c r="I25" s="1"/>
  <c r="I12" i="15"/>
  <c r="I21" s="1"/>
  <c r="I9"/>
  <c r="J9" i="13"/>
  <c r="I13" i="25" s="1"/>
  <c r="K12" i="13" l="1"/>
  <c r="J16" i="25" s="1"/>
  <c r="J25" s="1"/>
  <c r="J12" i="15"/>
  <c r="J21" s="1"/>
  <c r="J9"/>
  <c r="K9" i="13"/>
  <c r="J13" i="25" s="1"/>
  <c r="K12" i="15" l="1"/>
  <c r="K21" s="1"/>
  <c r="L12" i="13"/>
  <c r="K16" i="25" s="1"/>
  <c r="K25" s="1"/>
  <c r="K9" i="15"/>
  <c r="L9" i="13"/>
  <c r="K13" i="25" s="1"/>
  <c r="M12" i="13" l="1"/>
  <c r="L16" i="25" s="1"/>
  <c r="L25" s="1"/>
  <c r="L12" i="15"/>
  <c r="L21" s="1"/>
  <c r="L9"/>
  <c r="M9" i="13"/>
  <c r="L13" i="25" s="1"/>
  <c r="M12" i="15" l="1"/>
  <c r="M21" s="1"/>
  <c r="M9"/>
  <c r="E14" i="12" l="1"/>
  <c r="C13" i="4" s="1"/>
  <c r="E26" i="12" l="1"/>
  <c r="C5" i="4"/>
  <c r="C8" l="1"/>
  <c r="C14" s="1"/>
  <c r="C15" s="1"/>
  <c r="C16" s="1"/>
  <c r="H5"/>
  <c r="F5"/>
  <c r="E5"/>
  <c r="I5"/>
  <c r="G5"/>
  <c r="G8" s="1"/>
  <c r="G14" s="1"/>
  <c r="G15" s="1"/>
  <c r="J5"/>
  <c r="J8" s="1"/>
  <c r="J14" s="1"/>
  <c r="J15" s="1"/>
  <c r="N5"/>
  <c r="M5"/>
  <c r="M8" s="1"/>
  <c r="M14" s="1"/>
  <c r="M15" s="1"/>
  <c r="K5"/>
  <c r="K8" s="1"/>
  <c r="K14" s="1"/>
  <c r="K15" s="1"/>
  <c r="L5"/>
  <c r="L8" s="1"/>
  <c r="L14" s="1"/>
  <c r="L15" s="1"/>
  <c r="D5"/>
  <c r="I8" l="1"/>
  <c r="I14" s="1"/>
  <c r="I15" s="1"/>
  <c r="F8"/>
  <c r="F14" s="1"/>
  <c r="F15" s="1"/>
  <c r="D8"/>
  <c r="D14" s="1"/>
  <c r="D15" s="1"/>
  <c r="D16" s="1"/>
  <c r="N8"/>
  <c r="N14" s="1"/>
  <c r="N15" s="1"/>
  <c r="E8"/>
  <c r="E14" s="1"/>
  <c r="E15" s="1"/>
  <c r="H8"/>
  <c r="H14" s="1"/>
  <c r="H15" s="1"/>
  <c r="E16" l="1"/>
  <c r="F16" s="1"/>
  <c r="B30" i="25" l="1"/>
  <c r="C5" i="11"/>
  <c r="L31" i="25"/>
  <c r="G16" i="4"/>
  <c r="H16" s="1"/>
  <c r="I16" s="1"/>
  <c r="J16" s="1"/>
  <c r="K16" s="1"/>
  <c r="L16" s="1"/>
  <c r="M16" s="1"/>
  <c r="N16" s="1"/>
  <c r="C26" i="15"/>
  <c r="C8" i="11" l="1"/>
  <c r="B26" i="25" s="1"/>
  <c r="B33" s="1"/>
  <c r="M27" i="15"/>
  <c r="I6" i="13"/>
  <c r="H10" i="25" s="1"/>
  <c r="L6" i="13"/>
  <c r="K10" i="25" s="1"/>
  <c r="H6" i="13"/>
  <c r="G10" i="25" s="1"/>
  <c r="J6" i="13"/>
  <c r="I10" i="25" s="1"/>
  <c r="F6" i="15"/>
  <c r="M6" i="13"/>
  <c r="L10" i="25" s="1"/>
  <c r="K6" i="13"/>
  <c r="J10" i="25" s="1"/>
  <c r="G6" i="13"/>
  <c r="F10" i="25" s="1"/>
  <c r="D6" i="13"/>
  <c r="C10" i="25" s="1"/>
  <c r="E6" i="13"/>
  <c r="D10" i="25" s="1"/>
  <c r="C22" i="15" l="1"/>
  <c r="C29" s="1"/>
  <c r="E36" s="1"/>
  <c r="G36" s="1"/>
  <c r="F14" i="11"/>
  <c r="F6" i="25"/>
  <c r="L6"/>
  <c r="K6"/>
  <c r="C6"/>
  <c r="J6"/>
  <c r="G6"/>
  <c r="H6"/>
  <c r="C18" i="11"/>
  <c r="C23"/>
  <c r="D6" i="25"/>
  <c r="I6"/>
  <c r="D39"/>
  <c r="F39" s="1"/>
  <c r="E6" i="15"/>
  <c r="G6"/>
  <c r="M6"/>
  <c r="J6"/>
  <c r="L7" i="13"/>
  <c r="K11" i="25" s="1"/>
  <c r="D6" i="15"/>
  <c r="K6"/>
  <c r="H6"/>
  <c r="I7" i="13"/>
  <c r="E7"/>
  <c r="D11" i="25" s="1"/>
  <c r="K7" i="13"/>
  <c r="J11" i="25" s="1"/>
  <c r="H7" i="13"/>
  <c r="G11" i="25" s="1"/>
  <c r="I7" i="15"/>
  <c r="D7" i="13"/>
  <c r="G7"/>
  <c r="F11" i="25" s="1"/>
  <c r="M7" i="13"/>
  <c r="L11" i="25" s="1"/>
  <c r="F7" i="13"/>
  <c r="E11" i="25" s="1"/>
  <c r="J7" i="13"/>
  <c r="I11" i="25" s="1"/>
  <c r="I6" i="15"/>
  <c r="L6"/>
  <c r="C24" i="11" l="1"/>
  <c r="C15"/>
  <c r="C20"/>
  <c r="L14" i="13"/>
  <c r="K18" i="25" s="1"/>
  <c r="C16" i="11"/>
  <c r="C21"/>
  <c r="L7" i="15"/>
  <c r="C17" i="11"/>
  <c r="C19"/>
  <c r="D15"/>
  <c r="D15" i="13" s="1"/>
  <c r="C19" i="25" s="1"/>
  <c r="C22" i="11"/>
  <c r="E15"/>
  <c r="I14" i="13"/>
  <c r="H18" i="25" s="1"/>
  <c r="H11"/>
  <c r="D14" i="13"/>
  <c r="C18" i="25" s="1"/>
  <c r="C11"/>
  <c r="E7" i="15"/>
  <c r="K7"/>
  <c r="E14" i="13"/>
  <c r="D18" i="25" s="1"/>
  <c r="K14" i="13"/>
  <c r="J18" i="25" s="1"/>
  <c r="H7" i="15"/>
  <c r="H14" i="13"/>
  <c r="G18" i="25" s="1"/>
  <c r="D7" i="15"/>
  <c r="J14" i="13"/>
  <c r="I18" i="25" s="1"/>
  <c r="J7" i="15"/>
  <c r="M14" i="13"/>
  <c r="L18" i="25" s="1"/>
  <c r="M7" i="15"/>
  <c r="G7"/>
  <c r="G14" i="13"/>
  <c r="F18" i="25" s="1"/>
  <c r="F7" i="15"/>
  <c r="F14" i="13"/>
  <c r="E18" i="25" s="1"/>
  <c r="L14" i="15" l="1"/>
  <c r="D15"/>
  <c r="C27" i="25"/>
  <c r="D23" i="15"/>
  <c r="F15" i="11"/>
  <c r="I14" i="15"/>
  <c r="K14"/>
  <c r="E14"/>
  <c r="D16" i="13"/>
  <c r="H14" i="15"/>
  <c r="F14"/>
  <c r="M14"/>
  <c r="J14"/>
  <c r="G14"/>
  <c r="D14"/>
  <c r="D16" i="11" l="1"/>
  <c r="C20" i="25"/>
  <c r="D17" i="13"/>
  <c r="C21" i="25" s="1"/>
  <c r="D16" i="15"/>
  <c r="E15" i="13" l="1"/>
  <c r="E16" i="11"/>
  <c r="D17" i="15"/>
  <c r="D18" i="13"/>
  <c r="C22" i="25" s="1"/>
  <c r="D19" l="1"/>
  <c r="E15" i="15"/>
  <c r="E16" i="13"/>
  <c r="D27" i="25"/>
  <c r="E23" i="15"/>
  <c r="F16" i="11"/>
  <c r="D19" i="13"/>
  <c r="D19" i="15" s="1"/>
  <c r="D18"/>
  <c r="D20" i="25" l="1"/>
  <c r="E16" i="15"/>
  <c r="E17" i="13"/>
  <c r="D17" i="11"/>
  <c r="C23" i="25"/>
  <c r="D20" i="13"/>
  <c r="F15" l="1"/>
  <c r="E17" i="11"/>
  <c r="D21" i="25"/>
  <c r="E17" i="15"/>
  <c r="E18" i="13"/>
  <c r="C24" i="25"/>
  <c r="C33" s="1"/>
  <c r="D20" i="15"/>
  <c r="D29" s="1"/>
  <c r="F36" s="1"/>
  <c r="H36" s="1"/>
  <c r="E37" s="1"/>
  <c r="E19" i="13" l="1"/>
  <c r="E18" i="15"/>
  <c r="D22" i="25"/>
  <c r="E19"/>
  <c r="F15" i="15"/>
  <c r="F16" i="13"/>
  <c r="E27" i="25"/>
  <c r="F23" i="15"/>
  <c r="F17" i="11"/>
  <c r="E39" i="25"/>
  <c r="G39" s="1"/>
  <c r="D40" s="1"/>
  <c r="F40" s="1"/>
  <c r="G37" i="15"/>
  <c r="D18" i="11" l="1"/>
  <c r="E20" i="13"/>
  <c r="E19" i="15"/>
  <c r="D23" i="25"/>
  <c r="E20"/>
  <c r="F16" i="15"/>
  <c r="F17" i="13"/>
  <c r="F18" s="1"/>
  <c r="E22" i="25" l="1"/>
  <c r="F18" i="15"/>
  <c r="F19" i="13"/>
  <c r="D24" i="25"/>
  <c r="D33" s="1"/>
  <c r="E20" i="15"/>
  <c r="E29" s="1"/>
  <c r="G15" i="13"/>
  <c r="E18" i="11"/>
  <c r="E21" i="25"/>
  <c r="F17" i="15"/>
  <c r="F19" i="25" l="1"/>
  <c r="G15" i="15"/>
  <c r="G16" i="13"/>
  <c r="E40" i="25"/>
  <c r="G40" s="1"/>
  <c r="D41" s="1"/>
  <c r="F41" s="1"/>
  <c r="E23"/>
  <c r="F19" i="15"/>
  <c r="F27" i="25"/>
  <c r="G23" i="15"/>
  <c r="F18" i="11"/>
  <c r="F37" i="15"/>
  <c r="H37" s="1"/>
  <c r="E38" s="1"/>
  <c r="G38" s="1"/>
  <c r="F20" i="13"/>
  <c r="E24" i="25" l="1"/>
  <c r="E33" s="1"/>
  <c r="F20" i="15"/>
  <c r="F29" s="1"/>
  <c r="D19" i="11"/>
  <c r="F20" i="25"/>
  <c r="G17" i="13"/>
  <c r="G18" s="1"/>
  <c r="G16" i="15"/>
  <c r="H15" i="13" l="1"/>
  <c r="E19" i="11"/>
  <c r="E41" i="25"/>
  <c r="G41" s="1"/>
  <c r="D42" s="1"/>
  <c r="F42" s="1"/>
  <c r="F22"/>
  <c r="G19" i="13"/>
  <c r="G20" s="1"/>
  <c r="G18" i="15"/>
  <c r="F21" i="25"/>
  <c r="G17" i="15"/>
  <c r="F38"/>
  <c r="H38" s="1"/>
  <c r="E39" s="1"/>
  <c r="G39" s="1"/>
  <c r="F24" i="25" l="1"/>
  <c r="F33" s="1"/>
  <c r="G20" i="15"/>
  <c r="G29" s="1"/>
  <c r="G19"/>
  <c r="F23" i="25"/>
  <c r="G19"/>
  <c r="H15" i="15"/>
  <c r="H16" i="13"/>
  <c r="G27" i="25"/>
  <c r="H23" i="15"/>
  <c r="F19" i="11"/>
  <c r="G20" i="25" l="1"/>
  <c r="H17" i="13"/>
  <c r="H18" s="1"/>
  <c r="H16" i="15"/>
  <c r="E42" i="25"/>
  <c r="G42" s="1"/>
  <c r="D43" s="1"/>
  <c r="F43" s="1"/>
  <c r="D20" i="11"/>
  <c r="F39" i="15"/>
  <c r="H39" s="1"/>
  <c r="E40" s="1"/>
  <c r="G40" s="1"/>
  <c r="D40" i="3"/>
  <c r="I15" i="13" l="1"/>
  <c r="E20" i="11"/>
  <c r="G22" i="25"/>
  <c r="H19" i="13"/>
  <c r="H18" i="15"/>
  <c r="H20" i="13"/>
  <c r="G21" i="25"/>
  <c r="H17" i="15"/>
  <c r="D41" i="3"/>
  <c r="D53"/>
  <c r="D54" s="1"/>
  <c r="D55" s="1"/>
  <c r="H19" i="25" l="1"/>
  <c r="I15" i="15"/>
  <c r="I16" i="13"/>
  <c r="G24" i="25"/>
  <c r="G33" s="1"/>
  <c r="H20" i="15"/>
  <c r="H29" s="1"/>
  <c r="G23" i="25"/>
  <c r="H19" i="15"/>
  <c r="H27" i="25"/>
  <c r="I23" i="15"/>
  <c r="F20" i="11"/>
  <c r="F40" i="15" l="1"/>
  <c r="H40" s="1"/>
  <c r="E41" s="1"/>
  <c r="G41" s="1"/>
  <c r="H20" i="25"/>
  <c r="I17" i="13"/>
  <c r="I18" s="1"/>
  <c r="I16" i="15"/>
  <c r="D21" i="11"/>
  <c r="E43" i="25"/>
  <c r="G43" s="1"/>
  <c r="D44" s="1"/>
  <c r="F44" s="1"/>
  <c r="H22" l="1"/>
  <c r="I19" i="13"/>
  <c r="I20" s="1"/>
  <c r="I18" i="15"/>
  <c r="H21" i="25"/>
  <c r="I17" i="15"/>
  <c r="J15" i="13"/>
  <c r="E21" i="11"/>
  <c r="I19" i="25" l="1"/>
  <c r="J15" i="15"/>
  <c r="J16" i="13"/>
  <c r="I27" i="25"/>
  <c r="J23" i="15"/>
  <c r="F21" i="11"/>
  <c r="H24" i="25"/>
  <c r="I20" i="15"/>
  <c r="I29" s="1"/>
  <c r="I19"/>
  <c r="H23" i="25"/>
  <c r="H33" l="1"/>
  <c r="E44" s="1"/>
  <c r="G44" s="1"/>
  <c r="D45" s="1"/>
  <c r="F45" s="1"/>
  <c r="I20"/>
  <c r="J17" i="13"/>
  <c r="J18" s="1"/>
  <c r="J16" i="15"/>
  <c r="F41"/>
  <c r="H41" s="1"/>
  <c r="E42" s="1"/>
  <c r="G42" s="1"/>
  <c r="D22" i="11"/>
  <c r="K15" i="13" l="1"/>
  <c r="E22" i="11"/>
  <c r="I22" i="25"/>
  <c r="J19" i="13"/>
  <c r="J20" s="1"/>
  <c r="J18" i="15"/>
  <c r="I21" i="25"/>
  <c r="J17" i="15"/>
  <c r="I24" i="25" l="1"/>
  <c r="J20" i="15"/>
  <c r="J29" s="1"/>
  <c r="F42" s="1"/>
  <c r="H42" s="1"/>
  <c r="E43" s="1"/>
  <c r="G43" s="1"/>
  <c r="J19" i="25"/>
  <c r="K15" i="15"/>
  <c r="K16" i="13"/>
  <c r="I23" i="25"/>
  <c r="J19" i="15"/>
  <c r="J27" i="25"/>
  <c r="K23" i="15"/>
  <c r="F22" i="11"/>
  <c r="I33" i="25" l="1"/>
  <c r="E45" s="1"/>
  <c r="G45" s="1"/>
  <c r="D46" s="1"/>
  <c r="F46" s="1"/>
  <c r="J20"/>
  <c r="K16" i="15"/>
  <c r="K17" i="13"/>
  <c r="D23" i="11"/>
  <c r="L15" i="13" l="1"/>
  <c r="E23" i="11"/>
  <c r="J21" i="25"/>
  <c r="K17" i="15"/>
  <c r="K18" i="13"/>
  <c r="J22" i="25" l="1"/>
  <c r="K18" i="15"/>
  <c r="K19" i="13"/>
  <c r="K19" i="25"/>
  <c r="L15" i="15"/>
  <c r="L16" i="13"/>
  <c r="K27" i="25"/>
  <c r="L23" i="15"/>
  <c r="F23" i="11"/>
  <c r="K20" i="25" l="1"/>
  <c r="L16" i="15"/>
  <c r="L17" i="13"/>
  <c r="K19" i="15"/>
  <c r="J23" i="25"/>
  <c r="D24" i="11"/>
  <c r="K20" i="13"/>
  <c r="J24" i="25" l="1"/>
  <c r="K20" i="15"/>
  <c r="K29" s="1"/>
  <c r="F43" s="1"/>
  <c r="H43" s="1"/>
  <c r="E44" s="1"/>
  <c r="G44" s="1"/>
  <c r="M15" i="13"/>
  <c r="E24" i="11"/>
  <c r="L17" i="15"/>
  <c r="K21" i="25"/>
  <c r="L18" i="13"/>
  <c r="J33" i="25" l="1"/>
  <c r="E46" s="1"/>
  <c r="G46" s="1"/>
  <c r="D47" s="1"/>
  <c r="F47" s="1"/>
  <c r="L18" i="15"/>
  <c r="K22" i="25"/>
  <c r="L19" i="13"/>
  <c r="L19" i="25"/>
  <c r="M15" i="15"/>
  <c r="M16" i="13"/>
  <c r="L27" i="25"/>
  <c r="M23" i="15"/>
  <c r="F24" i="11"/>
  <c r="L20" i="25" l="1"/>
  <c r="M17" i="13"/>
  <c r="M16" i="15"/>
  <c r="M18" i="13"/>
  <c r="K23" i="25"/>
  <c r="L19" i="15"/>
  <c r="L20" i="13"/>
  <c r="K24" i="25" l="1"/>
  <c r="L20" i="15"/>
  <c r="L29" s="1"/>
  <c r="F44" s="1"/>
  <c r="H44" s="1"/>
  <c r="E45" s="1"/>
  <c r="G45" s="1"/>
  <c r="L22" i="25"/>
  <c r="M18" i="15"/>
  <c r="M19" i="13"/>
  <c r="L21" i="25"/>
  <c r="M17" i="15"/>
  <c r="K33" i="25" l="1"/>
  <c r="E47" s="1"/>
  <c r="G47" s="1"/>
  <c r="D48" s="1"/>
  <c r="F48" s="1"/>
  <c r="L23"/>
  <c r="M19" i="15"/>
  <c r="M20" i="13"/>
  <c r="L24" i="25" l="1"/>
  <c r="L33" s="1"/>
  <c r="M20" i="15"/>
  <c r="M29" s="1"/>
  <c r="E48" i="25" l="1"/>
  <c r="G48" s="1"/>
  <c r="J34"/>
  <c r="B34"/>
  <c r="F45" i="15"/>
  <c r="H45" s="1"/>
  <c r="C30"/>
  <c r="K30"/>
  <c r="E7" i="20" l="1"/>
  <c r="E20"/>
  <c r="F7"/>
  <c r="F20"/>
</calcChain>
</file>

<file path=xl/comments1.xml><?xml version="1.0" encoding="utf-8"?>
<comments xmlns="http://schemas.openxmlformats.org/spreadsheetml/2006/main">
  <authors>
    <author>Carlos Hidalgo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Carlos Hidalgo:</t>
        </r>
        <r>
          <rPr>
            <sz val="9"/>
            <color indexed="81"/>
            <rFont val="Tahoma"/>
            <family val="2"/>
          </rPr>
          <t xml:space="preserve">
CRECEN GASTOS 1,05%
</t>
        </r>
      </text>
    </comment>
  </commentList>
</comments>
</file>

<file path=xl/comments2.xml><?xml version="1.0" encoding="utf-8"?>
<comments xmlns="http://schemas.openxmlformats.org/spreadsheetml/2006/main">
  <authors>
    <author>Carlos Hidalgo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 xml:space="preserve">Carlos Hidalgo:TASA DE DESCUENTO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Carlos Hidalgo:</t>
        </r>
        <r>
          <rPr>
            <sz val="9"/>
            <color indexed="81"/>
            <rFont val="Tahoma"/>
            <family val="2"/>
          </rPr>
          <t xml:space="preserve">
grafico de tir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Carlos Hidalgo:</t>
        </r>
        <r>
          <rPr>
            <sz val="9"/>
            <color indexed="81"/>
            <rFont val="Tahoma"/>
            <family val="2"/>
          </rPr>
          <t xml:space="preserve">
recuperacion de inv
</t>
        </r>
      </text>
    </comment>
  </commentList>
</comments>
</file>

<file path=xl/comments3.xml><?xml version="1.0" encoding="utf-8"?>
<comments xmlns="http://schemas.openxmlformats.org/spreadsheetml/2006/main">
  <authors>
    <author>Carlos Hidalgo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 xml:space="preserve">Carlos Hidalgo:TASA DE DESCUENTO
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Carlos Hidalgo:</t>
        </r>
        <r>
          <rPr>
            <sz val="9"/>
            <color indexed="81"/>
            <rFont val="Tahoma"/>
            <family val="2"/>
          </rPr>
          <t xml:space="preserve">
grafico de tir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Carlos Hidalgo:</t>
        </r>
        <r>
          <rPr>
            <sz val="9"/>
            <color indexed="81"/>
            <rFont val="Tahoma"/>
            <family val="2"/>
          </rPr>
          <t xml:space="preserve">
recuperacion de inv
</t>
        </r>
      </text>
    </comment>
  </commentList>
</comments>
</file>

<file path=xl/sharedStrings.xml><?xml version="1.0" encoding="utf-8"?>
<sst xmlns="http://schemas.openxmlformats.org/spreadsheetml/2006/main" count="434" uniqueCount="263">
  <si>
    <t>DESCRIPCIÓN DEL ACTIVO</t>
  </si>
  <si>
    <t>CANTIDAD</t>
  </si>
  <si>
    <t>DEPARTAMENTO (DESTINO)</t>
  </si>
  <si>
    <t>Empresa en general</t>
  </si>
  <si>
    <t>Perchas industriales</t>
  </si>
  <si>
    <t>Terreno (32mx32m)</t>
  </si>
  <si>
    <t>Bodegas</t>
  </si>
  <si>
    <t>Software EDEC</t>
  </si>
  <si>
    <t>Administración</t>
  </si>
  <si>
    <t>Sistemas de Seguridad:</t>
  </si>
  <si>
    <t>Sensores de movimiento</t>
  </si>
  <si>
    <t>Sensores de Humo</t>
  </si>
  <si>
    <t>Sensores de Impacto</t>
  </si>
  <si>
    <t>Sistema Operativo:</t>
  </si>
  <si>
    <t xml:space="preserve">Computadoras </t>
  </si>
  <si>
    <t>Impresora (multifuncional)</t>
  </si>
  <si>
    <t>En cada departamento</t>
  </si>
  <si>
    <t>Muebles de Oficina:</t>
  </si>
  <si>
    <t>Escritorios</t>
  </si>
  <si>
    <t>Sillas</t>
  </si>
  <si>
    <t>Archivadores</t>
  </si>
  <si>
    <t>Otros Equipos de Computación</t>
  </si>
  <si>
    <t>Materiales de Oficina</t>
  </si>
  <si>
    <t>Proporcional a la actividad</t>
  </si>
  <si>
    <t>Vehículo</t>
  </si>
  <si>
    <t>Operativo</t>
  </si>
  <si>
    <t>Listado Del Personal Requerido para la Empresa</t>
  </si>
  <si>
    <t>DESCRIPCIÓN DE CARGO</t>
  </si>
  <si>
    <t>NÚMERO</t>
  </si>
  <si>
    <t>DEPARTAMENTO</t>
  </si>
  <si>
    <t>Gerente General</t>
  </si>
  <si>
    <t>Gerencia</t>
  </si>
  <si>
    <t>Asistente</t>
  </si>
  <si>
    <t>Gerente de Operaciones</t>
  </si>
  <si>
    <t>Supervisor</t>
  </si>
  <si>
    <t>Bodega</t>
  </si>
  <si>
    <t>Bodegueros</t>
  </si>
  <si>
    <t>COSTO TOTAL</t>
  </si>
  <si>
    <t>COSTO/UNITARIO</t>
  </si>
  <si>
    <t>TOTAL</t>
  </si>
  <si>
    <t>Computadora</t>
  </si>
  <si>
    <t>Sueldos y Salarios</t>
  </si>
  <si>
    <t xml:space="preserve">Permiso Municipal </t>
  </si>
  <si>
    <t>Registro Sanitario</t>
  </si>
  <si>
    <t>Bomberos</t>
  </si>
  <si>
    <t xml:space="preserve">TOTAL </t>
  </si>
  <si>
    <t>TABLA DE AMORTIZACIÓN</t>
  </si>
  <si>
    <t>PERIODO</t>
  </si>
  <si>
    <t>CUOTA</t>
  </si>
  <si>
    <t>INTERÉS</t>
  </si>
  <si>
    <t>AMORTIZACIÓN</t>
  </si>
  <si>
    <t>CAPITAL VIVO</t>
  </si>
  <si>
    <t>DEP. ANUAL</t>
  </si>
  <si>
    <t>DEP. ACUM</t>
  </si>
  <si>
    <t>VALOR EN LIBROS</t>
  </si>
  <si>
    <t>DEP. VEHICULO</t>
  </si>
  <si>
    <t>DEP. PERCHA INDUSTRIAL</t>
  </si>
  <si>
    <t>Total de Muebles de Oficina</t>
  </si>
  <si>
    <t>Sueldo por Empleado</t>
  </si>
  <si>
    <t>Costo Total Mensual</t>
  </si>
  <si>
    <t>Costo Anual</t>
  </si>
  <si>
    <t>GASTOS OPERATIVOS</t>
  </si>
  <si>
    <t>GASTOS DE VENTAS</t>
  </si>
  <si>
    <t>GASTOS ADMINISTRATIVOS</t>
  </si>
  <si>
    <t>V. Mensual</t>
  </si>
  <si>
    <t>V. Anual</t>
  </si>
  <si>
    <t>PU</t>
  </si>
  <si>
    <t>Cajas</t>
  </si>
  <si>
    <t>Conductor profesional</t>
  </si>
  <si>
    <t>Vehículos</t>
  </si>
  <si>
    <t xml:space="preserve">Desglose de sueldo del personal </t>
  </si>
  <si>
    <t>Décimo Tercero</t>
  </si>
  <si>
    <t>Décimo Cuarto</t>
  </si>
  <si>
    <t>Aporte IESS 11.15%</t>
  </si>
  <si>
    <t>Sueldo Base Mínimo</t>
  </si>
  <si>
    <t>GASTOS DE DEPRECIACIÓN</t>
  </si>
  <si>
    <t>DEPRECIACIÓN MENSUAL</t>
  </si>
  <si>
    <t>DEPRECIACIÓN ANUAL</t>
  </si>
  <si>
    <t>TOTAL DE INVERSIÓN INICIAL</t>
  </si>
  <si>
    <t>ACTIVIDAD</t>
  </si>
  <si>
    <t>E</t>
  </si>
  <si>
    <t>F</t>
  </si>
  <si>
    <t>M</t>
  </si>
  <si>
    <t>A</t>
  </si>
  <si>
    <t>J</t>
  </si>
  <si>
    <t>JL</t>
  </si>
  <si>
    <t>AG</t>
  </si>
  <si>
    <t>S</t>
  </si>
  <si>
    <t>O</t>
  </si>
  <si>
    <t>N</t>
  </si>
  <si>
    <t>D</t>
  </si>
  <si>
    <t>Ingresos Mensuales</t>
  </si>
  <si>
    <t>Egresos Mensuales</t>
  </si>
  <si>
    <t>Saldo Mensual</t>
  </si>
  <si>
    <t>EGRESOS TOTALES</t>
  </si>
  <si>
    <t>AÑOS</t>
  </si>
  <si>
    <t>Demanda real</t>
  </si>
  <si>
    <t>Mensual</t>
  </si>
  <si>
    <t>Proyección de Ingresos año 2012</t>
  </si>
  <si>
    <t>Mes</t>
  </si>
  <si>
    <t>Q (cajas)</t>
  </si>
  <si>
    <t>P (cajas)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</si>
  <si>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</si>
  <si>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</si>
  <si>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</si>
  <si>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</si>
  <si>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</si>
  <si>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</si>
  <si>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</si>
  <si>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</si>
  <si>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</si>
  <si>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</si>
  <si>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</si>
  <si>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</si>
  <si>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</si>
  <si>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2012</t>
  </si>
  <si>
    <t>Montacarga</t>
  </si>
  <si>
    <t>Mesa (cafetería)</t>
  </si>
  <si>
    <t>Número</t>
  </si>
  <si>
    <t>Sueldo Mensual por Empleado</t>
  </si>
  <si>
    <t>CAPITAL A AMORTIZAR 50%</t>
  </si>
  <si>
    <t>CONSOLIDADO DE DEPRECIACIONES</t>
  </si>
  <si>
    <t>PRECIO (Por caja)</t>
  </si>
  <si>
    <t>Ordenamiento de la información</t>
  </si>
  <si>
    <t>$2.00</t>
  </si>
  <si>
    <t>Caja</t>
  </si>
  <si>
    <t>$1.50</t>
  </si>
  <si>
    <t>Movilización</t>
  </si>
  <si>
    <t>$ 0.30</t>
  </si>
  <si>
    <t>Digitalización</t>
  </si>
  <si>
    <t>$0.80</t>
  </si>
  <si>
    <t>Alquiler de espacio (mensual)</t>
  </si>
  <si>
    <t>$ 0.50</t>
  </si>
  <si>
    <t>$5.00</t>
  </si>
  <si>
    <t>Compañías en el Ecuador</t>
  </si>
  <si>
    <t>ACTIVAS</t>
  </si>
  <si>
    <t>TOTAL REGISTRADAS</t>
  </si>
  <si>
    <t>Sociedad Anónima</t>
  </si>
  <si>
    <t>Responsabilidad Limitada</t>
  </si>
  <si>
    <t>Economía Mixta: Activas</t>
  </si>
  <si>
    <t>Total Empresas activas en el Ecuador:</t>
  </si>
  <si>
    <t>Mercado potencial</t>
  </si>
  <si>
    <t>Mercado objetivo</t>
  </si>
  <si>
    <t>GASTOS DE DEPRECIACION</t>
  </si>
  <si>
    <t>DÉFICIT MAX. ACUMULADO</t>
  </si>
  <si>
    <t>INGRESOS</t>
  </si>
  <si>
    <t>ESTADO DE RESULTADOS</t>
  </si>
  <si>
    <t>Proyección de Ingresos año 2012-2021</t>
  </si>
  <si>
    <t>PRÉSTAMO</t>
  </si>
  <si>
    <t>INVERSÍON</t>
  </si>
  <si>
    <t>Capital de Trabajo</t>
  </si>
  <si>
    <t xml:space="preserve">TIR </t>
  </si>
  <si>
    <t>PAYBACK</t>
  </si>
  <si>
    <t>PERIODO AÑOS</t>
  </si>
  <si>
    <t>SALDO DE INVERSIÓN</t>
  </si>
  <si>
    <t>FLUJO DE CAJA</t>
  </si>
  <si>
    <t>RENTABILIDAD EXIGIDA</t>
  </si>
  <si>
    <t>RECUPERACIÓN INVERSIÓN</t>
  </si>
  <si>
    <t>Demanda potencial (42%)</t>
  </si>
  <si>
    <t>GASTOS VARIABLES</t>
  </si>
  <si>
    <t>% Demanda</t>
  </si>
  <si>
    <t>C. U.</t>
  </si>
  <si>
    <t>Q mensual</t>
  </si>
  <si>
    <t>Publicidad</t>
  </si>
  <si>
    <t xml:space="preserve">Otros Suministros (Proceso de Embalaje) </t>
  </si>
  <si>
    <t>#</t>
  </si>
  <si>
    <t>GASTOS FIJOS</t>
  </si>
  <si>
    <t>TOTAL COSTOS FIJOS SIN DEPRECIACION</t>
  </si>
  <si>
    <t>TOTAL COSTOS FIJOS CON DEPRECIACION</t>
  </si>
  <si>
    <t xml:space="preserve"> GASTOS INDIRECTOS</t>
  </si>
  <si>
    <t>*Gastos Indirectos estarán sujetos a cambio de acuerdo a las respectivas instituciones</t>
  </si>
  <si>
    <t>TOTAL GASTOS VARIABLES</t>
  </si>
  <si>
    <t>COSTOS TOTALES (Var + Fijos)</t>
  </si>
  <si>
    <t>(=) UTILIDAD ANTES DE PART. DE TRAB. E IMPTOS</t>
  </si>
  <si>
    <t>(-) 15% Participación de Trabajadores</t>
  </si>
  <si>
    <t>(=) Utilidad antes de Impuestos</t>
  </si>
  <si>
    <t>(-) 25% Impuesto a la Renta</t>
  </si>
  <si>
    <t>(=) UTILIDAD NETA</t>
  </si>
  <si>
    <t>(+) DEPRECIACIONES</t>
  </si>
  <si>
    <t xml:space="preserve">(=) FLUJO DE CAJA </t>
  </si>
  <si>
    <t>Recuperación de Capital de Trabajo</t>
  </si>
  <si>
    <t>Valor de desecho</t>
  </si>
  <si>
    <t>Valor de Desecho Contable</t>
  </si>
  <si>
    <t>Activo</t>
  </si>
  <si>
    <t>Vida Contable</t>
  </si>
  <si>
    <t>Depreciación Anual</t>
  </si>
  <si>
    <t>Años Depreciandose</t>
  </si>
  <si>
    <t>Depreciación Acumulada</t>
  </si>
  <si>
    <t>Valor en Libros</t>
  </si>
  <si>
    <t>Terreno</t>
  </si>
  <si>
    <t>VALOR DE DESECHO</t>
  </si>
  <si>
    <t>Valor de Compra</t>
  </si>
  <si>
    <t>GASTOS DE CONSTITUCIÓN</t>
  </si>
  <si>
    <t>SUMATORIA NUEVA INVERSION</t>
  </si>
  <si>
    <t>Rf</t>
  </si>
  <si>
    <t>Rm</t>
  </si>
  <si>
    <t>Rm-Rf</t>
  </si>
  <si>
    <t>Ri= rf + Bd(rm – rf) + rp</t>
  </si>
  <si>
    <t>Automatic Data Processing, Inc. (ADP)</t>
  </si>
  <si>
    <t>Rp</t>
  </si>
  <si>
    <t>Ri=</t>
  </si>
  <si>
    <t>TMAR</t>
  </si>
  <si>
    <t>Demanda real (12%) empresas</t>
  </si>
  <si>
    <t>ANALISIS DE SENSIBLIDAD RESPECTO A INGRESOS</t>
  </si>
  <si>
    <t>VAN</t>
  </si>
  <si>
    <t>TIR</t>
  </si>
  <si>
    <t>RESULTADO</t>
  </si>
  <si>
    <t>VARIACION</t>
  </si>
  <si>
    <t>FACTIBLE</t>
  </si>
  <si>
    <t>ANALISIS DE SENSIBLIDAD RESPECTO A COSTOS</t>
  </si>
  <si>
    <t>B</t>
  </si>
  <si>
    <t>Edificio:Construcción y Adecuación</t>
  </si>
  <si>
    <t>Edificio</t>
  </si>
  <si>
    <t>DEP. EDIFICIO</t>
  </si>
  <si>
    <t>$800 x m</t>
  </si>
  <si>
    <t>NO FACTIBLE</t>
  </si>
  <si>
    <t>Datos tomados a 20 de enero del 2012</t>
  </si>
  <si>
    <t xml:space="preserve">                 VAN (16,21%)</t>
  </si>
  <si>
    <t>CVU</t>
  </si>
  <si>
    <t>MARGEN DE GANANCIA</t>
  </si>
  <si>
    <t>$3.20</t>
  </si>
  <si>
    <t>1.80</t>
  </si>
  <si>
    <t>RF</t>
  </si>
  <si>
    <t>RP</t>
  </si>
  <si>
    <t>http://www.bce.fin.ec/</t>
  </si>
  <si>
    <t>Combustible, Servicios Básicos y otros</t>
  </si>
  <si>
    <t>Gastos Legales</t>
  </si>
  <si>
    <t>USD</t>
  </si>
  <si>
    <t>Honorarios de Abogados</t>
  </si>
  <si>
    <t>Permisos de Funcionamiento</t>
  </si>
  <si>
    <t>Valor a la Superintendencia de Compañía (reembolsable)</t>
  </si>
  <si>
    <t>(-) GASTOS FINANCIEROS (INTERESES)</t>
  </si>
  <si>
    <t>(=) UTILIDAD OPERACIONAL</t>
  </si>
  <si>
    <t>(-) GASTOS DE ADMINISTRACIÓN</t>
  </si>
  <si>
    <t>(-) GASTOS OPERATIVOS</t>
  </si>
  <si>
    <t>(-) GASTOS INDIRECTOS</t>
  </si>
  <si>
    <t>(-) AMORTIZACIÓN (Intangibles)</t>
  </si>
  <si>
    <t>(-) DEPRECIACIONES</t>
  </si>
  <si>
    <t>(-) GASTOS DE VENTAS</t>
  </si>
  <si>
    <t>(-) GASTOS VARIABLES</t>
  </si>
  <si>
    <t>(=) UTILIDAD BRUTA</t>
  </si>
  <si>
    <t>(-) INVERSÍON</t>
  </si>
  <si>
    <t>(-) Capital de Trabajo</t>
  </si>
  <si>
    <t>(+) Recuperación de Capital de Trabajo</t>
  </si>
  <si>
    <t>(+) Valor de desecho</t>
  </si>
  <si>
    <t>(+) AMORTIZACIÓN</t>
  </si>
  <si>
    <t xml:space="preserve">CAPITAL DE TRABAJO </t>
  </si>
  <si>
    <t xml:space="preserve">GASTOS DE CONSTITUCIÓN </t>
  </si>
  <si>
    <t>DESCRIPCIÓN</t>
  </si>
  <si>
    <t>MONTO</t>
  </si>
  <si>
    <t>TERRENO</t>
  </si>
  <si>
    <t>CONSTRUCCIÓN Y ADECUACIÓN</t>
  </si>
  <si>
    <t>SISTEMAS DE SEGURIDAD</t>
  </si>
  <si>
    <t>SISTEMA OPERATIVO</t>
  </si>
  <si>
    <t>MUEBLES DE OFICINA</t>
  </si>
  <si>
    <t>VEHÍCULO Y MONTACARGA</t>
  </si>
  <si>
    <t>MOBILIARIO (PERCHAS)</t>
  </si>
  <si>
    <t>50% CAPITAL PROPIO</t>
  </si>
  <si>
    <t>50% PRÉSTAMO CFN (9.53%)</t>
  </si>
  <si>
    <t>DATOS</t>
  </si>
  <si>
    <t>Afiliación Cámara de Comercio de Guayaquil</t>
  </si>
  <si>
    <t>:www.portfoliopersonal.com/Tasa_Interes/hTB_TIR.asp+tasa+de+bonos+del+tesoro+de+estados+unidos&amp;cd=1&amp;hl=es&amp;ct=cln</t>
  </si>
  <si>
    <t>http://webcache.googleusercontent.com/search?q=cache:4AIf42ySFLAJ</t>
  </si>
</sst>
</file>

<file path=xl/styles.xml><?xml version="1.0" encoding="utf-8"?>
<styleSheet xmlns="http://schemas.openxmlformats.org/spreadsheetml/2006/main">
  <numFmts count="14">
    <numFmt numFmtId="7" formatCode="&quot;$&quot;\ #,##0.00_);\(&quot;$&quot;\ #,##0.00\)"/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[$$-86B]\ * #,##0.00_ ;_-[$$-86B]\ * \-#,##0.00\ ;_-[$$-86B]\ * &quot;-&quot;??_ ;_-@_ "/>
    <numFmt numFmtId="165" formatCode="[$$-409]#,##0.00"/>
    <numFmt numFmtId="166" formatCode="&quot;$&quot;\ #,##0.00"/>
    <numFmt numFmtId="167" formatCode="&quot;$&quot;\ #,##0"/>
    <numFmt numFmtId="168" formatCode="_-[$$-86B]\ * #,##0.000_ ;_-[$$-86B]\ * \-#,##0.000\ ;_-[$$-86B]\ * &quot;-&quot;??_ ;_-@_ "/>
    <numFmt numFmtId="169" formatCode="0.0%"/>
    <numFmt numFmtId="170" formatCode="[$$-409]#,##0"/>
    <numFmt numFmtId="171" formatCode="&quot;$&quot;\ #,##0.0_);[Red]\(&quot;$&quot;\ #,##0.0\)"/>
    <numFmt numFmtId="172" formatCode="_-[$$-409]* #,##0.00_ ;_-[$$-409]* \-#,##0.00\ ;_-[$$-409]* &quot;-&quot;??_ ;_-@_ "/>
    <numFmt numFmtId="173" formatCode="0.0000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i/>
      <sz val="12"/>
      <color rgb="FF000000"/>
      <name val="Trebuchet MS"/>
      <family val="2"/>
    </font>
    <font>
      <b/>
      <i/>
      <sz val="8"/>
      <color rgb="FF000000"/>
      <name val="Trebuchet MS"/>
      <family val="2"/>
    </font>
    <font>
      <b/>
      <i/>
      <sz val="12"/>
      <color rgb="FF000000"/>
      <name val="Arial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u/>
      <sz val="13.2"/>
      <color theme="10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</cellStyleXfs>
  <cellXfs count="6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/>
    <xf numFmtId="8" fontId="0" fillId="0" borderId="18" xfId="0" applyNumberFormat="1" applyBorder="1" applyAlignment="1">
      <alignment horizontal="center" vertical="center" wrapText="1"/>
    </xf>
    <xf numFmtId="8" fontId="0" fillId="0" borderId="0" xfId="0" applyNumberFormat="1"/>
    <xf numFmtId="0" fontId="8" fillId="0" borderId="13" xfId="0" applyFont="1" applyBorder="1" applyAlignment="1">
      <alignment horizontal="center" vertical="top"/>
    </xf>
    <xf numFmtId="3" fontId="0" fillId="0" borderId="0" xfId="0" applyNumberFormat="1"/>
    <xf numFmtId="8" fontId="9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0" fillId="0" borderId="0" xfId="0" applyBorder="1"/>
    <xf numFmtId="44" fontId="9" fillId="0" borderId="14" xfId="1" applyFont="1" applyBorder="1" applyAlignment="1">
      <alignment horizontal="right" vertical="top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2" fillId="0" borderId="1" xfId="0" applyFont="1" applyBorder="1"/>
    <xf numFmtId="8" fontId="11" fillId="0" borderId="1" xfId="0" applyNumberFormat="1" applyFont="1" applyBorder="1" applyAlignment="1">
      <alignment horizontal="right"/>
    </xf>
    <xf numFmtId="0" fontId="12" fillId="0" borderId="5" xfId="0" applyFont="1" applyBorder="1"/>
    <xf numFmtId="0" fontId="10" fillId="0" borderId="5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1" fillId="0" borderId="5" xfId="0" applyFont="1" applyBorder="1" applyAlignment="1"/>
    <xf numFmtId="44" fontId="0" fillId="0" borderId="1" xfId="1" applyFont="1" applyBorder="1"/>
    <xf numFmtId="44" fontId="0" fillId="0" borderId="6" xfId="1" applyFont="1" applyBorder="1"/>
    <xf numFmtId="44" fontId="0" fillId="0" borderId="1" xfId="1" applyFont="1" applyFill="1" applyBorder="1"/>
    <xf numFmtId="44" fontId="0" fillId="0" borderId="18" xfId="1" applyFont="1" applyBorder="1"/>
    <xf numFmtId="44" fontId="0" fillId="0" borderId="34" xfId="1" applyFont="1" applyBorder="1"/>
    <xf numFmtId="44" fontId="1" fillId="0" borderId="31" xfId="1" applyFont="1" applyBorder="1"/>
    <xf numFmtId="44" fontId="1" fillId="0" borderId="32" xfId="1" applyFont="1" applyBorder="1"/>
    <xf numFmtId="0" fontId="11" fillId="0" borderId="0" xfId="0" applyFont="1" applyBorder="1"/>
    <xf numFmtId="0" fontId="12" fillId="0" borderId="0" xfId="0" applyFont="1" applyBorder="1"/>
    <xf numFmtId="8" fontId="11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/>
    <xf numFmtId="0" fontId="12" fillId="0" borderId="0" xfId="0" applyFont="1" applyFill="1" applyBorder="1"/>
    <xf numFmtId="0" fontId="12" fillId="0" borderId="33" xfId="0" applyFont="1" applyBorder="1"/>
    <xf numFmtId="8" fontId="11" fillId="0" borderId="18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4" fontId="10" fillId="0" borderId="0" xfId="0" applyNumberFormat="1" applyFont="1" applyBorder="1" applyAlignment="1">
      <alignment horizontal="right"/>
    </xf>
    <xf numFmtId="8" fontId="13" fillId="0" borderId="0" xfId="0" applyNumberFormat="1" applyFont="1" applyBorder="1"/>
    <xf numFmtId="0" fontId="0" fillId="0" borderId="1" xfId="0" applyBorder="1"/>
    <xf numFmtId="8" fontId="11" fillId="0" borderId="6" xfId="0" applyNumberFormat="1" applyFont="1" applyBorder="1" applyAlignment="1">
      <alignment horizontal="right"/>
    </xf>
    <xf numFmtId="0" fontId="13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1" fontId="3" fillId="2" borderId="14" xfId="0" applyNumberFormat="1" applyFont="1" applyFill="1" applyBorder="1" applyAlignment="1">
      <alignment horizontal="center" vertical="top"/>
    </xf>
    <xf numFmtId="8" fontId="18" fillId="0" borderId="1" xfId="0" applyNumberFormat="1" applyFont="1" applyBorder="1" applyAlignment="1">
      <alignment wrapText="1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44" fontId="10" fillId="0" borderId="18" xfId="0" applyNumberFormat="1" applyFont="1" applyBorder="1" applyAlignment="1">
      <alignment horizontal="right"/>
    </xf>
    <xf numFmtId="0" fontId="1" fillId="0" borderId="38" xfId="0" applyFont="1" applyBorder="1" applyAlignment="1">
      <alignment horizontal="center" vertical="center" wrapText="1"/>
    </xf>
    <xf numFmtId="167" fontId="0" fillId="0" borderId="38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7" fontId="1" fillId="0" borderId="41" xfId="0" applyNumberFormat="1" applyFont="1" applyBorder="1" applyAlignment="1">
      <alignment horizontal="center" vertical="center"/>
    </xf>
    <xf numFmtId="0" fontId="1" fillId="0" borderId="0" xfId="0" applyFont="1"/>
    <xf numFmtId="0" fontId="18" fillId="0" borderId="30" xfId="0" applyFont="1" applyBorder="1"/>
    <xf numFmtId="8" fontId="13" fillId="0" borderId="32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right" vertical="top"/>
    </xf>
    <xf numFmtId="0" fontId="0" fillId="0" borderId="0" xfId="0" applyFont="1"/>
    <xf numFmtId="0" fontId="19" fillId="0" borderId="0" xfId="0" applyFont="1" applyBorder="1" applyAlignment="1">
      <alignment horizontal="center" vertical="top"/>
    </xf>
    <xf numFmtId="0" fontId="0" fillId="0" borderId="0" xfId="0" applyFont="1" applyBorder="1"/>
    <xf numFmtId="3" fontId="19" fillId="0" borderId="0" xfId="0" applyNumberFormat="1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left" vertical="center" wrapText="1"/>
    </xf>
    <xf numFmtId="8" fontId="9" fillId="0" borderId="14" xfId="1" applyNumberFormat="1" applyFont="1" applyBorder="1" applyAlignment="1">
      <alignment horizontal="right" vertical="top"/>
    </xf>
    <xf numFmtId="0" fontId="21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4" fillId="0" borderId="1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15" fillId="0" borderId="0" xfId="0" applyFont="1"/>
    <xf numFmtId="164" fontId="4" fillId="0" borderId="0" xfId="1" applyNumberFormat="1" applyFont="1" applyBorder="1" applyAlignment="1">
      <alignment horizontal="right"/>
    </xf>
    <xf numFmtId="168" fontId="15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" fillId="0" borderId="5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44" fontId="10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/>
    </xf>
    <xf numFmtId="8" fontId="1" fillId="0" borderId="29" xfId="0" applyNumberFormat="1" applyFont="1" applyBorder="1"/>
    <xf numFmtId="8" fontId="1" fillId="0" borderId="31" xfId="0" applyNumberFormat="1" applyFont="1" applyBorder="1"/>
    <xf numFmtId="8" fontId="1" fillId="0" borderId="32" xfId="0" applyNumberFormat="1" applyFont="1" applyBorder="1"/>
    <xf numFmtId="0" fontId="1" fillId="0" borderId="1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167" fontId="31" fillId="0" borderId="3" xfId="0" applyNumberFormat="1" applyFont="1" applyBorder="1"/>
    <xf numFmtId="0" fontId="16" fillId="0" borderId="0" xfId="0" applyFont="1" applyBorder="1" applyAlignment="1">
      <alignment horizontal="center" vertical="top"/>
    </xf>
    <xf numFmtId="44" fontId="17" fillId="0" borderId="0" xfId="1" applyFont="1" applyBorder="1" applyAlignment="1">
      <alignment horizontal="center" vertical="top"/>
    </xf>
    <xf numFmtId="44" fontId="16" fillId="0" borderId="0" xfId="1" applyFont="1" applyBorder="1" applyAlignment="1">
      <alignment horizontal="center" vertical="top"/>
    </xf>
    <xf numFmtId="1" fontId="17" fillId="0" borderId="0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1" fontId="19" fillId="0" borderId="1" xfId="0" applyNumberFormat="1" applyFont="1" applyFill="1" applyBorder="1" applyAlignment="1">
      <alignment horizontal="center" vertical="top"/>
    </xf>
    <xf numFmtId="1" fontId="19" fillId="0" borderId="8" xfId="0" applyNumberFormat="1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center" vertical="top"/>
    </xf>
    <xf numFmtId="0" fontId="16" fillId="0" borderId="31" xfId="0" applyFont="1" applyFill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165" fontId="19" fillId="0" borderId="19" xfId="0" applyNumberFormat="1" applyFont="1" applyBorder="1" applyAlignment="1">
      <alignment horizontal="center" vertical="top"/>
    </xf>
    <xf numFmtId="170" fontId="14" fillId="0" borderId="29" xfId="0" applyNumberFormat="1" applyFont="1" applyBorder="1"/>
    <xf numFmtId="165" fontId="19" fillId="0" borderId="1" xfId="0" applyNumberFormat="1" applyFont="1" applyBorder="1" applyAlignment="1">
      <alignment horizontal="center" vertical="top"/>
    </xf>
    <xf numFmtId="170" fontId="14" fillId="0" borderId="6" xfId="0" applyNumberFormat="1" applyFont="1" applyBorder="1"/>
    <xf numFmtId="165" fontId="19" fillId="0" borderId="8" xfId="0" applyNumberFormat="1" applyFont="1" applyBorder="1" applyAlignment="1">
      <alignment horizontal="center" vertical="top"/>
    </xf>
    <xf numFmtId="170" fontId="14" fillId="0" borderId="9" xfId="0" applyNumberFormat="1" applyFont="1" applyBorder="1"/>
    <xf numFmtId="44" fontId="10" fillId="0" borderId="34" xfId="0" applyNumberFormat="1" applyFont="1" applyBorder="1" applyAlignment="1">
      <alignment horizontal="right"/>
    </xf>
    <xf numFmtId="0" fontId="13" fillId="0" borderId="3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8" fontId="12" fillId="0" borderId="0" xfId="0" applyNumberFormat="1" applyFont="1" applyBorder="1"/>
    <xf numFmtId="166" fontId="0" fillId="0" borderId="0" xfId="0" applyNumberFormat="1" applyBorder="1"/>
    <xf numFmtId="8" fontId="12" fillId="0" borderId="1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71" fontId="12" fillId="0" borderId="1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top" wrapText="1"/>
    </xf>
    <xf numFmtId="8" fontId="11" fillId="0" borderId="1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8" fontId="13" fillId="0" borderId="1" xfId="0" applyNumberFormat="1" applyFont="1" applyBorder="1"/>
    <xf numFmtId="44" fontId="13" fillId="0" borderId="1" xfId="0" applyNumberFormat="1" applyFont="1" applyBorder="1"/>
    <xf numFmtId="0" fontId="10" fillId="0" borderId="2" xfId="0" applyFont="1" applyBorder="1" applyAlignment="1">
      <alignment horizontal="center"/>
    </xf>
    <xf numFmtId="0" fontId="12" fillId="0" borderId="3" xfId="0" applyFont="1" applyBorder="1"/>
    <xf numFmtId="8" fontId="13" fillId="0" borderId="3" xfId="0" applyNumberFormat="1" applyFont="1" applyBorder="1"/>
    <xf numFmtId="8" fontId="13" fillId="0" borderId="4" xfId="0" applyNumberFormat="1" applyFont="1" applyBorder="1"/>
    <xf numFmtId="0" fontId="0" fillId="0" borderId="8" xfId="0" applyBorder="1"/>
    <xf numFmtId="0" fontId="10" fillId="0" borderId="35" xfId="0" applyFont="1" applyFill="1" applyBorder="1" applyAlignment="1">
      <alignment horizontal="center"/>
    </xf>
    <xf numFmtId="0" fontId="0" fillId="0" borderId="47" xfId="0" applyBorder="1"/>
    <xf numFmtId="8" fontId="10" fillId="0" borderId="47" xfId="0" applyNumberFormat="1" applyFont="1" applyBorder="1"/>
    <xf numFmtId="0" fontId="10" fillId="0" borderId="30" xfId="0" applyFont="1" applyFill="1" applyBorder="1" applyAlignment="1">
      <alignment horizontal="center"/>
    </xf>
    <xf numFmtId="0" fontId="6" fillId="0" borderId="0" xfId="0" applyFont="1" applyBorder="1" applyAlignment="1"/>
    <xf numFmtId="8" fontId="0" fillId="0" borderId="1" xfId="0" applyNumberFormat="1" applyBorder="1" applyAlignment="1">
      <alignment horizontal="center"/>
    </xf>
    <xf numFmtId="0" fontId="0" fillId="0" borderId="6" xfId="0" applyBorder="1"/>
    <xf numFmtId="8" fontId="0" fillId="0" borderId="8" xfId="0" applyNumberFormat="1" applyBorder="1" applyAlignment="1">
      <alignment horizontal="center"/>
    </xf>
    <xf numFmtId="0" fontId="0" fillId="0" borderId="9" xfId="0" applyBorder="1"/>
    <xf numFmtId="8" fontId="13" fillId="0" borderId="6" xfId="0" applyNumberFormat="1" applyFont="1" applyBorder="1"/>
    <xf numFmtId="8" fontId="12" fillId="0" borderId="31" xfId="0" applyNumberFormat="1" applyFont="1" applyBorder="1" applyAlignment="1">
      <alignment horizontal="center"/>
    </xf>
    <xf numFmtId="8" fontId="13" fillId="0" borderId="31" xfId="0" applyNumberFormat="1" applyFont="1" applyBorder="1" applyAlignment="1">
      <alignment horizontal="center"/>
    </xf>
    <xf numFmtId="8" fontId="1" fillId="0" borderId="6" xfId="0" applyNumberFormat="1" applyFont="1" applyBorder="1"/>
    <xf numFmtId="44" fontId="15" fillId="0" borderId="0" xfId="0" applyNumberFormat="1" applyFont="1"/>
    <xf numFmtId="8" fontId="13" fillId="0" borderId="3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top" wrapText="1"/>
    </xf>
    <xf numFmtId="0" fontId="5" fillId="0" borderId="30" xfId="0" applyFont="1" applyBorder="1" applyAlignment="1">
      <alignment horizontal="justify" vertical="top" wrapText="1"/>
    </xf>
    <xf numFmtId="0" fontId="10" fillId="0" borderId="28" xfId="0" applyFont="1" applyBorder="1" applyAlignment="1"/>
    <xf numFmtId="0" fontId="0" fillId="0" borderId="39" xfId="0" applyBorder="1" applyAlignment="1">
      <alignment horizontal="center" vertical="center"/>
    </xf>
    <xf numFmtId="8" fontId="13" fillId="0" borderId="48" xfId="0" applyNumberFormat="1" applyFont="1" applyBorder="1" applyAlignment="1">
      <alignment horizontal="center" vertical="center"/>
    </xf>
    <xf numFmtId="8" fontId="13" fillId="0" borderId="48" xfId="0" applyNumberFormat="1" applyFont="1" applyBorder="1" applyAlignment="1">
      <alignment horizontal="center"/>
    </xf>
    <xf numFmtId="8" fontId="1" fillId="0" borderId="43" xfId="0" applyNumberFormat="1" applyFont="1" applyBorder="1"/>
    <xf numFmtId="0" fontId="12" fillId="0" borderId="11" xfId="0" applyFont="1" applyBorder="1"/>
    <xf numFmtId="0" fontId="34" fillId="0" borderId="1" xfId="0" applyFont="1" applyBorder="1"/>
    <xf numFmtId="8" fontId="0" fillId="0" borderId="1" xfId="1" applyNumberFormat="1" applyFont="1" applyBorder="1"/>
    <xf numFmtId="8" fontId="31" fillId="0" borderId="3" xfId="1" applyNumberFormat="1" applyFont="1" applyBorder="1"/>
    <xf numFmtId="0" fontId="27" fillId="0" borderId="1" xfId="0" applyFont="1" applyBorder="1"/>
    <xf numFmtId="0" fontId="31" fillId="0" borderId="1" xfId="0" applyFont="1" applyBorder="1"/>
    <xf numFmtId="0" fontId="27" fillId="0" borderId="1" xfId="0" applyFont="1" applyFill="1" applyBorder="1"/>
    <xf numFmtId="0" fontId="31" fillId="0" borderId="1" xfId="0" applyFont="1" applyFill="1" applyBorder="1"/>
    <xf numFmtId="0" fontId="0" fillId="0" borderId="18" xfId="0" applyFont="1" applyBorder="1"/>
    <xf numFmtId="8" fontId="1" fillId="0" borderId="1" xfId="1" applyNumberFormat="1" applyFont="1" applyBorder="1"/>
    <xf numFmtId="0" fontId="0" fillId="0" borderId="0" xfId="0" applyAlignment="1"/>
    <xf numFmtId="8" fontId="0" fillId="0" borderId="0" xfId="0" applyNumberForma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44" fontId="9" fillId="0" borderId="0" xfId="1" applyFont="1" applyBorder="1" applyAlignment="1">
      <alignment vertical="top"/>
    </xf>
    <xf numFmtId="8" fontId="9" fillId="0" borderId="0" xfId="1" applyNumberFormat="1" applyFont="1" applyBorder="1" applyAlignment="1">
      <alignment horizontal="right" vertical="top"/>
    </xf>
    <xf numFmtId="44" fontId="19" fillId="0" borderId="0" xfId="1" applyFont="1" applyBorder="1" applyAlignment="1">
      <alignment horizontal="center" vertical="top"/>
    </xf>
    <xf numFmtId="44" fontId="9" fillId="0" borderId="0" xfId="1" applyFont="1" applyBorder="1" applyAlignment="1">
      <alignment horizontal="right" vertical="top"/>
    </xf>
    <xf numFmtId="0" fontId="8" fillId="0" borderId="55" xfId="0" applyFont="1" applyBorder="1" applyAlignment="1">
      <alignment horizontal="center" vertical="top"/>
    </xf>
    <xf numFmtId="0" fontId="8" fillId="0" borderId="5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0" fillId="0" borderId="3" xfId="0" applyBorder="1"/>
    <xf numFmtId="0" fontId="27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8" fontId="31" fillId="0" borderId="1" xfId="1" applyNumberFormat="1" applyFont="1" applyBorder="1"/>
    <xf numFmtId="8" fontId="31" fillId="0" borderId="4" xfId="1" applyNumberFormat="1" applyFont="1" applyBorder="1"/>
    <xf numFmtId="8" fontId="31" fillId="0" borderId="6" xfId="1" applyNumberFormat="1" applyFont="1" applyBorder="1"/>
    <xf numFmtId="2" fontId="0" fillId="0" borderId="1" xfId="4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1" xfId="0" applyFont="1" applyFill="1" applyBorder="1"/>
    <xf numFmtId="8" fontId="0" fillId="0" borderId="1" xfId="1" applyNumberFormat="1" applyFont="1" applyFill="1" applyBorder="1"/>
    <xf numFmtId="10" fontId="1" fillId="0" borderId="1" xfId="0" applyNumberFormat="1" applyFont="1" applyBorder="1" applyAlignment="1">
      <alignment horizontal="center"/>
    </xf>
    <xf numFmtId="172" fontId="0" fillId="0" borderId="0" xfId="0" applyNumberFormat="1" applyBorder="1"/>
    <xf numFmtId="9" fontId="0" fillId="0" borderId="1" xfId="0" applyNumberFormat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8" fontId="31" fillId="0" borderId="8" xfId="1" applyNumberFormat="1" applyFont="1" applyFill="1" applyBorder="1"/>
    <xf numFmtId="8" fontId="31" fillId="0" borderId="9" xfId="1" applyNumberFormat="1" applyFont="1" applyFill="1" applyBorder="1"/>
    <xf numFmtId="8" fontId="18" fillId="0" borderId="32" xfId="0" applyNumberFormat="1" applyFont="1" applyBorder="1" applyAlignment="1">
      <alignment horizontal="center"/>
    </xf>
    <xf numFmtId="0" fontId="37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9" fillId="0" borderId="56" xfId="0" applyFont="1" applyBorder="1" applyAlignment="1">
      <alignment vertical="top"/>
    </xf>
    <xf numFmtId="44" fontId="9" fillId="0" borderId="3" xfId="1" applyFont="1" applyBorder="1" applyAlignment="1">
      <alignment vertical="top"/>
    </xf>
    <xf numFmtId="8" fontId="9" fillId="0" borderId="4" xfId="1" applyNumberFormat="1" applyFont="1" applyBorder="1" applyAlignment="1">
      <alignment horizontal="right" vertical="top"/>
    </xf>
    <xf numFmtId="0" fontId="1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173" fontId="0" fillId="0" borderId="1" xfId="0" applyNumberFormat="1" applyBorder="1"/>
    <xf numFmtId="173" fontId="0" fillId="0" borderId="1" xfId="4" applyNumberFormat="1" applyFont="1" applyBorder="1"/>
    <xf numFmtId="0" fontId="1" fillId="3" borderId="0" xfId="0" applyFont="1" applyFill="1"/>
    <xf numFmtId="0" fontId="0" fillId="3" borderId="0" xfId="0" applyFill="1"/>
    <xf numFmtId="2" fontId="40" fillId="0" borderId="1" xfId="0" applyNumberFormat="1" applyFont="1" applyBorder="1" applyAlignment="1">
      <alignment horizontal="right"/>
    </xf>
    <xf numFmtId="8" fontId="0" fillId="0" borderId="0" xfId="0" applyNumberFormat="1" applyBorder="1"/>
    <xf numFmtId="8" fontId="20" fillId="0" borderId="12" xfId="2" applyNumberFormat="1" applyFont="1" applyFill="1" applyBorder="1"/>
    <xf numFmtId="0" fontId="27" fillId="0" borderId="0" xfId="0" applyFont="1" applyFill="1" applyBorder="1" applyAlignment="1">
      <alignment horizontal="center"/>
    </xf>
    <xf numFmtId="0" fontId="13" fillId="0" borderId="11" xfId="0" applyFont="1" applyBorder="1"/>
    <xf numFmtId="9" fontId="20" fillId="0" borderId="12" xfId="0" applyNumberFormat="1" applyFont="1" applyFill="1" applyBorder="1" applyAlignment="1">
      <alignment horizontal="center"/>
    </xf>
    <xf numFmtId="10" fontId="20" fillId="0" borderId="12" xfId="0" applyNumberFormat="1" applyFont="1" applyFill="1" applyBorder="1" applyAlignment="1">
      <alignment horizontal="center"/>
    </xf>
    <xf numFmtId="8" fontId="20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7" fontId="31" fillId="0" borderId="45" xfId="0" applyNumberFormat="1" applyFont="1" applyBorder="1"/>
    <xf numFmtId="167" fontId="31" fillId="0" borderId="1" xfId="0" applyNumberFormat="1" applyFont="1" applyBorder="1"/>
    <xf numFmtId="0" fontId="0" fillId="0" borderId="5" xfId="0" applyFont="1" applyBorder="1" applyAlignment="1">
      <alignment horizontal="center" wrapText="1"/>
    </xf>
    <xf numFmtId="44" fontId="0" fillId="0" borderId="6" xfId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wrapText="1"/>
    </xf>
    <xf numFmtId="44" fontId="0" fillId="0" borderId="29" xfId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wrapText="1"/>
    </xf>
    <xf numFmtId="44" fontId="0" fillId="0" borderId="34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4" fontId="1" fillId="0" borderId="4" xfId="1" applyFont="1" applyBorder="1" applyAlignment="1">
      <alignment horizontal="center" wrapText="1"/>
    </xf>
    <xf numFmtId="0" fontId="0" fillId="0" borderId="33" xfId="0" applyFont="1" applyFill="1" applyBorder="1" applyAlignment="1">
      <alignment horizontal="center" wrapText="1"/>
    </xf>
    <xf numFmtId="8" fontId="0" fillId="0" borderId="34" xfId="0" applyNumberFormat="1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8" fontId="1" fillId="0" borderId="32" xfId="0" applyNumberFormat="1" applyFont="1" applyFill="1" applyBorder="1" applyAlignment="1">
      <alignment horizontal="center" vertical="center" wrapText="1"/>
    </xf>
    <xf numFmtId="0" fontId="42" fillId="0" borderId="0" xfId="5" applyAlignment="1" applyProtection="1"/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8" fontId="3" fillId="0" borderId="14" xfId="0" applyNumberFormat="1" applyFont="1" applyBorder="1" applyAlignment="1">
      <alignment horizontal="right"/>
    </xf>
    <xf numFmtId="8" fontId="43" fillId="0" borderId="14" xfId="0" applyNumberFormat="1" applyFont="1" applyBorder="1" applyAlignment="1">
      <alignment horizontal="right"/>
    </xf>
    <xf numFmtId="8" fontId="9" fillId="0" borderId="1" xfId="1" applyNumberFormat="1" applyFont="1" applyBorder="1" applyAlignment="1">
      <alignment horizontal="right" vertical="top"/>
    </xf>
    <xf numFmtId="8" fontId="9" fillId="0" borderId="6" xfId="1" applyNumberFormat="1" applyFont="1" applyBorder="1" applyAlignment="1">
      <alignment horizontal="right" vertical="top"/>
    </xf>
    <xf numFmtId="8" fontId="9" fillId="0" borderId="8" xfId="1" applyNumberFormat="1" applyFont="1" applyBorder="1" applyAlignment="1">
      <alignment horizontal="right" vertical="top"/>
    </xf>
    <xf numFmtId="8" fontId="9" fillId="0" borderId="9" xfId="1" applyNumberFormat="1" applyFont="1" applyBorder="1" applyAlignment="1">
      <alignment horizontal="right" vertical="top"/>
    </xf>
    <xf numFmtId="44" fontId="9" fillId="0" borderId="19" xfId="1" applyFont="1" applyBorder="1" applyAlignment="1">
      <alignment vertical="top"/>
    </xf>
    <xf numFmtId="8" fontId="9" fillId="0" borderId="29" xfId="1" applyNumberFormat="1" applyFont="1" applyBorder="1" applyAlignment="1">
      <alignment horizontal="right" vertical="top"/>
    </xf>
    <xf numFmtId="8" fontId="9" fillId="0" borderId="19" xfId="1" applyNumberFormat="1" applyFont="1" applyBorder="1" applyAlignment="1">
      <alignment horizontal="right" vertical="top"/>
    </xf>
    <xf numFmtId="0" fontId="9" fillId="0" borderId="35" xfId="0" applyFont="1" applyBorder="1" applyAlignment="1">
      <alignment vertical="top"/>
    </xf>
    <xf numFmtId="44" fontId="9" fillId="0" borderId="59" xfId="1" applyFont="1" applyBorder="1" applyAlignment="1">
      <alignment vertical="top"/>
    </xf>
    <xf numFmtId="8" fontId="9" fillId="0" borderId="23" xfId="1" applyNumberFormat="1" applyFont="1" applyBorder="1" applyAlignment="1">
      <alignment horizontal="right" vertical="top"/>
    </xf>
    <xf numFmtId="8" fontId="9" fillId="0" borderId="60" xfId="1" applyNumberFormat="1" applyFont="1" applyBorder="1" applyAlignment="1">
      <alignment horizontal="right" vertical="top"/>
    </xf>
    <xf numFmtId="0" fontId="9" fillId="0" borderId="11" xfId="0" applyFont="1" applyBorder="1" applyAlignment="1">
      <alignment vertical="top"/>
    </xf>
    <xf numFmtId="0" fontId="8" fillId="0" borderId="57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44" fontId="9" fillId="0" borderId="19" xfId="1" applyFont="1" applyBorder="1" applyAlignment="1">
      <alignment horizontal="right" vertical="top"/>
    </xf>
    <xf numFmtId="44" fontId="19" fillId="0" borderId="59" xfId="1" applyFont="1" applyBorder="1" applyAlignment="1">
      <alignment horizontal="center" vertical="top"/>
    </xf>
    <xf numFmtId="0" fontId="9" fillId="0" borderId="52" xfId="0" applyFont="1" applyBorder="1" applyAlignment="1">
      <alignment vertical="top"/>
    </xf>
    <xf numFmtId="0" fontId="8" fillId="0" borderId="37" xfId="0" applyFont="1" applyBorder="1" applyAlignment="1">
      <alignment horizontal="center" vertical="top"/>
    </xf>
    <xf numFmtId="8" fontId="9" fillId="0" borderId="5" xfId="1" applyNumberFormat="1" applyFont="1" applyBorder="1" applyAlignment="1">
      <alignment horizontal="right" vertical="top"/>
    </xf>
    <xf numFmtId="8" fontId="9" fillId="0" borderId="7" xfId="1" applyNumberFormat="1" applyFont="1" applyBorder="1" applyAlignment="1">
      <alignment horizontal="right" vertical="top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9" fillId="0" borderId="30" xfId="0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8" fillId="0" borderId="52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 wrapText="1"/>
    </xf>
    <xf numFmtId="0" fontId="9" fillId="0" borderId="47" xfId="0" applyFont="1" applyBorder="1" applyAlignment="1">
      <alignment vertical="top" wrapText="1"/>
    </xf>
    <xf numFmtId="0" fontId="8" fillId="0" borderId="36" xfId="0" applyFont="1" applyBorder="1" applyAlignment="1">
      <alignment horizontal="center" vertical="top" wrapText="1"/>
    </xf>
    <xf numFmtId="8" fontId="9" fillId="0" borderId="63" xfId="1" applyNumberFormat="1" applyFont="1" applyBorder="1" applyAlignment="1">
      <alignment horizontal="right" vertical="top"/>
    </xf>
    <xf numFmtId="8" fontId="9" fillId="0" borderId="10" xfId="1" applyNumberFormat="1" applyFont="1" applyBorder="1" applyAlignment="1">
      <alignment horizontal="right" vertical="top"/>
    </xf>
    <xf numFmtId="8" fontId="9" fillId="0" borderId="64" xfId="1" applyNumberFormat="1" applyFont="1" applyBorder="1" applyAlignment="1">
      <alignment horizontal="right" vertical="top"/>
    </xf>
    <xf numFmtId="8" fontId="9" fillId="0" borderId="59" xfId="1" applyNumberFormat="1" applyFont="1" applyBorder="1" applyAlignment="1">
      <alignment horizontal="right" vertical="top"/>
    </xf>
    <xf numFmtId="0" fontId="8" fillId="0" borderId="13" xfId="0" applyFont="1" applyBorder="1" applyAlignment="1">
      <alignment horizontal="center" vertical="top" wrapText="1"/>
    </xf>
    <xf numFmtId="44" fontId="9" fillId="0" borderId="2" xfId="1" applyFont="1" applyBorder="1" applyAlignment="1">
      <alignment horizontal="center" vertical="top"/>
    </xf>
    <xf numFmtId="44" fontId="9" fillId="0" borderId="3" xfId="1" applyFont="1" applyBorder="1" applyAlignment="1">
      <alignment horizontal="right" vertical="top"/>
    </xf>
    <xf numFmtId="8" fontId="9" fillId="0" borderId="65" xfId="1" applyNumberFormat="1" applyFont="1" applyBorder="1" applyAlignment="1">
      <alignment horizontal="right" vertical="top"/>
    </xf>
    <xf numFmtId="44" fontId="9" fillId="0" borderId="51" xfId="1" applyFont="1" applyBorder="1" applyAlignment="1">
      <alignment vertical="top"/>
    </xf>
    <xf numFmtId="8" fontId="13" fillId="0" borderId="1" xfId="0" applyNumberFormat="1" applyFont="1" applyBorder="1" applyAlignment="1">
      <alignment horizontal="center"/>
    </xf>
    <xf numFmtId="8" fontId="1" fillId="6" borderId="18" xfId="1" applyNumberFormat="1" applyFont="1" applyFill="1" applyBorder="1"/>
    <xf numFmtId="8" fontId="1" fillId="6" borderId="1" xfId="1" applyNumberFormat="1" applyFont="1" applyFill="1" applyBorder="1"/>
    <xf numFmtId="0" fontId="13" fillId="7" borderId="18" xfId="0" applyFont="1" applyFill="1" applyBorder="1"/>
    <xf numFmtId="8" fontId="1" fillId="7" borderId="18" xfId="1" applyNumberFormat="1" applyFont="1" applyFill="1" applyBorder="1"/>
    <xf numFmtId="8" fontId="1" fillId="7" borderId="1" xfId="1" applyNumberFormat="1" applyFont="1" applyFill="1" applyBorder="1"/>
    <xf numFmtId="0" fontId="0" fillId="7" borderId="1" xfId="0" applyFill="1" applyBorder="1"/>
    <xf numFmtId="0" fontId="1" fillId="7" borderId="1" xfId="0" applyFont="1" applyFill="1" applyBorder="1"/>
    <xf numFmtId="8" fontId="0" fillId="0" borderId="6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8" fontId="1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6" fontId="0" fillId="0" borderId="6" xfId="0" applyNumberFormat="1" applyBorder="1"/>
    <xf numFmtId="166" fontId="37" fillId="0" borderId="3" xfId="1" applyNumberFormat="1" applyFont="1" applyBorder="1" applyAlignment="1">
      <alignment horizontal="center" vertical="center" wrapText="1"/>
    </xf>
    <xf numFmtId="166" fontId="37" fillId="0" borderId="1" xfId="1" applyNumberFormat="1" applyFont="1" applyBorder="1" applyAlignment="1">
      <alignment horizontal="center" vertical="center" wrapText="1"/>
    </xf>
    <xf numFmtId="166" fontId="37" fillId="0" borderId="19" xfId="1" applyNumberFormat="1" applyFont="1" applyBorder="1" applyAlignment="1">
      <alignment horizontal="center" vertical="center" wrapText="1"/>
    </xf>
    <xf numFmtId="166" fontId="1" fillId="0" borderId="32" xfId="0" applyNumberFormat="1" applyFont="1" applyBorder="1" applyAlignment="1">
      <alignment horizontal="center" vertical="center"/>
    </xf>
    <xf numFmtId="166" fontId="37" fillId="0" borderId="3" xfId="0" applyNumberFormat="1" applyFont="1" applyBorder="1" applyAlignment="1">
      <alignment horizontal="right" vertical="center" wrapText="1"/>
    </xf>
    <xf numFmtId="166" fontId="37" fillId="0" borderId="19" xfId="0" applyNumberFormat="1" applyFont="1" applyBorder="1" applyAlignment="1">
      <alignment horizontal="right" vertical="center" wrapText="1"/>
    </xf>
    <xf numFmtId="166" fontId="37" fillId="0" borderId="1" xfId="0" applyNumberFormat="1" applyFont="1" applyBorder="1" applyAlignment="1">
      <alignment horizontal="right" vertical="center" wrapText="1"/>
    </xf>
    <xf numFmtId="166" fontId="37" fillId="0" borderId="18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 wrapText="1"/>
    </xf>
    <xf numFmtId="166" fontId="0" fillId="0" borderId="19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8" xfId="0" applyNumberFormat="1" applyFont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/>
    </xf>
    <xf numFmtId="0" fontId="13" fillId="9" borderId="32" xfId="0" applyFont="1" applyFill="1" applyBorder="1" applyAlignment="1">
      <alignment horizontal="center"/>
    </xf>
    <xf numFmtId="0" fontId="44" fillId="7" borderId="31" xfId="0" applyFont="1" applyFill="1" applyBorder="1"/>
    <xf numFmtId="166" fontId="1" fillId="0" borderId="47" xfId="0" applyNumberFormat="1" applyFont="1" applyBorder="1"/>
    <xf numFmtId="166" fontId="1" fillId="0" borderId="36" xfId="0" applyNumberFormat="1" applyFont="1" applyBorder="1"/>
    <xf numFmtId="166" fontId="0" fillId="0" borderId="3" xfId="0" applyNumberFormat="1" applyBorder="1"/>
    <xf numFmtId="166" fontId="0" fillId="0" borderId="4" xfId="0" applyNumberFormat="1" applyBorder="1"/>
    <xf numFmtId="166" fontId="1" fillId="7" borderId="1" xfId="0" applyNumberFormat="1" applyFont="1" applyFill="1" applyBorder="1"/>
    <xf numFmtId="166" fontId="1" fillId="7" borderId="6" xfId="0" applyNumberFormat="1" applyFont="1" applyFill="1" applyBorder="1"/>
    <xf numFmtId="166" fontId="0" fillId="0" borderId="1" xfId="0" applyNumberFormat="1" applyBorder="1"/>
    <xf numFmtId="166" fontId="1" fillId="0" borderId="1" xfId="0" applyNumberFormat="1" applyFont="1" applyBorder="1"/>
    <xf numFmtId="166" fontId="0" fillId="0" borderId="1" xfId="0" applyNumberFormat="1" applyFont="1" applyBorder="1"/>
    <xf numFmtId="166" fontId="0" fillId="0" borderId="6" xfId="0" applyNumberFormat="1" applyFont="1" applyBorder="1"/>
    <xf numFmtId="166" fontId="0" fillId="0" borderId="18" xfId="0" applyNumberFormat="1" applyFont="1" applyBorder="1"/>
    <xf numFmtId="166" fontId="0" fillId="0" borderId="34" xfId="0" applyNumberFormat="1" applyFont="1" applyBorder="1"/>
    <xf numFmtId="166" fontId="45" fillId="7" borderId="31" xfId="0" applyNumberFormat="1" applyFont="1" applyFill="1" applyBorder="1"/>
    <xf numFmtId="166" fontId="45" fillId="7" borderId="32" xfId="0" applyNumberFormat="1" applyFont="1" applyFill="1" applyBorder="1"/>
    <xf numFmtId="0" fontId="1" fillId="9" borderId="1" xfId="0" applyFont="1" applyFill="1" applyBorder="1" applyAlignment="1">
      <alignment horizontal="center"/>
    </xf>
    <xf numFmtId="8" fontId="20" fillId="8" borderId="12" xfId="2" applyNumberFormat="1" applyFont="1" applyFill="1" applyBorder="1"/>
    <xf numFmtId="8" fontId="20" fillId="8" borderId="11" xfId="0" applyNumberFormat="1" applyFont="1" applyFill="1" applyBorder="1" applyAlignment="1">
      <alignment horizontal="center"/>
    </xf>
    <xf numFmtId="9" fontId="20" fillId="8" borderId="12" xfId="0" applyNumberFormat="1" applyFont="1" applyFill="1" applyBorder="1" applyAlignment="1">
      <alignment horizontal="center"/>
    </xf>
    <xf numFmtId="8" fontId="20" fillId="0" borderId="0" xfId="2" applyNumberFormat="1" applyFont="1" applyFill="1" applyBorder="1"/>
    <xf numFmtId="8" fontId="12" fillId="0" borderId="0" xfId="0" applyNumberFormat="1" applyFont="1" applyFill="1" applyBorder="1"/>
    <xf numFmtId="8" fontId="0" fillId="0" borderId="0" xfId="0" applyNumberFormat="1" applyFill="1" applyBorder="1"/>
    <xf numFmtId="8" fontId="20" fillId="0" borderId="0" xfId="0" applyNumberFormat="1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8" fontId="0" fillId="0" borderId="1" xfId="1" applyNumberFormat="1" applyFont="1" applyBorder="1" applyAlignment="1">
      <alignment horizontal="center"/>
    </xf>
    <xf numFmtId="10" fontId="0" fillId="0" borderId="0" xfId="0" applyNumberFormat="1"/>
    <xf numFmtId="10" fontId="0" fillId="0" borderId="1" xfId="0" applyNumberFormat="1" applyBorder="1" applyAlignment="1">
      <alignment horizontal="center"/>
    </xf>
    <xf numFmtId="8" fontId="10" fillId="0" borderId="1" xfId="0" applyNumberFormat="1" applyFont="1" applyBorder="1" applyAlignment="1">
      <alignment horizontal="center" wrapText="1"/>
    </xf>
    <xf numFmtId="8" fontId="10" fillId="0" borderId="18" xfId="0" applyNumberFormat="1" applyFont="1" applyBorder="1" applyAlignment="1">
      <alignment horizontal="center" wrapText="1"/>
    </xf>
    <xf numFmtId="8" fontId="13" fillId="0" borderId="18" xfId="0" applyNumberFormat="1" applyFont="1" applyBorder="1" applyAlignment="1">
      <alignment horizontal="center"/>
    </xf>
    <xf numFmtId="7" fontId="35" fillId="0" borderId="1" xfId="0" applyNumberFormat="1" applyFont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8" fontId="31" fillId="0" borderId="1" xfId="1" applyNumberFormat="1" applyFont="1" applyFill="1" applyBorder="1"/>
    <xf numFmtId="167" fontId="31" fillId="0" borderId="1" xfId="0" applyNumberFormat="1" applyFont="1" applyFill="1" applyBorder="1"/>
    <xf numFmtId="8" fontId="31" fillId="0" borderId="6" xfId="1" applyNumberFormat="1" applyFont="1" applyFill="1" applyBorder="1"/>
    <xf numFmtId="0" fontId="31" fillId="11" borderId="5" xfId="0" applyFont="1" applyFill="1" applyBorder="1" applyAlignment="1">
      <alignment horizontal="center"/>
    </xf>
    <xf numFmtId="8" fontId="31" fillId="11" borderId="1" xfId="1" applyNumberFormat="1" applyFont="1" applyFill="1" applyBorder="1"/>
    <xf numFmtId="167" fontId="31" fillId="11" borderId="1" xfId="0" applyNumberFormat="1" applyFont="1" applyFill="1" applyBorder="1"/>
    <xf numFmtId="8" fontId="31" fillId="11" borderId="6" xfId="1" applyNumberFormat="1" applyFont="1" applyFill="1" applyBorder="1"/>
    <xf numFmtId="0" fontId="0" fillId="10" borderId="5" xfId="0" applyFont="1" applyFill="1" applyBorder="1" applyAlignment="1">
      <alignment horizontal="center"/>
    </xf>
    <xf numFmtId="8" fontId="7" fillId="10" borderId="1" xfId="1" applyNumberFormat="1" applyFont="1" applyFill="1" applyBorder="1"/>
    <xf numFmtId="167" fontId="0" fillId="10" borderId="1" xfId="0" applyNumberFormat="1" applyFont="1" applyFill="1" applyBorder="1"/>
    <xf numFmtId="8" fontId="7" fillId="10" borderId="6" xfId="1" applyNumberFormat="1" applyFont="1" applyFill="1" applyBorder="1"/>
    <xf numFmtId="0" fontId="1" fillId="3" borderId="5" xfId="0" applyFont="1" applyFill="1" applyBorder="1" applyAlignment="1">
      <alignment horizontal="center"/>
    </xf>
    <xf numFmtId="8" fontId="27" fillId="3" borderId="1" xfId="1" applyNumberFormat="1" applyFont="1" applyFill="1" applyBorder="1"/>
    <xf numFmtId="8" fontId="27" fillId="3" borderId="6" xfId="1" applyNumberFormat="1" applyFont="1" applyFill="1" applyBorder="1"/>
    <xf numFmtId="0" fontId="1" fillId="0" borderId="0" xfId="0" applyFont="1" applyBorder="1" applyAlignment="1">
      <alignment horizont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3" fillId="7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35" fillId="7" borderId="5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41" fillId="7" borderId="30" xfId="0" applyFont="1" applyFill="1" applyBorder="1" applyAlignment="1">
      <alignment wrapText="1"/>
    </xf>
    <xf numFmtId="0" fontId="27" fillId="9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13" fillId="6" borderId="18" xfId="0" applyFont="1" applyFill="1" applyBorder="1" applyAlignment="1">
      <alignment wrapText="1"/>
    </xf>
    <xf numFmtId="0" fontId="13" fillId="8" borderId="11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166" fontId="0" fillId="0" borderId="37" xfId="0" applyNumberFormat="1" applyBorder="1"/>
    <xf numFmtId="166" fontId="0" fillId="0" borderId="38" xfId="0" applyNumberFormat="1" applyBorder="1"/>
    <xf numFmtId="8" fontId="0" fillId="0" borderId="38" xfId="0" applyNumberFormat="1" applyBorder="1"/>
    <xf numFmtId="166" fontId="0" fillId="0" borderId="66" xfId="0" applyNumberFormat="1" applyBorder="1"/>
    <xf numFmtId="166" fontId="0" fillId="0" borderId="41" xfId="0" applyNumberFormat="1" applyBorder="1"/>
    <xf numFmtId="166" fontId="45" fillId="0" borderId="14" xfId="0" applyNumberFormat="1" applyFont="1" applyBorder="1"/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8" fontId="3" fillId="0" borderId="0" xfId="0" applyNumberFormat="1" applyFont="1" applyFill="1" applyBorder="1" applyAlignment="1">
      <alignment horizontal="justify" vertical="top"/>
    </xf>
    <xf numFmtId="0" fontId="46" fillId="0" borderId="1" xfId="0" applyFont="1" applyBorder="1"/>
    <xf numFmtId="166" fontId="46" fillId="0" borderId="1" xfId="0" applyNumberFormat="1" applyFont="1" applyBorder="1"/>
    <xf numFmtId="0" fontId="1" fillId="0" borderId="52" xfId="0" applyFont="1" applyFill="1" applyBorder="1" applyAlignment="1">
      <alignment horizont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169" fontId="33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top"/>
    </xf>
    <xf numFmtId="9" fontId="33" fillId="0" borderId="1" xfId="0" applyNumberFormat="1" applyFont="1" applyFill="1" applyBorder="1" applyAlignment="1">
      <alignment horizontal="center" vertical="center"/>
    </xf>
    <xf numFmtId="9" fontId="33" fillId="0" borderId="1" xfId="3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33" fillId="5" borderId="5" xfId="0" applyFont="1" applyFill="1" applyBorder="1" applyAlignment="1">
      <alignment horizontal="left" vertical="top"/>
    </xf>
    <xf numFmtId="44" fontId="17" fillId="0" borderId="6" xfId="1" applyFont="1" applyBorder="1" applyAlignment="1">
      <alignment horizontal="center" vertical="top"/>
    </xf>
    <xf numFmtId="0" fontId="33" fillId="0" borderId="5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center" vertical="top"/>
    </xf>
    <xf numFmtId="9" fontId="16" fillId="0" borderId="8" xfId="0" applyNumberFormat="1" applyFont="1" applyBorder="1" applyAlignment="1">
      <alignment horizontal="center" vertical="top"/>
    </xf>
    <xf numFmtId="1" fontId="16" fillId="0" borderId="8" xfId="0" applyNumberFormat="1" applyFont="1" applyBorder="1" applyAlignment="1">
      <alignment horizontal="center" vertical="top"/>
    </xf>
    <xf numFmtId="0" fontId="0" fillId="0" borderId="8" xfId="0" applyBorder="1" applyAlignment="1">
      <alignment vertical="top"/>
    </xf>
    <xf numFmtId="44" fontId="16" fillId="0" borderId="9" xfId="1" applyFont="1" applyBorder="1" applyAlignment="1">
      <alignment horizontal="center" vertical="top"/>
    </xf>
    <xf numFmtId="171" fontId="0" fillId="0" borderId="0" xfId="0" applyNumberFormat="1"/>
    <xf numFmtId="8" fontId="13" fillId="0" borderId="1" xfId="0" applyNumberFormat="1" applyFont="1" applyBorder="1" applyAlignment="1">
      <alignment horizontal="center" vertical="center"/>
    </xf>
    <xf numFmtId="0" fontId="0" fillId="0" borderId="19" xfId="0" applyBorder="1"/>
    <xf numFmtId="0" fontId="1" fillId="0" borderId="32" xfId="0" applyFont="1" applyBorder="1"/>
    <xf numFmtId="8" fontId="13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7" xfId="0" applyFont="1" applyBorder="1"/>
    <xf numFmtId="8" fontId="13" fillId="0" borderId="8" xfId="0" applyNumberFormat="1" applyFont="1" applyBorder="1" applyAlignment="1">
      <alignment horizontal="center" vertical="center"/>
    </xf>
    <xf numFmtId="8" fontId="13" fillId="0" borderId="9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8" fontId="0" fillId="0" borderId="23" xfId="0" applyNumberForma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8" fontId="0" fillId="0" borderId="69" xfId="0" applyNumberForma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5" fillId="12" borderId="11" xfId="0" applyFont="1" applyFill="1" applyBorder="1" applyAlignment="1">
      <alignment horizontal="center" vertical="top" wrapText="1"/>
    </xf>
    <xf numFmtId="0" fontId="5" fillId="12" borderId="30" xfId="0" applyFont="1" applyFill="1" applyBorder="1" applyAlignment="1">
      <alignment horizontal="center" vertical="top" wrapText="1"/>
    </xf>
    <xf numFmtId="0" fontId="5" fillId="12" borderId="31" xfId="0" applyFont="1" applyFill="1" applyBorder="1" applyAlignment="1">
      <alignment horizontal="center" vertical="top" wrapText="1"/>
    </xf>
    <xf numFmtId="0" fontId="5" fillId="12" borderId="32" xfId="0" applyFont="1" applyFill="1" applyBorder="1" applyAlignment="1">
      <alignment horizontal="center" vertical="top" wrapText="1"/>
    </xf>
    <xf numFmtId="0" fontId="20" fillId="0" borderId="57" xfId="0" applyFont="1" applyFill="1" applyBorder="1" applyAlignment="1">
      <alignment horizontal="justify" vertical="top" wrapText="1"/>
    </xf>
    <xf numFmtId="8" fontId="14" fillId="0" borderId="19" xfId="0" applyNumberFormat="1" applyFont="1" applyBorder="1" applyAlignment="1">
      <alignment horizontal="center"/>
    </xf>
    <xf numFmtId="8" fontId="14" fillId="0" borderId="29" xfId="0" applyNumberFormat="1" applyFont="1" applyBorder="1" applyAlignment="1">
      <alignment horizontal="center"/>
    </xf>
    <xf numFmtId="0" fontId="20" fillId="0" borderId="41" xfId="0" applyFont="1" applyFill="1" applyBorder="1" applyAlignment="1">
      <alignment horizontal="justify" vertical="top" wrapText="1"/>
    </xf>
    <xf numFmtId="8" fontId="47" fillId="0" borderId="49" xfId="0" applyNumberFormat="1" applyFont="1" applyFill="1" applyBorder="1" applyAlignment="1">
      <alignment horizontal="right"/>
    </xf>
    <xf numFmtId="8" fontId="47" fillId="0" borderId="14" xfId="0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justify" vertical="top" wrapText="1"/>
    </xf>
    <xf numFmtId="8" fontId="19" fillId="0" borderId="49" xfId="0" applyNumberFormat="1" applyFont="1" applyFill="1" applyBorder="1" applyAlignment="1">
      <alignment horizontal="center"/>
    </xf>
    <xf numFmtId="8" fontId="19" fillId="0" borderId="47" xfId="0" applyNumberFormat="1" applyFont="1" applyFill="1" applyBorder="1" applyAlignment="1">
      <alignment horizontal="center"/>
    </xf>
    <xf numFmtId="8" fontId="19" fillId="0" borderId="36" xfId="0" applyNumberFormat="1" applyFont="1" applyFill="1" applyBorder="1" applyAlignment="1">
      <alignment horizontal="center"/>
    </xf>
    <xf numFmtId="8" fontId="48" fillId="0" borderId="49" xfId="0" applyNumberFormat="1" applyFont="1" applyFill="1" applyBorder="1" applyAlignment="1">
      <alignment horizontal="center" vertical="top" wrapText="1"/>
    </xf>
    <xf numFmtId="8" fontId="48" fillId="0" borderId="47" xfId="0" applyNumberFormat="1" applyFont="1" applyFill="1" applyBorder="1" applyAlignment="1">
      <alignment horizontal="center" vertical="top" wrapText="1"/>
    </xf>
    <xf numFmtId="8" fontId="48" fillId="7" borderId="47" xfId="0" applyNumberFormat="1" applyFont="1" applyFill="1" applyBorder="1" applyAlignment="1">
      <alignment horizontal="center" vertical="top" wrapText="1"/>
    </xf>
    <xf numFmtId="8" fontId="49" fillId="0" borderId="47" xfId="0" applyNumberFormat="1" applyFont="1" applyFill="1" applyBorder="1" applyAlignment="1">
      <alignment horizontal="center" vertical="top" wrapText="1"/>
    </xf>
    <xf numFmtId="8" fontId="49" fillId="0" borderId="36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36" xfId="0" applyFont="1" applyBorder="1" applyAlignment="1">
      <alignment horizontal="center" vertical="top"/>
    </xf>
    <xf numFmtId="0" fontId="9" fillId="0" borderId="16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8" fontId="8" fillId="0" borderId="8" xfId="1" applyNumberFormat="1" applyFont="1" applyBorder="1" applyAlignment="1">
      <alignment horizontal="right" vertical="top"/>
    </xf>
    <xf numFmtId="8" fontId="8" fillId="0" borderId="9" xfId="1" applyNumberFormat="1" applyFont="1" applyBorder="1" applyAlignment="1">
      <alignment horizontal="right" vertical="top"/>
    </xf>
    <xf numFmtId="0" fontId="0" fillId="0" borderId="2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/>
    </xf>
    <xf numFmtId="44" fontId="9" fillId="0" borderId="13" xfId="1" applyFont="1" applyBorder="1" applyAlignment="1">
      <alignment horizontal="center" vertical="top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45" fillId="0" borderId="35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3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9" fillId="0" borderId="58" xfId="0" applyFont="1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8" fontId="32" fillId="0" borderId="7" xfId="0" applyNumberFormat="1" applyFont="1" applyBorder="1" applyAlignment="1">
      <alignment horizontal="center" vertical="center"/>
    </xf>
    <xf numFmtId="8" fontId="32" fillId="0" borderId="8" xfId="0" applyNumberFormat="1" applyFont="1" applyBorder="1" applyAlignment="1">
      <alignment horizontal="center" vertical="center"/>
    </xf>
    <xf numFmtId="172" fontId="38" fillId="0" borderId="1" xfId="1" applyNumberFormat="1" applyFont="1" applyBorder="1" applyAlignment="1">
      <alignment horizontal="center" vertical="center"/>
    </xf>
    <xf numFmtId="172" fontId="38" fillId="0" borderId="18" xfId="1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top"/>
    </xf>
    <xf numFmtId="0" fontId="8" fillId="0" borderId="46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7" fillId="9" borderId="30" xfId="0" applyFont="1" applyFill="1" applyBorder="1" applyAlignment="1">
      <alignment horizontal="center" wrapText="1"/>
    </xf>
    <xf numFmtId="0" fontId="27" fillId="9" borderId="31" xfId="0" applyFont="1" applyFill="1" applyBorder="1" applyAlignment="1">
      <alignment horizontal="center" wrapText="1"/>
    </xf>
    <xf numFmtId="0" fontId="27" fillId="9" borderId="32" xfId="0" applyFont="1" applyFill="1" applyBorder="1" applyAlignment="1">
      <alignment horizontal="center" wrapText="1"/>
    </xf>
    <xf numFmtId="0" fontId="27" fillId="3" borderId="30" xfId="0" applyFont="1" applyFill="1" applyBorder="1" applyAlignment="1">
      <alignment horizontal="center" wrapText="1"/>
    </xf>
    <xf numFmtId="0" fontId="27" fillId="3" borderId="31" xfId="0" applyFont="1" applyFill="1" applyBorder="1" applyAlignment="1">
      <alignment horizontal="center" wrapText="1"/>
    </xf>
    <xf numFmtId="0" fontId="27" fillId="3" borderId="3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textRotation="19"/>
    </xf>
    <xf numFmtId="0" fontId="0" fillId="0" borderId="18" xfId="0" applyBorder="1" applyAlignment="1">
      <alignment horizontal="center" vertical="center" textRotation="19"/>
    </xf>
    <xf numFmtId="0" fontId="0" fillId="0" borderId="48" xfId="0" applyBorder="1" applyAlignment="1">
      <alignment horizontal="center" vertical="center" textRotation="19"/>
    </xf>
    <xf numFmtId="0" fontId="0" fillId="0" borderId="19" xfId="0" applyBorder="1" applyAlignment="1">
      <alignment horizontal="center" vertical="center" textRotation="19"/>
    </xf>
    <xf numFmtId="0" fontId="1" fillId="0" borderId="58" xfId="0" applyFont="1" applyBorder="1" applyAlignment="1">
      <alignment horizontal="center"/>
    </xf>
  </cellXfs>
  <cellStyles count="6">
    <cellStyle name="Hipervínculo" xfId="5" builtinId="8"/>
    <cellStyle name="Millares" xfId="3" builtinId="3"/>
    <cellStyle name="Moneda" xfId="1" builtinId="4"/>
    <cellStyle name="Moneda 2" xfId="2"/>
    <cellStyle name="Normal" xfId="0" builtinId="0"/>
    <cellStyle name="Porcentual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s-EC"/>
              <a:t>VAN - VARIACIÓN EN INGRESOS</a:t>
            </a:r>
          </a:p>
        </c:rich>
      </c:tx>
      <c:layout>
        <c:manualLayout>
          <c:xMode val="edge"/>
          <c:yMode val="edge"/>
          <c:x val="0.17013188976377952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Sensibilidad!$E$5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cat>
            <c:numRef>
              <c:f>Sensibilidad!$D$6:$D$11</c:f>
              <c:numCache>
                <c:formatCode>General</c:formatCode>
                <c:ptCount val="6"/>
                <c:pt idx="0" formatCode="0%">
                  <c:v>0.05</c:v>
                </c:pt>
                <c:pt idx="1">
                  <c:v>0</c:v>
                </c:pt>
                <c:pt idx="2" formatCode="0%">
                  <c:v>-0.05</c:v>
                </c:pt>
                <c:pt idx="3" formatCode="0%">
                  <c:v>-0.1</c:v>
                </c:pt>
                <c:pt idx="4" formatCode="0%">
                  <c:v>-0.15</c:v>
                </c:pt>
                <c:pt idx="5" formatCode="0%">
                  <c:v>-0.2</c:v>
                </c:pt>
              </c:numCache>
            </c:numRef>
          </c:cat>
          <c:val>
            <c:numRef>
              <c:f>Sensibilidad!$E$6:$E$11</c:f>
              <c:numCache>
                <c:formatCode>"$"\ #,##0.00</c:formatCode>
                <c:ptCount val="6"/>
                <c:pt idx="0">
                  <c:v>200878.93</c:v>
                </c:pt>
                <c:pt idx="1">
                  <c:v>136914.01991331019</c:v>
                </c:pt>
                <c:pt idx="2">
                  <c:v>72949.11</c:v>
                </c:pt>
                <c:pt idx="3" formatCode="&quot;$&quot;\ #,##0.00_);[Red]\(&quot;$&quot;\ #,##0.00\)">
                  <c:v>8984.2000000000007</c:v>
                </c:pt>
                <c:pt idx="4" formatCode="&quot;$&quot;\ #,##0.00_);[Red]\(&quot;$&quot;\ #,##0.00\)">
                  <c:v>-54980.71</c:v>
                </c:pt>
                <c:pt idx="5" formatCode="&quot;$&quot;\ #,##0.00_);[Red]\(&quot;$&quot;\ #,##0.00\)">
                  <c:v>-118945.62</c:v>
                </c:pt>
              </c:numCache>
            </c:numRef>
          </c:val>
        </c:ser>
        <c:ser>
          <c:idx val="1"/>
          <c:order val="1"/>
          <c:tx>
            <c:v>VARIACIONES INGRESOS</c:v>
          </c:tx>
          <c:marker>
            <c:symbol val="none"/>
          </c:marker>
          <c:cat>
            <c:numRef>
              <c:f>Sensibilidad!$D$6:$D$11</c:f>
              <c:numCache>
                <c:formatCode>General</c:formatCode>
                <c:ptCount val="6"/>
                <c:pt idx="0" formatCode="0%">
                  <c:v>0.05</c:v>
                </c:pt>
                <c:pt idx="1">
                  <c:v>0</c:v>
                </c:pt>
                <c:pt idx="2" formatCode="0%">
                  <c:v>-0.05</c:v>
                </c:pt>
                <c:pt idx="3" formatCode="0%">
                  <c:v>-0.1</c:v>
                </c:pt>
                <c:pt idx="4" formatCode="0%">
                  <c:v>-0.15</c:v>
                </c:pt>
                <c:pt idx="5" formatCode="0%">
                  <c:v>-0.2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Sensibilidad!$F$3</c:f>
              <c:strCache>
                <c:ptCount val="1"/>
                <c:pt idx="0">
                  <c:v>TMAR</c:v>
                </c:pt>
              </c:strCache>
            </c:strRef>
          </c:tx>
          <c:marker>
            <c:symbol val="none"/>
          </c:marker>
          <c:val>
            <c:numRef>
              <c:f>Sensibilidad!$I$6:$I$11</c:f>
              <c:numCache>
                <c:formatCode>General</c:formatCode>
                <c:ptCount val="6"/>
              </c:numCache>
            </c:numRef>
          </c:val>
        </c:ser>
        <c:marker val="1"/>
        <c:axId val="125651968"/>
        <c:axId val="125670528"/>
      </c:lineChart>
      <c:catAx>
        <c:axId val="125651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Variación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25670528"/>
        <c:crosses val="autoZero"/>
        <c:auto val="1"/>
        <c:lblAlgn val="ctr"/>
        <c:lblOffset val="100"/>
      </c:catAx>
      <c:valAx>
        <c:axId val="125670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VAN</a:t>
                </a:r>
              </a:p>
            </c:rich>
          </c:tx>
          <c:layout/>
        </c:title>
        <c:numFmt formatCode="&quot;$&quot;\ #,##0.00" sourceLinked="1"/>
        <c:tickLblPos val="nextTo"/>
        <c:crossAx val="125651968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s-EC"/>
              <a:t>SENSIBILIDAD</a:t>
            </a:r>
            <a:r>
              <a:rPr lang="es-EC" baseline="0"/>
              <a:t> COSTOS - VAN</a:t>
            </a:r>
            <a:endParaRPr lang="es-EC"/>
          </a:p>
        </c:rich>
      </c:tx>
      <c:layout/>
    </c:title>
    <c:plotArea>
      <c:layout>
        <c:manualLayout>
          <c:layoutTarget val="inner"/>
          <c:xMode val="edge"/>
          <c:yMode val="edge"/>
          <c:x val="0.27208573928259022"/>
          <c:y val="0.19480351414406533"/>
          <c:w val="0.5531502624671929"/>
          <c:h val="0.68387685914260721"/>
        </c:manualLayout>
      </c:layout>
      <c:lineChart>
        <c:grouping val="standard"/>
        <c:ser>
          <c:idx val="0"/>
          <c:order val="0"/>
          <c:tx>
            <c:strRef>
              <c:f>Sensibilidad!$E$15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cat>
            <c:numRef>
              <c:f>Sensibilidad!$D$16:$D$21</c:f>
              <c:numCache>
                <c:formatCode>0%</c:formatCode>
                <c:ptCount val="6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0.1</c:v>
                </c:pt>
                <c:pt idx="4" formatCode="General">
                  <c:v>0</c:v>
                </c:pt>
                <c:pt idx="5">
                  <c:v>-0.05</c:v>
                </c:pt>
              </c:numCache>
            </c:numRef>
          </c:cat>
          <c:val>
            <c:numRef>
              <c:f>Sensibilidad!$E$16:$E$21</c:f>
              <c:numCache>
                <c:formatCode>"$"\ #,##0.00_);[Red]\("$"\ #,##0.00\)</c:formatCode>
                <c:ptCount val="6"/>
                <c:pt idx="0">
                  <c:v>-47304.92</c:v>
                </c:pt>
                <c:pt idx="1">
                  <c:v>-1250.19</c:v>
                </c:pt>
                <c:pt idx="2" formatCode="&quot;$&quot;\ #,##0.00">
                  <c:v>44804.55</c:v>
                </c:pt>
                <c:pt idx="3" formatCode="&quot;$&quot;\ #,##0.00">
                  <c:v>90859.28</c:v>
                </c:pt>
                <c:pt idx="4" formatCode="&quot;$&quot;\ #,##0.00">
                  <c:v>136914.01991331019</c:v>
                </c:pt>
                <c:pt idx="5" formatCode="&quot;$&quot;\ #,##0.00">
                  <c:v>159941.39000000001</c:v>
                </c:pt>
              </c:numCache>
            </c:numRef>
          </c:val>
        </c:ser>
        <c:hiLowLines/>
        <c:marker val="1"/>
        <c:axId val="125679872"/>
        <c:axId val="125501824"/>
      </c:lineChart>
      <c:catAx>
        <c:axId val="12567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Variación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25501824"/>
        <c:crosses val="autoZero"/>
        <c:auto val="1"/>
        <c:lblAlgn val="ctr"/>
        <c:lblOffset val="100"/>
      </c:catAx>
      <c:valAx>
        <c:axId val="125501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VAN</a:t>
                </a:r>
              </a:p>
            </c:rich>
          </c:tx>
          <c:layout/>
        </c:title>
        <c:numFmt formatCode="&quot;$&quot;\ #,##0.00_);[Red]\(&quot;$&quot;\ #,##0.00\)" sourceLinked="1"/>
        <c:tickLblPos val="nextTo"/>
        <c:crossAx val="125679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 algn="l">
              <a:defRPr/>
            </a:pPr>
            <a:r>
              <a:rPr lang="en-US"/>
              <a:t>SENSIBILIDAD</a:t>
            </a:r>
            <a:r>
              <a:rPr lang="en-US" baseline="0"/>
              <a:t> COSTOS - TIR</a:t>
            </a:r>
            <a:endParaRPr lang="en-US"/>
          </a:p>
        </c:rich>
      </c:tx>
      <c:layout>
        <c:manualLayout>
          <c:xMode val="edge"/>
          <c:yMode val="edge"/>
          <c:x val="0.20316666666666666"/>
          <c:y val="4.629629629629641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Sensibilidad!$F$15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cat>
            <c:numRef>
              <c:f>Sensibilidad!$D$16:$D$21</c:f>
              <c:numCache>
                <c:formatCode>0%</c:formatCode>
                <c:ptCount val="6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0.1</c:v>
                </c:pt>
                <c:pt idx="4" formatCode="General">
                  <c:v>0</c:v>
                </c:pt>
                <c:pt idx="5">
                  <c:v>-0.05</c:v>
                </c:pt>
              </c:numCache>
            </c:numRef>
          </c:cat>
          <c:val>
            <c:numRef>
              <c:f>Sensibilidad!$F$16:$F$21</c:f>
              <c:numCache>
                <c:formatCode>0%</c:formatCode>
                <c:ptCount val="6"/>
                <c:pt idx="0">
                  <c:v>0.11</c:v>
                </c:pt>
                <c:pt idx="1">
                  <c:v>0.16</c:v>
                </c:pt>
                <c:pt idx="2">
                  <c:v>0.21</c:v>
                </c:pt>
                <c:pt idx="3">
                  <c:v>0.26</c:v>
                </c:pt>
                <c:pt idx="4">
                  <c:v>0.30938994997836117</c:v>
                </c:pt>
                <c:pt idx="5">
                  <c:v>0.33</c:v>
                </c:pt>
              </c:numCache>
            </c:numRef>
          </c:val>
        </c:ser>
        <c:ser>
          <c:idx val="1"/>
          <c:order val="1"/>
          <c:tx>
            <c:strRef>
              <c:f>Sensibilidad!$G$15</c:f>
              <c:strCache>
                <c:ptCount val="1"/>
                <c:pt idx="0">
                  <c:v>TMAR</c:v>
                </c:pt>
              </c:strCache>
            </c:strRef>
          </c:tx>
          <c:marker>
            <c:symbol val="none"/>
          </c:marker>
          <c:val>
            <c:numRef>
              <c:f>Sensibilidad!$G$16:$G$21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0.16209999999999999</c:v>
                </c:pt>
                <c:pt idx="2">
                  <c:v>0.16209999999999999</c:v>
                </c:pt>
                <c:pt idx="3">
                  <c:v>0.16209999999999999</c:v>
                </c:pt>
                <c:pt idx="4">
                  <c:v>0.16209999999999999</c:v>
                </c:pt>
                <c:pt idx="5">
                  <c:v>0.16209999999999999</c:v>
                </c:pt>
              </c:numCache>
            </c:numRef>
          </c:val>
        </c:ser>
        <c:marker val="1"/>
        <c:axId val="125539456"/>
        <c:axId val="125541376"/>
      </c:lineChart>
      <c:catAx>
        <c:axId val="12553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Variación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25541376"/>
        <c:crosses val="autoZero"/>
        <c:auto val="1"/>
        <c:lblAlgn val="ctr"/>
        <c:lblOffset val="100"/>
      </c:catAx>
      <c:valAx>
        <c:axId val="125541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de TIR</a:t>
                </a:r>
              </a:p>
            </c:rich>
          </c:tx>
          <c:layout/>
        </c:title>
        <c:numFmt formatCode="0%" sourceLinked="1"/>
        <c:tickLblPos val="nextTo"/>
        <c:crossAx val="12553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SENSIBILIDAD</a:t>
            </a:r>
            <a:r>
              <a:rPr lang="en-US" baseline="0"/>
              <a:t> </a:t>
            </a:r>
            <a:r>
              <a:rPr lang="en-US"/>
              <a:t>INGRESOS - TIR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519685039370078"/>
          <c:y val="0.1901738845144357"/>
          <c:w val="0.65024759405074362"/>
          <c:h val="0.59104512977544366"/>
        </c:manualLayout>
      </c:layout>
      <c:lineChart>
        <c:grouping val="standard"/>
        <c:ser>
          <c:idx val="0"/>
          <c:order val="0"/>
          <c:tx>
            <c:strRef>
              <c:f>Sensibilidad!$F$5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cat>
            <c:numRef>
              <c:f>Sensibilidad!$D$6:$D$11</c:f>
              <c:numCache>
                <c:formatCode>General</c:formatCode>
                <c:ptCount val="6"/>
                <c:pt idx="0" formatCode="0%">
                  <c:v>0.05</c:v>
                </c:pt>
                <c:pt idx="1">
                  <c:v>0</c:v>
                </c:pt>
                <c:pt idx="2" formatCode="0%">
                  <c:v>-0.05</c:v>
                </c:pt>
                <c:pt idx="3" formatCode="0%">
                  <c:v>-0.1</c:v>
                </c:pt>
                <c:pt idx="4" formatCode="0%">
                  <c:v>-0.15</c:v>
                </c:pt>
                <c:pt idx="5" formatCode="0%">
                  <c:v>-0.2</c:v>
                </c:pt>
              </c:numCache>
            </c:numRef>
          </c:cat>
          <c:val>
            <c:numRef>
              <c:f>Sensibilidad!$F$6:$F$11</c:f>
              <c:numCache>
                <c:formatCode>0%</c:formatCode>
                <c:ptCount val="6"/>
                <c:pt idx="0">
                  <c:v>0.38</c:v>
                </c:pt>
                <c:pt idx="1">
                  <c:v>0.30938994997836117</c:v>
                </c:pt>
                <c:pt idx="2">
                  <c:v>0.24</c:v>
                </c:pt>
                <c:pt idx="3">
                  <c:v>0.17</c:v>
                </c:pt>
                <c:pt idx="4">
                  <c:v>0.1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v>TMAR</c:v>
          </c:tx>
          <c:marker>
            <c:symbol val="none"/>
          </c:marker>
          <c:val>
            <c:numRef>
              <c:f>Sensibilidad!$H$3</c:f>
              <c:numCache>
                <c:formatCode>0.00%</c:formatCode>
                <c:ptCount val="1"/>
                <c:pt idx="0">
                  <c:v>0.16209999999999999</c:v>
                </c:pt>
              </c:numCache>
            </c:numRef>
          </c:val>
        </c:ser>
        <c:ser>
          <c:idx val="2"/>
          <c:order val="2"/>
          <c:tx>
            <c:strRef>
              <c:f>Sensibilidad!$F$3</c:f>
              <c:strCache>
                <c:ptCount val="1"/>
                <c:pt idx="0">
                  <c:v>TMAR</c:v>
                </c:pt>
              </c:strCache>
            </c:strRef>
          </c:tx>
          <c:marker>
            <c:symbol val="none"/>
          </c:marker>
          <c:val>
            <c:numRef>
              <c:f>Sensibilidad!$G$16:$G$21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0.16209999999999999</c:v>
                </c:pt>
                <c:pt idx="2">
                  <c:v>0.16209999999999999</c:v>
                </c:pt>
                <c:pt idx="3">
                  <c:v>0.16209999999999999</c:v>
                </c:pt>
                <c:pt idx="4">
                  <c:v>0.16209999999999999</c:v>
                </c:pt>
                <c:pt idx="5">
                  <c:v>0.16209999999999999</c:v>
                </c:pt>
              </c:numCache>
            </c:numRef>
          </c:val>
        </c:ser>
        <c:marker val="1"/>
        <c:axId val="127812352"/>
        <c:axId val="127814272"/>
      </c:lineChart>
      <c:catAx>
        <c:axId val="12781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Variación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27814272"/>
        <c:crosses val="autoZero"/>
        <c:auto val="1"/>
        <c:lblAlgn val="ctr"/>
        <c:lblOffset val="100"/>
      </c:catAx>
      <c:valAx>
        <c:axId val="127814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TIR</a:t>
                </a:r>
              </a:p>
            </c:rich>
          </c:tx>
          <c:layout/>
        </c:title>
        <c:numFmt formatCode="0%" sourceLinked="1"/>
        <c:tickLblPos val="nextTo"/>
        <c:crossAx val="127812352"/>
        <c:crosses val="autoZero"/>
        <c:crossBetween val="between"/>
      </c:valAx>
    </c:plotArea>
    <c:legend>
      <c:legendPos val="r"/>
      <c:legendEntry>
        <c:idx val="1"/>
        <c:delete val="1"/>
      </c:legendEntry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142875</xdr:rowOff>
    </xdr:from>
    <xdr:to>
      <xdr:col>15</xdr:col>
      <xdr:colOff>9525</xdr:colOff>
      <xdr:row>17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714375</xdr:colOff>
      <xdr:row>19</xdr:row>
      <xdr:rowOff>152400</xdr:rowOff>
    </xdr:from>
    <xdr:to>
      <xdr:col>14</xdr:col>
      <xdr:colOff>714375</xdr:colOff>
      <xdr:row>34</xdr:row>
      <xdr:rowOff>38100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180975</xdr:colOff>
      <xdr:row>19</xdr:row>
      <xdr:rowOff>114300</xdr:rowOff>
    </xdr:from>
    <xdr:to>
      <xdr:col>21</xdr:col>
      <xdr:colOff>180975</xdr:colOff>
      <xdr:row>34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180975</xdr:rowOff>
    </xdr:from>
    <xdr:to>
      <xdr:col>21</xdr:col>
      <xdr:colOff>133350</xdr:colOff>
      <xdr:row>17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ebcache.googleusercontent.com/search?q=cache:4AIf42ySFLAJ" TargetMode="External"/><Relationship Id="rId1" Type="http://schemas.openxmlformats.org/officeDocument/2006/relationships/hyperlink" Target="http://www.bce.fin.ec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zoomScaleNormal="100" workbookViewId="0">
      <selection activeCell="D9" sqref="D9:I14"/>
    </sheetView>
  </sheetViews>
  <sheetFormatPr baseColWidth="10" defaultRowHeight="15"/>
  <cols>
    <col min="1" max="1" width="12.5703125" customWidth="1"/>
    <col min="2" max="2" width="16.42578125" bestFit="1" customWidth="1"/>
    <col min="3" max="3" width="18" bestFit="1" customWidth="1"/>
    <col min="4" max="4" width="13" bestFit="1" customWidth="1"/>
    <col min="5" max="5" width="30.7109375" bestFit="1" customWidth="1"/>
    <col min="6" max="6" width="7.7109375" bestFit="1" customWidth="1"/>
  </cols>
  <sheetData>
    <row r="1" spans="1:6" s="8" customFormat="1" ht="18.75" thickBot="1">
      <c r="A1" s="103" t="s">
        <v>134</v>
      </c>
      <c r="B1" s="104" t="s">
        <v>135</v>
      </c>
      <c r="C1" s="104" t="s">
        <v>136</v>
      </c>
      <c r="E1" s="109" t="s">
        <v>141</v>
      </c>
      <c r="F1" s="110">
        <f>B5</f>
        <v>58243</v>
      </c>
    </row>
    <row r="2" spans="1:6" s="8" customFormat="1" ht="16.5" thickBot="1">
      <c r="A2" s="105" t="s">
        <v>137</v>
      </c>
      <c r="B2" s="106">
        <v>40604</v>
      </c>
      <c r="C2" s="106">
        <v>98417</v>
      </c>
      <c r="E2" s="111" t="s">
        <v>142</v>
      </c>
      <c r="F2" s="106">
        <v>500</v>
      </c>
    </row>
    <row r="3" spans="1:6" s="8" customFormat="1" ht="16.5" thickBot="1">
      <c r="A3" s="105" t="s">
        <v>138</v>
      </c>
      <c r="B3" s="106">
        <v>17597</v>
      </c>
      <c r="C3" s="106">
        <v>43734</v>
      </c>
      <c r="E3" s="111" t="s">
        <v>158</v>
      </c>
      <c r="F3" s="106">
        <v>210</v>
      </c>
    </row>
    <row r="4" spans="1:6" s="8" customFormat="1" ht="16.5" thickBot="1">
      <c r="A4" s="105" t="s">
        <v>139</v>
      </c>
      <c r="B4" s="106">
        <v>42</v>
      </c>
      <c r="C4" s="106">
        <v>110</v>
      </c>
      <c r="E4" s="112" t="s">
        <v>202</v>
      </c>
      <c r="F4" s="113">
        <f>F3*0.12</f>
        <v>25.2</v>
      </c>
    </row>
    <row r="5" spans="1:6" s="8" customFormat="1" ht="18" thickBot="1">
      <c r="A5" s="107" t="s">
        <v>140</v>
      </c>
      <c r="B5" s="108">
        <v>58243</v>
      </c>
      <c r="C5" s="108">
        <v>142261</v>
      </c>
    </row>
    <row r="6" spans="1:6" s="8" customFormat="1"/>
    <row r="7" spans="1:6" ht="15.75" thickBot="1">
      <c r="A7" s="8"/>
      <c r="B7" s="8"/>
      <c r="C7" s="8"/>
    </row>
    <row r="8" spans="1:6" ht="15.75" customHeight="1">
      <c r="A8" s="528" t="s">
        <v>95</v>
      </c>
      <c r="B8" s="530" t="s">
        <v>96</v>
      </c>
      <c r="C8" s="528" t="s">
        <v>97</v>
      </c>
      <c r="D8" s="1"/>
    </row>
    <row r="9" spans="1:6" ht="15.75" customHeight="1" thickBot="1">
      <c r="A9" s="529"/>
      <c r="B9" s="531"/>
      <c r="C9" s="529"/>
      <c r="D9" s="1"/>
    </row>
    <row r="10" spans="1:6" ht="15.75" thickBot="1">
      <c r="A10" s="70">
        <v>2012</v>
      </c>
      <c r="B10" s="71">
        <f>C10*12</f>
        <v>45000</v>
      </c>
      <c r="C10" s="71">
        <v>3750</v>
      </c>
      <c r="D10" s="532"/>
      <c r="E10" s="533"/>
    </row>
    <row r="11" spans="1:6" ht="15.75" thickBot="1">
      <c r="A11" s="70">
        <v>2013</v>
      </c>
      <c r="B11" s="72">
        <f t="shared" ref="B11:B19" si="0">B10*1.05</f>
        <v>47250</v>
      </c>
      <c r="C11" s="72">
        <f t="shared" ref="C11:C19" si="1">B11/12</f>
        <v>3937.5</v>
      </c>
      <c r="D11" s="1"/>
    </row>
    <row r="12" spans="1:6" ht="15.75" thickBot="1">
      <c r="A12" s="70">
        <v>2014</v>
      </c>
      <c r="B12" s="72">
        <f t="shared" si="0"/>
        <v>49612.5</v>
      </c>
      <c r="C12" s="72">
        <f t="shared" si="1"/>
        <v>4134.375</v>
      </c>
      <c r="D12" s="1"/>
    </row>
    <row r="13" spans="1:6" ht="15.75" thickBot="1">
      <c r="A13" s="70">
        <v>2015</v>
      </c>
      <c r="B13" s="72">
        <f t="shared" si="0"/>
        <v>52093.125</v>
      </c>
      <c r="C13" s="72">
        <f t="shared" si="1"/>
        <v>4341.09375</v>
      </c>
      <c r="D13" s="1"/>
    </row>
    <row r="14" spans="1:6" ht="15.75" thickBot="1">
      <c r="A14" s="70">
        <v>2016</v>
      </c>
      <c r="B14" s="72">
        <f t="shared" si="0"/>
        <v>54697.78125</v>
      </c>
      <c r="C14" s="72">
        <f t="shared" si="1"/>
        <v>4558.1484375</v>
      </c>
      <c r="D14" s="1"/>
    </row>
    <row r="15" spans="1:6" ht="15.75" thickBot="1">
      <c r="A15" s="70">
        <v>2017</v>
      </c>
      <c r="B15" s="72">
        <f t="shared" si="0"/>
        <v>57432.670312500006</v>
      </c>
      <c r="C15" s="72">
        <f t="shared" si="1"/>
        <v>4786.0558593750002</v>
      </c>
      <c r="D15" s="1"/>
    </row>
    <row r="16" spans="1:6" ht="15.75" thickBot="1">
      <c r="A16" s="70">
        <v>2018</v>
      </c>
      <c r="B16" s="72">
        <f t="shared" si="0"/>
        <v>60304.303828125012</v>
      </c>
      <c r="C16" s="72">
        <f t="shared" si="1"/>
        <v>5025.3586523437507</v>
      </c>
      <c r="D16" s="1"/>
    </row>
    <row r="17" spans="1:4" ht="15.75" thickBot="1">
      <c r="A17" s="70">
        <v>2019</v>
      </c>
      <c r="B17" s="72">
        <f t="shared" si="0"/>
        <v>63319.519019531268</v>
      </c>
      <c r="C17" s="72">
        <f t="shared" si="1"/>
        <v>5276.626584960939</v>
      </c>
      <c r="D17" s="1"/>
    </row>
    <row r="18" spans="1:4" ht="15.75" thickBot="1">
      <c r="A18" s="70">
        <v>2020</v>
      </c>
      <c r="B18" s="72">
        <f t="shared" si="0"/>
        <v>66485.494970507832</v>
      </c>
      <c r="C18" s="72">
        <f t="shared" si="1"/>
        <v>5540.457914208986</v>
      </c>
      <c r="D18" s="1"/>
    </row>
    <row r="19" spans="1:4" ht="15.75" thickBot="1">
      <c r="A19" s="70">
        <v>2021</v>
      </c>
      <c r="B19" s="72">
        <f t="shared" si="0"/>
        <v>69809.769719033226</v>
      </c>
      <c r="C19" s="72">
        <f t="shared" si="1"/>
        <v>5817.4808099194352</v>
      </c>
      <c r="D19" s="1"/>
    </row>
  </sheetData>
  <mergeCells count="4">
    <mergeCell ref="A8:A9"/>
    <mergeCell ref="B8:B9"/>
    <mergeCell ref="C8:C9"/>
    <mergeCell ref="D10:E1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opLeftCell="A13" zoomScale="90" zoomScaleNormal="90" workbookViewId="0">
      <selection activeCell="B3" sqref="B3:M20"/>
    </sheetView>
  </sheetViews>
  <sheetFormatPr baseColWidth="10" defaultRowHeight="15"/>
  <cols>
    <col min="1" max="1" width="11.42578125" style="8"/>
    <col min="2" max="2" width="30.42578125" style="1" customWidth="1"/>
    <col min="3" max="3" width="8.42578125" customWidth="1"/>
    <col min="4" max="4" width="12.7109375" customWidth="1"/>
    <col min="5" max="5" width="13.140625" customWidth="1"/>
    <col min="6" max="6" width="12.5703125" customWidth="1"/>
    <col min="7" max="7" width="12.28515625" customWidth="1"/>
    <col min="8" max="8" width="12.42578125" customWidth="1"/>
    <col min="9" max="9" width="12.140625" customWidth="1"/>
    <col min="10" max="10" width="12.42578125" customWidth="1"/>
    <col min="11" max="11" width="12.7109375" customWidth="1"/>
    <col min="12" max="12" width="12.28515625" customWidth="1"/>
    <col min="13" max="13" width="12.140625" customWidth="1"/>
  </cols>
  <sheetData>
    <row r="1" spans="2:13" s="8" customFormat="1">
      <c r="B1" s="1"/>
    </row>
    <row r="2" spans="2:13" s="8" customFormat="1">
      <c r="B2" s="1"/>
    </row>
    <row r="3" spans="2:13" ht="15.75" thickBot="1">
      <c r="B3" s="422" t="s">
        <v>146</v>
      </c>
      <c r="C3" s="17"/>
    </row>
    <row r="4" spans="2:13" ht="15.75" thickBot="1">
      <c r="B4" s="423" t="s">
        <v>95</v>
      </c>
      <c r="C4" s="372">
        <v>0</v>
      </c>
      <c r="D4" s="372">
        <v>1</v>
      </c>
      <c r="E4" s="372">
        <v>2</v>
      </c>
      <c r="F4" s="372">
        <v>3</v>
      </c>
      <c r="G4" s="372">
        <v>4</v>
      </c>
      <c r="H4" s="372">
        <v>5</v>
      </c>
      <c r="I4" s="372">
        <v>6</v>
      </c>
      <c r="J4" s="372">
        <v>7</v>
      </c>
      <c r="K4" s="372">
        <v>8</v>
      </c>
      <c r="L4" s="372">
        <v>9</v>
      </c>
      <c r="M4" s="373">
        <v>10</v>
      </c>
    </row>
    <row r="5" spans="2:13" ht="15.75" thickBot="1">
      <c r="B5" s="424" t="s">
        <v>145</v>
      </c>
      <c r="C5" s="189"/>
      <c r="D5" s="375">
        <f>INGRESOS!M14</f>
        <v>225000</v>
      </c>
      <c r="E5" s="375">
        <f>INGRESOS!M15</f>
        <v>236250</v>
      </c>
      <c r="F5" s="375">
        <f>INGRESOS!M16</f>
        <v>248062.5</v>
      </c>
      <c r="G5" s="375">
        <f>INGRESOS!M17</f>
        <v>260465.625</v>
      </c>
      <c r="H5" s="375">
        <f>INGRESOS!M18</f>
        <v>273488.90625</v>
      </c>
      <c r="I5" s="375">
        <f>INGRESOS!M19</f>
        <v>287163.3515625</v>
      </c>
      <c r="J5" s="375">
        <f>INGRESOS!M20</f>
        <v>301521.51914062508</v>
      </c>
      <c r="K5" s="375">
        <f>INGRESOS!M21</f>
        <v>316597.59509765636</v>
      </c>
      <c r="L5" s="375">
        <f>INGRESOS!M22</f>
        <v>332427.47485253913</v>
      </c>
      <c r="M5" s="376">
        <f>INGRESOS!M23</f>
        <v>349048.84859516611</v>
      </c>
    </row>
    <row r="6" spans="2:13" s="8" customFormat="1">
      <c r="B6" s="425" t="s">
        <v>239</v>
      </c>
      <c r="C6" s="237"/>
      <c r="D6" s="377">
        <f>GASTOS!C27*DEMANDA!B10</f>
        <v>81000</v>
      </c>
      <c r="E6" s="377">
        <f>DEMANDA!B11*GASTOS!C27</f>
        <v>85050</v>
      </c>
      <c r="F6" s="377">
        <f>DEMANDA!B12*GASTOS!C27</f>
        <v>89302.5</v>
      </c>
      <c r="G6" s="377">
        <f>DEMANDA!B13*GASTOS!C27</f>
        <v>93767.625</v>
      </c>
      <c r="H6" s="377">
        <f>DEMANDA!B14*GASTOS!C27</f>
        <v>98456.006250000006</v>
      </c>
      <c r="I6" s="377">
        <f>DEMANDA!B15*GASTOS!C27</f>
        <v>103378.80656250002</v>
      </c>
      <c r="J6" s="377">
        <f>DEMANDA!B16*GASTOS!C27</f>
        <v>108547.74689062503</v>
      </c>
      <c r="K6" s="377">
        <f>DEMANDA!B17*GASTOS!C27</f>
        <v>113975.13423515628</v>
      </c>
      <c r="L6" s="377">
        <f>DEMANDA!B18*GASTOS!C27</f>
        <v>119673.89094691411</v>
      </c>
      <c r="M6" s="378">
        <f>DEMANDA!B19*GASTOS!C27</f>
        <v>125657.58549425981</v>
      </c>
    </row>
    <row r="7" spans="2:13" s="8" customFormat="1">
      <c r="B7" s="426" t="s">
        <v>240</v>
      </c>
      <c r="C7" s="347"/>
      <c r="D7" s="379">
        <f>D5-D6</f>
        <v>144000</v>
      </c>
      <c r="E7" s="379">
        <f t="shared" ref="E7:M7" si="0">E5-E6</f>
        <v>151200</v>
      </c>
      <c r="F7" s="379">
        <f t="shared" si="0"/>
        <v>158760</v>
      </c>
      <c r="G7" s="379">
        <f t="shared" si="0"/>
        <v>166698</v>
      </c>
      <c r="H7" s="379">
        <f t="shared" si="0"/>
        <v>175032.9</v>
      </c>
      <c r="I7" s="379">
        <f t="shared" si="0"/>
        <v>183784.54499999998</v>
      </c>
      <c r="J7" s="379">
        <f t="shared" si="0"/>
        <v>192973.77225000004</v>
      </c>
      <c r="K7" s="379">
        <f t="shared" si="0"/>
        <v>202622.46086250007</v>
      </c>
      <c r="L7" s="379">
        <f t="shared" si="0"/>
        <v>212753.58390562504</v>
      </c>
      <c r="M7" s="380">
        <f t="shared" si="0"/>
        <v>223391.2631009063</v>
      </c>
    </row>
    <row r="8" spans="2:13" ht="26.25">
      <c r="B8" s="427" t="s">
        <v>233</v>
      </c>
      <c r="C8" s="62"/>
      <c r="D8" s="381">
        <f>GASTOS!F36</f>
        <v>48840</v>
      </c>
      <c r="E8" s="381">
        <f>D8</f>
        <v>48840</v>
      </c>
      <c r="F8" s="381">
        <f t="shared" ref="F8:M8" si="1">E8</f>
        <v>48840</v>
      </c>
      <c r="G8" s="381">
        <f t="shared" si="1"/>
        <v>48840</v>
      </c>
      <c r="H8" s="381">
        <f t="shared" si="1"/>
        <v>48840</v>
      </c>
      <c r="I8" s="381">
        <f>H8*1.05</f>
        <v>51282</v>
      </c>
      <c r="J8" s="381">
        <f t="shared" si="1"/>
        <v>51282</v>
      </c>
      <c r="K8" s="381">
        <f t="shared" si="1"/>
        <v>51282</v>
      </c>
      <c r="L8" s="381">
        <f t="shared" si="1"/>
        <v>51282</v>
      </c>
      <c r="M8" s="357">
        <f t="shared" si="1"/>
        <v>51282</v>
      </c>
    </row>
    <row r="9" spans="2:13">
      <c r="B9" s="427" t="s">
        <v>234</v>
      </c>
      <c r="C9" s="62"/>
      <c r="D9" s="381">
        <f>GASTOS!F33</f>
        <v>34560</v>
      </c>
      <c r="E9" s="381">
        <f>D9</f>
        <v>34560</v>
      </c>
      <c r="F9" s="381">
        <f>E9</f>
        <v>34560</v>
      </c>
      <c r="G9" s="381">
        <f t="shared" ref="G9:H9" si="2">F9</f>
        <v>34560</v>
      </c>
      <c r="H9" s="381">
        <f t="shared" si="2"/>
        <v>34560</v>
      </c>
      <c r="I9" s="381">
        <f>H9*1.05</f>
        <v>36288</v>
      </c>
      <c r="J9" s="381">
        <f>I9</f>
        <v>36288</v>
      </c>
      <c r="K9" s="381">
        <f>J9</f>
        <v>36288</v>
      </c>
      <c r="L9" s="381">
        <f>K9</f>
        <v>36288</v>
      </c>
      <c r="M9" s="357">
        <f>L9</f>
        <v>36288</v>
      </c>
    </row>
    <row r="10" spans="2:13">
      <c r="B10" s="427" t="s">
        <v>235</v>
      </c>
      <c r="C10" s="62"/>
      <c r="D10" s="381">
        <f>GASTOS!F37</f>
        <v>265</v>
      </c>
      <c r="E10" s="381">
        <f>D10</f>
        <v>265</v>
      </c>
      <c r="F10" s="381">
        <f t="shared" ref="F10:M10" si="3">E10</f>
        <v>265</v>
      </c>
      <c r="G10" s="381">
        <f t="shared" si="3"/>
        <v>265</v>
      </c>
      <c r="H10" s="381">
        <f t="shared" si="3"/>
        <v>265</v>
      </c>
      <c r="I10" s="381">
        <f t="shared" si="3"/>
        <v>265</v>
      </c>
      <c r="J10" s="381">
        <f t="shared" si="3"/>
        <v>265</v>
      </c>
      <c r="K10" s="381">
        <f t="shared" si="3"/>
        <v>265</v>
      </c>
      <c r="L10" s="381">
        <f t="shared" si="3"/>
        <v>265</v>
      </c>
      <c r="M10" s="357">
        <f t="shared" si="3"/>
        <v>265</v>
      </c>
    </row>
    <row r="11" spans="2:13" s="8" customFormat="1">
      <c r="B11" s="428" t="s">
        <v>236</v>
      </c>
      <c r="C11" s="62"/>
      <c r="D11" s="381">
        <f>'V. DESECHO'!C24</f>
        <v>200</v>
      </c>
      <c r="E11" s="381">
        <f>'V. DESECHO'!C25</f>
        <v>200</v>
      </c>
      <c r="F11" s="381">
        <f>'V. DESECHO'!C26</f>
        <v>200</v>
      </c>
      <c r="G11" s="381">
        <f>'V. DESECHO'!C27</f>
        <v>200</v>
      </c>
      <c r="H11" s="381">
        <f>'V. DESECHO'!C28</f>
        <v>200</v>
      </c>
      <c r="I11" s="381">
        <f>'V. DESECHO'!C29</f>
        <v>200</v>
      </c>
      <c r="J11" s="381">
        <f>'V. DESECHO'!C30</f>
        <v>200</v>
      </c>
      <c r="K11" s="381">
        <f>'V. DESECHO'!C31</f>
        <v>200</v>
      </c>
      <c r="L11" s="381">
        <f>'V. DESECHO'!C32</f>
        <v>200</v>
      </c>
      <c r="M11" s="357">
        <f>'V. DESECHO'!C33</f>
        <v>200</v>
      </c>
    </row>
    <row r="12" spans="2:13" s="8" customFormat="1">
      <c r="B12" s="429" t="s">
        <v>237</v>
      </c>
      <c r="C12" s="62"/>
      <c r="D12" s="382">
        <f>Depreciaciones!R16</f>
        <v>13545.916666666668</v>
      </c>
      <c r="E12" s="382">
        <f>D12</f>
        <v>13545.916666666668</v>
      </c>
      <c r="F12" s="382">
        <f t="shared" ref="F12:M12" si="4">E12</f>
        <v>13545.916666666668</v>
      </c>
      <c r="G12" s="382">
        <f t="shared" si="4"/>
        <v>13545.916666666668</v>
      </c>
      <c r="H12" s="382">
        <f t="shared" si="4"/>
        <v>13545.916666666668</v>
      </c>
      <c r="I12" s="382">
        <f t="shared" si="4"/>
        <v>13545.916666666668</v>
      </c>
      <c r="J12" s="382">
        <f t="shared" si="4"/>
        <v>13545.916666666668</v>
      </c>
      <c r="K12" s="382">
        <f t="shared" si="4"/>
        <v>13545.916666666668</v>
      </c>
      <c r="L12" s="382">
        <f t="shared" si="4"/>
        <v>13545.916666666668</v>
      </c>
      <c r="M12" s="382">
        <f t="shared" si="4"/>
        <v>13545.916666666668</v>
      </c>
    </row>
    <row r="13" spans="2:13" s="8" customFormat="1">
      <c r="B13" s="427" t="s">
        <v>238</v>
      </c>
      <c r="C13" s="62"/>
      <c r="D13" s="381">
        <f>GASTOS!P29</f>
        <v>20000</v>
      </c>
      <c r="E13" s="381">
        <f t="shared" ref="E13:M13" si="5">$D$13</f>
        <v>20000</v>
      </c>
      <c r="F13" s="381">
        <f t="shared" si="5"/>
        <v>20000</v>
      </c>
      <c r="G13" s="381">
        <f t="shared" si="5"/>
        <v>20000</v>
      </c>
      <c r="H13" s="381">
        <f t="shared" si="5"/>
        <v>20000</v>
      </c>
      <c r="I13" s="381">
        <f t="shared" si="5"/>
        <v>20000</v>
      </c>
      <c r="J13" s="381">
        <f t="shared" si="5"/>
        <v>20000</v>
      </c>
      <c r="K13" s="381">
        <f t="shared" si="5"/>
        <v>20000</v>
      </c>
      <c r="L13" s="381">
        <f t="shared" si="5"/>
        <v>20000</v>
      </c>
      <c r="M13" s="357">
        <f t="shared" si="5"/>
        <v>20000</v>
      </c>
    </row>
    <row r="14" spans="2:13" s="8" customFormat="1">
      <c r="B14" s="426" t="s">
        <v>232</v>
      </c>
      <c r="C14" s="347"/>
      <c r="D14" s="379">
        <f>((D7-D8-D9-D10-D11-D12)-D13)</f>
        <v>26589.083333333328</v>
      </c>
      <c r="E14" s="379">
        <f t="shared" ref="E14:M14" si="6">((E7-E8-E9-E10-E11-E12)-E13)</f>
        <v>33789.083333333328</v>
      </c>
      <c r="F14" s="379">
        <f t="shared" si="6"/>
        <v>41349.083333333328</v>
      </c>
      <c r="G14" s="379">
        <f t="shared" si="6"/>
        <v>49287.083333333328</v>
      </c>
      <c r="H14" s="379">
        <f t="shared" si="6"/>
        <v>57621.983333333323</v>
      </c>
      <c r="I14" s="379">
        <f t="shared" si="6"/>
        <v>62203.628333333312</v>
      </c>
      <c r="J14" s="379">
        <f t="shared" si="6"/>
        <v>71392.855583333367</v>
      </c>
      <c r="K14" s="379">
        <f t="shared" si="6"/>
        <v>81041.544195833398</v>
      </c>
      <c r="L14" s="379">
        <f t="shared" si="6"/>
        <v>91172.667238958369</v>
      </c>
      <c r="M14" s="380">
        <f t="shared" si="6"/>
        <v>101810.34643423963</v>
      </c>
    </row>
    <row r="15" spans="2:13" ht="26.25">
      <c r="B15" s="427" t="s">
        <v>231</v>
      </c>
      <c r="C15" s="62"/>
      <c r="D15" s="383">
        <f>AMORTIZACIÓN!D15</f>
        <v>14081.794045833332</v>
      </c>
      <c r="E15" s="383">
        <f>AMORTIZACIÓN!D16</f>
        <v>13178.109339803417</v>
      </c>
      <c r="F15" s="383">
        <f>AMORTIZACIÓN!D17</f>
        <v>12188.303481288853</v>
      </c>
      <c r="G15" s="383">
        <f>AMORTIZACIÓN!D18</f>
        <v>11104.169124457849</v>
      </c>
      <c r="H15" s="383">
        <f>AMORTIZACIÓN!D19</f>
        <v>9916.7167634208508</v>
      </c>
      <c r="I15" s="383">
        <f>AMORTIZACIÓN!D20</f>
        <v>8616.1001923770273</v>
      </c>
      <c r="J15" s="383">
        <f>AMORTIZACIÓN!D21</f>
        <v>7191.5348621127278</v>
      </c>
      <c r="K15" s="383">
        <f>AMORTIZACIÓN!D22</f>
        <v>5631.2084558742399</v>
      </c>
      <c r="L15" s="383">
        <f>AMORTIZACIÓN!D23</f>
        <v>3922.1829431212245</v>
      </c>
      <c r="M15" s="384">
        <f>AMORTIZACIÓN!D24</f>
        <v>2050.2872990028463</v>
      </c>
    </row>
    <row r="16" spans="2:13" s="8" customFormat="1" ht="26.25">
      <c r="B16" s="426" t="s">
        <v>173</v>
      </c>
      <c r="C16" s="348"/>
      <c r="D16" s="379">
        <f>D14-D15</f>
        <v>12507.289287499996</v>
      </c>
      <c r="E16" s="379">
        <f t="shared" ref="E16:M16" si="7">E14-E15</f>
        <v>20610.973993529911</v>
      </c>
      <c r="F16" s="379">
        <f t="shared" si="7"/>
        <v>29160.779852044478</v>
      </c>
      <c r="G16" s="379">
        <f t="shared" si="7"/>
        <v>38182.914208875482</v>
      </c>
      <c r="H16" s="379">
        <f t="shared" si="7"/>
        <v>47705.26656991247</v>
      </c>
      <c r="I16" s="379">
        <f t="shared" si="7"/>
        <v>53587.528140956289</v>
      </c>
      <c r="J16" s="379">
        <f t="shared" si="7"/>
        <v>64201.32072122064</v>
      </c>
      <c r="K16" s="379">
        <f t="shared" si="7"/>
        <v>75410.335739959162</v>
      </c>
      <c r="L16" s="379">
        <f t="shared" si="7"/>
        <v>87250.484295837145</v>
      </c>
      <c r="M16" s="380">
        <f t="shared" si="7"/>
        <v>99760.059135236792</v>
      </c>
    </row>
    <row r="17" spans="2:14" ht="30">
      <c r="B17" s="430" t="s">
        <v>174</v>
      </c>
      <c r="C17" s="212"/>
      <c r="D17" s="383">
        <f t="shared" ref="D17:G17" si="8">D16*0.15</f>
        <v>1876.0933931249992</v>
      </c>
      <c r="E17" s="383">
        <f t="shared" si="8"/>
        <v>3091.6460990294868</v>
      </c>
      <c r="F17" s="383">
        <f t="shared" si="8"/>
        <v>4374.1169778066715</v>
      </c>
      <c r="G17" s="383">
        <f t="shared" si="8"/>
        <v>5727.4371313313222</v>
      </c>
      <c r="H17" s="383">
        <f>H16*0.15</f>
        <v>7155.7899854868701</v>
      </c>
      <c r="I17" s="383">
        <f>I16*0.15</f>
        <v>8038.1292211434429</v>
      </c>
      <c r="J17" s="383">
        <f t="shared" ref="J17:M17" si="9">J16*0.15</f>
        <v>9630.1981081830963</v>
      </c>
      <c r="K17" s="383">
        <f t="shared" si="9"/>
        <v>11311.550360993873</v>
      </c>
      <c r="L17" s="383">
        <f t="shared" si="9"/>
        <v>13087.572644375572</v>
      </c>
      <c r="M17" s="384">
        <f t="shared" si="9"/>
        <v>14964.008870285517</v>
      </c>
    </row>
    <row r="18" spans="2:14">
      <c r="B18" s="431" t="s">
        <v>175</v>
      </c>
      <c r="C18" s="347"/>
      <c r="D18" s="379">
        <f>D16-D17</f>
        <v>10631.195894374996</v>
      </c>
      <c r="E18" s="379">
        <f t="shared" ref="E18:M18" si="10">E16-E17</f>
        <v>17519.327894500424</v>
      </c>
      <c r="F18" s="379">
        <f t="shared" si="10"/>
        <v>24786.662874237805</v>
      </c>
      <c r="G18" s="379">
        <f t="shared" si="10"/>
        <v>32455.477077544158</v>
      </c>
      <c r="H18" s="379">
        <f t="shared" si="10"/>
        <v>40549.476584425604</v>
      </c>
      <c r="I18" s="379">
        <f t="shared" si="10"/>
        <v>45549.398919812847</v>
      </c>
      <c r="J18" s="379">
        <f t="shared" si="10"/>
        <v>54571.122613037543</v>
      </c>
      <c r="K18" s="379">
        <f t="shared" si="10"/>
        <v>64098.785378965287</v>
      </c>
      <c r="L18" s="379">
        <f t="shared" si="10"/>
        <v>74162.911651461574</v>
      </c>
      <c r="M18" s="380">
        <f t="shared" si="10"/>
        <v>84796.050264951278</v>
      </c>
    </row>
    <row r="19" spans="2:14" ht="15.75" thickBot="1">
      <c r="B19" s="432" t="s">
        <v>176</v>
      </c>
      <c r="C19" s="219"/>
      <c r="D19" s="385">
        <f t="shared" ref="D19:H19" si="11">D18*0.25</f>
        <v>2657.798973593749</v>
      </c>
      <c r="E19" s="385">
        <f t="shared" si="11"/>
        <v>4379.831973625106</v>
      </c>
      <c r="F19" s="385">
        <f t="shared" si="11"/>
        <v>6196.6657185594513</v>
      </c>
      <c r="G19" s="385">
        <f t="shared" si="11"/>
        <v>8113.8692693860394</v>
      </c>
      <c r="H19" s="385">
        <f t="shared" si="11"/>
        <v>10137.369146106401</v>
      </c>
      <c r="I19" s="385">
        <f>I18*0.25</f>
        <v>11387.349729953212</v>
      </c>
      <c r="J19" s="385">
        <f t="shared" ref="J19:M19" si="12">J18*0.25</f>
        <v>13642.780653259386</v>
      </c>
      <c r="K19" s="385">
        <f t="shared" si="12"/>
        <v>16024.696344741322</v>
      </c>
      <c r="L19" s="385">
        <f t="shared" si="12"/>
        <v>18540.727912865394</v>
      </c>
      <c r="M19" s="386">
        <f t="shared" si="12"/>
        <v>21199.01256623782</v>
      </c>
      <c r="N19" s="95"/>
    </row>
    <row r="20" spans="2:14" ht="16.5" thickBot="1">
      <c r="B20" s="433" t="s">
        <v>177</v>
      </c>
      <c r="C20" s="374"/>
      <c r="D20" s="387">
        <f>D18-D19</f>
        <v>7973.396920781247</v>
      </c>
      <c r="E20" s="387">
        <f t="shared" ref="E20:M20" si="13">E18-E19</f>
        <v>13139.495920875317</v>
      </c>
      <c r="F20" s="387">
        <f t="shared" si="13"/>
        <v>18589.997155678353</v>
      </c>
      <c r="G20" s="387">
        <f t="shared" si="13"/>
        <v>24341.607808158118</v>
      </c>
      <c r="H20" s="387">
        <f t="shared" si="13"/>
        <v>30412.107438319203</v>
      </c>
      <c r="I20" s="387">
        <f t="shared" si="13"/>
        <v>34162.049189859637</v>
      </c>
      <c r="J20" s="387">
        <f t="shared" si="13"/>
        <v>40928.341959778161</v>
      </c>
      <c r="K20" s="387">
        <f t="shared" si="13"/>
        <v>48074.089034223965</v>
      </c>
      <c r="L20" s="387">
        <f t="shared" si="13"/>
        <v>55622.183738596184</v>
      </c>
      <c r="M20" s="388">
        <f t="shared" si="13"/>
        <v>63597.037698713459</v>
      </c>
    </row>
  </sheetData>
  <pageMargins left="0.70866141732283472" right="0.70866141732283472" top="0.74803149606299213" bottom="0.74803149606299213" header="0.31496062992125984" footer="0.31496062992125984"/>
  <pageSetup scale="69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opLeftCell="A2" zoomScale="90" zoomScaleNormal="90" workbookViewId="0">
      <selection activeCell="J42" sqref="J42"/>
    </sheetView>
  </sheetViews>
  <sheetFormatPr baseColWidth="10" defaultRowHeight="15"/>
  <cols>
    <col min="1" max="1" width="11.42578125" style="8"/>
    <col min="2" max="2" width="30.7109375" style="1" customWidth="1"/>
    <col min="3" max="3" width="13.5703125" customWidth="1"/>
    <col min="4" max="4" width="13" customWidth="1"/>
    <col min="5" max="5" width="12.85546875" customWidth="1"/>
    <col min="6" max="6" width="13.140625" customWidth="1"/>
    <col min="7" max="7" width="13" customWidth="1"/>
    <col min="8" max="8" width="12.85546875" customWidth="1"/>
    <col min="9" max="9" width="13.28515625" customWidth="1"/>
    <col min="10" max="10" width="13.140625" customWidth="1"/>
    <col min="11" max="11" width="13" customWidth="1"/>
    <col min="12" max="12" width="12.85546875" customWidth="1"/>
    <col min="13" max="13" width="13" customWidth="1"/>
  </cols>
  <sheetData>
    <row r="1" spans="2:14" s="8" customFormat="1">
      <c r="B1" s="1"/>
    </row>
    <row r="2" spans="2:14" s="8" customFormat="1">
      <c r="B2" s="1"/>
    </row>
    <row r="3" spans="2:14" s="8" customFormat="1">
      <c r="B3" s="1"/>
    </row>
    <row r="4" spans="2:14">
      <c r="B4" s="434" t="str">
        <f>ER!B4</f>
        <v>AÑOS</v>
      </c>
      <c r="C4" s="389">
        <f>ER!C4</f>
        <v>0</v>
      </c>
      <c r="D4" s="389">
        <f>ER!D4</f>
        <v>1</v>
      </c>
      <c r="E4" s="389">
        <f>ER!E4</f>
        <v>2</v>
      </c>
      <c r="F4" s="389">
        <f>ER!F4</f>
        <v>3</v>
      </c>
      <c r="G4" s="389">
        <f>ER!G4</f>
        <v>4</v>
      </c>
      <c r="H4" s="389">
        <f>ER!H4</f>
        <v>5</v>
      </c>
      <c r="I4" s="389">
        <f>ER!I4</f>
        <v>6</v>
      </c>
      <c r="J4" s="389">
        <f>ER!J4</f>
        <v>7</v>
      </c>
      <c r="K4" s="389">
        <f>ER!K4</f>
        <v>8</v>
      </c>
      <c r="L4" s="389">
        <f>ER!L4</f>
        <v>9</v>
      </c>
      <c r="M4" s="389">
        <f>ER!M4</f>
        <v>10</v>
      </c>
    </row>
    <row r="5" spans="2:14">
      <c r="B5" s="435" t="str">
        <f>ER!B5</f>
        <v>INGRESOS</v>
      </c>
      <c r="C5" s="220"/>
      <c r="D5" s="220">
        <f>ER!D5</f>
        <v>225000</v>
      </c>
      <c r="E5" s="220">
        <f>ER!E5</f>
        <v>236250</v>
      </c>
      <c r="F5" s="220">
        <f>ER!F5</f>
        <v>248062.5</v>
      </c>
      <c r="G5" s="220">
        <f>ER!G5</f>
        <v>260465.625</v>
      </c>
      <c r="H5" s="220">
        <f>ER!H5</f>
        <v>273488.90625</v>
      </c>
      <c r="I5" s="220">
        <f>ER!I5</f>
        <v>287163.3515625</v>
      </c>
      <c r="J5" s="220">
        <f>ER!J5</f>
        <v>301521.51914062508</v>
      </c>
      <c r="K5" s="220">
        <f>ER!K5</f>
        <v>316597.59509765636</v>
      </c>
      <c r="L5" s="220">
        <f>ER!L5</f>
        <v>332427.47485253913</v>
      </c>
      <c r="M5" s="220">
        <f>ER!M5</f>
        <v>349048.84859516611</v>
      </c>
      <c r="N5" s="91"/>
    </row>
    <row r="6" spans="2:14">
      <c r="B6" s="436" t="str">
        <f>ER!B6</f>
        <v>(-) GASTOS VARIABLES</v>
      </c>
      <c r="C6" s="213"/>
      <c r="D6" s="213">
        <f>ER!D6</f>
        <v>81000</v>
      </c>
      <c r="E6" s="213">
        <f>ER!E6</f>
        <v>85050</v>
      </c>
      <c r="F6" s="213">
        <f>ER!F6</f>
        <v>89302.5</v>
      </c>
      <c r="G6" s="213">
        <f>ER!G6</f>
        <v>93767.625</v>
      </c>
      <c r="H6" s="213">
        <f>ER!H6</f>
        <v>98456.006250000006</v>
      </c>
      <c r="I6" s="213">
        <f>ER!I6</f>
        <v>103378.80656250002</v>
      </c>
      <c r="J6" s="213">
        <f>ER!J6</f>
        <v>108547.74689062503</v>
      </c>
      <c r="K6" s="213">
        <f>ER!K6</f>
        <v>113975.13423515628</v>
      </c>
      <c r="L6" s="213">
        <f>ER!L6</f>
        <v>119673.89094691411</v>
      </c>
      <c r="M6" s="213">
        <f>ER!M6</f>
        <v>125657.58549425981</v>
      </c>
    </row>
    <row r="7" spans="2:14">
      <c r="B7" s="437" t="str">
        <f>ER!B7</f>
        <v>(=) UTILIDAD BRUTA</v>
      </c>
      <c r="C7" s="343"/>
      <c r="D7" s="343">
        <f>ER!D7</f>
        <v>144000</v>
      </c>
      <c r="E7" s="343">
        <f>ER!E7</f>
        <v>151200</v>
      </c>
      <c r="F7" s="343">
        <f>ER!F7</f>
        <v>158760</v>
      </c>
      <c r="G7" s="343">
        <f>ER!G7</f>
        <v>166698</v>
      </c>
      <c r="H7" s="343">
        <f>ER!H7</f>
        <v>175032.9</v>
      </c>
      <c r="I7" s="343">
        <f>ER!I7</f>
        <v>183784.54499999998</v>
      </c>
      <c r="J7" s="343">
        <f>ER!J7</f>
        <v>192973.77225000004</v>
      </c>
      <c r="K7" s="343">
        <f>ER!K7</f>
        <v>202622.46086250007</v>
      </c>
      <c r="L7" s="343">
        <f>ER!L7</f>
        <v>212753.58390562504</v>
      </c>
      <c r="M7" s="343">
        <f>ER!M7</f>
        <v>223391.2631009063</v>
      </c>
    </row>
    <row r="8" spans="2:14">
      <c r="B8" s="436" t="str">
        <f>ER!B8</f>
        <v>(-) GASTOS DE ADMINISTRACIÓN</v>
      </c>
      <c r="C8" s="213"/>
      <c r="D8" s="213">
        <f>ER!D8</f>
        <v>48840</v>
      </c>
      <c r="E8" s="213">
        <f>ER!E8</f>
        <v>48840</v>
      </c>
      <c r="F8" s="213">
        <f>ER!F8</f>
        <v>48840</v>
      </c>
      <c r="G8" s="213">
        <f>ER!G8</f>
        <v>48840</v>
      </c>
      <c r="H8" s="213">
        <f>ER!H8</f>
        <v>48840</v>
      </c>
      <c r="I8" s="213">
        <f>ER!I8</f>
        <v>51282</v>
      </c>
      <c r="J8" s="213">
        <f>ER!J8</f>
        <v>51282</v>
      </c>
      <c r="K8" s="213">
        <f>ER!K8</f>
        <v>51282</v>
      </c>
      <c r="L8" s="213">
        <f>ER!L8</f>
        <v>51282</v>
      </c>
      <c r="M8" s="213">
        <f>ER!M8</f>
        <v>51282</v>
      </c>
    </row>
    <row r="9" spans="2:14">
      <c r="B9" s="436" t="str">
        <f>ER!B9</f>
        <v>(-) GASTOS OPERATIVOS</v>
      </c>
      <c r="C9" s="213"/>
      <c r="D9" s="213">
        <f>ER!D9</f>
        <v>34560</v>
      </c>
      <c r="E9" s="213">
        <f>ER!E9</f>
        <v>34560</v>
      </c>
      <c r="F9" s="213">
        <f>ER!F9</f>
        <v>34560</v>
      </c>
      <c r="G9" s="213">
        <f>ER!G9</f>
        <v>34560</v>
      </c>
      <c r="H9" s="213">
        <f>ER!H9</f>
        <v>34560</v>
      </c>
      <c r="I9" s="213">
        <f>ER!I9</f>
        <v>36288</v>
      </c>
      <c r="J9" s="213">
        <f>ER!J9</f>
        <v>36288</v>
      </c>
      <c r="K9" s="213">
        <f>ER!K9</f>
        <v>36288</v>
      </c>
      <c r="L9" s="213">
        <f>ER!L9</f>
        <v>36288</v>
      </c>
      <c r="M9" s="213">
        <f>ER!M9</f>
        <v>36288</v>
      </c>
    </row>
    <row r="10" spans="2:14">
      <c r="B10" s="436" t="str">
        <f>ER!B10</f>
        <v>(-) GASTOS INDIRECTOS</v>
      </c>
      <c r="C10" s="213"/>
      <c r="D10" s="213">
        <f>ER!D10</f>
        <v>265</v>
      </c>
      <c r="E10" s="213">
        <f>ER!E10</f>
        <v>265</v>
      </c>
      <c r="F10" s="213">
        <f>ER!F10</f>
        <v>265</v>
      </c>
      <c r="G10" s="213">
        <f>ER!G10</f>
        <v>265</v>
      </c>
      <c r="H10" s="213">
        <f>ER!H10</f>
        <v>265</v>
      </c>
      <c r="I10" s="213">
        <f>ER!I10</f>
        <v>265</v>
      </c>
      <c r="J10" s="213">
        <f>ER!J10</f>
        <v>265</v>
      </c>
      <c r="K10" s="213">
        <f>ER!K10</f>
        <v>265</v>
      </c>
      <c r="L10" s="213">
        <f>ER!L10</f>
        <v>265</v>
      </c>
      <c r="M10" s="213">
        <f>ER!M10</f>
        <v>265</v>
      </c>
    </row>
    <row r="11" spans="2:14">
      <c r="B11" s="436" t="str">
        <f>ER!B11</f>
        <v>(-) AMORTIZACIÓN (Intangibles)</v>
      </c>
      <c r="C11" s="213"/>
      <c r="D11" s="213">
        <f>ER!D11</f>
        <v>200</v>
      </c>
      <c r="E11" s="213">
        <f>ER!E11</f>
        <v>200</v>
      </c>
      <c r="F11" s="213">
        <f>ER!F11</f>
        <v>200</v>
      </c>
      <c r="G11" s="213">
        <f>ER!G11</f>
        <v>200</v>
      </c>
      <c r="H11" s="213">
        <f>ER!H11</f>
        <v>200</v>
      </c>
      <c r="I11" s="213">
        <f>ER!I11</f>
        <v>200</v>
      </c>
      <c r="J11" s="213">
        <f>ER!J11</f>
        <v>200</v>
      </c>
      <c r="K11" s="213">
        <f>ER!K11</f>
        <v>200</v>
      </c>
      <c r="L11" s="213">
        <f>ER!L11</f>
        <v>200</v>
      </c>
      <c r="M11" s="213">
        <f>ER!M11</f>
        <v>200</v>
      </c>
    </row>
    <row r="12" spans="2:14">
      <c r="B12" s="436" t="str">
        <f>ER!B12</f>
        <v>(-) DEPRECIACIONES</v>
      </c>
      <c r="C12" s="220"/>
      <c r="D12" s="220">
        <f>ER!D12</f>
        <v>13545.916666666668</v>
      </c>
      <c r="E12" s="220">
        <f>ER!E12</f>
        <v>13545.916666666668</v>
      </c>
      <c r="F12" s="220">
        <f>ER!F12</f>
        <v>13545.916666666668</v>
      </c>
      <c r="G12" s="220">
        <f>ER!G12</f>
        <v>13545.916666666668</v>
      </c>
      <c r="H12" s="220">
        <f>ER!H12</f>
        <v>13545.916666666668</v>
      </c>
      <c r="I12" s="220">
        <f>ER!I12</f>
        <v>13545.916666666668</v>
      </c>
      <c r="J12" s="220">
        <f>ER!J12</f>
        <v>13545.916666666668</v>
      </c>
      <c r="K12" s="220">
        <f>ER!K12</f>
        <v>13545.916666666668</v>
      </c>
      <c r="L12" s="220">
        <f>ER!L12</f>
        <v>13545.916666666668</v>
      </c>
      <c r="M12" s="220">
        <f>ER!M12</f>
        <v>13545.916666666668</v>
      </c>
    </row>
    <row r="13" spans="2:14">
      <c r="B13" s="436" t="str">
        <f>ER!B13</f>
        <v>(-) GASTOS DE VENTAS</v>
      </c>
      <c r="C13" s="213"/>
      <c r="D13" s="213">
        <f>ER!D13</f>
        <v>20000</v>
      </c>
      <c r="E13" s="213">
        <f>ER!E13</f>
        <v>20000</v>
      </c>
      <c r="F13" s="213">
        <f>ER!F13</f>
        <v>20000</v>
      </c>
      <c r="G13" s="213">
        <f>ER!G13</f>
        <v>20000</v>
      </c>
      <c r="H13" s="213">
        <f>ER!H13</f>
        <v>20000</v>
      </c>
      <c r="I13" s="213">
        <f>ER!I13</f>
        <v>20000</v>
      </c>
      <c r="J13" s="213">
        <f>ER!J13</f>
        <v>20000</v>
      </c>
      <c r="K13" s="213">
        <f>ER!K13</f>
        <v>20000</v>
      </c>
      <c r="L13" s="213">
        <f>ER!L13</f>
        <v>20000</v>
      </c>
      <c r="M13" s="213">
        <f>ER!M13</f>
        <v>20000</v>
      </c>
    </row>
    <row r="14" spans="2:14">
      <c r="B14" s="437" t="str">
        <f>ER!B14</f>
        <v>(=) UTILIDAD OPERACIONAL</v>
      </c>
      <c r="C14" s="343"/>
      <c r="D14" s="343">
        <f>ER!D14</f>
        <v>26589.083333333328</v>
      </c>
      <c r="E14" s="343">
        <f>ER!E14</f>
        <v>33789.083333333328</v>
      </c>
      <c r="F14" s="343">
        <f>ER!F14</f>
        <v>41349.083333333328</v>
      </c>
      <c r="G14" s="343">
        <f>ER!G14</f>
        <v>49287.083333333328</v>
      </c>
      <c r="H14" s="343">
        <f>ER!H14</f>
        <v>57621.983333333323</v>
      </c>
      <c r="I14" s="343">
        <f>ER!I14</f>
        <v>62203.628333333312</v>
      </c>
      <c r="J14" s="343">
        <f>ER!J14</f>
        <v>71392.855583333367</v>
      </c>
      <c r="K14" s="343">
        <f>ER!K14</f>
        <v>81041.544195833398</v>
      </c>
      <c r="L14" s="343">
        <f>ER!L14</f>
        <v>91172.667238958369</v>
      </c>
      <c r="M14" s="343">
        <f>ER!M14</f>
        <v>101810.34643423963</v>
      </c>
    </row>
    <row r="15" spans="2:14">
      <c r="B15" s="436" t="str">
        <f>ER!B15</f>
        <v>(-) GASTOS FINANCIEROS (INTERESES)</v>
      </c>
      <c r="C15" s="213"/>
      <c r="D15" s="213">
        <f>ER!D15</f>
        <v>14081.794045833332</v>
      </c>
      <c r="E15" s="213">
        <f>ER!E15</f>
        <v>13178.109339803417</v>
      </c>
      <c r="F15" s="213">
        <f>ER!F15</f>
        <v>12188.303481288853</v>
      </c>
      <c r="G15" s="213">
        <f>ER!G15</f>
        <v>11104.169124457849</v>
      </c>
      <c r="H15" s="213">
        <f>ER!H15</f>
        <v>9916.7167634208508</v>
      </c>
      <c r="I15" s="213">
        <f>ER!I15</f>
        <v>8616.1001923770273</v>
      </c>
      <c r="J15" s="213">
        <f>ER!J15</f>
        <v>7191.5348621127278</v>
      </c>
      <c r="K15" s="213">
        <f>ER!K15</f>
        <v>5631.2084558742399</v>
      </c>
      <c r="L15" s="213">
        <f>ER!L15</f>
        <v>3922.1829431212245</v>
      </c>
      <c r="M15" s="213">
        <f>ER!M15</f>
        <v>2050.2872990028463</v>
      </c>
    </row>
    <row r="16" spans="2:14" ht="26.25">
      <c r="B16" s="437" t="str">
        <f>ER!B16</f>
        <v>(=) UTILIDAD ANTES DE PART. DE TRAB. E IMPTOS</v>
      </c>
      <c r="C16" s="343"/>
      <c r="D16" s="343">
        <f>ER!D16</f>
        <v>12507.289287499996</v>
      </c>
      <c r="E16" s="343">
        <f>ER!E16</f>
        <v>20610.973993529911</v>
      </c>
      <c r="F16" s="343">
        <f>ER!F16</f>
        <v>29160.779852044478</v>
      </c>
      <c r="G16" s="343">
        <f>ER!G16</f>
        <v>38182.914208875482</v>
      </c>
      <c r="H16" s="343">
        <f>ER!H16</f>
        <v>47705.26656991247</v>
      </c>
      <c r="I16" s="343">
        <f>ER!I16</f>
        <v>53587.528140956289</v>
      </c>
      <c r="J16" s="343">
        <f>ER!J16</f>
        <v>64201.32072122064</v>
      </c>
      <c r="K16" s="343">
        <f>ER!K16</f>
        <v>75410.335739959162</v>
      </c>
      <c r="L16" s="343">
        <f>ER!L16</f>
        <v>87250.484295837145</v>
      </c>
      <c r="M16" s="343">
        <f>ER!M16</f>
        <v>99760.059135236792</v>
      </c>
    </row>
    <row r="17" spans="2:13" ht="26.25">
      <c r="B17" s="436" t="str">
        <f>ER!B17</f>
        <v>(-) 15% Participación de Trabajadores</v>
      </c>
      <c r="C17" s="213"/>
      <c r="D17" s="213">
        <f>ER!D17</f>
        <v>1876.0933931249992</v>
      </c>
      <c r="E17" s="213">
        <f>ER!E17</f>
        <v>3091.6460990294868</v>
      </c>
      <c r="F17" s="213">
        <f>ER!F17</f>
        <v>4374.1169778066715</v>
      </c>
      <c r="G17" s="213">
        <f>ER!G17</f>
        <v>5727.4371313313222</v>
      </c>
      <c r="H17" s="213">
        <f>ER!H17</f>
        <v>7155.7899854868701</v>
      </c>
      <c r="I17" s="213">
        <f>ER!I17</f>
        <v>8038.1292211434429</v>
      </c>
      <c r="J17" s="213">
        <f>ER!J17</f>
        <v>9630.1981081830963</v>
      </c>
      <c r="K17" s="213">
        <f>ER!K17</f>
        <v>11311.550360993873</v>
      </c>
      <c r="L17" s="213">
        <f>ER!L17</f>
        <v>13087.572644375572</v>
      </c>
      <c r="M17" s="213">
        <f>ER!M17</f>
        <v>14964.008870285517</v>
      </c>
    </row>
    <row r="18" spans="2:13">
      <c r="B18" s="437" t="str">
        <f>ER!B18</f>
        <v>(=) Utilidad antes de Impuestos</v>
      </c>
      <c r="C18" s="343"/>
      <c r="D18" s="343">
        <f>ER!D18</f>
        <v>10631.195894374996</v>
      </c>
      <c r="E18" s="343">
        <f>ER!E18</f>
        <v>17519.327894500424</v>
      </c>
      <c r="F18" s="343">
        <f>ER!F18</f>
        <v>24786.662874237805</v>
      </c>
      <c r="G18" s="343">
        <f>ER!G18</f>
        <v>32455.477077544158</v>
      </c>
      <c r="H18" s="343">
        <f>ER!H18</f>
        <v>40549.476584425604</v>
      </c>
      <c r="I18" s="343">
        <f>ER!I18</f>
        <v>45549.398919812847</v>
      </c>
      <c r="J18" s="343">
        <f>ER!J18</f>
        <v>54571.122613037543</v>
      </c>
      <c r="K18" s="343">
        <f>ER!K18</f>
        <v>64098.785378965287</v>
      </c>
      <c r="L18" s="343">
        <f>ER!L18</f>
        <v>74162.911651461574</v>
      </c>
      <c r="M18" s="343">
        <f>ER!M18</f>
        <v>84796.050264951278</v>
      </c>
    </row>
    <row r="19" spans="2:13">
      <c r="B19" s="436" t="str">
        <f>ER!B19</f>
        <v>(-) 25% Impuesto a la Renta</v>
      </c>
      <c r="C19" s="213"/>
      <c r="D19" s="213">
        <f>ER!D19</f>
        <v>2657.798973593749</v>
      </c>
      <c r="E19" s="213">
        <f>ER!E19</f>
        <v>4379.831973625106</v>
      </c>
      <c r="F19" s="213">
        <f>ER!F19</f>
        <v>6196.6657185594513</v>
      </c>
      <c r="G19" s="213">
        <f>ER!G19</f>
        <v>8113.8692693860394</v>
      </c>
      <c r="H19" s="213">
        <f>ER!H19</f>
        <v>10137.369146106401</v>
      </c>
      <c r="I19" s="213">
        <f>ER!I19</f>
        <v>11387.349729953212</v>
      </c>
      <c r="J19" s="213">
        <f>ER!J19</f>
        <v>13642.780653259386</v>
      </c>
      <c r="K19" s="213">
        <f>ER!K19</f>
        <v>16024.696344741322</v>
      </c>
      <c r="L19" s="213">
        <f>ER!L19</f>
        <v>18540.727912865394</v>
      </c>
      <c r="M19" s="213">
        <f>ER!M19</f>
        <v>21199.01256623782</v>
      </c>
    </row>
    <row r="20" spans="2:13">
      <c r="B20" s="437" t="str">
        <f>ER!B20</f>
        <v>(=) UTILIDAD NETA</v>
      </c>
      <c r="C20" s="343"/>
      <c r="D20" s="343">
        <f>ER!D20</f>
        <v>7973.396920781247</v>
      </c>
      <c r="E20" s="343">
        <f>ER!E20</f>
        <v>13139.495920875317</v>
      </c>
      <c r="F20" s="343">
        <f>ER!F20</f>
        <v>18589.997155678353</v>
      </c>
      <c r="G20" s="343">
        <f>ER!G20</f>
        <v>24341.607808158118</v>
      </c>
      <c r="H20" s="343">
        <f>ER!H20</f>
        <v>30412.107438319203</v>
      </c>
      <c r="I20" s="343">
        <f>ER!I20</f>
        <v>34162.049189859637</v>
      </c>
      <c r="J20" s="343">
        <f>ER!J20</f>
        <v>40928.341959778161</v>
      </c>
      <c r="K20" s="343">
        <f>ER!K20</f>
        <v>48074.089034223965</v>
      </c>
      <c r="L20" s="343">
        <f>ER!L20</f>
        <v>55622.183738596184</v>
      </c>
      <c r="M20" s="343">
        <f>ER!M20</f>
        <v>63597.037698713459</v>
      </c>
    </row>
    <row r="21" spans="2:13">
      <c r="B21" s="435" t="s">
        <v>178</v>
      </c>
      <c r="C21" s="213"/>
      <c r="D21" s="213">
        <f>D12</f>
        <v>13545.916666666668</v>
      </c>
      <c r="E21" s="213">
        <f t="shared" ref="E21:M21" si="0">E12</f>
        <v>13545.916666666668</v>
      </c>
      <c r="F21" s="213">
        <f t="shared" si="0"/>
        <v>13545.916666666668</v>
      </c>
      <c r="G21" s="213">
        <f t="shared" si="0"/>
        <v>13545.916666666668</v>
      </c>
      <c r="H21" s="213">
        <f t="shared" si="0"/>
        <v>13545.916666666668</v>
      </c>
      <c r="I21" s="213">
        <f t="shared" si="0"/>
        <v>13545.916666666668</v>
      </c>
      <c r="J21" s="213">
        <f t="shared" si="0"/>
        <v>13545.916666666668</v>
      </c>
      <c r="K21" s="213">
        <f t="shared" si="0"/>
        <v>13545.916666666668</v>
      </c>
      <c r="L21" s="213">
        <f t="shared" si="0"/>
        <v>13545.916666666668</v>
      </c>
      <c r="M21" s="213">
        <f t="shared" si="0"/>
        <v>13545.916666666668</v>
      </c>
    </row>
    <row r="22" spans="2:13">
      <c r="B22" s="438" t="s">
        <v>148</v>
      </c>
      <c r="C22" s="248">
        <f>AMORTIZACIÓN!C8</f>
        <v>147762.79166666666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</row>
    <row r="23" spans="2:13">
      <c r="B23" s="439" t="s">
        <v>245</v>
      </c>
      <c r="C23" s="213"/>
      <c r="D23" s="213">
        <f>AMORTIZACIÓN!E15</f>
        <v>9482.5257715625849</v>
      </c>
      <c r="E23" s="213">
        <f>AMORTIZACIÓN!E16</f>
        <v>10386.2104775925</v>
      </c>
      <c r="F23" s="213">
        <f>AMORTIZACIÓN!E17</f>
        <v>11376.016336107064</v>
      </c>
      <c r="G23" s="213">
        <f>AMORTIZACIÓN!E18</f>
        <v>12460.150692938068</v>
      </c>
      <c r="H23" s="213">
        <f>AMORTIZACIÓN!E19</f>
        <v>13647.603053975066</v>
      </c>
      <c r="I23" s="213">
        <f>AMORTIZACIÓN!E20</f>
        <v>14948.21962501889</v>
      </c>
      <c r="J23" s="213">
        <f>AMORTIZACIÓN!E21</f>
        <v>16372.78495528319</v>
      </c>
      <c r="K23" s="213">
        <f>AMORTIZACIÓN!E22</f>
        <v>17933.111361521678</v>
      </c>
      <c r="L23" s="213">
        <f>AMORTIZACIÓN!E23</f>
        <v>19642.136874274693</v>
      </c>
      <c r="M23" s="213">
        <f>AMORTIZACIÓN!E24</f>
        <v>21514.032518393069</v>
      </c>
    </row>
    <row r="24" spans="2:13" s="8" customFormat="1">
      <c r="B24" s="436" t="str">
        <f>B11</f>
        <v>(-) AMORTIZACIÓN (Intangibles)</v>
      </c>
      <c r="C24" s="213"/>
      <c r="D24" s="213">
        <f t="shared" ref="D24:M24" si="1">D11</f>
        <v>200</v>
      </c>
      <c r="E24" s="213">
        <f t="shared" si="1"/>
        <v>200</v>
      </c>
      <c r="F24" s="213">
        <f t="shared" si="1"/>
        <v>200</v>
      </c>
      <c r="G24" s="213">
        <f t="shared" si="1"/>
        <v>200</v>
      </c>
      <c r="H24" s="213">
        <f t="shared" si="1"/>
        <v>200</v>
      </c>
      <c r="I24" s="213">
        <f t="shared" si="1"/>
        <v>200</v>
      </c>
      <c r="J24" s="213">
        <f t="shared" si="1"/>
        <v>200</v>
      </c>
      <c r="K24" s="213">
        <f t="shared" si="1"/>
        <v>200</v>
      </c>
      <c r="L24" s="213">
        <f t="shared" si="1"/>
        <v>200</v>
      </c>
      <c r="M24" s="213">
        <f t="shared" si="1"/>
        <v>200</v>
      </c>
    </row>
    <row r="25" spans="2:13">
      <c r="B25" s="440" t="s">
        <v>241</v>
      </c>
      <c r="C25" s="213">
        <f>-'INV. INICIAL'!E27</f>
        <v>-279517.25</v>
      </c>
      <c r="D25" s="213"/>
      <c r="E25" s="213"/>
      <c r="F25" s="213">
        <f>-'V. DESECHO'!E20</f>
        <v>-6832.25</v>
      </c>
      <c r="G25" s="213"/>
      <c r="H25" s="213">
        <f>-'V. DESECHO'!C10</f>
        <v>-35000</v>
      </c>
      <c r="I25" s="213">
        <f>-'V. DESECHO'!E20</f>
        <v>-6832.25</v>
      </c>
      <c r="J25" s="213"/>
      <c r="K25" s="213"/>
      <c r="L25" s="213">
        <f>-'V. DESECHO'!E20</f>
        <v>-6832.25</v>
      </c>
      <c r="M25" s="213"/>
    </row>
    <row r="26" spans="2:13">
      <c r="B26" s="441" t="s">
        <v>242</v>
      </c>
      <c r="C26" s="213">
        <f>'k trab'!F16</f>
        <v>-14008.333333333328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</row>
    <row r="27" spans="2:13" s="8" customFormat="1" ht="26.25">
      <c r="B27" s="441" t="s">
        <v>243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>
        <f>-C26</f>
        <v>14008.333333333328</v>
      </c>
    </row>
    <row r="28" spans="2:13" s="8" customFormat="1">
      <c r="B28" s="441" t="s">
        <v>244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>
        <f>'V. DESECHO'!H19</f>
        <v>217054.83333333331</v>
      </c>
    </row>
    <row r="29" spans="2:13" ht="15.75" thickBot="1">
      <c r="B29" s="442" t="s">
        <v>179</v>
      </c>
      <c r="C29" s="342">
        <f>SUM(C22:C26)</f>
        <v>-145762.79166666669</v>
      </c>
      <c r="D29" s="343">
        <f t="shared" ref="D29:M29" si="2">SUM(D20:D28)</f>
        <v>31201.839359010501</v>
      </c>
      <c r="E29" s="343">
        <f t="shared" si="2"/>
        <v>37271.623065134481</v>
      </c>
      <c r="F29" s="343">
        <f t="shared" si="2"/>
        <v>36879.680158452087</v>
      </c>
      <c r="G29" s="343">
        <f t="shared" si="2"/>
        <v>50547.675167762856</v>
      </c>
      <c r="H29" s="343">
        <f t="shared" si="2"/>
        <v>22805.627158960939</v>
      </c>
      <c r="I29" s="343">
        <f t="shared" si="2"/>
        <v>56023.935481545195</v>
      </c>
      <c r="J29" s="342">
        <f t="shared" si="2"/>
        <v>71047.043581728023</v>
      </c>
      <c r="K29" s="342">
        <f t="shared" si="2"/>
        <v>79753.117062412304</v>
      </c>
      <c r="L29" s="343">
        <f t="shared" si="2"/>
        <v>82177.987279537541</v>
      </c>
      <c r="M29" s="343">
        <f t="shared" si="2"/>
        <v>329920.15355043986</v>
      </c>
    </row>
    <row r="30" spans="2:13" ht="15.75" thickBot="1">
      <c r="B30" s="443" t="s">
        <v>217</v>
      </c>
      <c r="C30" s="390">
        <f>NPV(0.1621,D29:M29)+C29</f>
        <v>136914.01991331019</v>
      </c>
      <c r="D30" s="167"/>
      <c r="E30" s="167"/>
      <c r="F30" s="167"/>
      <c r="G30" s="167"/>
      <c r="H30" s="167"/>
      <c r="I30" s="167"/>
      <c r="J30" s="391" t="s">
        <v>151</v>
      </c>
      <c r="K30" s="392">
        <f>IRR(C29:M29)</f>
        <v>0.30938994997836117</v>
      </c>
      <c r="L30" s="268"/>
      <c r="M30" s="268"/>
    </row>
    <row r="31" spans="2:13" s="8" customFormat="1" ht="15.75" thickBot="1">
      <c r="B31" s="444"/>
      <c r="C31" s="393"/>
      <c r="D31" s="394"/>
      <c r="E31" s="394"/>
      <c r="F31" s="394"/>
      <c r="G31" s="394"/>
      <c r="H31" s="394"/>
      <c r="I31" s="394"/>
      <c r="J31" s="396"/>
      <c r="K31" s="397"/>
      <c r="L31" s="395"/>
      <c r="M31" s="268"/>
    </row>
    <row r="32" spans="2:13" ht="14.25" customHeight="1" thickBot="1">
      <c r="B32" s="445"/>
      <c r="C32" s="8"/>
      <c r="D32" s="8"/>
      <c r="E32" s="8"/>
      <c r="F32" s="8"/>
      <c r="G32" s="8"/>
      <c r="H32" s="8"/>
      <c r="I32" s="8"/>
      <c r="J32" s="236" t="s">
        <v>201</v>
      </c>
      <c r="K32" s="273">
        <f>CAPM!D10</f>
        <v>0.16209999999999999</v>
      </c>
    </row>
    <row r="33" spans="3:11" ht="15.75" thickBot="1">
      <c r="C33" s="8"/>
      <c r="D33" s="8"/>
      <c r="E33" s="8"/>
      <c r="F33" s="8"/>
      <c r="G33" s="8"/>
      <c r="H33" s="8"/>
      <c r="I33" s="8"/>
    </row>
    <row r="34" spans="3:11" ht="15.75" thickBot="1">
      <c r="C34" s="8"/>
      <c r="D34" s="608" t="s">
        <v>152</v>
      </c>
      <c r="E34" s="609"/>
      <c r="F34" s="609"/>
      <c r="G34" s="609"/>
      <c r="H34" s="610"/>
      <c r="I34" s="8"/>
      <c r="J34" s="8"/>
      <c r="K34" s="8"/>
    </row>
    <row r="35" spans="3:11" ht="27" thickBot="1">
      <c r="C35" s="8"/>
      <c r="D35" s="238" t="s">
        <v>153</v>
      </c>
      <c r="E35" s="239" t="s">
        <v>154</v>
      </c>
      <c r="F35" s="238" t="s">
        <v>155</v>
      </c>
      <c r="G35" s="239" t="s">
        <v>156</v>
      </c>
      <c r="H35" s="240" t="s">
        <v>157</v>
      </c>
      <c r="I35" s="8"/>
      <c r="J35" s="8"/>
      <c r="K35" s="8"/>
    </row>
    <row r="36" spans="3:11">
      <c r="C36" s="8"/>
      <c r="D36" s="141">
        <v>1</v>
      </c>
      <c r="E36" s="214">
        <f>-C29</f>
        <v>145762.79166666669</v>
      </c>
      <c r="F36" s="142">
        <f>D29</f>
        <v>31201.839359010501</v>
      </c>
      <c r="G36" s="276">
        <f t="shared" ref="G36:G44" si="3">E36*$K$32</f>
        <v>23628.148529166669</v>
      </c>
      <c r="H36" s="242">
        <f>F36-G36</f>
        <v>7573.690829843832</v>
      </c>
      <c r="I36" s="8"/>
      <c r="J36" s="8"/>
      <c r="K36" s="8"/>
    </row>
    <row r="37" spans="3:11">
      <c r="C37" s="8"/>
      <c r="D37" s="139">
        <v>2</v>
      </c>
      <c r="E37" s="241">
        <f>E36-H36</f>
        <v>138189.10083682285</v>
      </c>
      <c r="F37" s="241">
        <f>E29</f>
        <v>37271.623065134481</v>
      </c>
      <c r="G37" s="277">
        <f t="shared" si="3"/>
        <v>22400.453245648983</v>
      </c>
      <c r="H37" s="243">
        <f t="shared" ref="H37:H45" si="4">F37-G37</f>
        <v>14871.169819485498</v>
      </c>
      <c r="I37" s="8"/>
      <c r="J37" s="8"/>
      <c r="K37" s="8"/>
    </row>
    <row r="38" spans="3:11">
      <c r="C38" s="8"/>
      <c r="D38" s="139">
        <v>3</v>
      </c>
      <c r="E38" s="241">
        <f>E37-H37</f>
        <v>123317.93101733735</v>
      </c>
      <c r="F38" s="241">
        <f>F29</f>
        <v>36879.680158452087</v>
      </c>
      <c r="G38" s="277">
        <f t="shared" si="3"/>
        <v>19989.836617910383</v>
      </c>
      <c r="H38" s="243">
        <f t="shared" si="4"/>
        <v>16889.843540541704</v>
      </c>
      <c r="I38" s="8"/>
      <c r="J38" s="8"/>
      <c r="K38" s="8"/>
    </row>
    <row r="39" spans="3:11">
      <c r="C39" s="8"/>
      <c r="D39" s="139">
        <v>4</v>
      </c>
      <c r="E39" s="241">
        <f t="shared" ref="E39:E45" si="5">E38-H38</f>
        <v>106428.08747679566</v>
      </c>
      <c r="F39" s="241">
        <f>G29</f>
        <v>50547.675167762856</v>
      </c>
      <c r="G39" s="277">
        <f t="shared" si="3"/>
        <v>17251.992979988576</v>
      </c>
      <c r="H39" s="243">
        <f t="shared" si="4"/>
        <v>33295.682187774277</v>
      </c>
      <c r="I39" s="8"/>
      <c r="J39" s="8"/>
      <c r="K39" s="8"/>
    </row>
    <row r="40" spans="3:11">
      <c r="C40" s="8"/>
      <c r="D40" s="415">
        <v>5</v>
      </c>
      <c r="E40" s="416">
        <f t="shared" si="5"/>
        <v>73132.405289021379</v>
      </c>
      <c r="F40" s="416">
        <f>H29</f>
        <v>22805.627158960939</v>
      </c>
      <c r="G40" s="417">
        <f t="shared" si="3"/>
        <v>11854.762897350365</v>
      </c>
      <c r="H40" s="418">
        <f t="shared" si="4"/>
        <v>10950.864261610574</v>
      </c>
      <c r="I40" s="8"/>
      <c r="J40" s="8"/>
      <c r="K40" s="8"/>
    </row>
    <row r="41" spans="3:11">
      <c r="C41" s="8"/>
      <c r="D41" s="139">
        <v>6</v>
      </c>
      <c r="E41" s="241">
        <f t="shared" si="5"/>
        <v>62181.541027410807</v>
      </c>
      <c r="F41" s="241">
        <f>I29</f>
        <v>56023.935481545195</v>
      </c>
      <c r="G41" s="277">
        <f t="shared" si="3"/>
        <v>10079.627800543292</v>
      </c>
      <c r="H41" s="243">
        <f t="shared" si="4"/>
        <v>45944.307681001905</v>
      </c>
      <c r="I41" s="8"/>
      <c r="J41" s="8"/>
      <c r="K41" s="8"/>
    </row>
    <row r="42" spans="3:11">
      <c r="C42" s="8"/>
      <c r="D42" s="139">
        <v>7</v>
      </c>
      <c r="E42" s="241">
        <f t="shared" si="5"/>
        <v>16237.233346408902</v>
      </c>
      <c r="F42" s="241">
        <f>J29</f>
        <v>71047.043581728023</v>
      </c>
      <c r="G42" s="277">
        <f t="shared" si="3"/>
        <v>2632.0555254528831</v>
      </c>
      <c r="H42" s="243">
        <f t="shared" si="4"/>
        <v>68414.988056275135</v>
      </c>
      <c r="I42" s="8"/>
      <c r="J42" s="8"/>
      <c r="K42" s="8"/>
    </row>
    <row r="43" spans="3:11">
      <c r="C43" s="8"/>
      <c r="D43" s="419">
        <v>8</v>
      </c>
      <c r="E43" s="420">
        <f t="shared" si="5"/>
        <v>-52177.754709866233</v>
      </c>
      <c r="F43" s="420">
        <f>K29</f>
        <v>79753.117062412304</v>
      </c>
      <c r="G43" s="420">
        <f>E43*$K$32</f>
        <v>-8458.0140384693168</v>
      </c>
      <c r="H43" s="421">
        <f t="shared" si="4"/>
        <v>88211.131100881626</v>
      </c>
      <c r="I43" s="95"/>
      <c r="J43" s="8"/>
      <c r="K43" s="8"/>
    </row>
    <row r="44" spans="3:11">
      <c r="C44" s="8"/>
      <c r="D44" s="139">
        <v>9</v>
      </c>
      <c r="E44" s="241">
        <f t="shared" si="5"/>
        <v>-140388.88581074786</v>
      </c>
      <c r="F44" s="241">
        <f>L29</f>
        <v>82177.987279537541</v>
      </c>
      <c r="G44" s="241">
        <f t="shared" si="3"/>
        <v>-22757.038389922229</v>
      </c>
      <c r="H44" s="243">
        <f t="shared" si="4"/>
        <v>104935.02566945978</v>
      </c>
      <c r="I44" s="8"/>
      <c r="J44" s="8"/>
      <c r="K44" s="8"/>
    </row>
    <row r="45" spans="3:11" ht="15.75" thickBot="1">
      <c r="C45" s="8"/>
      <c r="D45" s="252">
        <v>10</v>
      </c>
      <c r="E45" s="253">
        <f t="shared" si="5"/>
        <v>-245323.91148020764</v>
      </c>
      <c r="F45" s="253">
        <f>M29</f>
        <v>329920.15355043986</v>
      </c>
      <c r="G45" s="253">
        <f t="shared" ref="G45" si="6">E45*25.7%</f>
        <v>-63048.245250413362</v>
      </c>
      <c r="H45" s="254">
        <f t="shared" si="4"/>
        <v>392968.39880085323</v>
      </c>
      <c r="I45" s="8"/>
      <c r="J45" s="8"/>
      <c r="K45" s="8"/>
    </row>
  </sheetData>
  <mergeCells count="1">
    <mergeCell ref="D34:H34"/>
  </mergeCells>
  <pageMargins left="0.70866141732283472" right="0.70866141732283472" top="0.74803149606299213" bottom="0.74803149606299213" header="0.31496062992125984" footer="0.31496062992125984"/>
  <pageSetup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48"/>
  <sheetViews>
    <sheetView zoomScale="90" zoomScaleNormal="90" workbookViewId="0">
      <selection activeCell="G27" sqref="G27"/>
    </sheetView>
  </sheetViews>
  <sheetFormatPr baseColWidth="10" defaultRowHeight="15"/>
  <cols>
    <col min="1" max="1" width="43.140625" style="8" customWidth="1"/>
    <col min="2" max="2" width="14.42578125" style="8" bestFit="1" customWidth="1"/>
    <col min="3" max="3" width="16" style="8" bestFit="1" customWidth="1"/>
    <col min="4" max="4" width="16.42578125" style="8" bestFit="1" customWidth="1"/>
    <col min="5" max="5" width="16" style="8" bestFit="1" customWidth="1"/>
    <col min="6" max="12" width="14.42578125" style="8" bestFit="1" customWidth="1"/>
    <col min="13" max="16384" width="11.42578125" style="8"/>
  </cols>
  <sheetData>
    <row r="4" spans="1:13">
      <c r="C4" s="220">
        <f>C9</f>
        <v>225000</v>
      </c>
      <c r="D4" s="220">
        <f t="shared" ref="D4:L4" si="0">D9</f>
        <v>236250</v>
      </c>
      <c r="E4" s="220">
        <f t="shared" si="0"/>
        <v>248062.5</v>
      </c>
      <c r="F4" s="220">
        <f t="shared" si="0"/>
        <v>260465.625</v>
      </c>
      <c r="G4" s="220">
        <f t="shared" si="0"/>
        <v>273488.90625</v>
      </c>
      <c r="H4" s="220">
        <f t="shared" si="0"/>
        <v>287163.3515625</v>
      </c>
      <c r="I4" s="220">
        <f t="shared" si="0"/>
        <v>301521.51914062508</v>
      </c>
      <c r="J4" s="220">
        <f t="shared" si="0"/>
        <v>316597.59509765636</v>
      </c>
      <c r="K4" s="220">
        <f t="shared" si="0"/>
        <v>332427.47485253913</v>
      </c>
      <c r="L4" s="220">
        <f t="shared" si="0"/>
        <v>349048.84859516611</v>
      </c>
    </row>
    <row r="5" spans="1:13">
      <c r="B5" s="10"/>
      <c r="C5" s="10">
        <f>C4*0.9</f>
        <v>202500</v>
      </c>
      <c r="D5" s="10">
        <f t="shared" ref="D5:L5" si="1">D4*0.9</f>
        <v>212625</v>
      </c>
      <c r="E5" s="10">
        <f t="shared" si="1"/>
        <v>223256.25</v>
      </c>
      <c r="F5" s="10">
        <f t="shared" si="1"/>
        <v>234419.0625</v>
      </c>
      <c r="G5" s="10">
        <f t="shared" si="1"/>
        <v>246140.015625</v>
      </c>
      <c r="H5" s="10">
        <f t="shared" si="1"/>
        <v>258447.01640625001</v>
      </c>
      <c r="I5" s="10">
        <f t="shared" si="1"/>
        <v>271369.36722656258</v>
      </c>
      <c r="J5" s="10">
        <f t="shared" si="1"/>
        <v>284937.83558789076</v>
      </c>
      <c r="K5" s="10">
        <f t="shared" si="1"/>
        <v>299184.72736728523</v>
      </c>
      <c r="L5" s="10">
        <f t="shared" si="1"/>
        <v>314143.96373564954</v>
      </c>
    </row>
    <row r="6" spans="1:13">
      <c r="B6" s="10"/>
      <c r="C6" s="10">
        <f>C4-C5</f>
        <v>22500</v>
      </c>
      <c r="D6" s="10">
        <f t="shared" ref="D6:L6" si="2">D4-D5</f>
        <v>23625</v>
      </c>
      <c r="E6" s="10">
        <f t="shared" si="2"/>
        <v>24806.25</v>
      </c>
      <c r="F6" s="10">
        <f t="shared" si="2"/>
        <v>26046.5625</v>
      </c>
      <c r="G6" s="10">
        <f t="shared" si="2"/>
        <v>27348.890625</v>
      </c>
      <c r="H6" s="10">
        <f t="shared" si="2"/>
        <v>28716.335156249988</v>
      </c>
      <c r="I6" s="10">
        <f t="shared" si="2"/>
        <v>30152.151914062502</v>
      </c>
      <c r="J6" s="10">
        <f t="shared" si="2"/>
        <v>31659.759509765601</v>
      </c>
      <c r="K6" s="10">
        <f t="shared" si="2"/>
        <v>33242.747485253902</v>
      </c>
      <c r="L6" s="10">
        <f t="shared" si="2"/>
        <v>34904.884859516576</v>
      </c>
    </row>
    <row r="8" spans="1:13">
      <c r="A8" s="215" t="str">
        <f>ER!B4</f>
        <v>AÑOS</v>
      </c>
      <c r="B8" s="138">
        <f>ER!C4</f>
        <v>0</v>
      </c>
      <c r="C8" s="138">
        <f>ER!D4</f>
        <v>1</v>
      </c>
      <c r="D8" s="138">
        <f>ER!E4</f>
        <v>2</v>
      </c>
      <c r="E8" s="138">
        <f>ER!F4</f>
        <v>3</v>
      </c>
      <c r="F8" s="138">
        <f>ER!G4</f>
        <v>4</v>
      </c>
      <c r="G8" s="138">
        <f>ER!H4</f>
        <v>5</v>
      </c>
      <c r="H8" s="138">
        <f>ER!I4</f>
        <v>6</v>
      </c>
      <c r="I8" s="138">
        <f>ER!J4</f>
        <v>7</v>
      </c>
      <c r="J8" s="138">
        <f>ER!K4</f>
        <v>8</v>
      </c>
      <c r="K8" s="138">
        <f>ER!L4</f>
        <v>9</v>
      </c>
      <c r="L8" s="138">
        <f>ER!M4</f>
        <v>10</v>
      </c>
    </row>
    <row r="9" spans="1:13">
      <c r="A9" s="215" t="str">
        <f>ER!B5</f>
        <v>INGRESOS</v>
      </c>
      <c r="B9" s="220"/>
      <c r="C9" s="220">
        <f>ER!D5</f>
        <v>225000</v>
      </c>
      <c r="D9" s="220">
        <f>ER!E5</f>
        <v>236250</v>
      </c>
      <c r="E9" s="220">
        <f>ER!F5</f>
        <v>248062.5</v>
      </c>
      <c r="F9" s="220">
        <f>ER!G5</f>
        <v>260465.625</v>
      </c>
      <c r="G9" s="220">
        <f>ER!H5</f>
        <v>273488.90625</v>
      </c>
      <c r="H9" s="220">
        <f>ER!I5</f>
        <v>287163.3515625</v>
      </c>
      <c r="I9" s="220">
        <f>ER!J5</f>
        <v>301521.51914062508</v>
      </c>
      <c r="J9" s="220">
        <f>ER!K5</f>
        <v>316597.59509765636</v>
      </c>
      <c r="K9" s="220">
        <f>ER!L5</f>
        <v>332427.47485253913</v>
      </c>
      <c r="L9" s="220">
        <f>ER!M5</f>
        <v>349048.84859516611</v>
      </c>
      <c r="M9" s="91"/>
    </row>
    <row r="10" spans="1:13">
      <c r="A10" s="216" t="str">
        <f>ER!B6</f>
        <v>(-) GASTOS VARIABLES</v>
      </c>
      <c r="B10" s="213"/>
      <c r="C10" s="213">
        <f>ER!D6</f>
        <v>81000</v>
      </c>
      <c r="D10" s="213">
        <f>ER!E6</f>
        <v>85050</v>
      </c>
      <c r="E10" s="213">
        <f>ER!F6</f>
        <v>89302.5</v>
      </c>
      <c r="F10" s="213">
        <f>ER!G6</f>
        <v>93767.625</v>
      </c>
      <c r="G10" s="213">
        <f>ER!H6</f>
        <v>98456.006250000006</v>
      </c>
      <c r="H10" s="213">
        <f>ER!I6</f>
        <v>103378.80656250002</v>
      </c>
      <c r="I10" s="213">
        <f>ER!J6</f>
        <v>108547.74689062503</v>
      </c>
      <c r="J10" s="213">
        <f>ER!K6</f>
        <v>113975.13423515628</v>
      </c>
      <c r="K10" s="213">
        <f>ER!L6</f>
        <v>119673.89094691411</v>
      </c>
      <c r="L10" s="213">
        <f>ER!M6</f>
        <v>125657.58549425981</v>
      </c>
    </row>
    <row r="11" spans="1:13">
      <c r="A11" s="215" t="str">
        <f>ER!B7</f>
        <v>(=) UTILIDAD BRUTA</v>
      </c>
      <c r="B11" s="220"/>
      <c r="C11" s="220">
        <f>ER!D7</f>
        <v>144000</v>
      </c>
      <c r="D11" s="220">
        <f>ER!E7</f>
        <v>151200</v>
      </c>
      <c r="E11" s="220">
        <f>ER!F7</f>
        <v>158760</v>
      </c>
      <c r="F11" s="220">
        <f>ER!G7</f>
        <v>166698</v>
      </c>
      <c r="G11" s="220">
        <f>ER!H7</f>
        <v>175032.9</v>
      </c>
      <c r="H11" s="220">
        <f>ER!I7</f>
        <v>183784.54499999998</v>
      </c>
      <c r="I11" s="220">
        <f>ER!J7</f>
        <v>192973.77225000004</v>
      </c>
      <c r="J11" s="220">
        <f>ER!K7</f>
        <v>202622.46086250007</v>
      </c>
      <c r="K11" s="220">
        <f>ER!L7</f>
        <v>212753.58390562504</v>
      </c>
      <c r="L11" s="220">
        <f>ER!M7</f>
        <v>223391.2631009063</v>
      </c>
    </row>
    <row r="12" spans="1:13">
      <c r="A12" s="216" t="str">
        <f>ER!B8</f>
        <v>(-) GASTOS DE ADMINISTRACIÓN</v>
      </c>
      <c r="B12" s="213"/>
      <c r="C12" s="213">
        <f>ER!D8</f>
        <v>48840</v>
      </c>
      <c r="D12" s="213">
        <f>ER!E8</f>
        <v>48840</v>
      </c>
      <c r="E12" s="213">
        <f>ER!F8</f>
        <v>48840</v>
      </c>
      <c r="F12" s="213">
        <f>ER!G8</f>
        <v>48840</v>
      </c>
      <c r="G12" s="213">
        <f>ER!H8</f>
        <v>48840</v>
      </c>
      <c r="H12" s="213">
        <f>ER!I8</f>
        <v>51282</v>
      </c>
      <c r="I12" s="213">
        <f>ER!J8</f>
        <v>51282</v>
      </c>
      <c r="J12" s="213">
        <f>ER!K8</f>
        <v>51282</v>
      </c>
      <c r="K12" s="213">
        <f>ER!L8</f>
        <v>51282</v>
      </c>
      <c r="L12" s="213">
        <f>ER!M8</f>
        <v>51282</v>
      </c>
    </row>
    <row r="13" spans="1:13">
      <c r="A13" s="216" t="str">
        <f>ER!B9</f>
        <v>(-) GASTOS OPERATIVOS</v>
      </c>
      <c r="B13" s="213"/>
      <c r="C13" s="213">
        <f>ER!D9</f>
        <v>34560</v>
      </c>
      <c r="D13" s="213">
        <f>ER!E9</f>
        <v>34560</v>
      </c>
      <c r="E13" s="213">
        <f>ER!F9</f>
        <v>34560</v>
      </c>
      <c r="F13" s="213">
        <f>ER!G9</f>
        <v>34560</v>
      </c>
      <c r="G13" s="213">
        <f>ER!H9</f>
        <v>34560</v>
      </c>
      <c r="H13" s="213">
        <f>ER!I9</f>
        <v>36288</v>
      </c>
      <c r="I13" s="213">
        <f>ER!J9</f>
        <v>36288</v>
      </c>
      <c r="J13" s="213">
        <f>ER!K9</f>
        <v>36288</v>
      </c>
      <c r="K13" s="213">
        <f>ER!L9</f>
        <v>36288</v>
      </c>
      <c r="L13" s="213">
        <f>ER!M9</f>
        <v>36288</v>
      </c>
    </row>
    <row r="14" spans="1:13">
      <c r="A14" s="216" t="str">
        <f>ER!B10</f>
        <v>(-) GASTOS INDIRECTOS</v>
      </c>
      <c r="B14" s="213"/>
      <c r="C14" s="213">
        <f>ER!D10</f>
        <v>265</v>
      </c>
      <c r="D14" s="213">
        <f>ER!E10</f>
        <v>265</v>
      </c>
      <c r="E14" s="213">
        <f>ER!F10</f>
        <v>265</v>
      </c>
      <c r="F14" s="213">
        <f>ER!G10</f>
        <v>265</v>
      </c>
      <c r="G14" s="213">
        <f>ER!H10</f>
        <v>265</v>
      </c>
      <c r="H14" s="213">
        <f>ER!I10</f>
        <v>265</v>
      </c>
      <c r="I14" s="213">
        <f>ER!J10</f>
        <v>265</v>
      </c>
      <c r="J14" s="213">
        <f>ER!K10</f>
        <v>265</v>
      </c>
      <c r="K14" s="213">
        <f>ER!L10</f>
        <v>265</v>
      </c>
      <c r="L14" s="213">
        <f>ER!M10</f>
        <v>265</v>
      </c>
    </row>
    <row r="15" spans="1:13">
      <c r="A15" s="216" t="str">
        <f>ER!B11</f>
        <v>(-) AMORTIZACIÓN (Intangibles)</v>
      </c>
      <c r="B15" s="213"/>
      <c r="C15" s="213">
        <f>ER!D11</f>
        <v>200</v>
      </c>
      <c r="D15" s="213">
        <f>ER!E11</f>
        <v>200</v>
      </c>
      <c r="E15" s="213">
        <f>ER!F11</f>
        <v>200</v>
      </c>
      <c r="F15" s="213">
        <f>ER!G11</f>
        <v>200</v>
      </c>
      <c r="G15" s="213">
        <f>ER!H11</f>
        <v>200</v>
      </c>
      <c r="H15" s="213">
        <f>ER!I11</f>
        <v>200</v>
      </c>
      <c r="I15" s="213">
        <f>ER!J11</f>
        <v>200</v>
      </c>
      <c r="J15" s="213">
        <f>ER!K11</f>
        <v>200</v>
      </c>
      <c r="K15" s="213">
        <f>ER!L11</f>
        <v>200</v>
      </c>
      <c r="L15" s="213">
        <f>ER!M11</f>
        <v>200</v>
      </c>
    </row>
    <row r="16" spans="1:13">
      <c r="A16" s="216" t="str">
        <f>ER!B12</f>
        <v>(-) DEPRECIACIONES</v>
      </c>
      <c r="B16" s="220"/>
      <c r="C16" s="220">
        <f>ER!D12</f>
        <v>13545.916666666668</v>
      </c>
      <c r="D16" s="220">
        <f>ER!E12</f>
        <v>13545.916666666668</v>
      </c>
      <c r="E16" s="220">
        <f>ER!F12</f>
        <v>13545.916666666668</v>
      </c>
      <c r="F16" s="220">
        <f>ER!G12</f>
        <v>13545.916666666668</v>
      </c>
      <c r="G16" s="220">
        <f>ER!H12</f>
        <v>13545.916666666668</v>
      </c>
      <c r="H16" s="220">
        <f>ER!I12</f>
        <v>13545.916666666668</v>
      </c>
      <c r="I16" s="220">
        <f>ER!J12</f>
        <v>13545.916666666668</v>
      </c>
      <c r="J16" s="220">
        <f>ER!K12</f>
        <v>13545.916666666668</v>
      </c>
      <c r="K16" s="220">
        <f>ER!L12</f>
        <v>13545.916666666668</v>
      </c>
      <c r="L16" s="220">
        <f>ER!M12</f>
        <v>13545.916666666668</v>
      </c>
    </row>
    <row r="17" spans="1:12">
      <c r="A17" s="216" t="str">
        <f>ER!B13</f>
        <v>(-) GASTOS DE VENTAS</v>
      </c>
      <c r="B17" s="213"/>
      <c r="C17" s="213">
        <f>ER!D13</f>
        <v>20000</v>
      </c>
      <c r="D17" s="213">
        <f>ER!E13</f>
        <v>20000</v>
      </c>
      <c r="E17" s="213">
        <f>ER!F13</f>
        <v>20000</v>
      </c>
      <c r="F17" s="213">
        <f>ER!G13</f>
        <v>20000</v>
      </c>
      <c r="G17" s="213">
        <f>ER!H13</f>
        <v>20000</v>
      </c>
      <c r="H17" s="213">
        <f>ER!I13</f>
        <v>20000</v>
      </c>
      <c r="I17" s="213">
        <f>ER!J13</f>
        <v>20000</v>
      </c>
      <c r="J17" s="213">
        <f>ER!K13</f>
        <v>20000</v>
      </c>
      <c r="K17" s="213">
        <f>ER!L13</f>
        <v>20000</v>
      </c>
      <c r="L17" s="213">
        <f>ER!M13</f>
        <v>20000</v>
      </c>
    </row>
    <row r="18" spans="1:12">
      <c r="A18" s="215" t="str">
        <f>ER!B14</f>
        <v>(=) UTILIDAD OPERACIONAL</v>
      </c>
      <c r="B18" s="220"/>
      <c r="C18" s="220">
        <f>ER!D14</f>
        <v>26589.083333333328</v>
      </c>
      <c r="D18" s="220">
        <f>ER!E14</f>
        <v>33789.083333333328</v>
      </c>
      <c r="E18" s="220">
        <f>ER!F14</f>
        <v>41349.083333333328</v>
      </c>
      <c r="F18" s="220">
        <f>ER!G14</f>
        <v>49287.083333333328</v>
      </c>
      <c r="G18" s="220">
        <f>ER!H14</f>
        <v>57621.983333333323</v>
      </c>
      <c r="H18" s="220">
        <f>ER!I14</f>
        <v>62203.628333333312</v>
      </c>
      <c r="I18" s="220">
        <f>ER!J14</f>
        <v>71392.855583333367</v>
      </c>
      <c r="J18" s="220">
        <f>ER!K14</f>
        <v>81041.544195833398</v>
      </c>
      <c r="K18" s="220">
        <f>ER!L14</f>
        <v>91172.667238958369</v>
      </c>
      <c r="L18" s="220">
        <f>ER!M14</f>
        <v>101810.34643423963</v>
      </c>
    </row>
    <row r="19" spans="1:12">
      <c r="A19" s="216" t="str">
        <f>ER!B15</f>
        <v>(-) GASTOS FINANCIEROS (INTERESES)</v>
      </c>
      <c r="B19" s="213"/>
      <c r="C19" s="213">
        <f>ER!D15</f>
        <v>14081.794045833332</v>
      </c>
      <c r="D19" s="213">
        <f>ER!E15</f>
        <v>13178.109339803417</v>
      </c>
      <c r="E19" s="213">
        <f>ER!F15</f>
        <v>12188.303481288853</v>
      </c>
      <c r="F19" s="213">
        <f>ER!G15</f>
        <v>11104.169124457849</v>
      </c>
      <c r="G19" s="213">
        <f>ER!H15</f>
        <v>9916.7167634208508</v>
      </c>
      <c r="H19" s="213">
        <f>ER!I15</f>
        <v>8616.1001923770273</v>
      </c>
      <c r="I19" s="213">
        <f>ER!J15</f>
        <v>7191.5348621127278</v>
      </c>
      <c r="J19" s="213">
        <f>ER!K15</f>
        <v>5631.2084558742399</v>
      </c>
      <c r="K19" s="213">
        <f>ER!L15</f>
        <v>3922.1829431212245</v>
      </c>
      <c r="L19" s="213">
        <f>ER!M15</f>
        <v>2050.2872990028463</v>
      </c>
    </row>
    <row r="20" spans="1:12">
      <c r="A20" s="215" t="str">
        <f>ER!B16</f>
        <v>(=) UTILIDAD ANTES DE PART. DE TRAB. E IMPTOS</v>
      </c>
      <c r="B20" s="220"/>
      <c r="C20" s="220">
        <f>ER!D16</f>
        <v>12507.289287499996</v>
      </c>
      <c r="D20" s="220">
        <f>ER!E16</f>
        <v>20610.973993529911</v>
      </c>
      <c r="E20" s="220">
        <f>ER!F16</f>
        <v>29160.779852044478</v>
      </c>
      <c r="F20" s="220">
        <f>ER!G16</f>
        <v>38182.914208875482</v>
      </c>
      <c r="G20" s="220">
        <f>ER!H16</f>
        <v>47705.26656991247</v>
      </c>
      <c r="H20" s="220">
        <f>ER!I16</f>
        <v>53587.528140956289</v>
      </c>
      <c r="I20" s="220">
        <f>ER!J16</f>
        <v>64201.32072122064</v>
      </c>
      <c r="J20" s="220">
        <f>ER!K16</f>
        <v>75410.335739959162</v>
      </c>
      <c r="K20" s="220">
        <f>ER!L16</f>
        <v>87250.484295837145</v>
      </c>
      <c r="L20" s="220">
        <f>ER!M16</f>
        <v>99760.059135236792</v>
      </c>
    </row>
    <row r="21" spans="1:12">
      <c r="A21" s="216" t="str">
        <f>ER!B17</f>
        <v>(-) 15% Participación de Trabajadores</v>
      </c>
      <c r="B21" s="213"/>
      <c r="C21" s="213">
        <f>ER!D17</f>
        <v>1876.0933931249992</v>
      </c>
      <c r="D21" s="213">
        <f>ER!E17</f>
        <v>3091.6460990294868</v>
      </c>
      <c r="E21" s="213">
        <f>ER!F17</f>
        <v>4374.1169778066715</v>
      </c>
      <c r="F21" s="213">
        <f>ER!G17</f>
        <v>5727.4371313313222</v>
      </c>
      <c r="G21" s="213">
        <f>ER!H17</f>
        <v>7155.7899854868701</v>
      </c>
      <c r="H21" s="213">
        <f>ER!I17</f>
        <v>8038.1292211434429</v>
      </c>
      <c r="I21" s="213">
        <f>ER!J17</f>
        <v>9630.1981081830963</v>
      </c>
      <c r="J21" s="213">
        <f>ER!K17</f>
        <v>11311.550360993873</v>
      </c>
      <c r="K21" s="213">
        <f>ER!L17</f>
        <v>13087.572644375572</v>
      </c>
      <c r="L21" s="213">
        <f>ER!M17</f>
        <v>14964.008870285517</v>
      </c>
    </row>
    <row r="22" spans="1:12">
      <c r="A22" s="215" t="str">
        <f>ER!B18</f>
        <v>(=) Utilidad antes de Impuestos</v>
      </c>
      <c r="B22" s="220"/>
      <c r="C22" s="220">
        <f>ER!D18</f>
        <v>10631.195894374996</v>
      </c>
      <c r="D22" s="220">
        <f>ER!E18</f>
        <v>17519.327894500424</v>
      </c>
      <c r="E22" s="220">
        <f>ER!F18</f>
        <v>24786.662874237805</v>
      </c>
      <c r="F22" s="220">
        <f>ER!G18</f>
        <v>32455.477077544158</v>
      </c>
      <c r="G22" s="220">
        <f>ER!H18</f>
        <v>40549.476584425604</v>
      </c>
      <c r="H22" s="220">
        <f>ER!I18</f>
        <v>45549.398919812847</v>
      </c>
      <c r="I22" s="220">
        <f>ER!J18</f>
        <v>54571.122613037543</v>
      </c>
      <c r="J22" s="220">
        <f>ER!K18</f>
        <v>64098.785378965287</v>
      </c>
      <c r="K22" s="220">
        <f>ER!L18</f>
        <v>74162.911651461574</v>
      </c>
      <c r="L22" s="220">
        <f>ER!M18</f>
        <v>84796.050264951278</v>
      </c>
    </row>
    <row r="23" spans="1:12">
      <c r="A23" s="216" t="str">
        <f>ER!B19</f>
        <v>(-) 25% Impuesto a la Renta</v>
      </c>
      <c r="B23" s="213"/>
      <c r="C23" s="213">
        <f>ER!D19</f>
        <v>2657.798973593749</v>
      </c>
      <c r="D23" s="213">
        <f>ER!E19</f>
        <v>4379.831973625106</v>
      </c>
      <c r="E23" s="213">
        <f>ER!F19</f>
        <v>6196.6657185594513</v>
      </c>
      <c r="F23" s="213">
        <f>ER!G19</f>
        <v>8113.8692693860394</v>
      </c>
      <c r="G23" s="213">
        <f>ER!H19</f>
        <v>10137.369146106401</v>
      </c>
      <c r="H23" s="213">
        <f>ER!I19</f>
        <v>11387.349729953212</v>
      </c>
      <c r="I23" s="213">
        <f>ER!J19</f>
        <v>13642.780653259386</v>
      </c>
      <c r="J23" s="213">
        <f>ER!K19</f>
        <v>16024.696344741322</v>
      </c>
      <c r="K23" s="213">
        <f>ER!L19</f>
        <v>18540.727912865394</v>
      </c>
      <c r="L23" s="213">
        <f>ER!M19</f>
        <v>21199.01256623782</v>
      </c>
    </row>
    <row r="24" spans="1:12">
      <c r="A24" s="215" t="str">
        <f>ER!B20</f>
        <v>(=) UTILIDAD NETA</v>
      </c>
      <c r="B24" s="220"/>
      <c r="C24" s="220">
        <f>ER!D20</f>
        <v>7973.396920781247</v>
      </c>
      <c r="D24" s="220">
        <f>ER!E20</f>
        <v>13139.495920875317</v>
      </c>
      <c r="E24" s="220">
        <f>ER!F20</f>
        <v>18589.997155678353</v>
      </c>
      <c r="F24" s="220">
        <f>ER!G20</f>
        <v>24341.607808158118</v>
      </c>
      <c r="G24" s="220">
        <f>ER!H20</f>
        <v>30412.107438319203</v>
      </c>
      <c r="H24" s="220">
        <f>ER!I20</f>
        <v>34162.049189859637</v>
      </c>
      <c r="I24" s="220">
        <f>ER!J20</f>
        <v>40928.341959778161</v>
      </c>
      <c r="J24" s="220">
        <f>ER!K20</f>
        <v>48074.089034223965</v>
      </c>
      <c r="K24" s="220">
        <f>ER!L20</f>
        <v>55622.183738596184</v>
      </c>
      <c r="L24" s="220">
        <f>ER!M20</f>
        <v>63597.037698713459</v>
      </c>
    </row>
    <row r="25" spans="1:12">
      <c r="A25" s="215" t="s">
        <v>178</v>
      </c>
      <c r="B25" s="213"/>
      <c r="C25" s="213">
        <f>C16</f>
        <v>13545.916666666668</v>
      </c>
      <c r="D25" s="213">
        <f t="shared" ref="D25:L25" si="3">D16</f>
        <v>13545.916666666668</v>
      </c>
      <c r="E25" s="213">
        <f t="shared" si="3"/>
        <v>13545.916666666668</v>
      </c>
      <c r="F25" s="213">
        <f t="shared" si="3"/>
        <v>13545.916666666668</v>
      </c>
      <c r="G25" s="213">
        <f t="shared" si="3"/>
        <v>13545.916666666668</v>
      </c>
      <c r="H25" s="213">
        <f t="shared" si="3"/>
        <v>13545.916666666668</v>
      </c>
      <c r="I25" s="213">
        <f t="shared" si="3"/>
        <v>13545.916666666668</v>
      </c>
      <c r="J25" s="213">
        <f t="shared" si="3"/>
        <v>13545.916666666668</v>
      </c>
      <c r="K25" s="213">
        <f t="shared" si="3"/>
        <v>13545.916666666668</v>
      </c>
      <c r="L25" s="213">
        <f t="shared" si="3"/>
        <v>13545.916666666668</v>
      </c>
    </row>
    <row r="26" spans="1:12">
      <c r="A26" s="247" t="s">
        <v>148</v>
      </c>
      <c r="B26" s="248">
        <f>AMORTIZACIÓN!C8</f>
        <v>147762.79166666666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</row>
    <row r="27" spans="1:12">
      <c r="A27" s="23" t="s">
        <v>50</v>
      </c>
      <c r="B27" s="213"/>
      <c r="C27" s="213">
        <f>AMORTIZACIÓN!E15</f>
        <v>9482.5257715625849</v>
      </c>
      <c r="D27" s="213">
        <f>AMORTIZACIÓN!E16</f>
        <v>10386.2104775925</v>
      </c>
      <c r="E27" s="213">
        <f>AMORTIZACIÓN!E17</f>
        <v>11376.016336107064</v>
      </c>
      <c r="F27" s="213">
        <f>AMORTIZACIÓN!E18</f>
        <v>12460.150692938068</v>
      </c>
      <c r="G27" s="213">
        <f>AMORTIZACIÓN!E19</f>
        <v>13647.603053975066</v>
      </c>
      <c r="H27" s="213">
        <f>AMORTIZACIÓN!E20</f>
        <v>14948.21962501889</v>
      </c>
      <c r="I27" s="213">
        <f>AMORTIZACIÓN!E21</f>
        <v>16372.78495528319</v>
      </c>
      <c r="J27" s="213">
        <f>AMORTIZACIÓN!E22</f>
        <v>17933.111361521678</v>
      </c>
      <c r="K27" s="213">
        <f>AMORTIZACIÓN!E23</f>
        <v>19642.136874274693</v>
      </c>
      <c r="L27" s="213">
        <f>AMORTIZACIÓN!E24</f>
        <v>21514.032518393069</v>
      </c>
    </row>
    <row r="28" spans="1:12">
      <c r="A28" s="216" t="str">
        <f>A15</f>
        <v>(-) AMORTIZACIÓN (Intangibles)</v>
      </c>
      <c r="B28" s="213"/>
      <c r="C28" s="213">
        <f t="shared" ref="C28:L28" si="4">C15</f>
        <v>200</v>
      </c>
      <c r="D28" s="213">
        <f t="shared" si="4"/>
        <v>200</v>
      </c>
      <c r="E28" s="213">
        <f t="shared" si="4"/>
        <v>200</v>
      </c>
      <c r="F28" s="213">
        <f t="shared" si="4"/>
        <v>200</v>
      </c>
      <c r="G28" s="213">
        <f t="shared" si="4"/>
        <v>200</v>
      </c>
      <c r="H28" s="213">
        <f t="shared" si="4"/>
        <v>200</v>
      </c>
      <c r="I28" s="213">
        <f t="shared" si="4"/>
        <v>200</v>
      </c>
      <c r="J28" s="213">
        <f t="shared" si="4"/>
        <v>200</v>
      </c>
      <c r="K28" s="213">
        <f t="shared" si="4"/>
        <v>200</v>
      </c>
      <c r="L28" s="213">
        <f t="shared" si="4"/>
        <v>200</v>
      </c>
    </row>
    <row r="29" spans="1:12">
      <c r="A29" s="217" t="s">
        <v>149</v>
      </c>
      <c r="B29" s="213">
        <f>-'INV. INICIAL'!E27</f>
        <v>-279517.25</v>
      </c>
      <c r="C29" s="213"/>
      <c r="D29" s="213"/>
      <c r="E29" s="213">
        <f>-'V. DESECHO'!E20</f>
        <v>-6832.25</v>
      </c>
      <c r="F29" s="213"/>
      <c r="G29" s="213">
        <f>-'V. DESECHO'!C10</f>
        <v>-35000</v>
      </c>
      <c r="H29" s="213">
        <f>-'V. DESECHO'!E20</f>
        <v>-6832.25</v>
      </c>
      <c r="I29" s="213"/>
      <c r="J29" s="213"/>
      <c r="K29" s="213">
        <f>-'V. DESECHO'!E20</f>
        <v>-6832.25</v>
      </c>
      <c r="L29" s="213"/>
    </row>
    <row r="30" spans="1:12">
      <c r="A30" s="218" t="s">
        <v>150</v>
      </c>
      <c r="B30" s="213">
        <f>'k trab'!F16</f>
        <v>-14008.333333333328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</row>
    <row r="31" spans="1:12">
      <c r="A31" s="218" t="s">
        <v>180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>
        <f>-B30</f>
        <v>14008.333333333328</v>
      </c>
    </row>
    <row r="32" spans="1:12">
      <c r="A32" s="218" t="s">
        <v>181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>
        <f>'V. DESECHO'!H19</f>
        <v>217054.83333333331</v>
      </c>
    </row>
    <row r="33" spans="1:12" ht="15.75" thickBot="1">
      <c r="A33" s="344" t="s">
        <v>179</v>
      </c>
      <c r="B33" s="345">
        <f>SUM(B26:B30)</f>
        <v>-145762.79166666669</v>
      </c>
      <c r="C33" s="346">
        <f>SUM(C24:C32)-C6</f>
        <v>8701.8393590105006</v>
      </c>
      <c r="D33" s="346">
        <f t="shared" ref="D33:L33" si="5">SUM(D24:D32)-D6</f>
        <v>13646.623065134481</v>
      </c>
      <c r="E33" s="346">
        <f t="shared" si="5"/>
        <v>12073.430158452087</v>
      </c>
      <c r="F33" s="346">
        <f t="shared" si="5"/>
        <v>24501.112667762856</v>
      </c>
      <c r="G33" s="346">
        <f t="shared" si="5"/>
        <v>-4543.2634660390613</v>
      </c>
      <c r="H33" s="346">
        <f t="shared" si="5"/>
        <v>27307.600325295207</v>
      </c>
      <c r="I33" s="346">
        <f t="shared" si="5"/>
        <v>40894.891667665521</v>
      </c>
      <c r="J33" s="346">
        <f t="shared" si="5"/>
        <v>48093.357552646703</v>
      </c>
      <c r="K33" s="346">
        <f t="shared" si="5"/>
        <v>48935.23979428364</v>
      </c>
      <c r="L33" s="346">
        <f t="shared" si="5"/>
        <v>295015.26869092329</v>
      </c>
    </row>
    <row r="34" spans="1:12" ht="15.75" thickBot="1">
      <c r="A34" s="271" t="s">
        <v>217</v>
      </c>
      <c r="B34" s="269">
        <f>NPV(0.1621,C33:L33)+B33</f>
        <v>8984.1979057835706</v>
      </c>
      <c r="C34" s="167"/>
      <c r="D34" s="167"/>
      <c r="E34" s="167"/>
      <c r="F34" s="167"/>
      <c r="G34" s="167"/>
      <c r="H34" s="167"/>
      <c r="I34" s="274" t="s">
        <v>151</v>
      </c>
      <c r="J34" s="272">
        <f>IRR(B33:L33)</f>
        <v>0.17156508100023274</v>
      </c>
      <c r="K34" s="268"/>
      <c r="L34" s="268"/>
    </row>
    <row r="35" spans="1:12" ht="15.75" thickBot="1">
      <c r="A35" s="270"/>
      <c r="I35" s="275" t="s">
        <v>201</v>
      </c>
      <c r="J35" s="273">
        <f>CAPM!D10</f>
        <v>0.16209999999999999</v>
      </c>
    </row>
    <row r="36" spans="1:12" ht="15.75" thickBot="1"/>
    <row r="37" spans="1:12" ht="15.75" thickBot="1">
      <c r="C37" s="611" t="s">
        <v>152</v>
      </c>
      <c r="D37" s="612"/>
      <c r="E37" s="612"/>
      <c r="F37" s="612"/>
      <c r="G37" s="613"/>
    </row>
    <row r="38" spans="1:12" ht="27" thickBot="1">
      <c r="C38" s="238" t="s">
        <v>153</v>
      </c>
      <c r="D38" s="239" t="s">
        <v>154</v>
      </c>
      <c r="E38" s="238" t="s">
        <v>155</v>
      </c>
      <c r="F38" s="239" t="s">
        <v>156</v>
      </c>
      <c r="G38" s="240" t="s">
        <v>157</v>
      </c>
    </row>
    <row r="39" spans="1:12">
      <c r="C39" s="141">
        <v>1</v>
      </c>
      <c r="D39" s="214">
        <f>-B33</f>
        <v>145762.79166666669</v>
      </c>
      <c r="E39" s="142">
        <f>C33</f>
        <v>8701.8393590105006</v>
      </c>
      <c r="F39" s="276">
        <f t="shared" ref="F39:F47" si="6">D39*$J$35</f>
        <v>23628.148529166669</v>
      </c>
      <c r="G39" s="242">
        <f>E39-F39</f>
        <v>-14926.309170156168</v>
      </c>
    </row>
    <row r="40" spans="1:12">
      <c r="C40" s="139">
        <v>2</v>
      </c>
      <c r="D40" s="241">
        <f>D39-G39</f>
        <v>160689.10083682285</v>
      </c>
      <c r="E40" s="241">
        <f>D33</f>
        <v>13646.623065134481</v>
      </c>
      <c r="F40" s="277">
        <f t="shared" si="6"/>
        <v>26047.703245648983</v>
      </c>
      <c r="G40" s="243">
        <f t="shared" ref="G40:G48" si="7">E40-F40</f>
        <v>-12401.080180514502</v>
      </c>
    </row>
    <row r="41" spans="1:12">
      <c r="C41" s="139">
        <v>3</v>
      </c>
      <c r="D41" s="241">
        <f>D40-G40</f>
        <v>173090.18101733737</v>
      </c>
      <c r="E41" s="241">
        <f>E33</f>
        <v>12073.430158452087</v>
      </c>
      <c r="F41" s="277">
        <f t="shared" si="6"/>
        <v>28057.918342910387</v>
      </c>
      <c r="G41" s="243">
        <f t="shared" si="7"/>
        <v>-15984.4881844583</v>
      </c>
    </row>
    <row r="42" spans="1:12">
      <c r="C42" s="139">
        <v>4</v>
      </c>
      <c r="D42" s="241">
        <f t="shared" ref="D42:D48" si="8">D41-G41</f>
        <v>189074.66920179565</v>
      </c>
      <c r="E42" s="241">
        <f>F33</f>
        <v>24501.112667762856</v>
      </c>
      <c r="F42" s="277">
        <f t="shared" si="6"/>
        <v>30649.003877611074</v>
      </c>
      <c r="G42" s="243">
        <f t="shared" si="7"/>
        <v>-6147.8912098482178</v>
      </c>
    </row>
    <row r="43" spans="1:12">
      <c r="C43" s="407">
        <v>5</v>
      </c>
      <c r="D43" s="408">
        <f t="shared" si="8"/>
        <v>195222.56041164388</v>
      </c>
      <c r="E43" s="408">
        <f>G33</f>
        <v>-4543.2634660390613</v>
      </c>
      <c r="F43" s="409">
        <f t="shared" si="6"/>
        <v>31645.577042727473</v>
      </c>
      <c r="G43" s="410">
        <f t="shared" si="7"/>
        <v>-36188.840508766531</v>
      </c>
    </row>
    <row r="44" spans="1:12">
      <c r="C44" s="139">
        <v>6</v>
      </c>
      <c r="D44" s="241">
        <f t="shared" si="8"/>
        <v>231411.40092041041</v>
      </c>
      <c r="E44" s="241">
        <f>H33</f>
        <v>27307.600325295207</v>
      </c>
      <c r="F44" s="277">
        <f t="shared" si="6"/>
        <v>37511.788089198526</v>
      </c>
      <c r="G44" s="243">
        <f t="shared" si="7"/>
        <v>-10204.187763903319</v>
      </c>
    </row>
    <row r="45" spans="1:12">
      <c r="C45" s="411">
        <v>7</v>
      </c>
      <c r="D45" s="412">
        <f t="shared" si="8"/>
        <v>241615.58868431373</v>
      </c>
      <c r="E45" s="412">
        <f>I33</f>
        <v>40894.891667665521</v>
      </c>
      <c r="F45" s="413">
        <f t="shared" si="6"/>
        <v>39165.886925727253</v>
      </c>
      <c r="G45" s="414">
        <f t="shared" si="7"/>
        <v>1729.0047419382681</v>
      </c>
    </row>
    <row r="46" spans="1:12">
      <c r="C46" s="140">
        <v>8</v>
      </c>
      <c r="D46" s="241">
        <f t="shared" si="8"/>
        <v>239886.58394237547</v>
      </c>
      <c r="E46" s="241">
        <f>J33</f>
        <v>48093.357552646703</v>
      </c>
      <c r="F46" s="277">
        <f t="shared" si="6"/>
        <v>38885.615257059064</v>
      </c>
      <c r="G46" s="243">
        <f t="shared" si="7"/>
        <v>9207.7422955876391</v>
      </c>
      <c r="H46" s="95"/>
    </row>
    <row r="47" spans="1:12">
      <c r="C47" s="139">
        <v>9</v>
      </c>
      <c r="D47" s="241">
        <f t="shared" si="8"/>
        <v>230678.84164678783</v>
      </c>
      <c r="E47" s="241">
        <f>K33</f>
        <v>48935.23979428364</v>
      </c>
      <c r="F47" s="277">
        <f t="shared" si="6"/>
        <v>37393.040230944309</v>
      </c>
      <c r="G47" s="243">
        <f t="shared" si="7"/>
        <v>11542.199563339331</v>
      </c>
    </row>
    <row r="48" spans="1:12" ht="15.75" thickBot="1">
      <c r="C48" s="252">
        <v>10</v>
      </c>
      <c r="D48" s="253">
        <f t="shared" si="8"/>
        <v>219136.6420834485</v>
      </c>
      <c r="E48" s="253">
        <f>L33</f>
        <v>295015.26869092329</v>
      </c>
      <c r="F48" s="253">
        <f t="shared" ref="F48" si="9">D48*25.7%</f>
        <v>56318.117015446267</v>
      </c>
      <c r="G48" s="254">
        <f t="shared" si="7"/>
        <v>238697.15167547701</v>
      </c>
    </row>
  </sheetData>
  <mergeCells count="1">
    <mergeCell ref="C37:G37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C3:I21"/>
  <sheetViews>
    <sheetView tabSelected="1" zoomScaleNormal="100" workbookViewId="0">
      <selection activeCell="G7" sqref="G7"/>
    </sheetView>
  </sheetViews>
  <sheetFormatPr baseColWidth="10" defaultRowHeight="15"/>
  <cols>
    <col min="3" max="3" width="13" customWidth="1"/>
    <col min="5" max="5" width="13.7109375" bestFit="1" customWidth="1"/>
    <col min="7" max="7" width="11.42578125" style="8"/>
    <col min="8" max="8" width="12.28515625" bestFit="1" customWidth="1"/>
  </cols>
  <sheetData>
    <row r="3" spans="3:9">
      <c r="F3" s="8" t="s">
        <v>201</v>
      </c>
      <c r="H3" s="401">
        <v>0.16209999999999999</v>
      </c>
    </row>
    <row r="4" spans="3:9">
      <c r="C4" s="618" t="s">
        <v>203</v>
      </c>
      <c r="D4" s="618"/>
      <c r="E4" s="618"/>
      <c r="F4" s="618"/>
      <c r="G4" s="618"/>
      <c r="H4" s="618"/>
    </row>
    <row r="5" spans="3:9">
      <c r="C5" s="615" t="s">
        <v>207</v>
      </c>
      <c r="D5" s="62"/>
      <c r="E5" s="138" t="s">
        <v>204</v>
      </c>
      <c r="F5" s="138" t="s">
        <v>205</v>
      </c>
      <c r="G5" s="138" t="s">
        <v>201</v>
      </c>
      <c r="H5" s="138" t="s">
        <v>206</v>
      </c>
    </row>
    <row r="6" spans="3:9">
      <c r="C6" s="616"/>
      <c r="D6" s="251">
        <v>0.05</v>
      </c>
      <c r="E6" s="398">
        <v>200878.93</v>
      </c>
      <c r="F6" s="251">
        <v>0.38</v>
      </c>
      <c r="G6" s="402">
        <v>0.16209999999999999</v>
      </c>
      <c r="H6" s="22" t="s">
        <v>208</v>
      </c>
      <c r="I6" s="8"/>
    </row>
    <row r="7" spans="3:9">
      <c r="C7" s="616"/>
      <c r="D7" s="22">
        <v>0</v>
      </c>
      <c r="E7" s="399">
        <f>FC!C30</f>
        <v>136914.01991331019</v>
      </c>
      <c r="F7" s="251">
        <f>FC!K30</f>
        <v>0.30938994997836117</v>
      </c>
      <c r="G7" s="402">
        <v>0.16209999999999999</v>
      </c>
      <c r="H7" s="22" t="s">
        <v>208</v>
      </c>
      <c r="I7" s="8"/>
    </row>
    <row r="8" spans="3:9">
      <c r="C8" s="616"/>
      <c r="D8" s="251">
        <v>-0.05</v>
      </c>
      <c r="E8" s="398">
        <v>72949.11</v>
      </c>
      <c r="F8" s="251">
        <v>0.24</v>
      </c>
      <c r="G8" s="402">
        <v>0.16209999999999999</v>
      </c>
      <c r="H8" s="22" t="s">
        <v>208</v>
      </c>
      <c r="I8" s="8"/>
    </row>
    <row r="9" spans="3:9">
      <c r="C9" s="616"/>
      <c r="D9" s="251">
        <v>-0.1</v>
      </c>
      <c r="E9" s="400">
        <v>8984.2000000000007</v>
      </c>
      <c r="F9" s="251">
        <v>0.17</v>
      </c>
      <c r="G9" s="402">
        <v>0.16209999999999999</v>
      </c>
      <c r="H9" s="22" t="s">
        <v>208</v>
      </c>
      <c r="I9" s="8"/>
    </row>
    <row r="10" spans="3:9">
      <c r="C10" s="616"/>
      <c r="D10" s="251">
        <v>-0.15</v>
      </c>
      <c r="E10" s="400">
        <v>-54980.71</v>
      </c>
      <c r="F10" s="251">
        <v>0.1</v>
      </c>
      <c r="G10" s="402">
        <v>0.16209999999999999</v>
      </c>
      <c r="H10" s="22" t="s">
        <v>215</v>
      </c>
      <c r="I10" s="8"/>
    </row>
    <row r="11" spans="3:9">
      <c r="C11" s="617"/>
      <c r="D11" s="251">
        <v>-0.2</v>
      </c>
      <c r="E11" s="400">
        <v>-118945.62</v>
      </c>
      <c r="F11" s="251">
        <v>0.04</v>
      </c>
      <c r="G11" s="402">
        <v>0.16209999999999999</v>
      </c>
      <c r="H11" s="22" t="s">
        <v>215</v>
      </c>
      <c r="I11" s="8"/>
    </row>
    <row r="12" spans="3:9">
      <c r="C12" s="8"/>
      <c r="D12" s="8"/>
      <c r="E12" s="8"/>
      <c r="F12" s="8"/>
      <c r="H12" s="8"/>
    </row>
    <row r="13" spans="3:9">
      <c r="C13" s="8"/>
      <c r="D13" s="8"/>
      <c r="E13" s="8"/>
      <c r="F13" s="8"/>
      <c r="H13" s="8"/>
    </row>
    <row r="14" spans="3:9">
      <c r="C14" s="618" t="s">
        <v>209</v>
      </c>
      <c r="D14" s="618"/>
      <c r="E14" s="618"/>
      <c r="F14" s="618"/>
      <c r="G14" s="618"/>
      <c r="H14" s="618"/>
    </row>
    <row r="15" spans="3:9">
      <c r="C15" s="614" t="s">
        <v>207</v>
      </c>
      <c r="D15" s="62"/>
      <c r="E15" s="138" t="s">
        <v>204</v>
      </c>
      <c r="F15" s="138" t="s">
        <v>205</v>
      </c>
      <c r="G15" s="138" t="s">
        <v>201</v>
      </c>
      <c r="H15" s="138" t="s">
        <v>206</v>
      </c>
    </row>
    <row r="16" spans="3:9">
      <c r="C16" s="614"/>
      <c r="D16" s="251">
        <v>0.4</v>
      </c>
      <c r="E16" s="400">
        <v>-47304.92</v>
      </c>
      <c r="F16" s="251">
        <v>0.11</v>
      </c>
      <c r="G16" s="402">
        <v>0.16209999999999999</v>
      </c>
      <c r="H16" s="22" t="s">
        <v>215</v>
      </c>
    </row>
    <row r="17" spans="3:8">
      <c r="C17" s="614"/>
      <c r="D17" s="251">
        <v>0.3</v>
      </c>
      <c r="E17" s="400">
        <v>-1250.19</v>
      </c>
      <c r="F17" s="251">
        <v>0.16</v>
      </c>
      <c r="G17" s="402">
        <v>0.16209999999999999</v>
      </c>
      <c r="H17" s="22" t="s">
        <v>215</v>
      </c>
    </row>
    <row r="18" spans="3:8">
      <c r="C18" s="614"/>
      <c r="D18" s="251">
        <v>0.2</v>
      </c>
      <c r="E18" s="398">
        <v>44804.55</v>
      </c>
      <c r="F18" s="251">
        <v>0.21</v>
      </c>
      <c r="G18" s="402">
        <v>0.16209999999999999</v>
      </c>
      <c r="H18" s="22" t="s">
        <v>208</v>
      </c>
    </row>
    <row r="19" spans="3:8">
      <c r="C19" s="614"/>
      <c r="D19" s="251">
        <v>0.1</v>
      </c>
      <c r="E19" s="398">
        <v>90859.28</v>
      </c>
      <c r="F19" s="251">
        <v>0.26</v>
      </c>
      <c r="G19" s="402">
        <v>0.16209999999999999</v>
      </c>
      <c r="H19" s="22" t="s">
        <v>208</v>
      </c>
    </row>
    <row r="20" spans="3:8">
      <c r="C20" s="614"/>
      <c r="D20" s="22">
        <v>0</v>
      </c>
      <c r="E20" s="398">
        <f>FC!C30</f>
        <v>136914.01991331019</v>
      </c>
      <c r="F20" s="251">
        <f>FC!K30</f>
        <v>0.30938994997836117</v>
      </c>
      <c r="G20" s="402">
        <v>0.16209999999999999</v>
      </c>
      <c r="H20" s="22" t="s">
        <v>208</v>
      </c>
    </row>
    <row r="21" spans="3:8">
      <c r="C21" s="614"/>
      <c r="D21" s="251">
        <v>-0.05</v>
      </c>
      <c r="E21" s="398">
        <v>159941.39000000001</v>
      </c>
      <c r="F21" s="251">
        <v>0.33</v>
      </c>
      <c r="G21" s="402">
        <v>0.16209999999999999</v>
      </c>
      <c r="H21" s="22" t="s">
        <v>208</v>
      </c>
    </row>
  </sheetData>
  <mergeCells count="4">
    <mergeCell ref="C15:C21"/>
    <mergeCell ref="C5:C11"/>
    <mergeCell ref="C14:H14"/>
    <mergeCell ref="C4:H4"/>
  </mergeCells>
  <printOptions horizontalCentered="1" verticalCentered="1"/>
  <pageMargins left="0.70866141732283472" right="0.70866141732283472" top="1.9" bottom="0.74803149606299213" header="0.31496062992125984" footer="0.31496062992125984"/>
  <pageSetup scale="2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Normal="100" workbookViewId="0">
      <selection activeCell="B12" sqref="B12"/>
    </sheetView>
  </sheetViews>
  <sheetFormatPr baseColWidth="10" defaultRowHeight="15"/>
  <cols>
    <col min="1" max="1" width="22.42578125" style="1" customWidth="1"/>
    <col min="2" max="2" width="15.7109375" customWidth="1"/>
    <col min="3" max="5" width="16.85546875" style="1" customWidth="1"/>
    <col min="6" max="6" width="11.85546875" bestFit="1" customWidth="1"/>
    <col min="7" max="7" width="20.42578125" customWidth="1"/>
    <col min="8" max="8" width="9.5703125" customWidth="1"/>
    <col min="9" max="9" width="16.5703125" customWidth="1"/>
    <col min="10" max="10" width="11.28515625" customWidth="1"/>
    <col min="11" max="11" width="13.7109375" customWidth="1"/>
    <col min="12" max="12" width="12.7109375" customWidth="1"/>
    <col min="13" max="13" width="11.42578125" style="8"/>
    <col min="15" max="15" width="35.28515625" customWidth="1"/>
    <col min="16" max="16" width="12.85546875" customWidth="1"/>
    <col min="19" max="19" width="14.28515625" customWidth="1"/>
    <col min="20" max="20" width="13.42578125" customWidth="1"/>
    <col min="22" max="22" width="37.42578125" customWidth="1"/>
    <col min="23" max="23" width="13.5703125" customWidth="1"/>
  </cols>
  <sheetData>
    <row r="1" spans="1:24" s="8" customFormat="1" ht="15.75" thickBot="1">
      <c r="A1" s="1"/>
      <c r="C1" s="1"/>
      <c r="D1" s="1"/>
      <c r="E1" s="1"/>
    </row>
    <row r="2" spans="1:24" ht="31.5" customHeight="1" thickBot="1">
      <c r="A2" s="454" t="s">
        <v>0</v>
      </c>
      <c r="B2" s="454" t="s">
        <v>1</v>
      </c>
      <c r="C2" s="454" t="s">
        <v>2</v>
      </c>
      <c r="D2" s="455" t="s">
        <v>38</v>
      </c>
      <c r="E2" s="69" t="s">
        <v>37</v>
      </c>
      <c r="F2" s="132"/>
      <c r="G2" s="131"/>
      <c r="I2" s="544" t="s">
        <v>248</v>
      </c>
      <c r="J2" s="545"/>
      <c r="K2" s="446" t="s">
        <v>249</v>
      </c>
      <c r="L2" s="4"/>
      <c r="M2" s="4"/>
      <c r="N2" s="4"/>
    </row>
    <row r="3" spans="1:24" ht="25.5" customHeight="1">
      <c r="A3" s="20" t="s">
        <v>5</v>
      </c>
      <c r="B3" s="2">
        <v>1</v>
      </c>
      <c r="C3" s="3" t="s">
        <v>3</v>
      </c>
      <c r="D3" s="490">
        <v>150000</v>
      </c>
      <c r="E3" s="6">
        <f>D3*B3</f>
        <v>150000</v>
      </c>
      <c r="F3" s="133"/>
      <c r="G3" s="131"/>
      <c r="I3" s="546" t="s">
        <v>250</v>
      </c>
      <c r="J3" s="547"/>
      <c r="K3" s="447">
        <f>E3</f>
        <v>150000</v>
      </c>
      <c r="M3" s="38"/>
      <c r="T3" s="59"/>
      <c r="U3" s="8"/>
    </row>
    <row r="4" spans="1:24" s="8" customFormat="1" ht="25.5" customHeight="1">
      <c r="A4" s="20" t="s">
        <v>211</v>
      </c>
      <c r="B4" s="2">
        <v>1</v>
      </c>
      <c r="C4" s="3" t="s">
        <v>214</v>
      </c>
      <c r="D4" s="490">
        <v>80000</v>
      </c>
      <c r="E4" s="6">
        <f>D4*B4</f>
        <v>80000</v>
      </c>
      <c r="F4" s="133"/>
      <c r="G4" s="131"/>
      <c r="I4" s="537" t="s">
        <v>251</v>
      </c>
      <c r="J4" s="538"/>
      <c r="K4" s="448">
        <f>E4</f>
        <v>80000</v>
      </c>
      <c r="M4" s="38"/>
      <c r="T4" s="59"/>
    </row>
    <row r="5" spans="1:24" ht="25.5" customHeight="1">
      <c r="A5" s="3" t="s">
        <v>4</v>
      </c>
      <c r="B5" s="20">
        <v>10</v>
      </c>
      <c r="C5" s="3" t="s">
        <v>35</v>
      </c>
      <c r="D5" s="490">
        <v>550</v>
      </c>
      <c r="E5" s="6">
        <f t="shared" ref="E5:E7" si="0">D5*B5</f>
        <v>5500</v>
      </c>
      <c r="F5" s="133"/>
      <c r="G5" s="131"/>
      <c r="I5" s="537" t="s">
        <v>256</v>
      </c>
      <c r="J5" s="538"/>
      <c r="K5" s="449">
        <f>E5</f>
        <v>5500</v>
      </c>
      <c r="M5" s="39"/>
      <c r="T5" s="52"/>
      <c r="U5" s="21"/>
    </row>
    <row r="6" spans="1:24" ht="25.5" customHeight="1">
      <c r="A6" s="3" t="s">
        <v>24</v>
      </c>
      <c r="B6" s="3">
        <v>1</v>
      </c>
      <c r="C6" s="3" t="s">
        <v>25</v>
      </c>
      <c r="D6" s="490">
        <v>20000</v>
      </c>
      <c r="E6" s="6">
        <f t="shared" si="0"/>
        <v>20000</v>
      </c>
      <c r="F6" s="134"/>
      <c r="G6" s="97"/>
      <c r="I6" s="537" t="s">
        <v>255</v>
      </c>
      <c r="J6" s="538"/>
      <c r="K6" s="448">
        <f>SUM(E6:E7)</f>
        <v>35000</v>
      </c>
      <c r="M6" s="17"/>
      <c r="T6" s="49"/>
      <c r="U6" s="7"/>
    </row>
    <row r="7" spans="1:24" s="8" customFormat="1" ht="25.5" customHeight="1">
      <c r="A7" s="3" t="s">
        <v>116</v>
      </c>
      <c r="B7" s="3">
        <v>1</v>
      </c>
      <c r="C7" s="3" t="s">
        <v>35</v>
      </c>
      <c r="D7" s="490">
        <v>15000</v>
      </c>
      <c r="E7" s="6">
        <f t="shared" si="0"/>
        <v>15000</v>
      </c>
      <c r="F7" s="134"/>
      <c r="G7" s="97"/>
      <c r="I7" s="537" t="s">
        <v>252</v>
      </c>
      <c r="J7" s="538"/>
      <c r="K7" s="448">
        <f>E13</f>
        <v>1434.25</v>
      </c>
      <c r="M7" s="17"/>
      <c r="T7" s="49"/>
      <c r="U7" s="7"/>
    </row>
    <row r="8" spans="1:24" s="8" customFormat="1" ht="25.5" customHeight="1">
      <c r="A8" s="454" t="s">
        <v>39</v>
      </c>
      <c r="B8" s="3"/>
      <c r="C8" s="3"/>
      <c r="D8" s="491">
        <f>SUM(D3:D7)</f>
        <v>265550</v>
      </c>
      <c r="E8" s="19">
        <f>SUM(E3:E7)</f>
        <v>270500</v>
      </c>
      <c r="F8" s="17"/>
      <c r="G8" s="97"/>
      <c r="I8" s="537" t="s">
        <v>253</v>
      </c>
      <c r="J8" s="538"/>
      <c r="K8" s="448">
        <f>E19</f>
        <v>5398</v>
      </c>
      <c r="M8" s="17"/>
      <c r="N8"/>
      <c r="Q8"/>
      <c r="T8" s="49"/>
      <c r="U8" s="7"/>
    </row>
    <row r="9" spans="1:24" ht="25.5" customHeight="1">
      <c r="A9" s="541" t="s">
        <v>9</v>
      </c>
      <c r="B9" s="542"/>
      <c r="C9" s="543"/>
      <c r="D9" s="488"/>
      <c r="E9" s="489"/>
      <c r="F9" s="17"/>
      <c r="G9" s="97"/>
      <c r="I9" s="539" t="s">
        <v>254</v>
      </c>
      <c r="J9" s="540"/>
      <c r="K9" s="450">
        <v>2185</v>
      </c>
      <c r="M9" s="17"/>
      <c r="T9" s="50"/>
      <c r="U9" s="8"/>
    </row>
    <row r="10" spans="1:24" ht="26.25" customHeight="1" thickBot="1">
      <c r="A10" s="3" t="s">
        <v>10</v>
      </c>
      <c r="B10" s="2">
        <v>5</v>
      </c>
      <c r="C10" s="3" t="s">
        <v>6</v>
      </c>
      <c r="D10" s="490">
        <v>20</v>
      </c>
      <c r="E10" s="6">
        <f>D10*B10</f>
        <v>100</v>
      </c>
      <c r="F10" s="134"/>
      <c r="G10" s="97"/>
      <c r="I10" s="550" t="s">
        <v>192</v>
      </c>
      <c r="J10" s="551"/>
      <c r="K10" s="451">
        <v>2000</v>
      </c>
      <c r="M10" s="17"/>
      <c r="T10" s="51"/>
      <c r="U10" s="8"/>
    </row>
    <row r="11" spans="1:24" ht="25.5" customHeight="1" thickBot="1">
      <c r="A11" s="3" t="s">
        <v>12</v>
      </c>
      <c r="B11" s="2">
        <v>5</v>
      </c>
      <c r="C11" s="3" t="s">
        <v>6</v>
      </c>
      <c r="D11" s="490">
        <v>66.849999999999994</v>
      </c>
      <c r="E11" s="6">
        <f t="shared" ref="E11:E12" si="1">D11*B11</f>
        <v>334.25</v>
      </c>
      <c r="F11" s="134"/>
      <c r="G11" s="97"/>
      <c r="I11" s="548" t="s">
        <v>39</v>
      </c>
      <c r="J11" s="549"/>
      <c r="K11" s="452">
        <f>SUM(K3:K10)</f>
        <v>281517.25</v>
      </c>
      <c r="M11" s="17"/>
      <c r="T11" s="52"/>
      <c r="U11" s="8"/>
    </row>
    <row r="12" spans="1:24" ht="24.75" customHeight="1">
      <c r="A12" s="3" t="s">
        <v>11</v>
      </c>
      <c r="B12" s="2">
        <v>5</v>
      </c>
      <c r="C12" s="3" t="s">
        <v>6</v>
      </c>
      <c r="D12" s="490">
        <v>200</v>
      </c>
      <c r="E12" s="6">
        <f t="shared" si="1"/>
        <v>1000</v>
      </c>
      <c r="F12" s="134"/>
      <c r="G12" s="97"/>
      <c r="M12" s="40"/>
      <c r="N12" s="8"/>
      <c r="Q12" s="8"/>
      <c r="T12" s="49"/>
      <c r="U12" s="8"/>
    </row>
    <row r="13" spans="1:24" s="8" customFormat="1" ht="20.25" customHeight="1">
      <c r="A13" s="454" t="s">
        <v>39</v>
      </c>
      <c r="B13" s="2"/>
      <c r="C13" s="3"/>
      <c r="D13" s="491">
        <f>SUM(D10:D12)</f>
        <v>286.85000000000002</v>
      </c>
      <c r="E13" s="19">
        <f>SUM(E10:E12)</f>
        <v>1434.25</v>
      </c>
      <c r="F13" s="134"/>
      <c r="G13" s="17"/>
      <c r="H13"/>
      <c r="I13"/>
      <c r="J13"/>
      <c r="K13"/>
      <c r="L13"/>
      <c r="N13"/>
      <c r="O13"/>
      <c r="Q13"/>
      <c r="T13" s="60"/>
      <c r="V13"/>
      <c r="W13"/>
      <c r="X13"/>
    </row>
    <row r="14" spans="1:24" ht="21" customHeight="1">
      <c r="A14" s="541" t="s">
        <v>13</v>
      </c>
      <c r="B14" s="542"/>
      <c r="C14" s="543"/>
      <c r="D14" s="488"/>
      <c r="E14" s="489"/>
      <c r="F14" s="17"/>
      <c r="G14" s="17"/>
      <c r="T14" s="51"/>
      <c r="U14" s="8"/>
    </row>
    <row r="15" spans="1:24" ht="19.5" customHeight="1">
      <c r="A15" s="3" t="s">
        <v>7</v>
      </c>
      <c r="B15" s="2">
        <v>1</v>
      </c>
      <c r="C15" s="3" t="s">
        <v>8</v>
      </c>
      <c r="D15" s="490">
        <v>3000</v>
      </c>
      <c r="E15" s="6">
        <v>3000</v>
      </c>
      <c r="G15" s="27"/>
      <c r="H15" s="27"/>
      <c r="I15" s="27"/>
      <c r="J15" s="27"/>
      <c r="K15" s="27"/>
      <c r="L15" s="27"/>
      <c r="M15" s="27"/>
      <c r="T15" s="61"/>
      <c r="U15" s="8"/>
    </row>
    <row r="16" spans="1:24" ht="32.25" customHeight="1">
      <c r="A16" s="3" t="s">
        <v>14</v>
      </c>
      <c r="B16" s="2">
        <v>4</v>
      </c>
      <c r="C16" s="3" t="s">
        <v>16</v>
      </c>
      <c r="D16" s="490">
        <v>450</v>
      </c>
      <c r="E16" s="6">
        <f>D16*B16</f>
        <v>1800</v>
      </c>
      <c r="G16" s="28"/>
      <c r="H16" s="29"/>
      <c r="I16" s="29"/>
      <c r="J16" s="29"/>
      <c r="K16" s="29"/>
      <c r="L16" s="27"/>
      <c r="M16" s="27"/>
      <c r="O16" s="50"/>
      <c r="P16" s="50"/>
      <c r="Q16" s="51"/>
      <c r="R16" s="51"/>
      <c r="S16" s="51"/>
      <c r="T16" s="50"/>
      <c r="U16" s="8"/>
    </row>
    <row r="17" spans="1:18" ht="37.5" customHeight="1">
      <c r="A17" s="3" t="s">
        <v>15</v>
      </c>
      <c r="B17" s="2">
        <v>2</v>
      </c>
      <c r="C17" s="3" t="s">
        <v>16</v>
      </c>
      <c r="D17" s="490">
        <v>200</v>
      </c>
      <c r="E17" s="6">
        <f>D17*B17</f>
        <v>400</v>
      </c>
      <c r="G17" s="457"/>
      <c r="H17" s="30"/>
      <c r="I17" s="30"/>
      <c r="J17" s="30"/>
      <c r="K17" s="31"/>
      <c r="L17" s="27"/>
      <c r="M17" s="27"/>
      <c r="O17" s="53"/>
      <c r="P17" s="54"/>
      <c r="Q17" s="51"/>
      <c r="R17" s="51"/>
    </row>
    <row r="18" spans="1:18" ht="30">
      <c r="A18" s="3" t="s">
        <v>21</v>
      </c>
      <c r="B18" s="2">
        <v>4</v>
      </c>
      <c r="C18" s="3" t="s">
        <v>16</v>
      </c>
      <c r="D18" s="490">
        <v>49.5</v>
      </c>
      <c r="E18" s="6">
        <f>D18*B18</f>
        <v>198</v>
      </c>
    </row>
    <row r="19" spans="1:18" s="8" customFormat="1" ht="18.75" customHeight="1">
      <c r="A19" s="454" t="s">
        <v>39</v>
      </c>
      <c r="B19" s="2"/>
      <c r="C19" s="3"/>
      <c r="D19" s="491">
        <f>SUM(D15:D18)</f>
        <v>3699.5</v>
      </c>
      <c r="E19" s="19">
        <f>SUM(E15:E18)</f>
        <v>5398</v>
      </c>
    </row>
    <row r="20" spans="1:18" ht="20.25" customHeight="1">
      <c r="A20" s="541" t="s">
        <v>17</v>
      </c>
      <c r="B20" s="542"/>
      <c r="C20" s="543"/>
      <c r="D20" s="488"/>
      <c r="E20" s="489"/>
      <c r="N20" s="12"/>
    </row>
    <row r="21" spans="1:18" ht="30">
      <c r="A21" s="3" t="s">
        <v>18</v>
      </c>
      <c r="B21" s="3">
        <v>4</v>
      </c>
      <c r="C21" s="3" t="s">
        <v>16</v>
      </c>
      <c r="D21" s="490">
        <v>75</v>
      </c>
      <c r="E21" s="6">
        <f>D21*B21</f>
        <v>300</v>
      </c>
      <c r="N21" s="12"/>
    </row>
    <row r="22" spans="1:18" ht="30">
      <c r="A22" s="3" t="s">
        <v>19</v>
      </c>
      <c r="B22" s="2">
        <v>10</v>
      </c>
      <c r="C22" s="3" t="s">
        <v>16</v>
      </c>
      <c r="D22" s="490">
        <v>40</v>
      </c>
      <c r="E22" s="6">
        <f>D22*B22</f>
        <v>400</v>
      </c>
      <c r="N22" s="12"/>
    </row>
    <row r="23" spans="1:18" ht="30">
      <c r="A23" s="3" t="s">
        <v>117</v>
      </c>
      <c r="B23" s="2">
        <v>1</v>
      </c>
      <c r="C23" s="3" t="s">
        <v>16</v>
      </c>
      <c r="D23" s="490">
        <v>109</v>
      </c>
      <c r="E23" s="6">
        <f>D23*B23</f>
        <v>109</v>
      </c>
      <c r="N23" s="12"/>
    </row>
    <row r="24" spans="1:18" ht="30">
      <c r="A24" s="3" t="s">
        <v>20</v>
      </c>
      <c r="B24" s="2">
        <v>4</v>
      </c>
      <c r="C24" s="3" t="s">
        <v>16</v>
      </c>
      <c r="D24" s="490">
        <v>169</v>
      </c>
      <c r="E24" s="6">
        <f>D24*B24</f>
        <v>676</v>
      </c>
      <c r="N24" s="12"/>
    </row>
    <row r="25" spans="1:18" ht="30">
      <c r="A25" s="514" t="s">
        <v>22</v>
      </c>
      <c r="B25" s="3" t="s">
        <v>23</v>
      </c>
      <c r="C25" s="3" t="s">
        <v>16</v>
      </c>
      <c r="D25" s="492">
        <v>700</v>
      </c>
      <c r="E25" s="9">
        <v>700</v>
      </c>
      <c r="N25" s="12"/>
    </row>
    <row r="26" spans="1:18">
      <c r="A26" s="493" t="s">
        <v>45</v>
      </c>
      <c r="B26" s="480"/>
      <c r="C26" s="494"/>
      <c r="D26" s="19">
        <f>SUM(D21:D25)</f>
        <v>1093</v>
      </c>
      <c r="E26" s="19">
        <f>SUM(E21:E25)</f>
        <v>2185</v>
      </c>
    </row>
    <row r="27" spans="1:18" ht="17.25">
      <c r="A27" s="534" t="s">
        <v>78</v>
      </c>
      <c r="B27" s="535"/>
      <c r="C27" s="535"/>
      <c r="D27" s="536"/>
      <c r="E27" s="73">
        <f>SUM(E26,E19,E8,E13)</f>
        <v>279517.25</v>
      </c>
      <c r="G27" s="27"/>
      <c r="H27" s="27"/>
      <c r="I27" s="27"/>
      <c r="J27" s="27"/>
      <c r="K27" s="27"/>
      <c r="L27" s="27"/>
      <c r="M27" s="27"/>
    </row>
  </sheetData>
  <mergeCells count="14">
    <mergeCell ref="I2:J2"/>
    <mergeCell ref="I3:J3"/>
    <mergeCell ref="I5:J5"/>
    <mergeCell ref="I11:J11"/>
    <mergeCell ref="I10:J10"/>
    <mergeCell ref="A27:D27"/>
    <mergeCell ref="I4:J4"/>
    <mergeCell ref="I6:J6"/>
    <mergeCell ref="I7:J7"/>
    <mergeCell ref="I8:J8"/>
    <mergeCell ref="I9:J9"/>
    <mergeCell ref="A9:C9"/>
    <mergeCell ref="A14:C14"/>
    <mergeCell ref="A20:C20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A22" workbookViewId="0">
      <selection sqref="A1:M27"/>
    </sheetView>
  </sheetViews>
  <sheetFormatPr baseColWidth="10" defaultRowHeight="15"/>
  <cols>
    <col min="1" max="1" width="18.85546875" customWidth="1"/>
    <col min="2" max="2" width="13.85546875" style="8" customWidth="1"/>
    <col min="3" max="3" width="16.28515625" bestFit="1" customWidth="1"/>
    <col min="5" max="5" width="13" bestFit="1" customWidth="1"/>
    <col min="6" max="8" width="13" style="8" hidden="1" customWidth="1"/>
    <col min="11" max="11" width="12.140625" bestFit="1" customWidth="1"/>
  </cols>
  <sheetData>
    <row r="1" spans="1:13" s="8" customFormat="1" ht="15.75" thickBot="1"/>
    <row r="2" spans="1:13" ht="26.25" thickBot="1">
      <c r="A2" s="282" t="s">
        <v>79</v>
      </c>
      <c r="B2" s="283" t="s">
        <v>122</v>
      </c>
    </row>
    <row r="3" spans="1:13" ht="30">
      <c r="A3" s="280" t="s">
        <v>123</v>
      </c>
      <c r="B3" s="281" t="s">
        <v>124</v>
      </c>
    </row>
    <row r="4" spans="1:13">
      <c r="A4" s="278" t="s">
        <v>125</v>
      </c>
      <c r="B4" s="279" t="s">
        <v>126</v>
      </c>
    </row>
    <row r="5" spans="1:13">
      <c r="A5" s="278" t="s">
        <v>127</v>
      </c>
      <c r="B5" s="279" t="s">
        <v>128</v>
      </c>
    </row>
    <row r="6" spans="1:13">
      <c r="A6" s="278" t="s">
        <v>129</v>
      </c>
      <c r="B6" s="279" t="s">
        <v>130</v>
      </c>
    </row>
    <row r="7" spans="1:13" ht="30.75" thickBot="1">
      <c r="A7" s="284" t="s">
        <v>131</v>
      </c>
      <c r="B7" s="285" t="s">
        <v>132</v>
      </c>
    </row>
    <row r="8" spans="1:13">
      <c r="A8" s="286" t="s">
        <v>39</v>
      </c>
      <c r="B8" s="287" t="s">
        <v>133</v>
      </c>
      <c r="C8" s="453"/>
    </row>
    <row r="9" spans="1:13" ht="15.75" thickBot="1">
      <c r="A9" s="288" t="s">
        <v>218</v>
      </c>
      <c r="B9" s="289" t="s">
        <v>221</v>
      </c>
    </row>
    <row r="10" spans="1:13" ht="30.75" thickBot="1">
      <c r="A10" s="290" t="s">
        <v>219</v>
      </c>
      <c r="B10" s="291" t="s">
        <v>220</v>
      </c>
    </row>
    <row r="11" spans="1:13" s="8" customFormat="1" ht="15.75" thickBot="1">
      <c r="A11" s="460"/>
      <c r="B11" s="461"/>
    </row>
    <row r="12" spans="1:13" ht="15.75" thickBot="1">
      <c r="A12" s="552" t="s">
        <v>98</v>
      </c>
      <c r="B12" s="553"/>
      <c r="C12" s="553"/>
      <c r="D12" s="553"/>
      <c r="E12" s="554"/>
      <c r="F12" s="143"/>
      <c r="G12" s="143"/>
      <c r="H12" s="143"/>
      <c r="J12" s="555" t="s">
        <v>147</v>
      </c>
      <c r="K12" s="556"/>
      <c r="L12" s="556"/>
      <c r="M12" s="557"/>
    </row>
    <row r="13" spans="1:13" ht="15.75" customHeight="1" thickBot="1">
      <c r="A13" s="468" t="s">
        <v>99</v>
      </c>
      <c r="B13" s="462" t="s">
        <v>160</v>
      </c>
      <c r="C13" s="462" t="s">
        <v>100</v>
      </c>
      <c r="D13" s="462" t="s">
        <v>101</v>
      </c>
      <c r="E13" s="469" t="s">
        <v>102</v>
      </c>
      <c r="F13" s="143"/>
      <c r="G13" s="143"/>
      <c r="H13" s="143"/>
      <c r="J13" s="152" t="s">
        <v>95</v>
      </c>
      <c r="K13" s="153" t="s">
        <v>100</v>
      </c>
      <c r="L13" s="154" t="s">
        <v>101</v>
      </c>
      <c r="M13" s="155" t="s">
        <v>102</v>
      </c>
    </row>
    <row r="14" spans="1:13" ht="15.75" customHeight="1">
      <c r="A14" s="470" t="s">
        <v>103</v>
      </c>
      <c r="B14" s="463">
        <v>2.5000000000000001E-2</v>
      </c>
      <c r="C14" s="464">
        <f>B14*$C$26</f>
        <v>1125</v>
      </c>
      <c r="D14" s="465">
        <v>5</v>
      </c>
      <c r="E14" s="471">
        <f t="shared" ref="E14:E25" si="0">C14*D14</f>
        <v>5625</v>
      </c>
      <c r="F14" s="144"/>
      <c r="G14" s="144"/>
      <c r="H14" s="144"/>
      <c r="J14" s="150">
        <v>2012</v>
      </c>
      <c r="K14" s="151">
        <f>DEMANDA!B10</f>
        <v>45000</v>
      </c>
      <c r="L14" s="156">
        <v>5</v>
      </c>
      <c r="M14" s="157">
        <f>K14*L14</f>
        <v>225000</v>
      </c>
    </row>
    <row r="15" spans="1:13">
      <c r="A15" s="472" t="s">
        <v>104</v>
      </c>
      <c r="B15" s="466">
        <v>0.03</v>
      </c>
      <c r="C15" s="464">
        <f t="shared" ref="C15:C25" si="1">B15*$C$26</f>
        <v>1350</v>
      </c>
      <c r="D15" s="465">
        <v>5</v>
      </c>
      <c r="E15" s="471">
        <f t="shared" si="0"/>
        <v>6750</v>
      </c>
      <c r="F15" s="144"/>
      <c r="G15" s="144"/>
      <c r="H15" s="144"/>
      <c r="J15" s="129">
        <v>2013</v>
      </c>
      <c r="K15" s="148">
        <f>DEMANDA!B11</f>
        <v>47250</v>
      </c>
      <c r="L15" s="158">
        <v>5</v>
      </c>
      <c r="M15" s="159">
        <f t="shared" ref="M15:M23" si="2">K15*L15</f>
        <v>236250</v>
      </c>
    </row>
    <row r="16" spans="1:13">
      <c r="A16" s="472" t="s">
        <v>105</v>
      </c>
      <c r="B16" s="466">
        <v>0.04</v>
      </c>
      <c r="C16" s="464">
        <f t="shared" si="1"/>
        <v>1800</v>
      </c>
      <c r="D16" s="465">
        <v>5</v>
      </c>
      <c r="E16" s="471">
        <f t="shared" si="0"/>
        <v>9000</v>
      </c>
      <c r="F16" s="144"/>
      <c r="G16" s="144"/>
      <c r="H16" s="144"/>
      <c r="J16" s="129">
        <v>2014</v>
      </c>
      <c r="K16" s="147">
        <f>DEMANDA!B12</f>
        <v>49612.5</v>
      </c>
      <c r="L16" s="158">
        <v>5</v>
      </c>
      <c r="M16" s="159">
        <f t="shared" si="2"/>
        <v>248062.5</v>
      </c>
    </row>
    <row r="17" spans="1:13">
      <c r="A17" s="472" t="s">
        <v>106</v>
      </c>
      <c r="B17" s="466">
        <v>0.05</v>
      </c>
      <c r="C17" s="464">
        <f t="shared" si="1"/>
        <v>2250</v>
      </c>
      <c r="D17" s="465">
        <v>5</v>
      </c>
      <c r="E17" s="471">
        <f t="shared" si="0"/>
        <v>11250</v>
      </c>
      <c r="F17" s="144"/>
      <c r="G17" s="144"/>
      <c r="H17" s="144"/>
      <c r="J17" s="129">
        <v>2015</v>
      </c>
      <c r="K17" s="148">
        <f>DEMANDA!B13</f>
        <v>52093.125</v>
      </c>
      <c r="L17" s="158">
        <v>5</v>
      </c>
      <c r="M17" s="159">
        <f t="shared" si="2"/>
        <v>260465.625</v>
      </c>
    </row>
    <row r="18" spans="1:13">
      <c r="A18" s="472" t="s">
        <v>107</v>
      </c>
      <c r="B18" s="463">
        <v>6.5000000000000002E-2</v>
      </c>
      <c r="C18" s="464">
        <f t="shared" si="1"/>
        <v>2925</v>
      </c>
      <c r="D18" s="465">
        <v>5</v>
      </c>
      <c r="E18" s="471">
        <f t="shared" si="0"/>
        <v>14625</v>
      </c>
      <c r="F18" s="144"/>
      <c r="G18" s="144"/>
      <c r="H18" s="144"/>
      <c r="J18" s="129">
        <v>2016</v>
      </c>
      <c r="K18" s="148">
        <f>DEMANDA!B14</f>
        <v>54697.78125</v>
      </c>
      <c r="L18" s="158">
        <v>5</v>
      </c>
      <c r="M18" s="159">
        <f t="shared" si="2"/>
        <v>273488.90625</v>
      </c>
    </row>
    <row r="19" spans="1:13">
      <c r="A19" s="470" t="s">
        <v>108</v>
      </c>
      <c r="B19" s="466">
        <v>0.08</v>
      </c>
      <c r="C19" s="464">
        <f>B19*$C$26</f>
        <v>3600</v>
      </c>
      <c r="D19" s="465">
        <v>5</v>
      </c>
      <c r="E19" s="471">
        <f t="shared" si="0"/>
        <v>18000</v>
      </c>
      <c r="F19" s="144"/>
      <c r="G19" s="144"/>
      <c r="H19" s="144"/>
      <c r="J19" s="129">
        <v>2017</v>
      </c>
      <c r="K19" s="148">
        <f>DEMANDA!B15</f>
        <v>57432.670312500006</v>
      </c>
      <c r="L19" s="158">
        <v>5</v>
      </c>
      <c r="M19" s="159">
        <f t="shared" si="2"/>
        <v>287163.3515625</v>
      </c>
    </row>
    <row r="20" spans="1:13">
      <c r="A20" s="470" t="s">
        <v>109</v>
      </c>
      <c r="B20" s="466">
        <v>0.1</v>
      </c>
      <c r="C20" s="464">
        <f t="shared" si="1"/>
        <v>4500</v>
      </c>
      <c r="D20" s="465">
        <v>5</v>
      </c>
      <c r="E20" s="471">
        <f t="shared" si="0"/>
        <v>22500</v>
      </c>
      <c r="F20" s="144"/>
      <c r="G20" s="144"/>
      <c r="H20" s="144"/>
      <c r="J20" s="129">
        <v>2018</v>
      </c>
      <c r="K20" s="148">
        <f>DEMANDA!B16</f>
        <v>60304.303828125012</v>
      </c>
      <c r="L20" s="158">
        <v>5</v>
      </c>
      <c r="M20" s="159">
        <f t="shared" si="2"/>
        <v>301521.51914062508</v>
      </c>
    </row>
    <row r="21" spans="1:13">
      <c r="A21" s="470" t="s">
        <v>110</v>
      </c>
      <c r="B21" s="466">
        <v>0.12</v>
      </c>
      <c r="C21" s="464">
        <f t="shared" si="1"/>
        <v>5400</v>
      </c>
      <c r="D21" s="465">
        <v>5</v>
      </c>
      <c r="E21" s="471">
        <f t="shared" si="0"/>
        <v>27000</v>
      </c>
      <c r="F21" s="144"/>
      <c r="G21" s="144"/>
      <c r="H21" s="144"/>
      <c r="J21" s="129">
        <v>2019</v>
      </c>
      <c r="K21" s="148">
        <f>DEMANDA!B17</f>
        <v>63319.519019531268</v>
      </c>
      <c r="L21" s="158">
        <v>5</v>
      </c>
      <c r="M21" s="159">
        <f t="shared" si="2"/>
        <v>316597.59509765636</v>
      </c>
    </row>
    <row r="22" spans="1:13">
      <c r="A22" s="472" t="s">
        <v>111</v>
      </c>
      <c r="B22" s="466">
        <v>0.12</v>
      </c>
      <c r="C22" s="464">
        <f t="shared" si="1"/>
        <v>5400</v>
      </c>
      <c r="D22" s="465">
        <v>5</v>
      </c>
      <c r="E22" s="471">
        <f t="shared" si="0"/>
        <v>27000</v>
      </c>
      <c r="F22" s="144"/>
      <c r="G22" s="144"/>
      <c r="H22" s="144"/>
      <c r="J22" s="129">
        <v>2020</v>
      </c>
      <c r="K22" s="148">
        <f>DEMANDA!B18</f>
        <v>66485.494970507832</v>
      </c>
      <c r="L22" s="158">
        <v>5</v>
      </c>
      <c r="M22" s="159">
        <f t="shared" si="2"/>
        <v>332427.47485253913</v>
      </c>
    </row>
    <row r="23" spans="1:13" ht="15.75" thickBot="1">
      <c r="A23" s="472" t="s">
        <v>112</v>
      </c>
      <c r="B23" s="467">
        <v>0.12</v>
      </c>
      <c r="C23" s="464">
        <f t="shared" si="1"/>
        <v>5400</v>
      </c>
      <c r="D23" s="465">
        <v>5</v>
      </c>
      <c r="E23" s="471">
        <f t="shared" si="0"/>
        <v>27000</v>
      </c>
      <c r="F23" s="144"/>
      <c r="G23" s="144"/>
      <c r="H23" s="144"/>
      <c r="J23" s="130">
        <v>2021</v>
      </c>
      <c r="K23" s="149">
        <f>DEMANDA!B19</f>
        <v>69809.769719033226</v>
      </c>
      <c r="L23" s="160">
        <v>5</v>
      </c>
      <c r="M23" s="161">
        <f t="shared" si="2"/>
        <v>349048.84859516611</v>
      </c>
    </row>
    <row r="24" spans="1:13">
      <c r="A24" s="470" t="s">
        <v>113</v>
      </c>
      <c r="B24" s="463">
        <v>0.125</v>
      </c>
      <c r="C24" s="464">
        <f t="shared" si="1"/>
        <v>5625</v>
      </c>
      <c r="D24" s="465">
        <v>5</v>
      </c>
      <c r="E24" s="471">
        <f t="shared" si="0"/>
        <v>28125</v>
      </c>
      <c r="F24" s="144"/>
      <c r="G24" s="144"/>
      <c r="H24" s="144"/>
    </row>
    <row r="25" spans="1:13">
      <c r="A25" s="470" t="s">
        <v>114</v>
      </c>
      <c r="B25" s="463">
        <v>0.125</v>
      </c>
      <c r="C25" s="464">
        <f t="shared" si="1"/>
        <v>5625</v>
      </c>
      <c r="D25" s="465">
        <v>5</v>
      </c>
      <c r="E25" s="471">
        <f t="shared" si="0"/>
        <v>28125</v>
      </c>
      <c r="F25" s="144"/>
      <c r="G25" s="144"/>
      <c r="H25" s="144"/>
    </row>
    <row r="26" spans="1:13" ht="15.75" thickBot="1">
      <c r="A26" s="473" t="s">
        <v>115</v>
      </c>
      <c r="B26" s="474">
        <f>SUM(B14:B25)</f>
        <v>1</v>
      </c>
      <c r="C26" s="475">
        <f>DEMANDA!B10</f>
        <v>45000</v>
      </c>
      <c r="D26" s="476"/>
      <c r="E26" s="477">
        <f>SUM(E14:E25)</f>
        <v>225000</v>
      </c>
      <c r="F26" s="145"/>
      <c r="G26" s="145"/>
      <c r="H26" s="144"/>
    </row>
    <row r="27" spans="1:13">
      <c r="B27" s="17"/>
      <c r="C27" s="146"/>
      <c r="D27" s="17"/>
      <c r="E27" s="17"/>
    </row>
    <row r="28" spans="1:13">
      <c r="B28" s="17"/>
      <c r="C28" s="17"/>
      <c r="D28" s="17"/>
      <c r="E28" s="17"/>
    </row>
  </sheetData>
  <mergeCells count="2">
    <mergeCell ref="A12:E12"/>
    <mergeCell ref="J12:M12"/>
  </mergeCells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pane xSplit="20055" topLeftCell="S1"/>
      <selection activeCell="I18" sqref="I18"/>
      <selection pane="topRight" activeCell="S1" sqref="S1"/>
    </sheetView>
  </sheetViews>
  <sheetFormatPr baseColWidth="10" defaultRowHeight="15"/>
  <cols>
    <col min="1" max="1" width="11.42578125" style="8"/>
    <col min="2" max="2" width="14.5703125" bestFit="1" customWidth="1"/>
  </cols>
  <sheetData>
    <row r="1" spans="2:6" s="8" customFormat="1"/>
    <row r="2" spans="2:6" s="8" customFormat="1">
      <c r="B2" s="558" t="s">
        <v>198</v>
      </c>
      <c r="C2" s="558"/>
      <c r="D2" s="558"/>
      <c r="E2" s="558"/>
    </row>
    <row r="3" spans="2:6" s="8" customFormat="1">
      <c r="B3" s="560" t="s">
        <v>259</v>
      </c>
      <c r="C3" s="560"/>
      <c r="D3" s="456"/>
      <c r="E3" s="456"/>
    </row>
    <row r="4" spans="2:6">
      <c r="B4" s="62" t="s">
        <v>194</v>
      </c>
      <c r="C4" s="263">
        <v>2.0299999999999999E-2</v>
      </c>
    </row>
    <row r="5" spans="2:6">
      <c r="B5" s="62" t="s">
        <v>195</v>
      </c>
      <c r="C5" s="244">
        <v>0.12</v>
      </c>
      <c r="E5" s="559" t="s">
        <v>197</v>
      </c>
      <c r="F5" s="559"/>
    </row>
    <row r="6" spans="2:6">
      <c r="B6" s="62" t="s">
        <v>196</v>
      </c>
      <c r="C6" s="244">
        <v>0.1</v>
      </c>
      <c r="E6" s="8"/>
      <c r="F6" s="8"/>
    </row>
    <row r="7" spans="2:6">
      <c r="B7" s="62" t="s">
        <v>199</v>
      </c>
      <c r="C7" s="264">
        <v>8.0799999999999997E-2</v>
      </c>
      <c r="E7" s="8"/>
      <c r="F7" s="8"/>
    </row>
    <row r="8" spans="2:6">
      <c r="B8" s="62" t="s">
        <v>210</v>
      </c>
      <c r="C8" s="267">
        <v>0.61</v>
      </c>
      <c r="E8" s="8"/>
      <c r="F8" s="8"/>
    </row>
    <row r="10" spans="2:6">
      <c r="B10" s="246" t="s">
        <v>200</v>
      </c>
      <c r="C10" s="245">
        <f>C4+(C8*C6)+C7</f>
        <v>0.16209999999999999</v>
      </c>
      <c r="D10" s="249">
        <v>0.16209999999999999</v>
      </c>
    </row>
    <row r="12" spans="2:6">
      <c r="B12" s="265" t="s">
        <v>216</v>
      </c>
      <c r="C12" s="266"/>
      <c r="D12" s="266"/>
    </row>
    <row r="14" spans="2:6" ht="18">
      <c r="B14" s="8" t="s">
        <v>222</v>
      </c>
      <c r="C14" s="292" t="s">
        <v>262</v>
      </c>
    </row>
    <row r="15" spans="2:6" s="8" customFormat="1" ht="18">
      <c r="C15" s="292" t="s">
        <v>261</v>
      </c>
    </row>
    <row r="16" spans="2:6" ht="18">
      <c r="B16" s="27" t="s">
        <v>223</v>
      </c>
      <c r="C16" s="292" t="s">
        <v>224</v>
      </c>
    </row>
  </sheetData>
  <mergeCells count="3">
    <mergeCell ref="B2:E2"/>
    <mergeCell ref="E5:F5"/>
    <mergeCell ref="B3:C3"/>
  </mergeCells>
  <hyperlinks>
    <hyperlink ref="C16" r:id="rId1"/>
    <hyperlink ref="C14" r:id="rId2"/>
  </hyperlinks>
  <pageMargins left="0.70866141732283472" right="0.70866141732283472" top="0.74803149606299213" bottom="0.74803149606299213" header="0.31496062992125984" footer="0.31496062992125984"/>
  <pageSetup scale="74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opLeftCell="C24" zoomScale="80" zoomScaleNormal="80" workbookViewId="0">
      <selection activeCell="N36" sqref="N36"/>
    </sheetView>
  </sheetViews>
  <sheetFormatPr baseColWidth="10" defaultRowHeight="15"/>
  <cols>
    <col min="1" max="1" width="11.42578125" style="8"/>
    <col min="2" max="2" width="43" customWidth="1"/>
    <col min="3" max="3" width="14.42578125" customWidth="1"/>
    <col min="4" max="4" width="23.140625" customWidth="1"/>
    <col min="5" max="5" width="12.140625" bestFit="1" customWidth="1"/>
    <col min="6" max="6" width="15.140625" customWidth="1"/>
    <col min="7" max="7" width="14.42578125" customWidth="1"/>
    <col min="8" max="8" width="15.5703125" customWidth="1"/>
    <col min="10" max="10" width="38.28515625" customWidth="1"/>
    <col min="11" max="11" width="20" customWidth="1"/>
    <col min="12" max="12" width="12" bestFit="1" customWidth="1"/>
    <col min="14" max="14" width="12" bestFit="1" customWidth="1"/>
    <col min="15" max="16" width="12.140625" bestFit="1" customWidth="1"/>
  </cols>
  <sheetData>
    <row r="1" spans="2:8" ht="15.75">
      <c r="B1" s="81" t="s">
        <v>63</v>
      </c>
    </row>
    <row r="2" spans="2:8" s="8" customFormat="1" ht="16.5" thickBot="1">
      <c r="B2" s="81"/>
    </row>
    <row r="3" spans="2:8" ht="15.75" thickBot="1">
      <c r="B3" s="561" t="s">
        <v>26</v>
      </c>
      <c r="C3" s="562"/>
      <c r="D3" s="562"/>
      <c r="E3" s="562"/>
      <c r="F3" s="562"/>
      <c r="G3" s="563"/>
    </row>
    <row r="4" spans="2:8" ht="30">
      <c r="B4" s="33" t="s">
        <v>27</v>
      </c>
      <c r="C4" s="34" t="s">
        <v>28</v>
      </c>
      <c r="D4" s="34" t="s">
        <v>29</v>
      </c>
      <c r="E4" s="164" t="s">
        <v>58</v>
      </c>
      <c r="F4" s="164" t="s">
        <v>59</v>
      </c>
      <c r="G4" s="165" t="s">
        <v>60</v>
      </c>
    </row>
    <row r="5" spans="2:8">
      <c r="B5" s="76" t="s">
        <v>30</v>
      </c>
      <c r="C5" s="2">
        <v>1</v>
      </c>
      <c r="D5" s="20" t="s">
        <v>31</v>
      </c>
      <c r="E5" s="42">
        <v>500</v>
      </c>
      <c r="F5" s="42">
        <f t="shared" ref="F5:F10" si="0">E5*C5</f>
        <v>500</v>
      </c>
      <c r="G5" s="43">
        <f t="shared" ref="G5:G10" si="1">F5*12</f>
        <v>6000</v>
      </c>
    </row>
    <row r="6" spans="2:8">
      <c r="B6" s="77" t="s">
        <v>33</v>
      </c>
      <c r="C6" s="2">
        <v>1</v>
      </c>
      <c r="D6" s="2" t="s">
        <v>25</v>
      </c>
      <c r="E6" s="42">
        <v>400</v>
      </c>
      <c r="F6" s="42">
        <f t="shared" si="0"/>
        <v>400</v>
      </c>
      <c r="G6" s="43">
        <f t="shared" si="1"/>
        <v>4800</v>
      </c>
    </row>
    <row r="7" spans="2:8">
      <c r="B7" s="75" t="s">
        <v>34</v>
      </c>
      <c r="C7" s="2">
        <v>1</v>
      </c>
      <c r="D7" s="2" t="s">
        <v>35</v>
      </c>
      <c r="E7" s="42">
        <v>365</v>
      </c>
      <c r="F7" s="42">
        <f t="shared" si="0"/>
        <v>365</v>
      </c>
      <c r="G7" s="43">
        <f t="shared" si="1"/>
        <v>4380</v>
      </c>
    </row>
    <row r="8" spans="2:8">
      <c r="B8" s="78" t="s">
        <v>68</v>
      </c>
      <c r="C8" s="32">
        <v>3</v>
      </c>
      <c r="D8" s="22" t="s">
        <v>69</v>
      </c>
      <c r="E8" s="44">
        <v>360</v>
      </c>
      <c r="F8" s="42">
        <f t="shared" si="0"/>
        <v>1080</v>
      </c>
      <c r="G8" s="43">
        <f t="shared" si="1"/>
        <v>12960</v>
      </c>
    </row>
    <row r="9" spans="2:8">
      <c r="B9" s="75" t="s">
        <v>32</v>
      </c>
      <c r="C9" s="2">
        <v>2</v>
      </c>
      <c r="D9" s="2" t="s">
        <v>25</v>
      </c>
      <c r="E9" s="42">
        <v>345</v>
      </c>
      <c r="F9" s="42">
        <f t="shared" si="0"/>
        <v>690</v>
      </c>
      <c r="G9" s="43">
        <f t="shared" si="1"/>
        <v>8280</v>
      </c>
    </row>
    <row r="10" spans="2:8" ht="15.75" thickBot="1">
      <c r="B10" s="79" t="s">
        <v>36</v>
      </c>
      <c r="C10" s="35">
        <v>3</v>
      </c>
      <c r="D10" s="35" t="s">
        <v>35</v>
      </c>
      <c r="E10" s="45">
        <v>345</v>
      </c>
      <c r="F10" s="45">
        <f t="shared" si="0"/>
        <v>1035</v>
      </c>
      <c r="G10" s="46">
        <f t="shared" si="1"/>
        <v>12420</v>
      </c>
    </row>
    <row r="11" spans="2:8" ht="15.75" thickBot="1">
      <c r="B11" s="36" t="s">
        <v>39</v>
      </c>
      <c r="C11" s="228">
        <f>SUM(C5:C10)</f>
        <v>11</v>
      </c>
      <c r="D11" s="37"/>
      <c r="E11" s="47">
        <f>SUM(E5:E10)</f>
        <v>2315</v>
      </c>
      <c r="F11" s="47">
        <f>SUM(F5:F10)</f>
        <v>4070</v>
      </c>
      <c r="G11" s="48">
        <f>SUM(G5:G10)</f>
        <v>48840</v>
      </c>
    </row>
    <row r="12" spans="2:8" ht="15.75" thickBot="1"/>
    <row r="13" spans="2:8" ht="17.25">
      <c r="B13" s="564" t="s">
        <v>70</v>
      </c>
      <c r="C13" s="565"/>
      <c r="D13" s="565"/>
      <c r="E13" s="565"/>
      <c r="F13" s="565"/>
      <c r="G13" s="565"/>
      <c r="H13" s="566"/>
    </row>
    <row r="14" spans="2:8" ht="30">
      <c r="B14" s="67" t="s">
        <v>27</v>
      </c>
      <c r="C14" s="67" t="s">
        <v>118</v>
      </c>
      <c r="D14" s="68" t="s">
        <v>74</v>
      </c>
      <c r="E14" s="68" t="s">
        <v>73</v>
      </c>
      <c r="F14" s="68" t="s">
        <v>71</v>
      </c>
      <c r="G14" s="68" t="s">
        <v>72</v>
      </c>
      <c r="H14" s="86" t="s">
        <v>119</v>
      </c>
    </row>
    <row r="15" spans="2:8">
      <c r="B15" s="75" t="s">
        <v>30</v>
      </c>
      <c r="C15" s="5">
        <v>1</v>
      </c>
      <c r="D15" s="5">
        <v>391</v>
      </c>
      <c r="E15" s="74">
        <f t="shared" ref="E15:E20" si="2">D15*0.1115</f>
        <v>43.596499999999999</v>
      </c>
      <c r="F15" s="74">
        <f t="shared" ref="F15:F20" si="3">D15/12</f>
        <v>32.583333333333336</v>
      </c>
      <c r="G15" s="74">
        <f t="shared" ref="G15:G20" si="4">D15/12</f>
        <v>32.583333333333336</v>
      </c>
      <c r="H15" s="87">
        <f>SUM(D15:G15)</f>
        <v>499.76316666666662</v>
      </c>
    </row>
    <row r="16" spans="2:8">
      <c r="B16" s="75" t="s">
        <v>33</v>
      </c>
      <c r="C16" s="5">
        <v>1</v>
      </c>
      <c r="D16" s="5">
        <v>313</v>
      </c>
      <c r="E16" s="74">
        <f t="shared" si="2"/>
        <v>34.899500000000003</v>
      </c>
      <c r="F16" s="74">
        <f t="shared" si="3"/>
        <v>26.083333333333332</v>
      </c>
      <c r="G16" s="74">
        <f t="shared" si="4"/>
        <v>26.083333333333332</v>
      </c>
      <c r="H16" s="87">
        <f t="shared" ref="H16:H20" si="5">SUM(D16:G16)</f>
        <v>400.06616666666662</v>
      </c>
    </row>
    <row r="17" spans="2:16">
      <c r="B17" s="75" t="s">
        <v>34</v>
      </c>
      <c r="C17" s="5">
        <v>1</v>
      </c>
      <c r="D17" s="5">
        <v>285.5</v>
      </c>
      <c r="E17" s="74">
        <f t="shared" si="2"/>
        <v>31.83325</v>
      </c>
      <c r="F17" s="74">
        <f t="shared" si="3"/>
        <v>23.791666666666668</v>
      </c>
      <c r="G17" s="74">
        <f t="shared" si="4"/>
        <v>23.791666666666668</v>
      </c>
      <c r="H17" s="87">
        <f t="shared" si="5"/>
        <v>364.91658333333339</v>
      </c>
    </row>
    <row r="18" spans="2:16">
      <c r="B18" s="75" t="s">
        <v>68</v>
      </c>
      <c r="C18" s="5">
        <v>3</v>
      </c>
      <c r="D18" s="5">
        <v>282</v>
      </c>
      <c r="E18" s="5">
        <f t="shared" si="2"/>
        <v>31.443000000000001</v>
      </c>
      <c r="F18" s="5">
        <f t="shared" si="3"/>
        <v>23.5</v>
      </c>
      <c r="G18" s="5">
        <f t="shared" si="4"/>
        <v>23.5</v>
      </c>
      <c r="H18" s="87">
        <f t="shared" si="5"/>
        <v>360.44299999999998</v>
      </c>
    </row>
    <row r="19" spans="2:16">
      <c r="B19" s="75" t="s">
        <v>32</v>
      </c>
      <c r="C19" s="5">
        <v>2</v>
      </c>
      <c r="D19" s="5">
        <v>270</v>
      </c>
      <c r="E19" s="5">
        <f t="shared" si="2"/>
        <v>30.105</v>
      </c>
      <c r="F19" s="5">
        <f t="shared" si="3"/>
        <v>22.5</v>
      </c>
      <c r="G19" s="5">
        <f t="shared" si="4"/>
        <v>22.5</v>
      </c>
      <c r="H19" s="87">
        <f t="shared" si="5"/>
        <v>345.10500000000002</v>
      </c>
    </row>
    <row r="20" spans="2:16">
      <c r="B20" s="75" t="s">
        <v>36</v>
      </c>
      <c r="C20" s="5">
        <v>3</v>
      </c>
      <c r="D20" s="5">
        <v>270</v>
      </c>
      <c r="E20" s="5">
        <f t="shared" si="2"/>
        <v>30.105</v>
      </c>
      <c r="F20" s="5">
        <f t="shared" si="3"/>
        <v>22.5</v>
      </c>
      <c r="G20" s="5">
        <f t="shared" si="4"/>
        <v>22.5</v>
      </c>
      <c r="H20" s="87">
        <f t="shared" si="5"/>
        <v>345.10500000000002</v>
      </c>
    </row>
    <row r="21" spans="2:16" ht="15.75" thickBot="1">
      <c r="B21" s="88" t="s">
        <v>39</v>
      </c>
      <c r="C21" s="88">
        <f>SUM(C15:C20)</f>
        <v>11</v>
      </c>
      <c r="D21" s="89"/>
      <c r="E21" s="89"/>
      <c r="F21" s="89"/>
      <c r="G21" s="89"/>
      <c r="H21" s="90">
        <f>SUM(H15:H20)</f>
        <v>2315.398916666667</v>
      </c>
    </row>
    <row r="22" spans="2:16" s="8" customFormat="1" ht="15.75" thickBot="1">
      <c r="B22" s="82"/>
      <c r="C22" s="82"/>
      <c r="D22" s="83"/>
      <c r="E22" s="83"/>
      <c r="F22" s="83"/>
      <c r="G22" s="83"/>
      <c r="H22" s="84"/>
    </row>
    <row r="23" spans="2:16" s="8" customFormat="1" ht="15.75" thickBot="1">
      <c r="B23" s="176" t="s">
        <v>159</v>
      </c>
      <c r="C23" s="207" t="s">
        <v>161</v>
      </c>
      <c r="D23" s="163" t="s">
        <v>80</v>
      </c>
      <c r="E23" s="163" t="s">
        <v>81</v>
      </c>
      <c r="F23" s="163" t="s">
        <v>82</v>
      </c>
      <c r="G23" s="163" t="s">
        <v>83</v>
      </c>
      <c r="H23" s="163" t="s">
        <v>82</v>
      </c>
      <c r="I23" s="163" t="s">
        <v>84</v>
      </c>
      <c r="J23" s="163" t="s">
        <v>85</v>
      </c>
      <c r="K23" s="163" t="s">
        <v>86</v>
      </c>
      <c r="L23" s="163" t="s">
        <v>87</v>
      </c>
      <c r="M23" s="163" t="s">
        <v>88</v>
      </c>
      <c r="N23" s="163" t="s">
        <v>89</v>
      </c>
      <c r="O23" s="163" t="s">
        <v>90</v>
      </c>
      <c r="P23" s="65" t="s">
        <v>65</v>
      </c>
    </row>
    <row r="24" spans="2:16" s="91" customFormat="1">
      <c r="B24" s="206" t="s">
        <v>162</v>
      </c>
      <c r="C24" s="34"/>
      <c r="D24" s="173">
        <f>INGRESOS!C14</f>
        <v>1125</v>
      </c>
      <c r="E24" s="173">
        <f>INGRESOS!C15</f>
        <v>1350</v>
      </c>
      <c r="F24" s="173">
        <f>INGRESOS!C16</f>
        <v>1800</v>
      </c>
      <c r="G24" s="173">
        <f>INGRESOS!C17</f>
        <v>2250</v>
      </c>
      <c r="H24" s="173">
        <f>INGRESOS!C18</f>
        <v>2925</v>
      </c>
      <c r="I24" s="173">
        <f>INGRESOS!C19</f>
        <v>3600</v>
      </c>
      <c r="J24" s="173">
        <f>INGRESOS!C20</f>
        <v>4500</v>
      </c>
      <c r="K24" s="173">
        <f>INGRESOS!C21</f>
        <v>5400</v>
      </c>
      <c r="L24" s="173">
        <f>INGRESOS!C22</f>
        <v>5400</v>
      </c>
      <c r="M24" s="173">
        <f>INGRESOS!C23</f>
        <v>5400</v>
      </c>
      <c r="N24" s="173">
        <f>INGRESOS!C24</f>
        <v>5625</v>
      </c>
      <c r="O24" s="173">
        <f>INGRESOS!C25</f>
        <v>5625</v>
      </c>
      <c r="P24" s="135">
        <f>SUM(D24:O24)</f>
        <v>45000</v>
      </c>
    </row>
    <row r="25" spans="2:16" s="8" customFormat="1">
      <c r="B25" s="41" t="s">
        <v>67</v>
      </c>
      <c r="C25" s="171">
        <v>1</v>
      </c>
      <c r="D25" s="169">
        <f>D24*$C$25</f>
        <v>1125</v>
      </c>
      <c r="E25" s="169">
        <f t="shared" ref="E25:O25" si="6">E24*$C$25</f>
        <v>1350</v>
      </c>
      <c r="F25" s="169">
        <f t="shared" si="6"/>
        <v>1800</v>
      </c>
      <c r="G25" s="169">
        <f t="shared" si="6"/>
        <v>2250</v>
      </c>
      <c r="H25" s="169">
        <f t="shared" si="6"/>
        <v>2925</v>
      </c>
      <c r="I25" s="169">
        <f t="shared" si="6"/>
        <v>3600</v>
      </c>
      <c r="J25" s="169">
        <f t="shared" si="6"/>
        <v>4500</v>
      </c>
      <c r="K25" s="169">
        <f t="shared" si="6"/>
        <v>5400</v>
      </c>
      <c r="L25" s="169">
        <f t="shared" si="6"/>
        <v>5400</v>
      </c>
      <c r="M25" s="169">
        <f t="shared" si="6"/>
        <v>5400</v>
      </c>
      <c r="N25" s="169">
        <f t="shared" si="6"/>
        <v>5625</v>
      </c>
      <c r="O25" s="169">
        <f t="shared" si="6"/>
        <v>5625</v>
      </c>
      <c r="P25" s="200">
        <f>SUM(D25:O25)</f>
        <v>45000</v>
      </c>
    </row>
    <row r="26" spans="2:16" ht="15.75" thickBot="1">
      <c r="B26" s="25" t="s">
        <v>164</v>
      </c>
      <c r="C26" s="172">
        <v>0.8</v>
      </c>
      <c r="D26" s="169">
        <f>D24*$C$26</f>
        <v>900</v>
      </c>
      <c r="E26" s="169">
        <f t="shared" ref="E26:O26" si="7">E24*$C$26</f>
        <v>1080</v>
      </c>
      <c r="F26" s="169">
        <f t="shared" si="7"/>
        <v>1440</v>
      </c>
      <c r="G26" s="169">
        <f t="shared" si="7"/>
        <v>1800</v>
      </c>
      <c r="H26" s="169">
        <f t="shared" si="7"/>
        <v>2340</v>
      </c>
      <c r="I26" s="169">
        <f t="shared" si="7"/>
        <v>2880</v>
      </c>
      <c r="J26" s="169">
        <f t="shared" si="7"/>
        <v>3600</v>
      </c>
      <c r="K26" s="169">
        <f t="shared" si="7"/>
        <v>4320</v>
      </c>
      <c r="L26" s="169">
        <f t="shared" si="7"/>
        <v>4320</v>
      </c>
      <c r="M26" s="169">
        <f t="shared" si="7"/>
        <v>4320</v>
      </c>
      <c r="N26" s="169">
        <f t="shared" si="7"/>
        <v>4500</v>
      </c>
      <c r="O26" s="169">
        <f t="shared" si="7"/>
        <v>4500</v>
      </c>
      <c r="P26" s="200">
        <f>SUM(D26:O26)</f>
        <v>36000</v>
      </c>
    </row>
    <row r="27" spans="2:16" s="91" customFormat="1" ht="15.75" thickBot="1">
      <c r="B27" s="64" t="s">
        <v>171</v>
      </c>
      <c r="C27" s="202">
        <f>SUM(C25:C26)</f>
        <v>1.8</v>
      </c>
      <c r="D27" s="199">
        <f>SUM(D25:D26)</f>
        <v>2025</v>
      </c>
      <c r="E27" s="199">
        <f t="shared" ref="E27:P27" si="8">SUM(E25:E26)</f>
        <v>2430</v>
      </c>
      <c r="F27" s="199">
        <f t="shared" si="8"/>
        <v>3240</v>
      </c>
      <c r="G27" s="199">
        <f t="shared" si="8"/>
        <v>4050</v>
      </c>
      <c r="H27" s="199">
        <f t="shared" si="8"/>
        <v>5265</v>
      </c>
      <c r="I27" s="199">
        <f t="shared" si="8"/>
        <v>6480</v>
      </c>
      <c r="J27" s="199">
        <f t="shared" si="8"/>
        <v>8100</v>
      </c>
      <c r="K27" s="199">
        <f t="shared" si="8"/>
        <v>9720</v>
      </c>
      <c r="L27" s="199">
        <f t="shared" si="8"/>
        <v>9720</v>
      </c>
      <c r="M27" s="199">
        <f t="shared" si="8"/>
        <v>9720</v>
      </c>
      <c r="N27" s="199">
        <f t="shared" si="8"/>
        <v>10125</v>
      </c>
      <c r="O27" s="199">
        <f t="shared" si="8"/>
        <v>10125</v>
      </c>
      <c r="P27" s="93">
        <f t="shared" si="8"/>
        <v>81000</v>
      </c>
    </row>
    <row r="28" spans="2:16" s="91" customFormat="1" ht="15.75" thickBot="1">
      <c r="B28" s="170" t="s">
        <v>62</v>
      </c>
      <c r="C28" s="208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10"/>
    </row>
    <row r="29" spans="2:16" s="8" customFormat="1" ht="15.75" thickBot="1">
      <c r="B29" s="211" t="s">
        <v>163</v>
      </c>
      <c r="C29" s="202">
        <v>20000</v>
      </c>
      <c r="D29" s="198">
        <v>2000</v>
      </c>
      <c r="E29" s="198">
        <v>2000</v>
      </c>
      <c r="F29" s="198">
        <v>2000</v>
      </c>
      <c r="G29" s="198">
        <v>1000</v>
      </c>
      <c r="H29" s="198">
        <v>1000</v>
      </c>
      <c r="I29" s="198">
        <v>2000</v>
      </c>
      <c r="J29" s="198">
        <v>2000</v>
      </c>
      <c r="K29" s="198">
        <v>2000</v>
      </c>
      <c r="L29" s="198">
        <v>1000</v>
      </c>
      <c r="M29" s="198">
        <v>1000</v>
      </c>
      <c r="N29" s="198">
        <v>2000</v>
      </c>
      <c r="O29" s="198">
        <v>2000</v>
      </c>
      <c r="P29" s="137">
        <f>SUM(D29:O29)</f>
        <v>20000</v>
      </c>
    </row>
    <row r="30" spans="2:16" s="17" customFormat="1" ht="15.75" thickBot="1">
      <c r="B30" s="50"/>
      <c r="C30" s="166"/>
      <c r="D30" s="51"/>
      <c r="E30" s="51"/>
      <c r="F30" s="167"/>
      <c r="H30" s="168"/>
    </row>
    <row r="31" spans="2:16" ht="15.75" thickBot="1">
      <c r="B31" s="177" t="s">
        <v>166</v>
      </c>
      <c r="C31" s="178" t="s">
        <v>165</v>
      </c>
      <c r="D31" s="179" t="s">
        <v>66</v>
      </c>
      <c r="E31" s="180" t="s">
        <v>64</v>
      </c>
      <c r="F31" s="175" t="s">
        <v>65</v>
      </c>
      <c r="H31" s="221"/>
      <c r="I31" s="221"/>
      <c r="J31" s="221"/>
      <c r="K31" s="221"/>
    </row>
    <row r="32" spans="2:16" ht="15.75" thickBot="1">
      <c r="B32" s="183" t="s">
        <v>61</v>
      </c>
      <c r="C32" s="184"/>
      <c r="D32" s="184"/>
      <c r="E32" s="185"/>
      <c r="F32" s="186"/>
      <c r="H32" s="221"/>
      <c r="I32" s="221"/>
      <c r="J32" s="64" t="s">
        <v>159</v>
      </c>
      <c r="K32" s="228" t="s">
        <v>161</v>
      </c>
      <c r="L32" s="481" t="s">
        <v>65</v>
      </c>
    </row>
    <row r="33" spans="2:14">
      <c r="B33" s="41" t="s">
        <v>225</v>
      </c>
      <c r="C33" s="125">
        <v>3</v>
      </c>
      <c r="D33" s="174">
        <v>960</v>
      </c>
      <c r="E33" s="181">
        <f>D33*C33</f>
        <v>2880</v>
      </c>
      <c r="F33" s="197">
        <f>D33*C33*12</f>
        <v>34560</v>
      </c>
      <c r="H33" s="221"/>
      <c r="I33" s="221"/>
      <c r="J33" s="206" t="s">
        <v>162</v>
      </c>
      <c r="K33" s="34"/>
      <c r="L33" s="487">
        <v>45000</v>
      </c>
    </row>
    <row r="34" spans="2:14">
      <c r="B34" s="26" t="s">
        <v>143</v>
      </c>
      <c r="C34" s="126">
        <v>11</v>
      </c>
      <c r="D34" s="66"/>
      <c r="E34" s="182">
        <f>Depreciaciones!Q16</f>
        <v>1128.8263888888889</v>
      </c>
      <c r="F34" s="124">
        <f>Depreciaciones!R16</f>
        <v>13545.916666666668</v>
      </c>
      <c r="H34" s="221"/>
      <c r="I34" s="221"/>
      <c r="J34" s="41" t="s">
        <v>67</v>
      </c>
      <c r="K34" s="171">
        <v>1</v>
      </c>
      <c r="L34" s="482">
        <v>45000</v>
      </c>
    </row>
    <row r="35" spans="2:14">
      <c r="B35" s="26" t="s">
        <v>63</v>
      </c>
      <c r="C35" s="127"/>
      <c r="D35" s="24"/>
      <c r="E35" s="24"/>
      <c r="F35" s="63"/>
      <c r="H35" s="221"/>
      <c r="I35" s="221"/>
      <c r="J35" s="25" t="s">
        <v>164</v>
      </c>
      <c r="K35" s="172">
        <v>0.8</v>
      </c>
      <c r="L35" s="482">
        <v>36000</v>
      </c>
    </row>
    <row r="36" spans="2:14">
      <c r="B36" s="55" t="s">
        <v>41</v>
      </c>
      <c r="C36" s="128">
        <v>11</v>
      </c>
      <c r="D36" s="56"/>
      <c r="E36" s="85">
        <f>F11</f>
        <v>4070</v>
      </c>
      <c r="F36" s="162">
        <f>G11</f>
        <v>48840</v>
      </c>
      <c r="J36" s="483" t="s">
        <v>171</v>
      </c>
      <c r="K36" s="479">
        <f>SUM(K34:K35)</f>
        <v>1.8</v>
      </c>
      <c r="L36" s="482">
        <v>81000</v>
      </c>
      <c r="N36" s="478"/>
    </row>
    <row r="37" spans="2:14">
      <c r="B37" s="26" t="s">
        <v>169</v>
      </c>
      <c r="C37" s="62"/>
      <c r="D37" s="62"/>
      <c r="E37" s="85">
        <f>F37/12</f>
        <v>22.083333333333332</v>
      </c>
      <c r="F37" s="162">
        <f>SUM(D38:D41)</f>
        <v>265</v>
      </c>
      <c r="J37" s="483" t="s">
        <v>62</v>
      </c>
      <c r="K37" s="479"/>
      <c r="L37" s="482"/>
    </row>
    <row r="38" spans="2:14" ht="15.75" thickBot="1">
      <c r="B38" s="55" t="s">
        <v>42</v>
      </c>
      <c r="C38" s="62"/>
      <c r="D38" s="193">
        <v>50</v>
      </c>
      <c r="E38" s="62"/>
      <c r="F38" s="194"/>
      <c r="J38" s="484" t="s">
        <v>163</v>
      </c>
      <c r="K38" s="485">
        <v>20000</v>
      </c>
      <c r="L38" s="486">
        <v>20000</v>
      </c>
    </row>
    <row r="39" spans="2:14" s="8" customFormat="1">
      <c r="B39" s="55" t="s">
        <v>260</v>
      </c>
      <c r="C39" s="62"/>
      <c r="D39" s="193">
        <v>90</v>
      </c>
      <c r="E39" s="62"/>
      <c r="F39" s="194"/>
    </row>
    <row r="40" spans="2:14" s="8" customFormat="1">
      <c r="B40" s="55" t="s">
        <v>43</v>
      </c>
      <c r="C40" s="62"/>
      <c r="D40" s="193">
        <v>75</v>
      </c>
      <c r="E40" s="62"/>
      <c r="F40" s="194"/>
    </row>
    <row r="41" spans="2:14" s="8" customFormat="1" ht="15.75" thickBot="1">
      <c r="B41" s="55" t="s">
        <v>44</v>
      </c>
      <c r="C41" s="187"/>
      <c r="D41" s="195">
        <v>50</v>
      </c>
      <c r="E41" s="187"/>
      <c r="F41" s="196"/>
    </row>
    <row r="42" spans="2:14" ht="15.75" thickBot="1">
      <c r="B42" s="191" t="s">
        <v>167</v>
      </c>
      <c r="C42" s="37"/>
      <c r="D42" s="37"/>
      <c r="E42" s="136">
        <f>E33+E36+E37</f>
        <v>6972.083333333333</v>
      </c>
      <c r="F42" s="136">
        <f>F33+F36+F37</f>
        <v>83665</v>
      </c>
    </row>
    <row r="43" spans="2:14" ht="15.75" thickBot="1">
      <c r="B43" s="188" t="s">
        <v>168</v>
      </c>
      <c r="C43" s="189"/>
      <c r="D43" s="189"/>
      <c r="E43" s="190">
        <f>E33+E34+E36+E37</f>
        <v>8100.9097222222217</v>
      </c>
      <c r="F43" s="190">
        <f>F33+F34+F36+F37</f>
        <v>97210.916666666672</v>
      </c>
    </row>
    <row r="44" spans="2:14" ht="15.75">
      <c r="B44" s="192" t="s">
        <v>170</v>
      </c>
      <c r="C44" s="17"/>
      <c r="D44" s="7"/>
      <c r="E44" s="17"/>
      <c r="F44" s="17"/>
    </row>
    <row r="45" spans="2:14" ht="15.75">
      <c r="B45" s="17"/>
      <c r="C45" s="17"/>
      <c r="D45" s="7"/>
      <c r="E45" s="17"/>
      <c r="F45" s="17"/>
    </row>
    <row r="46" spans="2:14" ht="15.75">
      <c r="C46" s="17"/>
      <c r="D46" s="7"/>
      <c r="E46" s="17"/>
      <c r="F46" s="17"/>
    </row>
    <row r="47" spans="2:14" ht="15.75">
      <c r="B47" s="8" t="s">
        <v>172</v>
      </c>
      <c r="C47" s="192"/>
      <c r="D47" s="192"/>
      <c r="F47" s="10"/>
    </row>
  </sheetData>
  <mergeCells count="2">
    <mergeCell ref="B3:G3"/>
    <mergeCell ref="B13:H13"/>
  </mergeCells>
  <pageMargins left="0.70866141732283472" right="0.70866141732283472" top="0.74803149606299213" bottom="0.74803149606299213" header="0.31496062992125984" footer="0.31496062992125984"/>
  <pageSetup scale="4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20"/>
  <sheetViews>
    <sheetView zoomScale="70" zoomScaleNormal="70" workbookViewId="0">
      <selection activeCell="H29" sqref="H29"/>
    </sheetView>
  </sheetViews>
  <sheetFormatPr baseColWidth="10" defaultRowHeight="15"/>
  <cols>
    <col min="1" max="1" width="11.42578125" style="116"/>
    <col min="2" max="2" width="33" style="116" bestFit="1" customWidth="1"/>
    <col min="3" max="7" width="20.140625" style="116" bestFit="1" customWidth="1"/>
    <col min="8" max="9" width="18.42578125" style="116" bestFit="1" customWidth="1"/>
    <col min="10" max="14" width="17.5703125" style="116" bestFit="1" customWidth="1"/>
    <col min="15" max="15" width="15.42578125" style="116" bestFit="1" customWidth="1"/>
    <col min="16" max="16384" width="11.42578125" style="116"/>
  </cols>
  <sheetData>
    <row r="3" spans="2:15" ht="15.75" thickBot="1"/>
    <row r="4" spans="2:15" ht="16.5" thickBot="1">
      <c r="B4" s="205" t="s">
        <v>94</v>
      </c>
      <c r="C4" s="341" t="s">
        <v>80</v>
      </c>
      <c r="D4" s="341" t="s">
        <v>81</v>
      </c>
      <c r="E4" s="341" t="s">
        <v>82</v>
      </c>
      <c r="F4" s="341" t="s">
        <v>83</v>
      </c>
      <c r="G4" s="341" t="s">
        <v>82</v>
      </c>
      <c r="H4" s="341" t="s">
        <v>84</v>
      </c>
      <c r="I4" s="341" t="s">
        <v>85</v>
      </c>
      <c r="J4" s="341" t="s">
        <v>86</v>
      </c>
      <c r="K4" s="341" t="s">
        <v>87</v>
      </c>
      <c r="L4" s="341" t="s">
        <v>88</v>
      </c>
      <c r="M4" s="341" t="s">
        <v>89</v>
      </c>
      <c r="N4" s="341" t="s">
        <v>90</v>
      </c>
    </row>
    <row r="5" spans="2:15" ht="15.75">
      <c r="B5" s="204" t="s">
        <v>159</v>
      </c>
      <c r="C5" s="169">
        <f>GASTOS!D27</f>
        <v>2025</v>
      </c>
      <c r="D5" s="169">
        <f>GASTOS!E27</f>
        <v>2430</v>
      </c>
      <c r="E5" s="169">
        <f>GASTOS!F27</f>
        <v>3240</v>
      </c>
      <c r="F5" s="169">
        <f>GASTOS!G27</f>
        <v>4050</v>
      </c>
      <c r="G5" s="169">
        <f>GASTOS!H27</f>
        <v>5265</v>
      </c>
      <c r="H5" s="169">
        <f>GASTOS!I27</f>
        <v>6480</v>
      </c>
      <c r="I5" s="169">
        <f>GASTOS!J27</f>
        <v>8100</v>
      </c>
      <c r="J5" s="169">
        <f>GASTOS!K27</f>
        <v>9720</v>
      </c>
      <c r="K5" s="169">
        <f>GASTOS!L27</f>
        <v>9720</v>
      </c>
      <c r="L5" s="169">
        <f>GASTOS!M27</f>
        <v>9720</v>
      </c>
      <c r="M5" s="169">
        <f>GASTOS!N27</f>
        <v>10125</v>
      </c>
      <c r="N5" s="169">
        <f>GASTOS!O27</f>
        <v>10125</v>
      </c>
    </row>
    <row r="6" spans="2:15" ht="16.5" customHeight="1">
      <c r="B6" s="121" t="s">
        <v>166</v>
      </c>
      <c r="C6" s="169">
        <f>GASTOS!E42</f>
        <v>6972.083333333333</v>
      </c>
      <c r="D6" s="169">
        <f t="shared" ref="D6:N6" si="0">$C$6</f>
        <v>6972.083333333333</v>
      </c>
      <c r="E6" s="169">
        <f t="shared" si="0"/>
        <v>6972.083333333333</v>
      </c>
      <c r="F6" s="169">
        <f t="shared" si="0"/>
        <v>6972.083333333333</v>
      </c>
      <c r="G6" s="169">
        <f t="shared" si="0"/>
        <v>6972.083333333333</v>
      </c>
      <c r="H6" s="169">
        <f t="shared" si="0"/>
        <v>6972.083333333333</v>
      </c>
      <c r="I6" s="169">
        <f t="shared" si="0"/>
        <v>6972.083333333333</v>
      </c>
      <c r="J6" s="169">
        <f t="shared" si="0"/>
        <v>6972.083333333333</v>
      </c>
      <c r="K6" s="169">
        <f t="shared" si="0"/>
        <v>6972.083333333333</v>
      </c>
      <c r="L6" s="169">
        <f t="shared" si="0"/>
        <v>6972.083333333333</v>
      </c>
      <c r="M6" s="169">
        <f t="shared" si="0"/>
        <v>6972.083333333333</v>
      </c>
      <c r="N6" s="169">
        <f t="shared" si="0"/>
        <v>6972.083333333333</v>
      </c>
    </row>
    <row r="7" spans="2:15" ht="16.5" customHeight="1" thickBot="1">
      <c r="B7" s="203" t="s">
        <v>62</v>
      </c>
      <c r="C7" s="169">
        <f>GASTOS!D29</f>
        <v>2000</v>
      </c>
      <c r="D7" s="169">
        <f>GASTOS!E29</f>
        <v>2000</v>
      </c>
      <c r="E7" s="169">
        <f>GASTOS!F29</f>
        <v>2000</v>
      </c>
      <c r="F7" s="169">
        <f>GASTOS!G29</f>
        <v>1000</v>
      </c>
      <c r="G7" s="169">
        <f>GASTOS!H29</f>
        <v>1000</v>
      </c>
      <c r="H7" s="169">
        <f>GASTOS!I29</f>
        <v>2000</v>
      </c>
      <c r="I7" s="169">
        <f>GASTOS!J29</f>
        <v>2000</v>
      </c>
      <c r="J7" s="169">
        <f>GASTOS!K29</f>
        <v>2000</v>
      </c>
      <c r="K7" s="169">
        <f>GASTOS!L29</f>
        <v>1000</v>
      </c>
      <c r="L7" s="169">
        <f>GASTOS!M29</f>
        <v>1000</v>
      </c>
      <c r="M7" s="169">
        <f>GASTOS!N29</f>
        <v>2000</v>
      </c>
      <c r="N7" s="169">
        <f>GASTOS!O29</f>
        <v>2000</v>
      </c>
    </row>
    <row r="8" spans="2:15" ht="16.5" thickBot="1">
      <c r="B8" s="115" t="s">
        <v>39</v>
      </c>
      <c r="C8" s="341">
        <f>SUM(C5:C7)</f>
        <v>10997.083333333332</v>
      </c>
      <c r="D8" s="341">
        <f t="shared" ref="D8:N8" si="1">SUM(D5:D7)</f>
        <v>11402.083333333332</v>
      </c>
      <c r="E8" s="341">
        <f t="shared" si="1"/>
        <v>12212.083333333332</v>
      </c>
      <c r="F8" s="341">
        <f t="shared" si="1"/>
        <v>12022.083333333332</v>
      </c>
      <c r="G8" s="341">
        <f t="shared" si="1"/>
        <v>13237.083333333332</v>
      </c>
      <c r="H8" s="341">
        <f t="shared" si="1"/>
        <v>15452.083333333332</v>
      </c>
      <c r="I8" s="341">
        <f t="shared" si="1"/>
        <v>17072.083333333332</v>
      </c>
      <c r="J8" s="341">
        <f t="shared" si="1"/>
        <v>18692.083333333332</v>
      </c>
      <c r="K8" s="341">
        <f t="shared" si="1"/>
        <v>17692.083333333332</v>
      </c>
      <c r="L8" s="341">
        <f t="shared" si="1"/>
        <v>17692.083333333332</v>
      </c>
      <c r="M8" s="341">
        <f t="shared" si="1"/>
        <v>19097.083333333332</v>
      </c>
      <c r="N8" s="341">
        <f t="shared" si="1"/>
        <v>19097.083333333332</v>
      </c>
    </row>
    <row r="9" spans="2:15" ht="15.75">
      <c r="B9" s="114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2:15" ht="15.75">
      <c r="B10" s="114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2:15" ht="15.75" thickBot="1"/>
    <row r="12" spans="2:15" ht="16.5" thickBot="1">
      <c r="B12" s="495" t="s">
        <v>79</v>
      </c>
      <c r="C12" s="496" t="s">
        <v>80</v>
      </c>
      <c r="D12" s="497" t="s">
        <v>81</v>
      </c>
      <c r="E12" s="497" t="s">
        <v>82</v>
      </c>
      <c r="F12" s="497" t="s">
        <v>83</v>
      </c>
      <c r="G12" s="497" t="s">
        <v>82</v>
      </c>
      <c r="H12" s="497" t="s">
        <v>84</v>
      </c>
      <c r="I12" s="497" t="s">
        <v>85</v>
      </c>
      <c r="J12" s="497" t="s">
        <v>86</v>
      </c>
      <c r="K12" s="497" t="s">
        <v>87</v>
      </c>
      <c r="L12" s="497" t="s">
        <v>88</v>
      </c>
      <c r="M12" s="497" t="s">
        <v>89</v>
      </c>
      <c r="N12" s="498" t="s">
        <v>90</v>
      </c>
    </row>
    <row r="13" spans="2:15">
      <c r="B13" s="499" t="s">
        <v>91</v>
      </c>
      <c r="C13" s="500">
        <f>INGRESOS!E14</f>
        <v>5625</v>
      </c>
      <c r="D13" s="500">
        <f>INGRESOS!E15</f>
        <v>6750</v>
      </c>
      <c r="E13" s="500">
        <f>INGRESOS!E16</f>
        <v>9000</v>
      </c>
      <c r="F13" s="500">
        <f>INGRESOS!E17</f>
        <v>11250</v>
      </c>
      <c r="G13" s="500">
        <f>INGRESOS!E18</f>
        <v>14625</v>
      </c>
      <c r="H13" s="500">
        <f>INGRESOS!E19</f>
        <v>18000</v>
      </c>
      <c r="I13" s="500">
        <f>INGRESOS!E20</f>
        <v>22500</v>
      </c>
      <c r="J13" s="500">
        <f>INGRESOS!E21</f>
        <v>27000</v>
      </c>
      <c r="K13" s="500">
        <f>INGRESOS!E22</f>
        <v>27000</v>
      </c>
      <c r="L13" s="500">
        <f>INGRESOS!E23</f>
        <v>27000</v>
      </c>
      <c r="M13" s="500">
        <f>INGRESOS!E24</f>
        <v>28125</v>
      </c>
      <c r="N13" s="501">
        <f>INGRESOS!E25</f>
        <v>28125</v>
      </c>
      <c r="O13" s="201"/>
    </row>
    <row r="14" spans="2:15" ht="15.75" thickBot="1">
      <c r="B14" s="502" t="s">
        <v>92</v>
      </c>
      <c r="C14" s="503">
        <f>C8</f>
        <v>10997.083333333332</v>
      </c>
      <c r="D14" s="503">
        <f t="shared" ref="D14:N14" si="2">D8</f>
        <v>11402.083333333332</v>
      </c>
      <c r="E14" s="503">
        <f t="shared" si="2"/>
        <v>12212.083333333332</v>
      </c>
      <c r="F14" s="503">
        <f t="shared" si="2"/>
        <v>12022.083333333332</v>
      </c>
      <c r="G14" s="503">
        <f t="shared" si="2"/>
        <v>13237.083333333332</v>
      </c>
      <c r="H14" s="503">
        <f t="shared" si="2"/>
        <v>15452.083333333332</v>
      </c>
      <c r="I14" s="503">
        <f t="shared" si="2"/>
        <v>17072.083333333332</v>
      </c>
      <c r="J14" s="503">
        <f t="shared" si="2"/>
        <v>18692.083333333332</v>
      </c>
      <c r="K14" s="503">
        <f t="shared" si="2"/>
        <v>17692.083333333332</v>
      </c>
      <c r="L14" s="503">
        <f t="shared" si="2"/>
        <v>17692.083333333332</v>
      </c>
      <c r="M14" s="503">
        <f t="shared" si="2"/>
        <v>19097.083333333332</v>
      </c>
      <c r="N14" s="504">
        <f t="shared" si="2"/>
        <v>19097.083333333332</v>
      </c>
      <c r="O14" s="118"/>
    </row>
    <row r="15" spans="2:15" ht="15.75" thickBot="1">
      <c r="B15" s="505" t="s">
        <v>93</v>
      </c>
      <c r="C15" s="506">
        <f>C13-C14</f>
        <v>-5372.0833333333321</v>
      </c>
      <c r="D15" s="507">
        <f t="shared" ref="D15:N15" si="3">D13-D14</f>
        <v>-4652.0833333333321</v>
      </c>
      <c r="E15" s="507">
        <f t="shared" si="3"/>
        <v>-3212.0833333333321</v>
      </c>
      <c r="F15" s="507">
        <f t="shared" si="3"/>
        <v>-772.08333333333212</v>
      </c>
      <c r="G15" s="507">
        <f t="shared" si="3"/>
        <v>1387.9166666666679</v>
      </c>
      <c r="H15" s="507">
        <f t="shared" si="3"/>
        <v>2547.9166666666679</v>
      </c>
      <c r="I15" s="507">
        <f t="shared" si="3"/>
        <v>5427.9166666666679</v>
      </c>
      <c r="J15" s="507">
        <f t="shared" si="3"/>
        <v>8307.9166666666679</v>
      </c>
      <c r="K15" s="507">
        <f t="shared" si="3"/>
        <v>9307.9166666666679</v>
      </c>
      <c r="L15" s="507">
        <f t="shared" si="3"/>
        <v>9307.9166666666679</v>
      </c>
      <c r="M15" s="507">
        <f t="shared" si="3"/>
        <v>9027.9166666666679</v>
      </c>
      <c r="N15" s="508">
        <f t="shared" si="3"/>
        <v>9027.9166666666679</v>
      </c>
      <c r="O15" s="118"/>
    </row>
    <row r="16" spans="2:15" ht="15.75" thickBot="1">
      <c r="B16" s="505" t="s">
        <v>144</v>
      </c>
      <c r="C16" s="509">
        <f>C15</f>
        <v>-5372.0833333333321</v>
      </c>
      <c r="D16" s="510">
        <f>C16+D15</f>
        <v>-10024.166666666664</v>
      </c>
      <c r="E16" s="510">
        <f t="shared" ref="E16:N16" si="4">D16+E15</f>
        <v>-13236.249999999996</v>
      </c>
      <c r="F16" s="511">
        <f t="shared" si="4"/>
        <v>-14008.333333333328</v>
      </c>
      <c r="G16" s="510">
        <f t="shared" si="4"/>
        <v>-12620.416666666661</v>
      </c>
      <c r="H16" s="510">
        <f t="shared" si="4"/>
        <v>-10072.499999999993</v>
      </c>
      <c r="I16" s="510">
        <f t="shared" si="4"/>
        <v>-4644.5833333333248</v>
      </c>
      <c r="J16" s="512">
        <f t="shared" si="4"/>
        <v>3663.333333333343</v>
      </c>
      <c r="K16" s="512">
        <f t="shared" si="4"/>
        <v>12971.250000000011</v>
      </c>
      <c r="L16" s="512">
        <f t="shared" si="4"/>
        <v>22279.166666666679</v>
      </c>
      <c r="M16" s="512">
        <f t="shared" si="4"/>
        <v>31307.083333333347</v>
      </c>
      <c r="N16" s="513">
        <f t="shared" si="4"/>
        <v>40335.000000000015</v>
      </c>
      <c r="O16" s="118"/>
    </row>
    <row r="18" spans="2:7" ht="18" customHeight="1"/>
    <row r="20" spans="2:7">
      <c r="B20" s="80"/>
      <c r="C20" s="119"/>
      <c r="D20" s="119"/>
      <c r="F20" s="119"/>
      <c r="G20" s="120"/>
    </row>
  </sheetData>
  <pageMargins left="0.70866141732283472" right="0.70866141732283472" top="1.75" bottom="0.74803149606299213" header="0.31496062992125984" footer="0.31496062992125984"/>
  <pageSetup paperSize="9" scale="4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22" zoomScale="80" zoomScaleNormal="80" workbookViewId="0">
      <selection sqref="A1:H37"/>
    </sheetView>
  </sheetViews>
  <sheetFormatPr baseColWidth="10" defaultRowHeight="15"/>
  <cols>
    <col min="1" max="1" width="11.42578125" style="8"/>
    <col min="2" max="2" width="28.140625" customWidth="1"/>
    <col min="3" max="3" width="18.7109375" customWidth="1"/>
    <col min="4" max="4" width="11.42578125" customWidth="1"/>
    <col min="5" max="5" width="16.85546875" bestFit="1" customWidth="1"/>
    <col min="6" max="6" width="18" bestFit="1" customWidth="1"/>
    <col min="7" max="7" width="41.28515625" customWidth="1"/>
    <col min="8" max="8" width="13.28515625" bestFit="1" customWidth="1"/>
    <col min="9" max="9" width="19.42578125" bestFit="1" customWidth="1"/>
  </cols>
  <sheetData>
    <row r="1" spans="2:9" s="8" customFormat="1"/>
    <row r="2" spans="2:9" s="8" customFormat="1"/>
    <row r="3" spans="2:9">
      <c r="B3" s="221"/>
    </row>
    <row r="4" spans="2:9" ht="15" customHeight="1">
      <c r="B4" s="576" t="s">
        <v>182</v>
      </c>
      <c r="C4" s="576"/>
      <c r="D4" s="576"/>
      <c r="E4" s="576"/>
      <c r="F4" s="576"/>
      <c r="G4" s="576"/>
      <c r="H4" s="576"/>
    </row>
    <row r="5" spans="2:9">
      <c r="B5" s="577" t="s">
        <v>183</v>
      </c>
      <c r="C5" s="574" t="s">
        <v>191</v>
      </c>
      <c r="D5" s="574" t="s">
        <v>184</v>
      </c>
      <c r="E5" s="574" t="s">
        <v>185</v>
      </c>
      <c r="F5" s="574" t="s">
        <v>186</v>
      </c>
      <c r="G5" s="572" t="s">
        <v>187</v>
      </c>
      <c r="H5" s="574" t="s">
        <v>188</v>
      </c>
      <c r="I5" s="569"/>
    </row>
    <row r="6" spans="2:9" ht="15.75" thickBot="1">
      <c r="B6" s="578"/>
      <c r="C6" s="575"/>
      <c r="D6" s="575"/>
      <c r="E6" s="575"/>
      <c r="F6" s="575"/>
      <c r="G6" s="573"/>
      <c r="H6" s="575"/>
      <c r="I6" s="569"/>
    </row>
    <row r="7" spans="2:9" s="8" customFormat="1" ht="27.75" customHeight="1">
      <c r="B7" s="122" t="s">
        <v>189</v>
      </c>
      <c r="C7" s="368">
        <f>'INV. INICIAL'!E3</f>
        <v>150000</v>
      </c>
      <c r="D7" s="225">
        <v>0</v>
      </c>
      <c r="E7" s="362">
        <v>0</v>
      </c>
      <c r="F7" s="225">
        <v>0</v>
      </c>
      <c r="G7" s="358">
        <v>0</v>
      </c>
      <c r="H7" s="359">
        <f>C7-G7</f>
        <v>150000</v>
      </c>
      <c r="I7" s="10"/>
    </row>
    <row r="8" spans="2:9" s="8" customFormat="1" ht="27" customHeight="1">
      <c r="B8" s="257" t="s">
        <v>212</v>
      </c>
      <c r="C8" s="369">
        <f>'INV. INICIAL'!E4</f>
        <v>80000</v>
      </c>
      <c r="D8" s="256">
        <v>20</v>
      </c>
      <c r="E8" s="363">
        <f>C8/D8</f>
        <v>4000</v>
      </c>
      <c r="F8" s="256">
        <v>10</v>
      </c>
      <c r="G8" s="360">
        <f>E8*F8</f>
        <v>40000</v>
      </c>
      <c r="H8" s="359">
        <f>Depreciaciones!M15</f>
        <v>62500</v>
      </c>
      <c r="I8" s="10"/>
    </row>
    <row r="9" spans="2:9" ht="27.75" customHeight="1">
      <c r="B9" s="101" t="s">
        <v>4</v>
      </c>
      <c r="C9" s="370">
        <f>'INV. INICIAL'!E5</f>
        <v>5500</v>
      </c>
      <c r="D9" s="224">
        <v>10</v>
      </c>
      <c r="E9" s="364">
        <f t="shared" ref="E9:E18" si="0">C9/D9</f>
        <v>550</v>
      </c>
      <c r="F9" s="223">
        <v>10</v>
      </c>
      <c r="G9" s="359">
        <f>F9*E9</f>
        <v>5500</v>
      </c>
      <c r="H9" s="359">
        <f>C9-G9</f>
        <v>0</v>
      </c>
    </row>
    <row r="10" spans="2:9" ht="27" customHeight="1">
      <c r="B10" s="101" t="s">
        <v>24</v>
      </c>
      <c r="C10" s="370">
        <f>SUM('INV. INICIAL'!E6:E7)</f>
        <v>35000</v>
      </c>
      <c r="D10" s="224">
        <v>5</v>
      </c>
      <c r="E10" s="364">
        <f t="shared" si="0"/>
        <v>7000</v>
      </c>
      <c r="F10" s="223">
        <v>5</v>
      </c>
      <c r="G10" s="359">
        <f t="shared" ref="G10:G18" si="1">E10*F10</f>
        <v>35000</v>
      </c>
      <c r="H10" s="359">
        <f>C10-G10</f>
        <v>0</v>
      </c>
    </row>
    <row r="11" spans="2:9" ht="27.75" customHeight="1">
      <c r="B11" s="101" t="s">
        <v>10</v>
      </c>
      <c r="C11" s="370">
        <f>'INV. INICIAL'!E10</f>
        <v>100</v>
      </c>
      <c r="D11" s="224">
        <v>3</v>
      </c>
      <c r="E11" s="364">
        <f t="shared" si="0"/>
        <v>33.333333333333336</v>
      </c>
      <c r="F11" s="223">
        <v>3</v>
      </c>
      <c r="G11" s="359">
        <f t="shared" si="1"/>
        <v>100</v>
      </c>
      <c r="H11" s="359">
        <f>Depreciaciones!E30</f>
        <v>66.666666666666657</v>
      </c>
    </row>
    <row r="12" spans="2:9" ht="27.75" customHeight="1">
      <c r="B12" s="101" t="s">
        <v>12</v>
      </c>
      <c r="C12" s="370">
        <f>'INV. INICIAL'!E11</f>
        <v>334.25</v>
      </c>
      <c r="D12" s="224">
        <v>3</v>
      </c>
      <c r="E12" s="364">
        <f t="shared" si="0"/>
        <v>111.41666666666667</v>
      </c>
      <c r="F12" s="223">
        <v>3</v>
      </c>
      <c r="G12" s="359">
        <f t="shared" si="1"/>
        <v>334.25</v>
      </c>
      <c r="H12" s="359">
        <f>Depreciaciones!I30</f>
        <v>222.83333333333331</v>
      </c>
    </row>
    <row r="13" spans="2:9" ht="27.75" customHeight="1">
      <c r="B13" s="101" t="s">
        <v>11</v>
      </c>
      <c r="C13" s="370">
        <f>'INV. INICIAL'!E12</f>
        <v>1000</v>
      </c>
      <c r="D13" s="224">
        <v>3</v>
      </c>
      <c r="E13" s="364">
        <f t="shared" si="0"/>
        <v>333.33333333333331</v>
      </c>
      <c r="F13" s="223">
        <v>3</v>
      </c>
      <c r="G13" s="359">
        <f t="shared" si="1"/>
        <v>1000</v>
      </c>
      <c r="H13" s="359">
        <f>Depreciaciones!M30</f>
        <v>666.66666666666674</v>
      </c>
    </row>
    <row r="14" spans="2:9" ht="27.75" customHeight="1">
      <c r="B14" s="101" t="s">
        <v>7</v>
      </c>
      <c r="C14" s="370">
        <f>'INV. INICIAL'!E15</f>
        <v>3000</v>
      </c>
      <c r="D14" s="224">
        <v>3</v>
      </c>
      <c r="E14" s="364">
        <f t="shared" si="0"/>
        <v>1000</v>
      </c>
      <c r="F14" s="223">
        <v>3</v>
      </c>
      <c r="G14" s="359">
        <f t="shared" si="1"/>
        <v>3000</v>
      </c>
      <c r="H14" s="359">
        <f>Depreciaciones!E45</f>
        <v>2000</v>
      </c>
    </row>
    <row r="15" spans="2:9" ht="27" customHeight="1">
      <c r="B15" s="101" t="s">
        <v>14</v>
      </c>
      <c r="C15" s="370">
        <f>'INV. INICIAL'!E16</f>
        <v>1800</v>
      </c>
      <c r="D15" s="224">
        <v>3</v>
      </c>
      <c r="E15" s="364">
        <f t="shared" si="0"/>
        <v>600</v>
      </c>
      <c r="F15" s="223">
        <v>3</v>
      </c>
      <c r="G15" s="359">
        <f t="shared" si="1"/>
        <v>1800</v>
      </c>
      <c r="H15" s="359">
        <f>Depreciaciones!I45</f>
        <v>1200</v>
      </c>
    </row>
    <row r="16" spans="2:9" ht="27.75" customHeight="1">
      <c r="B16" s="101" t="s">
        <v>15</v>
      </c>
      <c r="C16" s="370">
        <f>'INV. INICIAL'!E17</f>
        <v>400</v>
      </c>
      <c r="D16" s="224">
        <v>3</v>
      </c>
      <c r="E16" s="364">
        <f t="shared" si="0"/>
        <v>133.33333333333334</v>
      </c>
      <c r="F16" s="223">
        <v>3</v>
      </c>
      <c r="G16" s="359">
        <f t="shared" si="1"/>
        <v>400</v>
      </c>
      <c r="H16" s="359">
        <f>Depreciaciones!E59</f>
        <v>266.66666666666663</v>
      </c>
    </row>
    <row r="17" spans="2:8" ht="31.5" customHeight="1">
      <c r="B17" s="101" t="s">
        <v>21</v>
      </c>
      <c r="C17" s="370">
        <f>'INV. INICIAL'!E18</f>
        <v>198</v>
      </c>
      <c r="D17" s="224">
        <v>3</v>
      </c>
      <c r="E17" s="364">
        <f t="shared" si="0"/>
        <v>66</v>
      </c>
      <c r="F17" s="223">
        <v>3</v>
      </c>
      <c r="G17" s="359">
        <f>E17*F17</f>
        <v>198</v>
      </c>
      <c r="H17" s="359">
        <f>Depreciaciones!I59</f>
        <v>132</v>
      </c>
    </row>
    <row r="18" spans="2:8" ht="33.75" customHeight="1" thickBot="1">
      <c r="B18" s="123" t="s">
        <v>57</v>
      </c>
      <c r="C18" s="371">
        <f>'INV. INICIAL'!E26</f>
        <v>2185</v>
      </c>
      <c r="D18" s="226">
        <v>10</v>
      </c>
      <c r="E18" s="365">
        <f t="shared" si="0"/>
        <v>218.5</v>
      </c>
      <c r="F18" s="223">
        <v>10</v>
      </c>
      <c r="G18" s="359">
        <f t="shared" si="1"/>
        <v>2185</v>
      </c>
      <c r="H18" s="359">
        <f t="shared" ref="H18" si="2">C18-G18</f>
        <v>0</v>
      </c>
    </row>
    <row r="19" spans="2:8" s="17" customFormat="1" ht="30" customHeight="1" thickBot="1">
      <c r="B19" s="83"/>
      <c r="C19" s="579" t="s">
        <v>77</v>
      </c>
      <c r="D19" s="580"/>
      <c r="E19" s="366">
        <f>SUM(E7:E18)</f>
        <v>14045.916666666668</v>
      </c>
      <c r="G19" s="227" t="s">
        <v>190</v>
      </c>
      <c r="H19" s="361">
        <f>SUM(H7:H18)</f>
        <v>217054.83333333331</v>
      </c>
    </row>
    <row r="20" spans="2:8" s="17" customFormat="1" ht="15.75" thickBot="1">
      <c r="B20" s="83"/>
      <c r="C20" s="570" t="s">
        <v>193</v>
      </c>
      <c r="D20" s="571"/>
      <c r="E20" s="367">
        <f>SUM(C11:C17)</f>
        <v>6832.25</v>
      </c>
    </row>
    <row r="21" spans="2:8" s="17" customFormat="1">
      <c r="B21" s="83"/>
      <c r="C21" s="222"/>
      <c r="H21" s="250"/>
    </row>
    <row r="22" spans="2:8" s="17" customFormat="1" ht="15.75" thickBot="1">
      <c r="B22" s="83"/>
      <c r="C22" s="222"/>
    </row>
    <row r="23" spans="2:8" s="17" customFormat="1">
      <c r="B23" s="567" t="s">
        <v>192</v>
      </c>
      <c r="C23" s="568"/>
      <c r="G23" s="355" t="s">
        <v>226</v>
      </c>
      <c r="H23" s="356" t="s">
        <v>227</v>
      </c>
    </row>
    <row r="24" spans="2:8" s="17" customFormat="1">
      <c r="B24" s="67">
        <v>1</v>
      </c>
      <c r="C24" s="349">
        <f t="shared" ref="C24:C33" si="3">$C$34/10</f>
        <v>200</v>
      </c>
      <c r="G24" s="353" t="s">
        <v>228</v>
      </c>
      <c r="H24" s="194">
        <v>800</v>
      </c>
    </row>
    <row r="25" spans="2:8" s="17" customFormat="1">
      <c r="B25" s="350">
        <v>2</v>
      </c>
      <c r="C25" s="349">
        <f t="shared" si="3"/>
        <v>200</v>
      </c>
      <c r="G25" s="353" t="s">
        <v>229</v>
      </c>
      <c r="H25" s="194">
        <v>400</v>
      </c>
    </row>
    <row r="26" spans="2:8" ht="30">
      <c r="B26" s="67">
        <v>3</v>
      </c>
      <c r="C26" s="349">
        <f t="shared" si="3"/>
        <v>200</v>
      </c>
      <c r="G26" s="353" t="s">
        <v>230</v>
      </c>
      <c r="H26" s="194">
        <v>800</v>
      </c>
    </row>
    <row r="27" spans="2:8" ht="15.75" thickBot="1">
      <c r="B27" s="350">
        <v>4</v>
      </c>
      <c r="C27" s="349">
        <f t="shared" si="3"/>
        <v>200</v>
      </c>
      <c r="G27" s="351" t="s">
        <v>102</v>
      </c>
      <c r="H27" s="354">
        <f>SUM(H24:H26)</f>
        <v>2000</v>
      </c>
    </row>
    <row r="28" spans="2:8">
      <c r="B28" s="67">
        <v>5</v>
      </c>
      <c r="C28" s="349">
        <f t="shared" si="3"/>
        <v>200</v>
      </c>
    </row>
    <row r="29" spans="2:8">
      <c r="B29" s="350">
        <v>6</v>
      </c>
      <c r="C29" s="349">
        <f t="shared" si="3"/>
        <v>200</v>
      </c>
    </row>
    <row r="30" spans="2:8">
      <c r="B30" s="67">
        <v>7</v>
      </c>
      <c r="C30" s="349">
        <f t="shared" si="3"/>
        <v>200</v>
      </c>
    </row>
    <row r="31" spans="2:8">
      <c r="B31" s="350">
        <v>8</v>
      </c>
      <c r="C31" s="349">
        <f t="shared" si="3"/>
        <v>200</v>
      </c>
    </row>
    <row r="32" spans="2:8">
      <c r="B32" s="67">
        <v>9</v>
      </c>
      <c r="C32" s="349">
        <f t="shared" si="3"/>
        <v>200</v>
      </c>
    </row>
    <row r="33" spans="2:3">
      <c r="B33" s="350">
        <v>10</v>
      </c>
      <c r="C33" s="349">
        <f t="shared" si="3"/>
        <v>200</v>
      </c>
    </row>
    <row r="34" spans="2:3" ht="15.75" thickBot="1">
      <c r="B34" s="351" t="s">
        <v>39</v>
      </c>
      <c r="C34" s="352">
        <v>2000</v>
      </c>
    </row>
  </sheetData>
  <mergeCells count="12">
    <mergeCell ref="B4:H4"/>
    <mergeCell ref="B5:B6"/>
    <mergeCell ref="C19:D19"/>
    <mergeCell ref="C5:C6"/>
    <mergeCell ref="D5:D6"/>
    <mergeCell ref="E5:E6"/>
    <mergeCell ref="F5:F6"/>
    <mergeCell ref="B23:C23"/>
    <mergeCell ref="I5:I6"/>
    <mergeCell ref="C20:D20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91"/>
  <sheetViews>
    <sheetView topLeftCell="B1" zoomScaleNormal="100" workbookViewId="0">
      <selection activeCell="P53" sqref="P53"/>
    </sheetView>
  </sheetViews>
  <sheetFormatPr baseColWidth="10" defaultRowHeight="15"/>
  <cols>
    <col min="1" max="1" width="11.42578125" style="95"/>
    <col min="2" max="2" width="3" style="95" bestFit="1" customWidth="1"/>
    <col min="3" max="3" width="11.7109375" style="95" bestFit="1" customWidth="1"/>
    <col min="4" max="4" width="11.140625" style="95" bestFit="1" customWidth="1"/>
    <col min="5" max="5" width="16.5703125" style="95" customWidth="1"/>
    <col min="6" max="6" width="3" style="95" bestFit="1" customWidth="1"/>
    <col min="7" max="7" width="11.7109375" style="95" bestFit="1" customWidth="1"/>
    <col min="8" max="8" width="11.28515625" style="95" bestFit="1" customWidth="1"/>
    <col min="9" max="9" width="16.5703125" style="95" bestFit="1" customWidth="1"/>
    <col min="10" max="10" width="3" style="95" bestFit="1" customWidth="1"/>
    <col min="11" max="11" width="11.7109375" style="95" bestFit="1" customWidth="1"/>
    <col min="12" max="12" width="11.28515625" style="95" customWidth="1"/>
    <col min="13" max="13" width="16.5703125" style="95" bestFit="1" customWidth="1"/>
    <col min="14" max="14" width="16.85546875" style="95" customWidth="1"/>
    <col min="15" max="15" width="6.5703125" style="95" customWidth="1"/>
    <col min="16" max="16" width="28.5703125" style="95" bestFit="1" customWidth="1"/>
    <col min="17" max="17" width="14.28515625" style="95" customWidth="1"/>
    <col min="18" max="18" width="16.85546875" style="95" customWidth="1"/>
    <col min="19" max="16384" width="11.42578125" style="95"/>
  </cols>
  <sheetData>
    <row r="2" spans="2:18" ht="15.75" thickBot="1"/>
    <row r="3" spans="2:18" ht="18" thickBot="1">
      <c r="B3" s="588" t="s">
        <v>56</v>
      </c>
      <c r="C3" s="589"/>
      <c r="D3" s="589"/>
      <c r="E3" s="590"/>
      <c r="F3" s="588" t="s">
        <v>55</v>
      </c>
      <c r="G3" s="589"/>
      <c r="H3" s="589"/>
      <c r="I3" s="590"/>
      <c r="J3" s="588" t="s">
        <v>213</v>
      </c>
      <c r="K3" s="599"/>
      <c r="L3" s="599"/>
      <c r="M3" s="600"/>
      <c r="P3" s="581" t="s">
        <v>121</v>
      </c>
      <c r="Q3" s="581"/>
      <c r="R3" s="581"/>
    </row>
    <row r="4" spans="2:18" ht="30.75" customHeight="1" thickBot="1">
      <c r="B4" s="313"/>
      <c r="C4" s="517" t="s">
        <v>52</v>
      </c>
      <c r="D4" s="518" t="s">
        <v>53</v>
      </c>
      <c r="E4" s="519" t="s">
        <v>54</v>
      </c>
      <c r="F4" s="313"/>
      <c r="G4" s="517" t="s">
        <v>52</v>
      </c>
      <c r="H4" s="518" t="s">
        <v>53</v>
      </c>
      <c r="I4" s="519" t="s">
        <v>54</v>
      </c>
      <c r="J4" s="520"/>
      <c r="K4" s="521" t="s">
        <v>52</v>
      </c>
      <c r="L4" s="521" t="s">
        <v>53</v>
      </c>
      <c r="M4" s="521" t="s">
        <v>54</v>
      </c>
      <c r="P4" s="515" t="s">
        <v>75</v>
      </c>
      <c r="Q4" s="525" t="s">
        <v>76</v>
      </c>
      <c r="R4" s="516" t="s">
        <v>77</v>
      </c>
    </row>
    <row r="5" spans="2:18" ht="15.75" customHeight="1">
      <c r="B5" s="314">
        <v>0</v>
      </c>
      <c r="C5" s="310"/>
      <c r="D5" s="306"/>
      <c r="E5" s="307">
        <f>'INV. INICIAL'!E5</f>
        <v>5500</v>
      </c>
      <c r="F5" s="314">
        <v>0</v>
      </c>
      <c r="G5" s="310"/>
      <c r="H5" s="306"/>
      <c r="I5" s="307">
        <f>SUM('INV. INICIAL'!E6:E7)</f>
        <v>35000</v>
      </c>
      <c r="J5" s="314">
        <v>0</v>
      </c>
      <c r="K5" s="310"/>
      <c r="L5" s="306"/>
      <c r="M5" s="307">
        <f>'INV. INICIAL'!E4</f>
        <v>80000</v>
      </c>
      <c r="P5" s="524" t="s">
        <v>4</v>
      </c>
      <c r="Q5" s="308">
        <f>R5/12</f>
        <v>45.833333333333336</v>
      </c>
      <c r="R5" s="307">
        <f>C6</f>
        <v>550</v>
      </c>
    </row>
    <row r="6" spans="2:18">
      <c r="B6" s="315">
        <v>1</v>
      </c>
      <c r="C6" s="311">
        <f t="shared" ref="C6:C15" si="0">$E$5/10</f>
        <v>550</v>
      </c>
      <c r="D6" s="302">
        <f>C6</f>
        <v>550</v>
      </c>
      <c r="E6" s="303">
        <f>E5-C6</f>
        <v>4950</v>
      </c>
      <c r="F6" s="315">
        <v>1</v>
      </c>
      <c r="G6" s="311">
        <f>$I$5*20%</f>
        <v>7000</v>
      </c>
      <c r="H6" s="302">
        <f>G6</f>
        <v>7000</v>
      </c>
      <c r="I6" s="303">
        <f>I5-G6</f>
        <v>28000</v>
      </c>
      <c r="J6" s="315">
        <v>1</v>
      </c>
      <c r="K6" s="311">
        <f>$I$5*10%</f>
        <v>3500</v>
      </c>
      <c r="L6" s="302">
        <f>K6</f>
        <v>3500</v>
      </c>
      <c r="M6" s="303">
        <f>M5-K6</f>
        <v>76500</v>
      </c>
      <c r="P6" s="77" t="s">
        <v>212</v>
      </c>
      <c r="Q6" s="302">
        <f>R6/12</f>
        <v>291.66666666666669</v>
      </c>
      <c r="R6" s="303">
        <f>K6</f>
        <v>3500</v>
      </c>
    </row>
    <row r="7" spans="2:18">
      <c r="B7" s="315">
        <v>2</v>
      </c>
      <c r="C7" s="311">
        <f t="shared" si="0"/>
        <v>550</v>
      </c>
      <c r="D7" s="302">
        <f>D6+C7</f>
        <v>1100</v>
      </c>
      <c r="E7" s="303">
        <f t="shared" ref="E7:E15" si="1">E6-C7</f>
        <v>4400</v>
      </c>
      <c r="F7" s="315">
        <v>2</v>
      </c>
      <c r="G7" s="311">
        <f>$I$5*20%</f>
        <v>7000</v>
      </c>
      <c r="H7" s="302">
        <f>H6+G7</f>
        <v>14000</v>
      </c>
      <c r="I7" s="303">
        <f>I6-G7</f>
        <v>21000</v>
      </c>
      <c r="J7" s="315">
        <v>2</v>
      </c>
      <c r="K7" s="311">
        <f t="shared" ref="K7:K15" si="2">$I$5*10%</f>
        <v>3500</v>
      </c>
      <c r="L7" s="302">
        <f>L6+K7</f>
        <v>7000</v>
      </c>
      <c r="M7" s="303">
        <f>M6-K7</f>
        <v>73000</v>
      </c>
      <c r="P7" s="101" t="s">
        <v>24</v>
      </c>
      <c r="Q7" s="302">
        <f t="shared" ref="Q7:Q15" si="3">R7/12</f>
        <v>583.33333333333337</v>
      </c>
      <c r="R7" s="303">
        <f>G6</f>
        <v>7000</v>
      </c>
    </row>
    <row r="8" spans="2:18" ht="16.5" customHeight="1">
      <c r="B8" s="315">
        <v>3</v>
      </c>
      <c r="C8" s="311">
        <f t="shared" si="0"/>
        <v>550</v>
      </c>
      <c r="D8" s="302">
        <f t="shared" ref="D8:D15" si="4">D7+C8</f>
        <v>1650</v>
      </c>
      <c r="E8" s="303">
        <f t="shared" si="1"/>
        <v>3850</v>
      </c>
      <c r="F8" s="315">
        <v>3</v>
      </c>
      <c r="G8" s="311">
        <f>$I$5*20%</f>
        <v>7000</v>
      </c>
      <c r="H8" s="302">
        <f t="shared" ref="H8:H10" si="5">H7+G8</f>
        <v>21000</v>
      </c>
      <c r="I8" s="303">
        <f t="shared" ref="I8" si="6">I7-G8</f>
        <v>14000</v>
      </c>
      <c r="J8" s="315">
        <v>3</v>
      </c>
      <c r="K8" s="311">
        <f t="shared" si="2"/>
        <v>3500</v>
      </c>
      <c r="L8" s="302">
        <f t="shared" ref="L8:L10" si="7">L7+K8</f>
        <v>10500</v>
      </c>
      <c r="M8" s="303">
        <f t="shared" ref="M8" si="8">M7-K8</f>
        <v>69500</v>
      </c>
      <c r="P8" s="101" t="s">
        <v>10</v>
      </c>
      <c r="Q8" s="302">
        <f t="shared" si="3"/>
        <v>2.7777777777777781</v>
      </c>
      <c r="R8" s="303">
        <f>C21</f>
        <v>33.333333333333336</v>
      </c>
    </row>
    <row r="9" spans="2:18" ht="16.5" customHeight="1">
      <c r="B9" s="315">
        <v>4</v>
      </c>
      <c r="C9" s="311">
        <f t="shared" si="0"/>
        <v>550</v>
      </c>
      <c r="D9" s="302">
        <f t="shared" si="4"/>
        <v>2200</v>
      </c>
      <c r="E9" s="303">
        <f t="shared" si="1"/>
        <v>3300</v>
      </c>
      <c r="F9" s="315">
        <v>4</v>
      </c>
      <c r="G9" s="311">
        <f>$I$5*20%</f>
        <v>7000</v>
      </c>
      <c r="H9" s="302">
        <f t="shared" si="5"/>
        <v>28000</v>
      </c>
      <c r="I9" s="303">
        <f>I8-G9</f>
        <v>7000</v>
      </c>
      <c r="J9" s="315">
        <v>4</v>
      </c>
      <c r="K9" s="311">
        <f t="shared" si="2"/>
        <v>3500</v>
      </c>
      <c r="L9" s="302">
        <f t="shared" si="7"/>
        <v>14000</v>
      </c>
      <c r="M9" s="303">
        <f>M8-K9</f>
        <v>66000</v>
      </c>
      <c r="P9" s="101" t="s">
        <v>12</v>
      </c>
      <c r="Q9" s="302">
        <f t="shared" si="3"/>
        <v>9.2847222222222232</v>
      </c>
      <c r="R9" s="303">
        <f>G21</f>
        <v>111.41666666666667</v>
      </c>
    </row>
    <row r="10" spans="2:18" ht="15.75" customHeight="1">
      <c r="B10" s="315">
        <v>5</v>
      </c>
      <c r="C10" s="311">
        <f t="shared" si="0"/>
        <v>550</v>
      </c>
      <c r="D10" s="302">
        <f t="shared" si="4"/>
        <v>2750</v>
      </c>
      <c r="E10" s="303">
        <f t="shared" si="1"/>
        <v>2750</v>
      </c>
      <c r="F10" s="315">
        <v>5</v>
      </c>
      <c r="G10" s="311">
        <f>$I$5*20%</f>
        <v>7000</v>
      </c>
      <c r="H10" s="302">
        <f t="shared" si="5"/>
        <v>35000</v>
      </c>
      <c r="I10" s="303">
        <f>I5</f>
        <v>35000</v>
      </c>
      <c r="J10" s="315">
        <v>5</v>
      </c>
      <c r="K10" s="311">
        <f t="shared" si="2"/>
        <v>3500</v>
      </c>
      <c r="L10" s="302">
        <f t="shared" si="7"/>
        <v>17500</v>
      </c>
      <c r="M10" s="303">
        <f>M5</f>
        <v>80000</v>
      </c>
      <c r="P10" s="101" t="s">
        <v>11</v>
      </c>
      <c r="Q10" s="302">
        <f t="shared" si="3"/>
        <v>27.777777777777775</v>
      </c>
      <c r="R10" s="303">
        <f>K21</f>
        <v>333.33333333333331</v>
      </c>
    </row>
    <row r="11" spans="2:18" ht="15.75" customHeight="1">
      <c r="B11" s="315">
        <v>6</v>
      </c>
      <c r="C11" s="311">
        <f t="shared" si="0"/>
        <v>550</v>
      </c>
      <c r="D11" s="302">
        <f t="shared" si="4"/>
        <v>3300</v>
      </c>
      <c r="E11" s="303">
        <f t="shared" si="1"/>
        <v>2200</v>
      </c>
      <c r="F11" s="315">
        <v>6</v>
      </c>
      <c r="G11" s="311">
        <f>$I$10*20%</f>
        <v>7000</v>
      </c>
      <c r="H11" s="302">
        <f>G11</f>
        <v>7000</v>
      </c>
      <c r="I11" s="303">
        <f>I10-G11</f>
        <v>28000</v>
      </c>
      <c r="J11" s="315">
        <v>6</v>
      </c>
      <c r="K11" s="311">
        <f t="shared" si="2"/>
        <v>3500</v>
      </c>
      <c r="L11" s="302">
        <f>K11</f>
        <v>3500</v>
      </c>
      <c r="M11" s="303">
        <f>M10-K11</f>
        <v>76500</v>
      </c>
      <c r="P11" s="101" t="s">
        <v>7</v>
      </c>
      <c r="Q11" s="302">
        <f t="shared" si="3"/>
        <v>83.333333333333329</v>
      </c>
      <c r="R11" s="303">
        <f>Depreciaciones!C36</f>
        <v>1000</v>
      </c>
    </row>
    <row r="12" spans="2:18" ht="13.5" customHeight="1">
      <c r="B12" s="315">
        <v>7</v>
      </c>
      <c r="C12" s="311">
        <f t="shared" si="0"/>
        <v>550</v>
      </c>
      <c r="D12" s="302">
        <f t="shared" si="4"/>
        <v>3850</v>
      </c>
      <c r="E12" s="303">
        <f t="shared" si="1"/>
        <v>1650</v>
      </c>
      <c r="F12" s="315">
        <v>7</v>
      </c>
      <c r="G12" s="311">
        <f t="shared" ref="G12:G15" si="9">$I$10*20%</f>
        <v>7000</v>
      </c>
      <c r="H12" s="302">
        <f>H11+G12</f>
        <v>14000</v>
      </c>
      <c r="I12" s="303">
        <f t="shared" ref="I12:I15" si="10">I11-G12</f>
        <v>21000</v>
      </c>
      <c r="J12" s="315">
        <v>7</v>
      </c>
      <c r="K12" s="311">
        <f t="shared" si="2"/>
        <v>3500</v>
      </c>
      <c r="L12" s="302">
        <f>L11+K12</f>
        <v>7000</v>
      </c>
      <c r="M12" s="303">
        <f t="shared" ref="M12:M15" si="11">M11-K12</f>
        <v>73000</v>
      </c>
      <c r="P12" s="101" t="s">
        <v>14</v>
      </c>
      <c r="Q12" s="302">
        <f t="shared" si="3"/>
        <v>50</v>
      </c>
      <c r="R12" s="303">
        <f>G36</f>
        <v>600</v>
      </c>
    </row>
    <row r="13" spans="2:18" ht="19.5" customHeight="1">
      <c r="B13" s="315">
        <v>8</v>
      </c>
      <c r="C13" s="311">
        <f t="shared" si="0"/>
        <v>550</v>
      </c>
      <c r="D13" s="302">
        <f t="shared" si="4"/>
        <v>4400</v>
      </c>
      <c r="E13" s="303">
        <f t="shared" si="1"/>
        <v>1100</v>
      </c>
      <c r="F13" s="315">
        <v>8</v>
      </c>
      <c r="G13" s="311">
        <f t="shared" si="9"/>
        <v>7000</v>
      </c>
      <c r="H13" s="302">
        <f t="shared" ref="H13:H15" si="12">H12+G13</f>
        <v>21000</v>
      </c>
      <c r="I13" s="303">
        <f t="shared" si="10"/>
        <v>14000</v>
      </c>
      <c r="J13" s="315">
        <v>8</v>
      </c>
      <c r="K13" s="311">
        <f t="shared" si="2"/>
        <v>3500</v>
      </c>
      <c r="L13" s="302">
        <f t="shared" ref="L13:L15" si="13">L12+K13</f>
        <v>10500</v>
      </c>
      <c r="M13" s="303">
        <f t="shared" si="11"/>
        <v>69500</v>
      </c>
      <c r="P13" s="101" t="s">
        <v>15</v>
      </c>
      <c r="Q13" s="302">
        <f t="shared" si="3"/>
        <v>11.111111111111112</v>
      </c>
      <c r="R13" s="303">
        <f>C50</f>
        <v>133.33333333333334</v>
      </c>
    </row>
    <row r="14" spans="2:18" ht="19.5" customHeight="1">
      <c r="B14" s="315">
        <v>9</v>
      </c>
      <c r="C14" s="311">
        <f t="shared" si="0"/>
        <v>550</v>
      </c>
      <c r="D14" s="302">
        <f t="shared" si="4"/>
        <v>4950</v>
      </c>
      <c r="E14" s="303">
        <f t="shared" si="1"/>
        <v>550</v>
      </c>
      <c r="F14" s="315">
        <v>9</v>
      </c>
      <c r="G14" s="311">
        <f t="shared" si="9"/>
        <v>7000</v>
      </c>
      <c r="H14" s="302">
        <f t="shared" si="12"/>
        <v>28000</v>
      </c>
      <c r="I14" s="303">
        <f t="shared" si="10"/>
        <v>7000</v>
      </c>
      <c r="J14" s="315">
        <v>9</v>
      </c>
      <c r="K14" s="311">
        <f t="shared" si="2"/>
        <v>3500</v>
      </c>
      <c r="L14" s="302">
        <f t="shared" si="13"/>
        <v>14000</v>
      </c>
      <c r="M14" s="303">
        <f t="shared" si="11"/>
        <v>66000</v>
      </c>
      <c r="P14" s="101" t="s">
        <v>21</v>
      </c>
      <c r="Q14" s="302">
        <f t="shared" si="3"/>
        <v>5.5</v>
      </c>
      <c r="R14" s="303">
        <f>G50</f>
        <v>66</v>
      </c>
    </row>
    <row r="15" spans="2:18" ht="15.75" customHeight="1" thickBot="1">
      <c r="B15" s="316">
        <v>10</v>
      </c>
      <c r="C15" s="312">
        <f t="shared" si="0"/>
        <v>550</v>
      </c>
      <c r="D15" s="304">
        <f t="shared" si="4"/>
        <v>5500</v>
      </c>
      <c r="E15" s="305">
        <f t="shared" si="1"/>
        <v>0</v>
      </c>
      <c r="F15" s="316">
        <v>10</v>
      </c>
      <c r="G15" s="312">
        <f t="shared" si="9"/>
        <v>7000</v>
      </c>
      <c r="H15" s="304">
        <f t="shared" si="12"/>
        <v>35000</v>
      </c>
      <c r="I15" s="305">
        <f t="shared" si="10"/>
        <v>0</v>
      </c>
      <c r="J15" s="316">
        <v>10</v>
      </c>
      <c r="K15" s="312">
        <f t="shared" si="2"/>
        <v>3500</v>
      </c>
      <c r="L15" s="304">
        <f t="shared" si="13"/>
        <v>17500</v>
      </c>
      <c r="M15" s="305">
        <f t="shared" si="11"/>
        <v>62500</v>
      </c>
      <c r="P15" s="123" t="s">
        <v>57</v>
      </c>
      <c r="Q15" s="302">
        <f t="shared" si="3"/>
        <v>18.208333333333332</v>
      </c>
      <c r="R15" s="303">
        <f>K50</f>
        <v>218.5</v>
      </c>
    </row>
    <row r="16" spans="2:18" ht="15.75" thickBot="1">
      <c r="B16" s="13"/>
      <c r="C16" s="13"/>
      <c r="D16" s="13"/>
      <c r="E16" s="13"/>
      <c r="F16" s="97"/>
      <c r="G16" s="14"/>
      <c r="H16" s="98"/>
      <c r="I16" s="15"/>
      <c r="J16" s="15"/>
      <c r="K16" s="14"/>
      <c r="L16" s="96"/>
      <c r="M16" s="16"/>
      <c r="N16" s="16"/>
      <c r="P16" s="261" t="s">
        <v>45</v>
      </c>
      <c r="Q16" s="522">
        <f>SUM(Q5:Q15)</f>
        <v>1128.8263888888889</v>
      </c>
      <c r="R16" s="523">
        <f>SUM(R5:R15)</f>
        <v>13545.916666666668</v>
      </c>
    </row>
    <row r="17" spans="2:18" ht="15.75" customHeight="1" thickBot="1">
      <c r="B17" s="596" t="s">
        <v>9</v>
      </c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598"/>
    </row>
    <row r="18" spans="2:18" ht="15.75" thickBot="1">
      <c r="B18" s="588" t="s">
        <v>10</v>
      </c>
      <c r="C18" s="599"/>
      <c r="D18" s="599"/>
      <c r="E18" s="600"/>
      <c r="F18" s="601" t="s">
        <v>12</v>
      </c>
      <c r="G18" s="599"/>
      <c r="H18" s="599"/>
      <c r="I18" s="600"/>
      <c r="J18" s="602" t="s">
        <v>11</v>
      </c>
      <c r="K18" s="603"/>
      <c r="L18" s="603"/>
      <c r="M18" s="604"/>
    </row>
    <row r="19" spans="2:18" ht="15.75" thickBot="1">
      <c r="B19" s="319"/>
      <c r="C19" s="323" t="s">
        <v>52</v>
      </c>
      <c r="D19" s="324" t="s">
        <v>53</v>
      </c>
      <c r="E19" s="325" t="s">
        <v>54</v>
      </c>
      <c r="F19" s="326"/>
      <c r="G19" s="324" t="s">
        <v>52</v>
      </c>
      <c r="H19" s="324" t="s">
        <v>53</v>
      </c>
      <c r="I19" s="325" t="s">
        <v>54</v>
      </c>
      <c r="J19" s="327"/>
      <c r="K19" s="324" t="s">
        <v>52</v>
      </c>
      <c r="L19" s="324" t="s">
        <v>53</v>
      </c>
      <c r="M19" s="325" t="s">
        <v>54</v>
      </c>
    </row>
    <row r="20" spans="2:18">
      <c r="B20" s="320">
        <v>0</v>
      </c>
      <c r="C20" s="321"/>
      <c r="D20" s="302"/>
      <c r="E20" s="302">
        <f>'INV. INICIAL'!E10</f>
        <v>100</v>
      </c>
      <c r="F20" s="315">
        <v>0</v>
      </c>
      <c r="G20" s="302"/>
      <c r="H20" s="302"/>
      <c r="I20" s="302">
        <f>'INV. INICIAL'!E11</f>
        <v>334.25</v>
      </c>
      <c r="J20" s="315">
        <v>0</v>
      </c>
      <c r="K20" s="302"/>
      <c r="L20" s="302"/>
      <c r="M20" s="303">
        <f>'INV. INICIAL'!E12</f>
        <v>1000</v>
      </c>
    </row>
    <row r="21" spans="2:18">
      <c r="B21" s="315">
        <v>1</v>
      </c>
      <c r="C21" s="321">
        <f>$E$20/3</f>
        <v>33.333333333333336</v>
      </c>
      <c r="D21" s="302">
        <f>C21</f>
        <v>33.333333333333336</v>
      </c>
      <c r="E21" s="302">
        <f>E20-C21</f>
        <v>66.666666666666657</v>
      </c>
      <c r="F21" s="315">
        <v>1</v>
      </c>
      <c r="G21" s="302">
        <f>$I$20/3</f>
        <v>111.41666666666667</v>
      </c>
      <c r="H21" s="302">
        <f>G21</f>
        <v>111.41666666666667</v>
      </c>
      <c r="I21" s="302">
        <f>I20-H21</f>
        <v>222.83333333333331</v>
      </c>
      <c r="J21" s="315">
        <v>1</v>
      </c>
      <c r="K21" s="302">
        <f>$M$20/3</f>
        <v>333.33333333333331</v>
      </c>
      <c r="L21" s="302">
        <f>K21</f>
        <v>333.33333333333331</v>
      </c>
      <c r="M21" s="303">
        <f>M20-K21</f>
        <v>666.66666666666674</v>
      </c>
    </row>
    <row r="22" spans="2:18">
      <c r="B22" s="315">
        <v>2</v>
      </c>
      <c r="C22" s="321">
        <f>$E$20/3</f>
        <v>33.333333333333336</v>
      </c>
      <c r="D22" s="302">
        <f>D21+C22</f>
        <v>66.666666666666671</v>
      </c>
      <c r="E22" s="302">
        <f t="shared" ref="E22" si="14">E21-C22</f>
        <v>33.333333333333321</v>
      </c>
      <c r="F22" s="315">
        <v>2</v>
      </c>
      <c r="G22" s="302">
        <f>$I$20/3</f>
        <v>111.41666666666667</v>
      </c>
      <c r="H22" s="302">
        <f>H21+G22</f>
        <v>222.83333333333334</v>
      </c>
      <c r="I22" s="302">
        <f t="shared" ref="I22" si="15">I21-G22</f>
        <v>111.41666666666664</v>
      </c>
      <c r="J22" s="315">
        <v>2</v>
      </c>
      <c r="K22" s="302">
        <f>$M$20/3</f>
        <v>333.33333333333331</v>
      </c>
      <c r="L22" s="302">
        <f>L21+K22</f>
        <v>666.66666666666663</v>
      </c>
      <c r="M22" s="303">
        <f t="shared" ref="M22" si="16">M21-K22</f>
        <v>333.33333333333343</v>
      </c>
    </row>
    <row r="23" spans="2:18">
      <c r="B23" s="315">
        <v>3</v>
      </c>
      <c r="C23" s="321">
        <f>$E$20/3</f>
        <v>33.333333333333336</v>
      </c>
      <c r="D23" s="302">
        <f>D22+C23</f>
        <v>100</v>
      </c>
      <c r="E23" s="302">
        <f>E20</f>
        <v>100</v>
      </c>
      <c r="F23" s="315">
        <v>3</v>
      </c>
      <c r="G23" s="302">
        <f>$I$20/3</f>
        <v>111.41666666666667</v>
      </c>
      <c r="H23" s="302">
        <f>H22+G23</f>
        <v>334.25</v>
      </c>
      <c r="I23" s="302">
        <f>I20</f>
        <v>334.25</v>
      </c>
      <c r="J23" s="315">
        <v>3</v>
      </c>
      <c r="K23" s="302">
        <f>$M$20/3</f>
        <v>333.33333333333331</v>
      </c>
      <c r="L23" s="302">
        <f>L22+K23</f>
        <v>1000</v>
      </c>
      <c r="M23" s="303">
        <f>M20</f>
        <v>1000</v>
      </c>
    </row>
    <row r="24" spans="2:18">
      <c r="B24" s="315">
        <v>4</v>
      </c>
      <c r="C24" s="321">
        <f>$E$23/3</f>
        <v>33.333333333333336</v>
      </c>
      <c r="D24" s="302">
        <f>C24</f>
        <v>33.333333333333336</v>
      </c>
      <c r="E24" s="302">
        <f>E23-C24</f>
        <v>66.666666666666657</v>
      </c>
      <c r="F24" s="315">
        <v>4</v>
      </c>
      <c r="G24" s="302">
        <f>$I$23/3</f>
        <v>111.41666666666667</v>
      </c>
      <c r="H24" s="302">
        <f>G24</f>
        <v>111.41666666666667</v>
      </c>
      <c r="I24" s="302">
        <f>I23-G24</f>
        <v>222.83333333333331</v>
      </c>
      <c r="J24" s="315">
        <v>4</v>
      </c>
      <c r="K24" s="302">
        <f>$M$23/3</f>
        <v>333.33333333333331</v>
      </c>
      <c r="L24" s="302">
        <f>K24</f>
        <v>333.33333333333331</v>
      </c>
      <c r="M24" s="303">
        <f>M23-K24</f>
        <v>666.66666666666674</v>
      </c>
    </row>
    <row r="25" spans="2:18">
      <c r="B25" s="315">
        <v>5</v>
      </c>
      <c r="C25" s="321">
        <f t="shared" ref="C25:C26" si="17">$E$23/3</f>
        <v>33.333333333333336</v>
      </c>
      <c r="D25" s="302">
        <f>D24+C25</f>
        <v>66.666666666666671</v>
      </c>
      <c r="E25" s="302">
        <f t="shared" ref="E25" si="18">E24-C25</f>
        <v>33.333333333333321</v>
      </c>
      <c r="F25" s="315">
        <v>5</v>
      </c>
      <c r="G25" s="302">
        <f>G21</f>
        <v>111.41666666666667</v>
      </c>
      <c r="H25" s="302">
        <f>H24+G25</f>
        <v>222.83333333333334</v>
      </c>
      <c r="I25" s="302">
        <f t="shared" ref="I25" si="19">I24-G25</f>
        <v>111.41666666666664</v>
      </c>
      <c r="J25" s="315">
        <v>5</v>
      </c>
      <c r="K25" s="302">
        <f t="shared" ref="K25:K26" si="20">$M$23/3</f>
        <v>333.33333333333331</v>
      </c>
      <c r="L25" s="302">
        <f>L24+K25</f>
        <v>666.66666666666663</v>
      </c>
      <c r="M25" s="303">
        <f t="shared" ref="M25" si="21">M24-K25</f>
        <v>333.33333333333343</v>
      </c>
    </row>
    <row r="26" spans="2:18">
      <c r="B26" s="315">
        <v>6</v>
      </c>
      <c r="C26" s="321">
        <f t="shared" si="17"/>
        <v>33.333333333333336</v>
      </c>
      <c r="D26" s="302">
        <f t="shared" ref="D26:D29" si="22">D25+C26</f>
        <v>100</v>
      </c>
      <c r="E26" s="302">
        <f>E23</f>
        <v>100</v>
      </c>
      <c r="F26" s="315">
        <v>6</v>
      </c>
      <c r="G26" s="302">
        <f t="shared" ref="G26:G29" si="23">G22</f>
        <v>111.41666666666667</v>
      </c>
      <c r="H26" s="302">
        <f>H25+G26</f>
        <v>334.25</v>
      </c>
      <c r="I26" s="302">
        <f>I23</f>
        <v>334.25</v>
      </c>
      <c r="J26" s="315">
        <v>6</v>
      </c>
      <c r="K26" s="302">
        <f t="shared" si="20"/>
        <v>333.33333333333331</v>
      </c>
      <c r="L26" s="302">
        <f t="shared" ref="L26" si="24">L25+K26</f>
        <v>1000</v>
      </c>
      <c r="M26" s="303">
        <f>M23</f>
        <v>1000</v>
      </c>
    </row>
    <row r="27" spans="2:18">
      <c r="B27" s="315">
        <v>7</v>
      </c>
      <c r="C27" s="321">
        <f>$E$26/3</f>
        <v>33.333333333333336</v>
      </c>
      <c r="D27" s="302">
        <f>C27</f>
        <v>33.333333333333336</v>
      </c>
      <c r="E27" s="302">
        <f>E26-C27</f>
        <v>66.666666666666657</v>
      </c>
      <c r="F27" s="315">
        <v>7</v>
      </c>
      <c r="G27" s="302">
        <f>$I$26/3</f>
        <v>111.41666666666667</v>
      </c>
      <c r="H27" s="302">
        <f>G27</f>
        <v>111.41666666666667</v>
      </c>
      <c r="I27" s="302">
        <f>I26-G27</f>
        <v>222.83333333333331</v>
      </c>
      <c r="J27" s="315">
        <v>7</v>
      </c>
      <c r="K27" s="302">
        <f>$M$26/3</f>
        <v>333.33333333333331</v>
      </c>
      <c r="L27" s="302">
        <f>K27</f>
        <v>333.33333333333331</v>
      </c>
      <c r="M27" s="303">
        <f>M26-K27</f>
        <v>666.66666666666674</v>
      </c>
    </row>
    <row r="28" spans="2:18">
      <c r="B28" s="315">
        <v>8</v>
      </c>
      <c r="C28" s="321">
        <f t="shared" ref="C28:C29" si="25">$E$26/3</f>
        <v>33.333333333333336</v>
      </c>
      <c r="D28" s="302">
        <f t="shared" si="22"/>
        <v>66.666666666666671</v>
      </c>
      <c r="E28" s="302">
        <f t="shared" ref="E28" si="26">E27-C28</f>
        <v>33.333333333333321</v>
      </c>
      <c r="F28" s="315">
        <v>8</v>
      </c>
      <c r="G28" s="302">
        <f t="shared" si="23"/>
        <v>111.41666666666667</v>
      </c>
      <c r="H28" s="302">
        <f>H27+G28</f>
        <v>222.83333333333334</v>
      </c>
      <c r="I28" s="302">
        <f>I27-G28</f>
        <v>111.41666666666664</v>
      </c>
      <c r="J28" s="315">
        <v>8</v>
      </c>
      <c r="K28" s="302">
        <f t="shared" ref="K28:L29" si="27">K24</f>
        <v>333.33333333333331</v>
      </c>
      <c r="L28" s="302">
        <f t="shared" si="27"/>
        <v>333.33333333333331</v>
      </c>
      <c r="M28" s="303">
        <f t="shared" ref="M28" si="28">M27-K28</f>
        <v>333.33333333333343</v>
      </c>
    </row>
    <row r="29" spans="2:18">
      <c r="B29" s="315">
        <v>9</v>
      </c>
      <c r="C29" s="321">
        <f t="shared" si="25"/>
        <v>33.333333333333336</v>
      </c>
      <c r="D29" s="302">
        <f t="shared" si="22"/>
        <v>100</v>
      </c>
      <c r="E29" s="302">
        <f>E26</f>
        <v>100</v>
      </c>
      <c r="F29" s="315">
        <v>9</v>
      </c>
      <c r="G29" s="302">
        <f t="shared" si="23"/>
        <v>111.41666666666667</v>
      </c>
      <c r="H29" s="302">
        <f t="shared" ref="H29" si="29">H28+G29</f>
        <v>334.25</v>
      </c>
      <c r="I29" s="302">
        <f>I26</f>
        <v>334.25</v>
      </c>
      <c r="J29" s="315">
        <v>9</v>
      </c>
      <c r="K29" s="302">
        <f t="shared" si="27"/>
        <v>333.33333333333331</v>
      </c>
      <c r="L29" s="302">
        <f t="shared" si="27"/>
        <v>666.66666666666663</v>
      </c>
      <c r="M29" s="303">
        <f>M26</f>
        <v>1000</v>
      </c>
    </row>
    <row r="30" spans="2:18" ht="15.75" thickBot="1">
      <c r="B30" s="316">
        <v>10</v>
      </c>
      <c r="C30" s="322">
        <f>$E$29/3</f>
        <v>33.333333333333336</v>
      </c>
      <c r="D30" s="304">
        <f>C30</f>
        <v>33.333333333333336</v>
      </c>
      <c r="E30" s="304">
        <f>E29-C30</f>
        <v>66.666666666666657</v>
      </c>
      <c r="F30" s="316">
        <v>10</v>
      </c>
      <c r="G30" s="304">
        <f>I29/3</f>
        <v>111.41666666666667</v>
      </c>
      <c r="H30" s="304">
        <f>G30</f>
        <v>111.41666666666667</v>
      </c>
      <c r="I30" s="304">
        <f>I29-G30</f>
        <v>222.83333333333331</v>
      </c>
      <c r="J30" s="316">
        <v>10</v>
      </c>
      <c r="K30" s="304">
        <f>$M$29/3</f>
        <v>333.33333333333331</v>
      </c>
      <c r="L30" s="304">
        <f>K30</f>
        <v>333.33333333333331</v>
      </c>
      <c r="M30" s="305">
        <f>M29-K30</f>
        <v>666.66666666666674</v>
      </c>
      <c r="N30" s="16"/>
      <c r="O30" s="14"/>
      <c r="P30" s="98"/>
      <c r="Q30" s="15"/>
      <c r="R30" s="15"/>
    </row>
    <row r="31" spans="2:18">
      <c r="B31" s="14"/>
      <c r="G31" s="14"/>
      <c r="H31" s="98"/>
      <c r="I31" s="15"/>
      <c r="J31" s="15"/>
      <c r="K31" s="14"/>
      <c r="L31" s="96"/>
      <c r="M31" s="16"/>
      <c r="N31" s="16"/>
      <c r="O31" s="14"/>
      <c r="P31" s="98"/>
      <c r="Q31" s="15"/>
      <c r="R31" s="15"/>
    </row>
    <row r="32" spans="2:18" ht="15.75" thickBot="1">
      <c r="B32" s="328"/>
      <c r="G32" s="14"/>
      <c r="H32" s="98"/>
      <c r="I32" s="15"/>
      <c r="J32" s="15"/>
      <c r="K32" s="14"/>
      <c r="L32" s="96"/>
      <c r="M32" s="16"/>
      <c r="N32" s="16"/>
      <c r="O32" s="14"/>
      <c r="P32" s="98"/>
      <c r="Q32" s="15"/>
      <c r="R32" s="15"/>
    </row>
    <row r="33" spans="2:16" ht="16.5" customHeight="1" thickBot="1">
      <c r="B33" s="591" t="s">
        <v>7</v>
      </c>
      <c r="C33" s="592"/>
      <c r="D33" s="592"/>
      <c r="E33" s="592"/>
      <c r="F33" s="592" t="s">
        <v>40</v>
      </c>
      <c r="G33" s="592"/>
      <c r="H33" s="592"/>
      <c r="I33" s="593"/>
      <c r="J33" s="594"/>
      <c r="K33" s="595"/>
      <c r="L33" s="595"/>
      <c r="M33" s="595"/>
    </row>
    <row r="34" spans="2:16" ht="15.75" thickBot="1">
      <c r="B34" s="309"/>
      <c r="C34" s="329" t="s">
        <v>52</v>
      </c>
      <c r="D34" s="329" t="s">
        <v>53</v>
      </c>
      <c r="E34" s="329" t="s">
        <v>54</v>
      </c>
      <c r="F34" s="330"/>
      <c r="G34" s="329" t="s">
        <v>52</v>
      </c>
      <c r="H34" s="329" t="s">
        <v>53</v>
      </c>
      <c r="I34" s="331" t="s">
        <v>54</v>
      </c>
      <c r="J34" s="229"/>
      <c r="K34" s="262"/>
      <c r="L34" s="262"/>
      <c r="M34" s="262"/>
    </row>
    <row r="35" spans="2:16">
      <c r="B35" s="320">
        <v>0</v>
      </c>
      <c r="C35" s="318"/>
      <c r="D35" s="317"/>
      <c r="E35" s="332">
        <f>'INV. INICIAL'!E15</f>
        <v>3000</v>
      </c>
      <c r="F35" s="320">
        <v>0</v>
      </c>
      <c r="G35" s="335"/>
      <c r="H35" s="308"/>
      <c r="I35" s="307">
        <f>'INV. INICIAL'!E16</f>
        <v>1800</v>
      </c>
      <c r="J35" s="262"/>
      <c r="K35" s="230"/>
      <c r="L35" s="230"/>
      <c r="M35" s="231"/>
    </row>
    <row r="36" spans="2:16">
      <c r="B36" s="315">
        <v>1</v>
      </c>
      <c r="C36" s="311">
        <f>$E$35/3</f>
        <v>1000</v>
      </c>
      <c r="D36" s="302">
        <f>C36</f>
        <v>1000</v>
      </c>
      <c r="E36" s="333">
        <f>E35-C36</f>
        <v>2000</v>
      </c>
      <c r="F36" s="315">
        <v>1</v>
      </c>
      <c r="G36" s="311">
        <f>$I$35/3</f>
        <v>600</v>
      </c>
      <c r="H36" s="302">
        <f>G36</f>
        <v>600</v>
      </c>
      <c r="I36" s="303">
        <f>I35-G36</f>
        <v>1200</v>
      </c>
      <c r="J36" s="262"/>
      <c r="K36" s="232"/>
      <c r="L36" s="233"/>
      <c r="M36" s="233"/>
    </row>
    <row r="37" spans="2:16">
      <c r="B37" s="315">
        <v>2</v>
      </c>
      <c r="C37" s="311">
        <f>$E$35/3</f>
        <v>1000</v>
      </c>
      <c r="D37" s="302">
        <f>D36+C37</f>
        <v>2000</v>
      </c>
      <c r="E37" s="333">
        <f>E36-C37</f>
        <v>1000</v>
      </c>
      <c r="F37" s="315">
        <v>2</v>
      </c>
      <c r="G37" s="311">
        <f>$I$35/3</f>
        <v>600</v>
      </c>
      <c r="H37" s="302">
        <f>H36+G37</f>
        <v>1200</v>
      </c>
      <c r="I37" s="303">
        <f t="shared" ref="I37" si="30">I36-G37</f>
        <v>600</v>
      </c>
      <c r="J37" s="262"/>
      <c r="K37" s="232"/>
      <c r="L37" s="233"/>
      <c r="M37" s="233"/>
    </row>
    <row r="38" spans="2:16">
      <c r="B38" s="315">
        <v>3</v>
      </c>
      <c r="C38" s="311">
        <f>$E$35/3</f>
        <v>1000</v>
      </c>
      <c r="D38" s="302">
        <f>D37+C38</f>
        <v>3000</v>
      </c>
      <c r="E38" s="333">
        <f>E35</f>
        <v>3000</v>
      </c>
      <c r="F38" s="315">
        <v>3</v>
      </c>
      <c r="G38" s="311">
        <f>$I$35/3</f>
        <v>600</v>
      </c>
      <c r="H38" s="302">
        <f>H37+G38</f>
        <v>1800</v>
      </c>
      <c r="I38" s="303">
        <f>I35</f>
        <v>1800</v>
      </c>
      <c r="J38" s="262"/>
      <c r="K38" s="232"/>
      <c r="L38" s="233"/>
      <c r="M38" s="233"/>
    </row>
    <row r="39" spans="2:16">
      <c r="B39" s="315">
        <v>4</v>
      </c>
      <c r="C39" s="311">
        <f>$E$38/3</f>
        <v>1000</v>
      </c>
      <c r="D39" s="302">
        <f>C39</f>
        <v>1000</v>
      </c>
      <c r="E39" s="333">
        <f>E38-C39</f>
        <v>2000</v>
      </c>
      <c r="F39" s="315">
        <v>4</v>
      </c>
      <c r="G39" s="311">
        <f>$I$38/3</f>
        <v>600</v>
      </c>
      <c r="H39" s="302">
        <f>G39</f>
        <v>600</v>
      </c>
      <c r="I39" s="303">
        <f>I35</f>
        <v>1800</v>
      </c>
      <c r="J39" s="262"/>
      <c r="K39" s="232"/>
      <c r="L39" s="233"/>
      <c r="M39" s="233"/>
    </row>
    <row r="40" spans="2:16">
      <c r="B40" s="315">
        <v>5</v>
      </c>
      <c r="C40" s="311">
        <f t="shared" ref="C40:C41" si="31">$E$38/3</f>
        <v>1000</v>
      </c>
      <c r="D40" s="302">
        <f>D39+C40</f>
        <v>2000</v>
      </c>
      <c r="E40" s="333">
        <f t="shared" ref="E40" si="32">E36</f>
        <v>2000</v>
      </c>
      <c r="F40" s="315">
        <v>5</v>
      </c>
      <c r="G40" s="311">
        <f t="shared" ref="G40" si="33">$I$38/3</f>
        <v>600</v>
      </c>
      <c r="H40" s="302">
        <f>H36</f>
        <v>600</v>
      </c>
      <c r="I40" s="303">
        <f t="shared" ref="I40" si="34">I36</f>
        <v>1200</v>
      </c>
      <c r="J40" s="262"/>
      <c r="K40" s="232"/>
      <c r="L40" s="233"/>
      <c r="M40" s="233"/>
    </row>
    <row r="41" spans="2:16">
      <c r="B41" s="315">
        <v>6</v>
      </c>
      <c r="C41" s="311">
        <f t="shared" si="31"/>
        <v>1000</v>
      </c>
      <c r="D41" s="302">
        <f>D40+C41</f>
        <v>3000</v>
      </c>
      <c r="E41" s="333">
        <f>E38</f>
        <v>3000</v>
      </c>
      <c r="F41" s="315">
        <v>6</v>
      </c>
      <c r="G41" s="311">
        <f>$I$38/3</f>
        <v>600</v>
      </c>
      <c r="H41" s="302">
        <f t="shared" ref="H41" si="35">H37</f>
        <v>1200</v>
      </c>
      <c r="I41" s="303">
        <f>I39</f>
        <v>1800</v>
      </c>
      <c r="J41" s="262"/>
      <c r="K41" s="232"/>
      <c r="L41" s="233"/>
      <c r="M41" s="233"/>
    </row>
    <row r="42" spans="2:16">
      <c r="B42" s="315">
        <v>7</v>
      </c>
      <c r="C42" s="311">
        <f>$E$41/3</f>
        <v>1000</v>
      </c>
      <c r="D42" s="302">
        <f>C42</f>
        <v>1000</v>
      </c>
      <c r="E42" s="333">
        <f>E41-C42</f>
        <v>2000</v>
      </c>
      <c r="F42" s="315">
        <v>7</v>
      </c>
      <c r="G42" s="311">
        <f>$I$41/3</f>
        <v>600</v>
      </c>
      <c r="H42" s="302">
        <f>G42</f>
        <v>600</v>
      </c>
      <c r="I42" s="303">
        <f>I41-G42</f>
        <v>1200</v>
      </c>
      <c r="J42" s="262"/>
      <c r="K42" s="232"/>
      <c r="L42" s="233"/>
      <c r="M42" s="233"/>
    </row>
    <row r="43" spans="2:16">
      <c r="B43" s="315">
        <v>8</v>
      </c>
      <c r="C43" s="311">
        <f t="shared" ref="C43:C44" si="36">$E$41/3</f>
        <v>1000</v>
      </c>
      <c r="D43" s="302">
        <f>D42+C43</f>
        <v>2000</v>
      </c>
      <c r="E43" s="333">
        <f>E42-C43</f>
        <v>1000</v>
      </c>
      <c r="F43" s="315">
        <v>8</v>
      </c>
      <c r="G43" s="311">
        <f t="shared" ref="G43:G44" si="37">$I$41/3</f>
        <v>600</v>
      </c>
      <c r="H43" s="302">
        <f>H42+G43</f>
        <v>1200</v>
      </c>
      <c r="I43" s="303">
        <f>I42-G43</f>
        <v>600</v>
      </c>
      <c r="J43" s="262"/>
      <c r="K43" s="232"/>
      <c r="L43" s="233"/>
      <c r="M43" s="233"/>
    </row>
    <row r="44" spans="2:16">
      <c r="B44" s="315">
        <v>9</v>
      </c>
      <c r="C44" s="311">
        <f t="shared" si="36"/>
        <v>1000</v>
      </c>
      <c r="D44" s="302">
        <f>D43+C44</f>
        <v>3000</v>
      </c>
      <c r="E44" s="333">
        <f>E41</f>
        <v>3000</v>
      </c>
      <c r="F44" s="315">
        <v>9</v>
      </c>
      <c r="G44" s="311">
        <f t="shared" si="37"/>
        <v>600</v>
      </c>
      <c r="H44" s="302">
        <f>H43+G44</f>
        <v>1800</v>
      </c>
      <c r="I44" s="303">
        <f>I41</f>
        <v>1800</v>
      </c>
      <c r="J44" s="262"/>
      <c r="K44" s="232"/>
      <c r="L44" s="233"/>
      <c r="M44" s="233"/>
    </row>
    <row r="45" spans="2:16" ht="15.75" thickBot="1">
      <c r="B45" s="316">
        <v>10</v>
      </c>
      <c r="C45" s="312">
        <f>$E$44/3</f>
        <v>1000</v>
      </c>
      <c r="D45" s="304">
        <f>C45</f>
        <v>1000</v>
      </c>
      <c r="E45" s="334">
        <f>E44-C45</f>
        <v>2000</v>
      </c>
      <c r="F45" s="316">
        <v>10</v>
      </c>
      <c r="G45" s="312">
        <f>I44/3</f>
        <v>600</v>
      </c>
      <c r="H45" s="304">
        <f>G45</f>
        <v>600</v>
      </c>
      <c r="I45" s="305">
        <f>I44-G45</f>
        <v>1200</v>
      </c>
      <c r="J45" s="262"/>
      <c r="K45" s="232"/>
      <c r="L45" s="233"/>
      <c r="M45" s="233"/>
    </row>
    <row r="46" spans="2:16" ht="15.75" thickBot="1">
      <c r="H46" s="233"/>
    </row>
    <row r="47" spans="2:16" ht="15.75" thickBot="1">
      <c r="B47" s="585" t="s">
        <v>15</v>
      </c>
      <c r="C47" s="586"/>
      <c r="D47" s="586"/>
      <c r="E47" s="587"/>
      <c r="F47" s="585" t="s">
        <v>21</v>
      </c>
      <c r="G47" s="586"/>
      <c r="H47" s="586"/>
      <c r="I47" s="587"/>
      <c r="J47" s="582" t="s">
        <v>57</v>
      </c>
      <c r="K47" s="583"/>
      <c r="L47" s="583"/>
      <c r="M47" s="584"/>
      <c r="N47" s="94"/>
      <c r="O47" s="97"/>
      <c r="P47" s="97"/>
    </row>
    <row r="48" spans="2:16" ht="15.75" thickBot="1">
      <c r="B48" s="336"/>
      <c r="C48" s="235" t="s">
        <v>52</v>
      </c>
      <c r="D48" s="235" t="s">
        <v>53</v>
      </c>
      <c r="E48" s="235" t="s">
        <v>54</v>
      </c>
      <c r="F48" s="258"/>
      <c r="G48" s="235" t="s">
        <v>52</v>
      </c>
      <c r="H48" s="235" t="s">
        <v>53</v>
      </c>
      <c r="I48" s="235" t="s">
        <v>54</v>
      </c>
      <c r="J48" s="11"/>
      <c r="K48" s="57" t="s">
        <v>52</v>
      </c>
      <c r="L48" s="526" t="s">
        <v>53</v>
      </c>
      <c r="M48" s="526" t="s">
        <v>54</v>
      </c>
    </row>
    <row r="49" spans="2:13" ht="15.75" thickBot="1">
      <c r="B49" s="234">
        <v>0</v>
      </c>
      <c r="C49" s="337"/>
      <c r="D49" s="338"/>
      <c r="E49" s="339">
        <f>'INV. INICIAL'!E17</f>
        <v>400</v>
      </c>
      <c r="F49" s="320">
        <v>0</v>
      </c>
      <c r="G49" s="340"/>
      <c r="H49" s="259"/>
      <c r="I49" s="260">
        <f>'INV. INICIAL'!E18</f>
        <v>198</v>
      </c>
      <c r="J49" s="99">
        <v>0</v>
      </c>
      <c r="K49" s="527"/>
      <c r="L49" s="18"/>
      <c r="M49" s="102">
        <f>'INV. INICIAL'!E26</f>
        <v>2185</v>
      </c>
    </row>
    <row r="50" spans="2:13" ht="15.75" thickBot="1">
      <c r="B50" s="234">
        <v>1</v>
      </c>
      <c r="C50" s="321">
        <f>$E$49/3</f>
        <v>133.33333333333334</v>
      </c>
      <c r="D50" s="302">
        <f>C50</f>
        <v>133.33333333333334</v>
      </c>
      <c r="E50" s="333">
        <f>E49-C50</f>
        <v>266.66666666666663</v>
      </c>
      <c r="F50" s="315">
        <v>1</v>
      </c>
      <c r="G50" s="311">
        <f>$I$49/3</f>
        <v>66</v>
      </c>
      <c r="H50" s="302">
        <f>G50</f>
        <v>66</v>
      </c>
      <c r="I50" s="303">
        <f>I49-G50</f>
        <v>132</v>
      </c>
      <c r="J50" s="57">
        <v>1</v>
      </c>
      <c r="K50" s="527">
        <f>M49*10%</f>
        <v>218.5</v>
      </c>
      <c r="L50" s="18">
        <f>K50</f>
        <v>218.5</v>
      </c>
      <c r="M50" s="18">
        <f>M49-K50</f>
        <v>1966.5</v>
      </c>
    </row>
    <row r="51" spans="2:13" ht="15.75" thickBot="1">
      <c r="B51" s="234">
        <v>2</v>
      </c>
      <c r="C51" s="321">
        <f>$E$49/3</f>
        <v>133.33333333333334</v>
      </c>
      <c r="D51" s="302">
        <f>D50+C51</f>
        <v>266.66666666666669</v>
      </c>
      <c r="E51" s="333">
        <f t="shared" ref="E51" si="38">E50-C51</f>
        <v>133.33333333333329</v>
      </c>
      <c r="F51" s="315">
        <v>2</v>
      </c>
      <c r="G51" s="311">
        <f>$I$49/3</f>
        <v>66</v>
      </c>
      <c r="H51" s="302">
        <f>H50+G51</f>
        <v>132</v>
      </c>
      <c r="I51" s="303">
        <f t="shared" ref="I51" si="39">I50-G51</f>
        <v>66</v>
      </c>
      <c r="J51" s="57">
        <v>2</v>
      </c>
      <c r="K51" s="527">
        <f>K50</f>
        <v>218.5</v>
      </c>
      <c r="L51" s="18">
        <f>L50+K51</f>
        <v>437</v>
      </c>
      <c r="M51" s="18">
        <f t="shared" ref="M51:M59" si="40">M50-K51</f>
        <v>1748</v>
      </c>
    </row>
    <row r="52" spans="2:13" ht="15.75" thickBot="1">
      <c r="B52" s="234">
        <v>3</v>
      </c>
      <c r="C52" s="321">
        <f>$E$49/3</f>
        <v>133.33333333333334</v>
      </c>
      <c r="D52" s="302">
        <f>D51+C52</f>
        <v>400</v>
      </c>
      <c r="E52" s="333">
        <f>E49</f>
        <v>400</v>
      </c>
      <c r="F52" s="315">
        <v>3</v>
      </c>
      <c r="G52" s="311">
        <f>$I$49/3</f>
        <v>66</v>
      </c>
      <c r="H52" s="302">
        <f>H51+G52</f>
        <v>198</v>
      </c>
      <c r="I52" s="303">
        <f>I49</f>
        <v>198</v>
      </c>
      <c r="J52" s="57">
        <v>3</v>
      </c>
      <c r="K52" s="527">
        <f>K51</f>
        <v>218.5</v>
      </c>
      <c r="L52" s="18">
        <f>L51+K52</f>
        <v>655.5</v>
      </c>
      <c r="M52" s="18">
        <f t="shared" si="40"/>
        <v>1529.5</v>
      </c>
    </row>
    <row r="53" spans="2:13" ht="15.75" thickBot="1">
      <c r="B53" s="234">
        <v>4</v>
      </c>
      <c r="C53" s="321">
        <f>$E$52/3</f>
        <v>133.33333333333334</v>
      </c>
      <c r="D53" s="302">
        <f>C53</f>
        <v>133.33333333333334</v>
      </c>
      <c r="E53" s="333">
        <f>E52-C53</f>
        <v>266.66666666666663</v>
      </c>
      <c r="F53" s="315">
        <v>4</v>
      </c>
      <c r="G53" s="311">
        <f>$I$52/3</f>
        <v>66</v>
      </c>
      <c r="H53" s="302">
        <f>G53</f>
        <v>66</v>
      </c>
      <c r="I53" s="303">
        <f>I52-G53</f>
        <v>132</v>
      </c>
      <c r="J53" s="100">
        <v>4</v>
      </c>
      <c r="K53" s="527">
        <f t="shared" ref="K53:K59" si="41">K52</f>
        <v>218.5</v>
      </c>
      <c r="L53" s="18">
        <f t="shared" ref="L53:L59" si="42">L52+K53</f>
        <v>874</v>
      </c>
      <c r="M53" s="18">
        <f t="shared" si="40"/>
        <v>1311</v>
      </c>
    </row>
    <row r="54" spans="2:13" ht="15.75" thickBot="1">
      <c r="B54" s="234">
        <v>5</v>
      </c>
      <c r="C54" s="321">
        <f>$E$52/3</f>
        <v>133.33333333333334</v>
      </c>
      <c r="D54" s="302">
        <f>D53+C54</f>
        <v>266.66666666666669</v>
      </c>
      <c r="E54" s="333">
        <f>E53-C54</f>
        <v>133.33333333333329</v>
      </c>
      <c r="F54" s="315">
        <v>5</v>
      </c>
      <c r="G54" s="311">
        <f t="shared" ref="G54:G55" si="43">$I$52/3</f>
        <v>66</v>
      </c>
      <c r="H54" s="302">
        <f>H53+G54</f>
        <v>132</v>
      </c>
      <c r="I54" s="303">
        <f>I53-G54</f>
        <v>66</v>
      </c>
      <c r="J54" s="100">
        <v>5</v>
      </c>
      <c r="K54" s="527">
        <f t="shared" si="41"/>
        <v>218.5</v>
      </c>
      <c r="L54" s="18">
        <f t="shared" si="42"/>
        <v>1092.5</v>
      </c>
      <c r="M54" s="18">
        <f t="shared" si="40"/>
        <v>1092.5</v>
      </c>
    </row>
    <row r="55" spans="2:13" ht="15.75" thickBot="1">
      <c r="B55" s="234">
        <v>6</v>
      </c>
      <c r="C55" s="321">
        <f>$E$52/3</f>
        <v>133.33333333333334</v>
      </c>
      <c r="D55" s="302">
        <f>D54+C55</f>
        <v>400</v>
      </c>
      <c r="E55" s="333">
        <f>E52</f>
        <v>400</v>
      </c>
      <c r="F55" s="315">
        <v>6</v>
      </c>
      <c r="G55" s="311">
        <f t="shared" si="43"/>
        <v>66</v>
      </c>
      <c r="H55" s="302">
        <f>H54+G55</f>
        <v>198</v>
      </c>
      <c r="I55" s="303">
        <f>I52</f>
        <v>198</v>
      </c>
      <c r="J55" s="57">
        <v>6</v>
      </c>
      <c r="K55" s="527">
        <f t="shared" si="41"/>
        <v>218.5</v>
      </c>
      <c r="L55" s="18">
        <f t="shared" si="42"/>
        <v>1311</v>
      </c>
      <c r="M55" s="18">
        <f t="shared" si="40"/>
        <v>874</v>
      </c>
    </row>
    <row r="56" spans="2:13" ht="15.75" thickBot="1">
      <c r="B56" s="234">
        <v>7</v>
      </c>
      <c r="C56" s="321">
        <f>$E$55/3</f>
        <v>133.33333333333334</v>
      </c>
      <c r="D56" s="302">
        <f>C56</f>
        <v>133.33333333333334</v>
      </c>
      <c r="E56" s="333">
        <f>E55-C56</f>
        <v>266.66666666666663</v>
      </c>
      <c r="F56" s="315">
        <v>7</v>
      </c>
      <c r="G56" s="311">
        <f>$I$55/3</f>
        <v>66</v>
      </c>
      <c r="H56" s="302">
        <f>G56</f>
        <v>66</v>
      </c>
      <c r="I56" s="303">
        <f>I55-G56</f>
        <v>132</v>
      </c>
      <c r="J56" s="100">
        <v>7</v>
      </c>
      <c r="K56" s="527">
        <f t="shared" si="41"/>
        <v>218.5</v>
      </c>
      <c r="L56" s="18">
        <f t="shared" si="42"/>
        <v>1529.5</v>
      </c>
      <c r="M56" s="18">
        <f t="shared" si="40"/>
        <v>655.5</v>
      </c>
    </row>
    <row r="57" spans="2:13" ht="15.75" thickBot="1">
      <c r="B57" s="234">
        <v>8</v>
      </c>
      <c r="C57" s="321">
        <f>$E$55/3</f>
        <v>133.33333333333334</v>
      </c>
      <c r="D57" s="302">
        <f>D56+C57</f>
        <v>266.66666666666669</v>
      </c>
      <c r="E57" s="333">
        <f>E56-C57</f>
        <v>133.33333333333329</v>
      </c>
      <c r="F57" s="315">
        <v>8</v>
      </c>
      <c r="G57" s="311">
        <f t="shared" ref="G57:G58" si="44">$I$55/3</f>
        <v>66</v>
      </c>
      <c r="H57" s="302">
        <f>H56+G57</f>
        <v>132</v>
      </c>
      <c r="I57" s="303">
        <f>I56-G57</f>
        <v>66</v>
      </c>
      <c r="J57" s="100">
        <v>8</v>
      </c>
      <c r="K57" s="527">
        <f t="shared" si="41"/>
        <v>218.5</v>
      </c>
      <c r="L57" s="18">
        <f t="shared" si="42"/>
        <v>1748</v>
      </c>
      <c r="M57" s="18">
        <f t="shared" si="40"/>
        <v>437</v>
      </c>
    </row>
    <row r="58" spans="2:13" ht="15.75" thickBot="1">
      <c r="B58" s="234">
        <v>9</v>
      </c>
      <c r="C58" s="321">
        <f>$E$55/3</f>
        <v>133.33333333333334</v>
      </c>
      <c r="D58" s="302">
        <f>D57+C58</f>
        <v>400</v>
      </c>
      <c r="E58" s="333">
        <f>E55</f>
        <v>400</v>
      </c>
      <c r="F58" s="315">
        <v>9</v>
      </c>
      <c r="G58" s="311">
        <f t="shared" si="44"/>
        <v>66</v>
      </c>
      <c r="H58" s="302">
        <f>H57+G58</f>
        <v>198</v>
      </c>
      <c r="I58" s="303">
        <f>I55</f>
        <v>198</v>
      </c>
      <c r="J58" s="57">
        <v>9</v>
      </c>
      <c r="K58" s="527">
        <f t="shared" si="41"/>
        <v>218.5</v>
      </c>
      <c r="L58" s="18">
        <f t="shared" si="42"/>
        <v>1966.5</v>
      </c>
      <c r="M58" s="18">
        <f t="shared" si="40"/>
        <v>218.5</v>
      </c>
    </row>
    <row r="59" spans="2:13" ht="15.75" thickBot="1">
      <c r="B59" s="234">
        <v>10</v>
      </c>
      <c r="C59" s="322">
        <f>$E$58/3</f>
        <v>133.33333333333334</v>
      </c>
      <c r="D59" s="304">
        <f>C59</f>
        <v>133.33333333333334</v>
      </c>
      <c r="E59" s="334">
        <f>E58-C59</f>
        <v>266.66666666666663</v>
      </c>
      <c r="F59" s="316">
        <v>10</v>
      </c>
      <c r="G59" s="312">
        <f>$I$58/3</f>
        <v>66</v>
      </c>
      <c r="H59" s="304">
        <f>G59</f>
        <v>66</v>
      </c>
      <c r="I59" s="305">
        <f>I58-G59</f>
        <v>132</v>
      </c>
      <c r="J59" s="100">
        <v>10</v>
      </c>
      <c r="K59" s="527">
        <f t="shared" si="41"/>
        <v>218.5</v>
      </c>
      <c r="L59" s="18">
        <f t="shared" si="42"/>
        <v>2185</v>
      </c>
      <c r="M59" s="18">
        <f t="shared" si="40"/>
        <v>0</v>
      </c>
    </row>
    <row r="78" ht="30.75" customHeight="1"/>
    <row r="91" spans="2:2">
      <c r="B91" s="58"/>
    </row>
  </sheetData>
  <mergeCells count="14">
    <mergeCell ref="P3:R3"/>
    <mergeCell ref="J47:M47"/>
    <mergeCell ref="F47:I47"/>
    <mergeCell ref="F3:I3"/>
    <mergeCell ref="B33:E33"/>
    <mergeCell ref="F33:I33"/>
    <mergeCell ref="J33:M33"/>
    <mergeCell ref="B47:E47"/>
    <mergeCell ref="B3:E3"/>
    <mergeCell ref="B17:M17"/>
    <mergeCell ref="B18:E18"/>
    <mergeCell ref="F18:I18"/>
    <mergeCell ref="J18:M18"/>
    <mergeCell ref="J3:M3"/>
  </mergeCells>
  <pageMargins left="0.70866141732283472" right="0.70866141732283472" top="0.74803149606299213" bottom="0.74803149606299213" header="0.31496062992125984" footer="0.31496062992125984"/>
  <pageSetup scale="5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opLeftCell="A8" workbookViewId="0">
      <selection activeCell="C16" sqref="C16"/>
    </sheetView>
  </sheetViews>
  <sheetFormatPr baseColWidth="10" defaultRowHeight="15"/>
  <cols>
    <col min="1" max="1" width="11.42578125" style="8"/>
    <col min="2" max="2" width="14.7109375" customWidth="1"/>
    <col min="3" max="3" width="17.140625" customWidth="1"/>
    <col min="4" max="4" width="14" bestFit="1" customWidth="1"/>
    <col min="5" max="5" width="15.28515625" customWidth="1"/>
    <col min="6" max="6" width="16.5703125" customWidth="1"/>
    <col min="9" max="9" width="26.140625" customWidth="1"/>
    <col min="10" max="10" width="16.140625" bestFit="1" customWidth="1"/>
  </cols>
  <sheetData>
    <row r="1" spans="2:10" s="8" customFormat="1"/>
    <row r="2" spans="2:10" s="8" customFormat="1"/>
    <row r="3" spans="2:10" s="8" customFormat="1"/>
    <row r="4" spans="2:10" s="8" customFormat="1"/>
    <row r="5" spans="2:10" s="8" customFormat="1" ht="26.25">
      <c r="B5" s="403" t="s">
        <v>246</v>
      </c>
      <c r="C5" s="406">
        <f>-'k trab'!F16</f>
        <v>14008.333333333328</v>
      </c>
      <c r="I5" s="62" t="s">
        <v>246</v>
      </c>
      <c r="J5" s="381">
        <v>14008.333333333328</v>
      </c>
    </row>
    <row r="6" spans="2:10" s="8" customFormat="1" ht="39">
      <c r="B6" s="403" t="s">
        <v>247</v>
      </c>
      <c r="C6" s="341">
        <f>'V. DESECHO'!C34</f>
        <v>2000</v>
      </c>
      <c r="I6" s="62" t="s">
        <v>247</v>
      </c>
      <c r="J6" s="381">
        <v>2000</v>
      </c>
    </row>
    <row r="7" spans="2:10" ht="46.5" customHeight="1" thickBot="1">
      <c r="B7" s="404" t="s">
        <v>78</v>
      </c>
      <c r="C7" s="405">
        <f>'INV. INICIAL'!E27</f>
        <v>279517.25</v>
      </c>
      <c r="D7" s="10"/>
      <c r="F7" s="10"/>
      <c r="I7" s="62" t="s">
        <v>78</v>
      </c>
      <c r="J7" s="381">
        <v>279517.25</v>
      </c>
    </row>
    <row r="8" spans="2:10" ht="19.5" thickBot="1">
      <c r="B8" s="92" t="s">
        <v>120</v>
      </c>
      <c r="C8" s="255">
        <f>SUM(C5:C7)*0.5</f>
        <v>147762.79166666666</v>
      </c>
      <c r="D8" s="10"/>
      <c r="I8" s="458" t="s">
        <v>45</v>
      </c>
      <c r="J8" s="459">
        <f>SUM(J5:J7)</f>
        <v>295525.58333333331</v>
      </c>
    </row>
    <row r="9" spans="2:10">
      <c r="I9" s="62" t="s">
        <v>257</v>
      </c>
      <c r="J9" s="381">
        <f>J8/2</f>
        <v>147762.79166666666</v>
      </c>
    </row>
    <row r="10" spans="2:10" s="8" customFormat="1">
      <c r="C10" s="10"/>
      <c r="D10" s="10"/>
      <c r="I10" s="62" t="s">
        <v>258</v>
      </c>
      <c r="J10" s="381">
        <f>J8/2</f>
        <v>147762.79166666666</v>
      </c>
    </row>
    <row r="11" spans="2:10" s="8" customFormat="1" ht="15.75" thickBot="1">
      <c r="C11" s="10"/>
    </row>
    <row r="12" spans="2:10" ht="16.5" thickBot="1">
      <c r="B12" s="605" t="s">
        <v>46</v>
      </c>
      <c r="C12" s="606"/>
      <c r="D12" s="606"/>
      <c r="E12" s="606"/>
      <c r="F12" s="607"/>
    </row>
    <row r="13" spans="2:10" ht="32.25" thickBot="1">
      <c r="B13" s="293" t="s">
        <v>47</v>
      </c>
      <c r="C13" s="294" t="s">
        <v>48</v>
      </c>
      <c r="D13" s="295" t="s">
        <v>49</v>
      </c>
      <c r="E13" s="295" t="s">
        <v>50</v>
      </c>
      <c r="F13" s="296" t="s">
        <v>51</v>
      </c>
    </row>
    <row r="14" spans="2:10" ht="16.5" thickBot="1">
      <c r="B14" s="297">
        <v>0</v>
      </c>
      <c r="C14" s="298">
        <v>0</v>
      </c>
      <c r="D14" s="299">
        <v>0</v>
      </c>
      <c r="E14" s="299">
        <v>0</v>
      </c>
      <c r="F14" s="300">
        <f>C8</f>
        <v>147762.79166666666</v>
      </c>
    </row>
    <row r="15" spans="2:10" ht="16.5" thickBot="1">
      <c r="B15" s="297">
        <v>1</v>
      </c>
      <c r="C15" s="300">
        <f>-PMT(9.53%,10,$F$14)</f>
        <v>23564.319817395917</v>
      </c>
      <c r="D15" s="300">
        <f>F14*9.53%</f>
        <v>14081.794045833332</v>
      </c>
      <c r="E15" s="300">
        <f>C15-D15</f>
        <v>9482.5257715625849</v>
      </c>
      <c r="F15" s="300">
        <f>F14-E15</f>
        <v>138280.26589510406</v>
      </c>
    </row>
    <row r="16" spans="2:10" ht="16.5" thickBot="1">
      <c r="B16" s="297">
        <v>2</v>
      </c>
      <c r="C16" s="300">
        <f t="shared" ref="C16:C24" si="0">-PMT(9.53%,10,$F$14)</f>
        <v>23564.319817395917</v>
      </c>
      <c r="D16" s="300">
        <f t="shared" ref="D16:D24" si="1">F15*9.53%</f>
        <v>13178.109339803417</v>
      </c>
      <c r="E16" s="300">
        <f t="shared" ref="E16:E24" si="2">C16-D16</f>
        <v>10386.2104775925</v>
      </c>
      <c r="F16" s="300">
        <f t="shared" ref="F16:F24" si="3">F15-E16</f>
        <v>127894.05541751157</v>
      </c>
    </row>
    <row r="17" spans="2:6" ht="16.5" thickBot="1">
      <c r="B17" s="297">
        <v>3</v>
      </c>
      <c r="C17" s="300">
        <f t="shared" si="0"/>
        <v>23564.319817395917</v>
      </c>
      <c r="D17" s="300">
        <f t="shared" si="1"/>
        <v>12188.303481288853</v>
      </c>
      <c r="E17" s="300">
        <f t="shared" si="2"/>
        <v>11376.016336107064</v>
      </c>
      <c r="F17" s="300">
        <f t="shared" si="3"/>
        <v>116518.03908140451</v>
      </c>
    </row>
    <row r="18" spans="2:6" ht="16.5" thickBot="1">
      <c r="B18" s="297">
        <v>4</v>
      </c>
      <c r="C18" s="300">
        <f t="shared" si="0"/>
        <v>23564.319817395917</v>
      </c>
      <c r="D18" s="300">
        <f t="shared" si="1"/>
        <v>11104.169124457849</v>
      </c>
      <c r="E18" s="300">
        <f t="shared" si="2"/>
        <v>12460.150692938068</v>
      </c>
      <c r="F18" s="300">
        <f t="shared" si="3"/>
        <v>104057.88838846644</v>
      </c>
    </row>
    <row r="19" spans="2:6" ht="16.5" thickBot="1">
      <c r="B19" s="297">
        <v>5</v>
      </c>
      <c r="C19" s="300">
        <f t="shared" si="0"/>
        <v>23564.319817395917</v>
      </c>
      <c r="D19" s="300">
        <f t="shared" si="1"/>
        <v>9916.7167634208508</v>
      </c>
      <c r="E19" s="300">
        <f t="shared" si="2"/>
        <v>13647.603053975066</v>
      </c>
      <c r="F19" s="300">
        <f t="shared" si="3"/>
        <v>90410.285334491375</v>
      </c>
    </row>
    <row r="20" spans="2:6" ht="16.5" thickBot="1">
      <c r="B20" s="297">
        <v>6</v>
      </c>
      <c r="C20" s="300">
        <f t="shared" si="0"/>
        <v>23564.319817395917</v>
      </c>
      <c r="D20" s="300">
        <f t="shared" si="1"/>
        <v>8616.1001923770273</v>
      </c>
      <c r="E20" s="300">
        <f t="shared" si="2"/>
        <v>14948.21962501889</v>
      </c>
      <c r="F20" s="300">
        <f t="shared" si="3"/>
        <v>75462.065709472488</v>
      </c>
    </row>
    <row r="21" spans="2:6" ht="16.5" thickBot="1">
      <c r="B21" s="297">
        <v>7</v>
      </c>
      <c r="C21" s="300">
        <f t="shared" si="0"/>
        <v>23564.319817395917</v>
      </c>
      <c r="D21" s="300">
        <f t="shared" si="1"/>
        <v>7191.5348621127278</v>
      </c>
      <c r="E21" s="300">
        <f t="shared" si="2"/>
        <v>16372.78495528319</v>
      </c>
      <c r="F21" s="300">
        <f t="shared" si="3"/>
        <v>59089.280754189298</v>
      </c>
    </row>
    <row r="22" spans="2:6" ht="16.5" thickBot="1">
      <c r="B22" s="297">
        <v>8</v>
      </c>
      <c r="C22" s="300">
        <f t="shared" si="0"/>
        <v>23564.319817395917</v>
      </c>
      <c r="D22" s="300">
        <f t="shared" si="1"/>
        <v>5631.2084558742399</v>
      </c>
      <c r="E22" s="300">
        <f t="shared" si="2"/>
        <v>17933.111361521678</v>
      </c>
      <c r="F22" s="300">
        <f t="shared" si="3"/>
        <v>41156.169392667623</v>
      </c>
    </row>
    <row r="23" spans="2:6" ht="16.5" thickBot="1">
      <c r="B23" s="297">
        <v>9</v>
      </c>
      <c r="C23" s="300">
        <f t="shared" si="0"/>
        <v>23564.319817395917</v>
      </c>
      <c r="D23" s="300">
        <f t="shared" si="1"/>
        <v>3922.1829431212245</v>
      </c>
      <c r="E23" s="300">
        <f t="shared" si="2"/>
        <v>19642.136874274693</v>
      </c>
      <c r="F23" s="300">
        <f t="shared" si="3"/>
        <v>21514.032518392931</v>
      </c>
    </row>
    <row r="24" spans="2:6" ht="16.5" thickBot="1">
      <c r="B24" s="297">
        <v>10</v>
      </c>
      <c r="C24" s="300">
        <f t="shared" si="0"/>
        <v>23564.319817395917</v>
      </c>
      <c r="D24" s="300">
        <f t="shared" si="1"/>
        <v>2050.2872990028463</v>
      </c>
      <c r="E24" s="300">
        <f t="shared" si="2"/>
        <v>21514.032518393069</v>
      </c>
      <c r="F24" s="301">
        <f t="shared" si="3"/>
        <v>-1.3824319466948509E-10</v>
      </c>
    </row>
  </sheetData>
  <mergeCells count="1">
    <mergeCell ref="B12:F12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DEMANDA</vt:lpstr>
      <vt:lpstr>INV. INICIAL</vt:lpstr>
      <vt:lpstr>INGRESOS</vt:lpstr>
      <vt:lpstr>CAPM</vt:lpstr>
      <vt:lpstr>GASTOS</vt:lpstr>
      <vt:lpstr>k trab</vt:lpstr>
      <vt:lpstr>V. DESECHO</vt:lpstr>
      <vt:lpstr>Depreciaciones</vt:lpstr>
      <vt:lpstr>AMORTIZACIÓN</vt:lpstr>
      <vt:lpstr>ER</vt:lpstr>
      <vt:lpstr>FC</vt:lpstr>
      <vt:lpstr>Hoja2</vt:lpstr>
      <vt:lpstr>Variables AS</vt:lpstr>
      <vt:lpstr>Sensibilidad</vt:lpstr>
      <vt:lpstr>AMORTIZACIÓN!Área_de_impresión</vt:lpstr>
      <vt:lpstr>CAPM!Área_de_impresión</vt:lpstr>
      <vt:lpstr>Depreciaciones!Área_de_impresión</vt:lpstr>
      <vt:lpstr>'FC'!Área_de_impresión</vt:lpstr>
      <vt:lpstr>GASTOS!Área_de_impresión</vt:lpstr>
      <vt:lpstr>INGRESOS!Área_de_impresión</vt:lpstr>
      <vt:lpstr>'INV. INICIAL'!Área_de_impresión</vt:lpstr>
      <vt:lpstr>'k trab'!Área_de_impresión</vt:lpstr>
      <vt:lpstr>Sensibilidad!Área_de_impresión</vt:lpstr>
      <vt:lpstr>'V. DESECHO'!Área_de_impresión</vt:lpstr>
      <vt:lpstr>'Variables 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Hidalgo</dc:creator>
  <cp:lastModifiedBy>Solución</cp:lastModifiedBy>
  <cp:lastPrinted>2012-03-06T03:49:46Z</cp:lastPrinted>
  <dcterms:created xsi:type="dcterms:W3CDTF">2011-11-26T23:34:06Z</dcterms:created>
  <dcterms:modified xsi:type="dcterms:W3CDTF">2012-03-30T09:52:33Z</dcterms:modified>
</cp:coreProperties>
</file>