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931" activeTab="3"/>
  </bookViews>
  <sheets>
    <sheet name="FLUJO (2)" sheetId="1" r:id="rId1"/>
    <sheet name="FLUJO(Tmar)" sheetId="2" r:id="rId2"/>
    <sheet name="FLUJO(Tmar+rp)" sheetId="3" r:id="rId3"/>
    <sheet name="FLUJO (def)" sheetId="4" r:id="rId4"/>
    <sheet name="TMAR" sheetId="5" r:id="rId5"/>
    <sheet name="valor desecho" sheetId="6" r:id="rId6"/>
    <sheet name="Capital de Trabajo" sheetId="7" r:id="rId7"/>
    <sheet name="Gtos" sheetId="8" r:id="rId8"/>
    <sheet name="Inv. Inic" sheetId="9" r:id="rId9"/>
    <sheet name="BG" sheetId="10" r:id="rId10"/>
    <sheet name="Bce Pers." sheetId="11" r:id="rId11"/>
    <sheet name="Sal. Bbst" sheetId="12" r:id="rId12"/>
    <sheet name="Sal. Var" sheetId="13" r:id="rId13"/>
    <sheet name="Bce. maq" sheetId="14" r:id="rId14"/>
    <sheet name="Bce reemp" sheetId="15" r:id="rId15"/>
    <sheet name="Equipos" sheetId="16" r:id="rId16"/>
    <sheet name="Loc Proy" sheetId="17" r:id="rId17"/>
    <sheet name="Hoja2" sheetId="18" r:id="rId18"/>
    <sheet name="Hoja1" sheetId="19" r:id="rId19"/>
    <sheet name="FC 1 " sheetId="20" r:id="rId20"/>
    <sheet name="FC 2 " sheetId="21" r:id="rId21"/>
    <sheet name="FLUJO (prof)" sheetId="22" r:id="rId22"/>
  </sheets>
  <definedNames>
    <definedName name="_xlnm.Print_Area" localSheetId="15">'Equipos'!$C$4:$H$11</definedName>
    <definedName name="B">#REF!</definedName>
    <definedName name="p">#REF!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hs1" localSheetId="6" hidden="1">'Capital de Trabajo'!$D$8:$N$8</definedName>
    <definedName name="solver_lhs2" localSheetId="6" hidden="1">'Capital de Trabajo'!$D$8:$N$8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pre" localSheetId="6" hidden="1">0.000001</definedName>
    <definedName name="solver_rel1" localSheetId="6" hidden="1">1</definedName>
    <definedName name="solver_rel2" localSheetId="6" hidden="1">1</definedName>
    <definedName name="solver_rhs1" localSheetId="6" hidden="1">'Capital de Trabajo'!$P$8</definedName>
    <definedName name="solver_rhs2" localSheetId="6" hidden="1">'Capital de Trabajo'!$P$8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1</definedName>
    <definedName name="solver_val" localSheetId="6" hidden="1">0</definedName>
    <definedName name="t">#REF!</definedName>
  </definedNames>
  <calcPr fullCalcOnLoad="1"/>
</workbook>
</file>

<file path=xl/comments1.xml><?xml version="1.0" encoding="utf-8"?>
<comments xmlns="http://schemas.openxmlformats.org/spreadsheetml/2006/main">
  <authors>
    <author>lparra</author>
    <author>Jaime Fernandez V.</author>
  </authors>
  <commentList>
    <comment ref="A29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Detallar la inversion inicial</t>
        </r>
      </text>
    </comment>
    <comment ref="A23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Antes de IR va el 15% de participacion de trabajadores</t>
        </r>
      </text>
    </comment>
    <comment ref="A28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Va al final del ano 10, contable, comercial o economico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lparra
Usar el Metodo del Deficit Maximo Acumulado 
</t>
        </r>
      </text>
    </comment>
    <comment ref="A38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Usar el modelo del CAPM para estimar TMAR</t>
        </r>
      </text>
    </comment>
    <comment ref="A17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Sumar otros Gastos Generales (agua, luz)</t>
        </r>
      </text>
    </comment>
    <comment ref="A15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multiplicar por el número de niñeras</t>
        </r>
      </text>
    </comment>
    <comment ref="A20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Depreciación de Fax, computadora e impresora a 3 años de Vida Util.</t>
        </r>
      </text>
    </comment>
  </commentList>
</comments>
</file>

<file path=xl/comments16.xml><?xml version="1.0" encoding="utf-8"?>
<comments xmlns="http://schemas.openxmlformats.org/spreadsheetml/2006/main">
  <authors>
    <author>Jaime Fernandez V.</author>
  </authors>
  <commentList>
    <comment ref="C14" authorId="0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Corregir, usar Metodo de Linea Recta. Divide el Coste Inicial para Años de Vida Util}</t>
        </r>
      </text>
    </comment>
    <comment ref="C15" authorId="0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Corregir, usar Metodo de Linea Recta. Divide el Coste Inicial para Años de Vida Util}</t>
        </r>
      </text>
    </comment>
  </commentList>
</comments>
</file>

<file path=xl/comments2.xml><?xml version="1.0" encoding="utf-8"?>
<comments xmlns="http://schemas.openxmlformats.org/spreadsheetml/2006/main">
  <authors>
    <author>lparra</author>
    <author>Jaime Fernandez V.</author>
  </authors>
  <commentList>
    <comment ref="A31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Detallar la inversion inicial</t>
        </r>
      </text>
    </comment>
    <comment ref="A25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Antes de IR va el 15% de participacion de trabajadores</t>
        </r>
      </text>
    </comment>
    <comment ref="A30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Va al final del ano 10, contable, comercial o economico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lparra
Usar el Metodo del Deficit Maximo Acumulado 
</t>
        </r>
      </text>
    </comment>
    <comment ref="A37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Usar el modelo del CAPM para estimar TMAR</t>
        </r>
      </text>
    </comment>
    <comment ref="A18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Sumar otros Gastos Generales (agua, luz)</t>
        </r>
      </text>
    </comment>
    <comment ref="A16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multiplicar por el número de niñeras</t>
        </r>
      </text>
    </comment>
    <comment ref="A21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Depreciación de Fax, computadora e impresora a 3 años de Vida Util.</t>
        </r>
      </text>
    </comment>
  </commentList>
</comments>
</file>

<file path=xl/comments22.xml><?xml version="1.0" encoding="utf-8"?>
<comments xmlns="http://schemas.openxmlformats.org/spreadsheetml/2006/main">
  <authors>
    <author>lparra</author>
    <author>Jaime Fernandez V.</author>
  </authors>
  <commentList>
    <comment ref="A34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Detallar la inversion inicial</t>
        </r>
      </text>
    </comment>
    <comment ref="A28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Antes de IR va el 15% de participacion de trabajadores</t>
        </r>
      </text>
    </comment>
    <comment ref="A33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Va al final del ano 10, contable, comercial o economico</t>
        </r>
      </text>
    </comment>
    <comment ref="A32" authorId="0">
      <text>
        <r>
          <rPr>
            <b/>
            <sz val="9"/>
            <rFont val="Tahoma"/>
            <family val="2"/>
          </rPr>
          <t xml:space="preserve">lparra
Usar el Metodo del Deficit Maximo Acumulado 
</t>
        </r>
      </text>
    </comment>
    <comment ref="A39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Usar el modelo del CAPM para estimar TMAR</t>
        </r>
      </text>
    </comment>
    <comment ref="A21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Sumar otros Gastos Generales (agua, luz)</t>
        </r>
      </text>
    </comment>
    <comment ref="A19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multiplicar por el número de niñeras</t>
        </r>
      </text>
    </comment>
    <comment ref="A24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Depreciación de Fax, computadora e impresora a 3 años de Vida Util.</t>
        </r>
      </text>
    </comment>
  </commentList>
</comments>
</file>

<file path=xl/comments3.xml><?xml version="1.0" encoding="utf-8"?>
<comments xmlns="http://schemas.openxmlformats.org/spreadsheetml/2006/main">
  <authors>
    <author>lparra</author>
    <author>Jaime Fernandez V.</author>
  </authors>
  <commentList>
    <comment ref="A30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Detallar la inversion inicial</t>
        </r>
      </text>
    </comment>
    <comment ref="A24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Antes de IR va el 15% de participacion de trabajadores</t>
        </r>
      </text>
    </comment>
    <comment ref="A29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Va al final del ano 10, contable, comercial o economico</t>
        </r>
      </text>
    </comment>
    <comment ref="A28" authorId="0">
      <text>
        <r>
          <rPr>
            <b/>
            <sz val="9"/>
            <rFont val="Tahoma"/>
            <family val="2"/>
          </rPr>
          <t xml:space="preserve">lparra
Usar el Metodo del Deficit Maximo Acumulado 
</t>
        </r>
      </text>
    </comment>
    <comment ref="A39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Usar el modelo del CAPM para estimar TMAR</t>
        </r>
      </text>
    </comment>
    <comment ref="A17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Sumar otros Gastos Generales (agua, luz)</t>
        </r>
      </text>
    </comment>
    <comment ref="A15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multiplicar por el número de niñeras</t>
        </r>
      </text>
    </comment>
    <comment ref="A20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Depreciación de Fax, computadora e impresora a 3 años de Vida Util.</t>
        </r>
      </text>
    </comment>
  </commentList>
</comments>
</file>

<file path=xl/comments4.xml><?xml version="1.0" encoding="utf-8"?>
<comments xmlns="http://schemas.openxmlformats.org/spreadsheetml/2006/main">
  <authors>
    <author>lparra</author>
    <author>Jaime Fernandez V.</author>
  </authors>
  <commentList>
    <comment ref="A35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Detallar la inversion inicial</t>
        </r>
      </text>
    </comment>
    <comment ref="A29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Antes de IR va el 15% de participacion de trabajadores</t>
        </r>
      </text>
    </comment>
    <comment ref="A34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Va al final del ano 10, contable, comercial o economico</t>
        </r>
      </text>
    </comment>
    <comment ref="A33" authorId="0">
      <text>
        <r>
          <rPr>
            <b/>
            <sz val="9"/>
            <rFont val="Tahoma"/>
            <family val="2"/>
          </rPr>
          <t xml:space="preserve">lparra
Usar el Metodo del Deficit Maximo Acumulado 
</t>
        </r>
      </text>
    </comment>
    <comment ref="A40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Usar el modelo del CAPM para estimar TMAR</t>
        </r>
      </text>
    </comment>
    <comment ref="A22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Sumar otros Gastos Generales (agua, luz)</t>
        </r>
      </text>
    </comment>
    <comment ref="A20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multiplicar por el número de niñeras</t>
        </r>
      </text>
    </comment>
    <comment ref="A25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Depreciación de Fax, computadora e impresora a 3 años de Vida Util.</t>
        </r>
      </text>
    </comment>
  </commentList>
</comments>
</file>

<file path=xl/comments5.xml><?xml version="1.0" encoding="utf-8"?>
<comments xmlns="http://schemas.openxmlformats.org/spreadsheetml/2006/main">
  <authors>
    <author>Jaime Fernandez V.</author>
  </authors>
  <commentList>
    <comment ref="B8" authorId="0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Usar Beta de un Sector Parecido
</t>
        </r>
      </text>
    </comment>
  </commentList>
</comments>
</file>

<file path=xl/comments7.xml><?xml version="1.0" encoding="utf-8"?>
<comments xmlns="http://schemas.openxmlformats.org/spreadsheetml/2006/main">
  <authors>
    <author>Jaime Fernandez V.</author>
  </authors>
  <commentList>
    <comment ref="B12" authorId="0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multiplicar por el número de niñeras</t>
        </r>
      </text>
    </comment>
    <comment ref="B14" authorId="0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Sumar otros Gastos Generales (agua, luz)</t>
        </r>
      </text>
    </comment>
    <comment ref="B18" authorId="0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EL Capital de Trabajo es el "Saldo Acumulado" mas Negativo.
</t>
        </r>
      </text>
    </comment>
  </commentList>
</comments>
</file>

<file path=xl/sharedStrings.xml><?xml version="1.0" encoding="utf-8"?>
<sst xmlns="http://schemas.openxmlformats.org/spreadsheetml/2006/main" count="869" uniqueCount="360">
  <si>
    <t>EQUIPOS</t>
  </si>
  <si>
    <t>Denominación del equipo</t>
  </si>
  <si>
    <t>Precio unitario</t>
  </si>
  <si>
    <t>Justificación</t>
  </si>
  <si>
    <t>COSTO TOTAL</t>
  </si>
  <si>
    <t>Totales</t>
  </si>
  <si>
    <t>Alquiler de oficina</t>
  </si>
  <si>
    <t>VENTAS</t>
  </si>
  <si>
    <t>TOTAL INGRESOS</t>
  </si>
  <si>
    <t xml:space="preserve">EGRESOS </t>
  </si>
  <si>
    <t>Gastos generales</t>
  </si>
  <si>
    <t>Interses de financiamiento (3%)</t>
  </si>
  <si>
    <t xml:space="preserve">TOTAL EGRESOS </t>
  </si>
  <si>
    <t>RESULTADO</t>
  </si>
  <si>
    <t>Resultados operativos Netos</t>
  </si>
  <si>
    <t>INIDICES FINANCIEROS (PROYECTO)</t>
  </si>
  <si>
    <t>Rentabilidad del proyecto</t>
  </si>
  <si>
    <t xml:space="preserve">Tasa interna de retorno </t>
  </si>
  <si>
    <t>Valor presente neto del proyecto (terminos reales)</t>
  </si>
  <si>
    <t>Tasa de descuento</t>
  </si>
  <si>
    <t xml:space="preserve"> Intel (R) Pentium (R) 4 CPU 3,20 GHZ - 1 Gb de RAM, tarjetas graficas 256</t>
  </si>
  <si>
    <t>Cant.</t>
  </si>
  <si>
    <t>A Financiar por empresa</t>
  </si>
  <si>
    <t>BALANCE DEL PERSONAL</t>
  </si>
  <si>
    <t>TOTAL ANUAL</t>
  </si>
  <si>
    <t>PRIMER TRIMESTRE</t>
  </si>
  <si>
    <t>TRIMESTRES</t>
  </si>
  <si>
    <t>A</t>
  </si>
  <si>
    <t>ENERO</t>
  </si>
  <si>
    <t>FEBRERO</t>
  </si>
  <si>
    <t>MARZO</t>
  </si>
  <si>
    <t>1 ER</t>
  </si>
  <si>
    <t>2 DO.</t>
  </si>
  <si>
    <t>3 ER.</t>
  </si>
  <si>
    <t>4 TO.</t>
  </si>
  <si>
    <t>SUELDOS  FIJOS</t>
  </si>
  <si>
    <t>Sueldo del Contador</t>
  </si>
  <si>
    <t>Sueldo del Administrador</t>
  </si>
  <si>
    <t>Sueldo Secretaria</t>
  </si>
  <si>
    <t>TOTAL SUELDOS FIJOS</t>
  </si>
  <si>
    <t>SALARIOS VARIABLES</t>
  </si>
  <si>
    <t>TOTAL SALARIOS VARIABLES</t>
  </si>
  <si>
    <t>Detalle del Salario de las Babysitters</t>
  </si>
  <si>
    <t>Horarios</t>
  </si>
  <si>
    <t># babysitters</t>
  </si>
  <si>
    <t>Horas  diarias trabajadas**</t>
  </si>
  <si>
    <t>Tarifa por servicio</t>
  </si>
  <si>
    <t xml:space="preserve">Gastos transporte </t>
  </si>
  <si>
    <t>2% Capacitación</t>
  </si>
  <si>
    <t>Margen de Ganancia</t>
  </si>
  <si>
    <t>Salario</t>
  </si>
  <si>
    <t xml:space="preserve"> Por hora de trabajo**</t>
  </si>
  <si>
    <t xml:space="preserve"> Por día  trabajado           </t>
  </si>
  <si>
    <t>Jornada</t>
  </si>
  <si>
    <t>Semanal</t>
  </si>
  <si>
    <t xml:space="preserve"> Mensual</t>
  </si>
  <si>
    <t>v x semana(4 dias) x niñera</t>
  </si>
  <si>
    <t xml:space="preserve">Total </t>
  </si>
  <si>
    <t>Lunes a jueves</t>
  </si>
  <si>
    <t>06:00 a 19:00 hrs</t>
  </si>
  <si>
    <t>19:00 a 24:00 hrs</t>
  </si>
  <si>
    <t>00:00 a 06:00 hrs</t>
  </si>
  <si>
    <t>Fines de semana y feriados</t>
  </si>
  <si>
    <t>TOTAL</t>
  </si>
  <si>
    <t>* Horas estimadas, no reales</t>
  </si>
  <si>
    <t>** Tarifa por servicio - Gastos de transporte</t>
  </si>
  <si>
    <t>valor total</t>
  </si>
  <si>
    <t>Anual</t>
  </si>
  <si>
    <t>Valor hora</t>
  </si>
  <si>
    <t xml:space="preserve">% </t>
  </si>
  <si>
    <t>niñera/hora</t>
  </si>
  <si>
    <t># niñeras</t>
  </si>
  <si>
    <t># clientes</t>
  </si>
  <si>
    <t>Valor total</t>
  </si>
  <si>
    <t>Lunes a Viernes</t>
  </si>
  <si>
    <t>GASTOS DE ADMINISTRACION</t>
  </si>
  <si>
    <t>FIJO</t>
  </si>
  <si>
    <t>SUELDO DEL CONTADOR</t>
  </si>
  <si>
    <t>SUELDO SECRETARIA</t>
  </si>
  <si>
    <t>SUELDO DEL ADMINISTRADOR</t>
  </si>
  <si>
    <t>ALQUILER</t>
  </si>
  <si>
    <t>PAPELERIAY SUMINISTROS DE OFICINA</t>
  </si>
  <si>
    <t>SEGUROS</t>
  </si>
  <si>
    <t>Sueldo de las niñeras</t>
  </si>
  <si>
    <t>Valores liquidos recibidos</t>
  </si>
  <si>
    <t>Total $</t>
  </si>
  <si>
    <t>Equipos para Administrador, Contador, Secretaria</t>
  </si>
  <si>
    <t xml:space="preserve">Impresora multifuncion </t>
  </si>
  <si>
    <t>Tipo</t>
  </si>
  <si>
    <t xml:space="preserve">Equpo de computación </t>
  </si>
  <si>
    <t>HP deskjet F2280</t>
  </si>
  <si>
    <t>Fax</t>
  </si>
  <si>
    <t>Sony</t>
  </si>
  <si>
    <t>Total Sueldos y salarios</t>
  </si>
  <si>
    <t>Ingresos por servicios de niñeras</t>
  </si>
  <si>
    <t>Depreciaión</t>
  </si>
  <si>
    <t>Periodo</t>
  </si>
  <si>
    <t>Depreciación Acumulada</t>
  </si>
  <si>
    <t>Valor Activo Fijo Neto</t>
  </si>
  <si>
    <t>Dic</t>
  </si>
  <si>
    <t>Ene</t>
  </si>
  <si>
    <t>Feb</t>
  </si>
  <si>
    <t>Mar</t>
  </si>
  <si>
    <t>Abr</t>
  </si>
  <si>
    <t>(-) 25% IMPUESTO a la renta</t>
  </si>
  <si>
    <t>Año 1</t>
  </si>
  <si>
    <t>Año 2</t>
  </si>
  <si>
    <t>Año 3</t>
  </si>
  <si>
    <t>Depreciación Anual</t>
  </si>
  <si>
    <t>Depreciaciones</t>
  </si>
  <si>
    <t>Amortizaciones</t>
  </si>
  <si>
    <t>AMORTIZACIÓN</t>
  </si>
  <si>
    <t>Pago</t>
  </si>
  <si>
    <t>Capital</t>
  </si>
  <si>
    <t>Intereses</t>
  </si>
  <si>
    <t>Saldo Insoluto</t>
  </si>
  <si>
    <t>Gastos de transporte</t>
  </si>
  <si>
    <t xml:space="preserve">TELEFONOS, </t>
  </si>
  <si>
    <t>Gastos Administrativos</t>
  </si>
  <si>
    <t>AÑO 1</t>
  </si>
  <si>
    <t>AÑO 0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</si>
  <si>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</si>
  <si>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</si>
  <si>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</si>
  <si>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</si>
  <si>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</si>
  <si>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</si>
  <si>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</si>
  <si>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</si>
  <si>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</si>
  <si>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Flujo de caja liquido</t>
  </si>
  <si>
    <t>Interes</t>
  </si>
  <si>
    <t>Capacitación de las niñeras</t>
  </si>
  <si>
    <t>FLUJO DE CAJA PROYECTADO</t>
  </si>
  <si>
    <t>Necesaria para copar documentos</t>
  </si>
  <si>
    <t>Recepción</t>
  </si>
  <si>
    <t>Sueldos de Administración*</t>
  </si>
  <si>
    <t>Salario de las Babysitters**</t>
  </si>
  <si>
    <t xml:space="preserve">*  Los sueldos de administración: Sueldos + beneficios de ley correspondientes </t>
  </si>
  <si>
    <t>** Los sueldos de las babby sitters son aproximados, puesto que se consideran como variables ya que ellas laboran solo por horas y dichos salarios se cancelan dependiendo de si se dan los contratos o no, es decir por honorarios</t>
  </si>
  <si>
    <t>Factores de costos</t>
  </si>
  <si>
    <t>Costos de Transporte</t>
  </si>
  <si>
    <t>Factores Sociales</t>
  </si>
  <si>
    <t xml:space="preserve">Cercanía de escuelas y hospitales </t>
  </si>
  <si>
    <t>Factores geográficos</t>
  </si>
  <si>
    <t>Ponderación</t>
  </si>
  <si>
    <t>Carreteras y vías de acceso.</t>
  </si>
  <si>
    <t>Valor</t>
  </si>
  <si>
    <t>Centro</t>
  </si>
  <si>
    <t>Ingreso Corriente Total</t>
  </si>
  <si>
    <t>Vía Samborondón</t>
  </si>
  <si>
    <t>Urdesa</t>
  </si>
  <si>
    <t>FACTORES</t>
  </si>
  <si>
    <t>%</t>
  </si>
  <si>
    <t>Costos De Producción</t>
  </si>
  <si>
    <t>Costos de Servicios Básicos</t>
  </si>
  <si>
    <t>Clases sociales (Mercado objetivo: clases altas)</t>
  </si>
  <si>
    <t>Alborada</t>
  </si>
  <si>
    <t>Cuadro 3.3</t>
  </si>
  <si>
    <t>Detalle del salario de las Babysitters</t>
  </si>
  <si>
    <t>Cuadro 3.5</t>
  </si>
  <si>
    <t>Flujo de Caja Proyectado (con niñeras profesionales)</t>
  </si>
  <si>
    <t>Flujo de Caja Proyectado (con niñeras no profesionales)</t>
  </si>
  <si>
    <t>Flujo de Caja Proyectado (con niñeras profesionales y no profesionales)</t>
  </si>
  <si>
    <t>profesionales</t>
  </si>
  <si>
    <t>Cuadro 3.4</t>
  </si>
  <si>
    <t>Niñeras permanentes</t>
  </si>
  <si>
    <t>Salarios Mano de obra</t>
  </si>
  <si>
    <t>Sueldos y salarios</t>
  </si>
  <si>
    <t>1% Capacitación</t>
  </si>
  <si>
    <t>MAQUINA</t>
  </si>
  <si>
    <t>CANTIDAD</t>
  </si>
  <si>
    <t>INVERSIÓN INICIAL EN MÁQUINAS</t>
  </si>
  <si>
    <t>DEPRECIACIÓN ANUAL</t>
  </si>
  <si>
    <t>COSTO UNTARIO</t>
  </si>
  <si>
    <t>VIDA UTIL (AÑOS)</t>
  </si>
  <si>
    <t>VALOR RESIDUAL TOTAL</t>
  </si>
  <si>
    <t>,</t>
  </si>
  <si>
    <t>REINVERSION DE MAQUINARIAS</t>
  </si>
  <si>
    <t>Balance</t>
  </si>
  <si>
    <t>Cuadro 3.9</t>
  </si>
  <si>
    <t>Balance de reemplazo de maquinarias y equipos</t>
  </si>
  <si>
    <t>Balance de ingresos por venta de maquinarias y equipos reemplazados</t>
  </si>
  <si>
    <t>Cuadro 3.10</t>
  </si>
  <si>
    <t xml:space="preserve">Equipo de computación </t>
  </si>
  <si>
    <t>TOTAL INGRESOS POR VENTA DE EQUIPOS Y MAQUINARIAS</t>
  </si>
  <si>
    <t>ITEM</t>
  </si>
  <si>
    <t xml:space="preserve">INGRESOS  </t>
  </si>
  <si>
    <t>Ingresos por venta de maquinaria y equipos reemplazados</t>
  </si>
  <si>
    <t xml:space="preserve">Q5 </t>
  </si>
  <si>
    <t>Q4</t>
  </si>
  <si>
    <t xml:space="preserve">Q3 </t>
  </si>
  <si>
    <t xml:space="preserve">Q2 </t>
  </si>
  <si>
    <t>Q1</t>
  </si>
  <si>
    <t>Renta Primaria</t>
  </si>
  <si>
    <t xml:space="preserve">Q4 </t>
  </si>
  <si>
    <t xml:space="preserve">Q1 </t>
  </si>
  <si>
    <t>Total</t>
  </si>
  <si>
    <t xml:space="preserve">Viudo </t>
  </si>
  <si>
    <t>Divorciado</t>
  </si>
  <si>
    <t>Separado</t>
  </si>
  <si>
    <t xml:space="preserve">Soltero </t>
  </si>
  <si>
    <t>Casado</t>
  </si>
  <si>
    <t xml:space="preserve">Unión Libre </t>
  </si>
  <si>
    <t>(%)</t>
  </si>
  <si>
    <t>Abs.</t>
  </si>
  <si>
    <t>PANORAMA GENERAL</t>
  </si>
  <si>
    <t>GUAYAQUIL</t>
  </si>
  <si>
    <t>CIUDAD</t>
  </si>
  <si>
    <t>INDICADORES</t>
  </si>
  <si>
    <t>FUENTE: INEC, Encuesta de Condiciones de Vida - Guayaquil - Quinta Ronda</t>
  </si>
  <si>
    <t>Cuadro 3.2</t>
  </si>
  <si>
    <t>Horas  diarias trabajadas estimadas</t>
  </si>
  <si>
    <t>Los valores líquidos recibidos resultan de la diferencia entre: la tarifa por servicio menos los gastos de transporte y el 2% que se destina para la capacitación de las niñeras; obteniendo así el valor líquido recibido por hora de trabajo, y esta a su vez al multiplicarse por la hora estimadas de trabajo diario da el valor por día de trabajo. De este valor líquido se descuenta el 33% que es el margen de ganancia que obtiene la agencia y la diferencia es el salario de la babysitters</t>
  </si>
  <si>
    <t>Utilidad Neta</t>
  </si>
  <si>
    <t>Inversion Inicial</t>
  </si>
  <si>
    <t>Capital de Trabajo</t>
  </si>
  <si>
    <t>Valor de Desecho</t>
  </si>
  <si>
    <t>BALANCE GENERAL  DE LA EMPRESA</t>
  </si>
  <si>
    <t>ACTIVOS</t>
  </si>
  <si>
    <t>PASIVOS</t>
  </si>
  <si>
    <t>ACTIVOS FIJOS</t>
  </si>
  <si>
    <t>Préstamo</t>
  </si>
  <si>
    <t>TOTAL DE PASIVO</t>
  </si>
  <si>
    <t>Línea telefónica comercial</t>
  </si>
  <si>
    <t>Papelería y materiales de oficina</t>
  </si>
  <si>
    <t>ACTIVOS DIFERIDOS</t>
  </si>
  <si>
    <t>PATRIMONIO</t>
  </si>
  <si>
    <t>Gastos de Constitución e Instalación</t>
  </si>
  <si>
    <t>Capital Social</t>
  </si>
  <si>
    <t>TOTAL DE ACTIVOS</t>
  </si>
  <si>
    <t>TOTAL DE PAS. Y PAT.</t>
  </si>
  <si>
    <t>Gasto papeleria</t>
  </si>
  <si>
    <t>TMAR</t>
  </si>
  <si>
    <t>Gastos de publicidad</t>
  </si>
  <si>
    <t>Periodicos</t>
  </si>
  <si>
    <t>El universo</t>
  </si>
  <si>
    <t>Costo diario</t>
  </si>
  <si>
    <t>Revistas</t>
  </si>
  <si>
    <t>Sambovalles</t>
  </si>
  <si>
    <t>Eres mama</t>
  </si>
  <si>
    <t>Cosas</t>
  </si>
  <si>
    <t xml:space="preserve"># contratos </t>
  </si>
  <si>
    <t>Radios</t>
  </si>
  <si>
    <t>emisora 1</t>
  </si>
  <si>
    <t>emisora 2</t>
  </si>
  <si>
    <t>Volantes</t>
  </si>
  <si>
    <t>¨Publicidad en Est de Ctas.</t>
  </si>
  <si>
    <t>Total  Gastos ¨Publicidad anual</t>
  </si>
  <si>
    <t>Gastos de Publicidad</t>
  </si>
  <si>
    <t>Gastos</t>
  </si>
  <si>
    <t>Estado de Egresos</t>
  </si>
  <si>
    <t>Depreciacion Anual</t>
  </si>
  <si>
    <t>METODO DEL DEFICIT MAXIMO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</si>
  <si>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</si>
  <si>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</si>
  <si>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</si>
  <si>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</si>
  <si>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</si>
  <si>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</si>
  <si>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</si>
  <si>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</si>
  <si>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</si>
  <si>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</si>
  <si>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</si>
  <si>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</si>
  <si>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Niñeras</t>
  </si>
  <si>
    <t>Horas</t>
  </si>
  <si>
    <t>Tarifa/Hora</t>
  </si>
  <si>
    <t>Subtotal/Diario</t>
  </si>
  <si>
    <t>Ingreso Anual</t>
  </si>
  <si>
    <t>Ingresos Mensuales</t>
  </si>
  <si>
    <t>Total Egresos</t>
  </si>
  <si>
    <t>Flujo de Caja Mensual</t>
  </si>
  <si>
    <t>Flujo de Caja Acumulado</t>
  </si>
  <si>
    <t>Nota: Un gran Porcentaje de los Ingresos Anuales estara concentrado en los 3 primeros meses (vaciones en la costa)</t>
  </si>
  <si>
    <t>Abril y Mayo meses bajos</t>
  </si>
  <si>
    <t>Nota: El Saldo Acumulado es igual al flujo actual mas el flujo acumulado del periodo inmediato anterior.</t>
  </si>
  <si>
    <t>Valor Desecho Proyecto</t>
  </si>
  <si>
    <t>ESTIMACION DE TMAR</t>
  </si>
  <si>
    <t>CAPM</t>
  </si>
  <si>
    <t>Rf</t>
  </si>
  <si>
    <t>Rm</t>
  </si>
  <si>
    <t>Riesgo Ecu.</t>
  </si>
  <si>
    <t>Beta*</t>
  </si>
  <si>
    <t xml:space="preserve">*Beta Sector "Servicios Educacionales" EEUU. </t>
  </si>
  <si>
    <t>Luz</t>
  </si>
  <si>
    <t>Agua</t>
  </si>
  <si>
    <t>Gastos de alquiler</t>
  </si>
  <si>
    <t>Gastos de seguros</t>
  </si>
  <si>
    <t>Total gastos</t>
  </si>
  <si>
    <t>Honorarios por estudio de factibilidad</t>
  </si>
  <si>
    <t>Detalle</t>
  </si>
  <si>
    <t>Costo Anual</t>
  </si>
  <si>
    <t>(-) 15% Participación Trabajadores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</si>
  <si>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</si>
  <si>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</si>
  <si>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</si>
  <si>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</si>
  <si>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</si>
  <si>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</si>
  <si>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</si>
  <si>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</si>
  <si>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</si>
  <si>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</si>
  <si>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</si>
  <si>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</si>
  <si>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Capital de trabajo</t>
  </si>
  <si>
    <t>TMAR + R Ecuador</t>
  </si>
  <si>
    <t>Tasa Inversionista</t>
  </si>
  <si>
    <t>(+) Gasto de Depreciacion</t>
  </si>
  <si>
    <t>Total Ingresos</t>
  </si>
  <si>
    <t>(-)Depreciaciones</t>
  </si>
  <si>
    <t>utilidad antes de IR</t>
  </si>
  <si>
    <t>Precio</t>
  </si>
  <si>
    <t>Cantidad</t>
  </si>
  <si>
    <t>cantidad</t>
  </si>
  <si>
    <t>Entre $401 y $600</t>
  </si>
  <si>
    <t xml:space="preserve">Entre $601 y $900 </t>
  </si>
  <si>
    <t xml:space="preserve">Entre $901 y $1200 </t>
  </si>
  <si>
    <t xml:space="preserve">Entre $1201 y $2000 </t>
  </si>
  <si>
    <t xml:space="preserve">Entre $2000 en adelante </t>
  </si>
  <si>
    <t>Población Objetivo</t>
  </si>
  <si>
    <t>Población nivel socioeconomico alto</t>
  </si>
  <si>
    <t>P.con hijos</t>
  </si>
  <si>
    <t>Poblacion integrada socialmente</t>
  </si>
  <si>
    <t>Poblacion nivel socio economico alto</t>
  </si>
  <si>
    <t>Población con hijos menores de edad</t>
  </si>
  <si>
    <t>población urbana</t>
  </si>
  <si>
    <t xml:space="preserve"> $401 - $600</t>
  </si>
  <si>
    <t xml:space="preserve">$601 - $900 </t>
  </si>
  <si>
    <t xml:space="preserve">$901 - $1200 </t>
  </si>
  <si>
    <t xml:space="preserve">$1201 - $2000 </t>
  </si>
  <si>
    <t xml:space="preserve">$2000 en adelante </t>
  </si>
  <si>
    <t>% Población ingresos 901 y &gt;2000</t>
  </si>
  <si>
    <t>% Clientes que usarian el servicio frecuentemente</t>
  </si>
  <si>
    <t>Datos</t>
  </si>
  <si>
    <t>Población Objetivo(demanda)</t>
  </si>
  <si>
    <t>Población de clase alta con hijos menores de edad</t>
  </si>
  <si>
    <t>Método Económico</t>
  </si>
  <si>
    <t>Flujo de Caja Promedio Anual</t>
  </si>
  <si>
    <t>Sueldo el contador</t>
  </si>
  <si>
    <t>Sueldo del adiministrador</t>
  </si>
  <si>
    <t>Sueldo de la secretaria</t>
  </si>
  <si>
    <t>Telefonos</t>
  </si>
  <si>
    <t>Gastos de administracion</t>
  </si>
  <si>
    <t>Papeleria y suministros</t>
  </si>
  <si>
    <t>Seguros</t>
  </si>
  <si>
    <t>Anexo 5</t>
  </si>
  <si>
    <t>Costo de Capital</t>
  </si>
  <si>
    <t>Anexo 6</t>
  </si>
  <si>
    <t>Anexo 8</t>
  </si>
  <si>
    <t>Anexo 9</t>
  </si>
  <si>
    <t>Anexo 7</t>
  </si>
  <si>
    <t>Sueldos y Salarios de la agencia</t>
  </si>
  <si>
    <t>Anexo 12</t>
  </si>
  <si>
    <t xml:space="preserve">Flujo de Caja Proyectado con niñeras profesionales </t>
  </si>
  <si>
    <t>Anexo 13</t>
  </si>
  <si>
    <t xml:space="preserve">Valor presente neto del proyecto </t>
  </si>
  <si>
    <t>Flujo de Caja Proyectado con niñeras profesionales y no profesionales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</si>
</sst>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Bs&quot;\ #,##0.00_);[Red]\(&quot;Bs&quot;\ #,##0.00\)"/>
    <numFmt numFmtId="181" formatCode="_(&quot;Bs&quot;\ * #,##0_);_(&quot;Bs&quot;\ * \(#,##0\);_(&quot;Bs&quot;\ * &quot;-&quot;_);_(@_)"/>
    <numFmt numFmtId="182" formatCode="_(&quot;Bs&quot;\ * #,##0.00_);_(&quot;Bs&quot;\ * \(#,##0.00\);_(&quot;Bs&quot;\ * &quot;-&quot;??_);_(@_)"/>
    <numFmt numFmtId="183" formatCode="&quot;Bs&quot;\ #,##0"/>
    <numFmt numFmtId="184" formatCode="[$$-300A]\ #,##0.00"/>
    <numFmt numFmtId="185" formatCode="_(* #,##0_);_(* \(#,##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$&quot;\ #,##0.00"/>
    <numFmt numFmtId="191" formatCode="0.0%"/>
    <numFmt numFmtId="192" formatCode="0.0000"/>
    <numFmt numFmtId="193" formatCode="0.000"/>
    <numFmt numFmtId="194" formatCode="0.0"/>
    <numFmt numFmtId="195" formatCode="&quot;$&quot;\ #,##0"/>
    <numFmt numFmtId="196" formatCode="0.00000"/>
    <numFmt numFmtId="197" formatCode="0.000%"/>
    <numFmt numFmtId="198" formatCode="0.0000%"/>
    <numFmt numFmtId="199" formatCode="[$$-409]#,##0.00"/>
  </numFmts>
  <fonts count="7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double"/>
      <sz val="10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  <font>
      <u val="singleAccounting"/>
      <sz val="10"/>
      <color indexed="9"/>
      <name val="Arial"/>
      <family val="2"/>
    </font>
    <font>
      <sz val="10"/>
      <name val="Lucida Sans Unicode"/>
      <family val="2"/>
    </font>
    <font>
      <i/>
      <sz val="10"/>
      <name val="Arial"/>
      <family val="2"/>
    </font>
    <font>
      <sz val="11"/>
      <name val="Lucida Sans Unicod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u val="double"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8.5"/>
      <color indexed="56"/>
      <name val="Verdana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sz val="7"/>
      <name val="Arial"/>
      <family val="2"/>
    </font>
    <font>
      <sz val="10"/>
      <color indexed="9"/>
      <name val="Arial Unicode MS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i/>
      <sz val="8"/>
      <name val="Arial"/>
      <family val="0"/>
    </font>
    <font>
      <b/>
      <sz val="8"/>
      <color indexed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name val="Arial"/>
      <family val="2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double"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Trellis">
        <fgColor indexed="45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medium"/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86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4" fontId="0" fillId="0" borderId="0" xfId="0" applyNumberFormat="1" applyFont="1" applyBorder="1" applyAlignment="1">
      <alignment/>
    </xf>
    <xf numFmtId="44" fontId="0" fillId="0" borderId="0" xfId="52" applyFont="1" applyBorder="1" applyAlignment="1">
      <alignment/>
    </xf>
    <xf numFmtId="44" fontId="0" fillId="0" borderId="0" xfId="52" applyFont="1" applyBorder="1" applyAlignment="1">
      <alignment horizontal="center"/>
    </xf>
    <xf numFmtId="44" fontId="13" fillId="0" borderId="0" xfId="52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4" fontId="13" fillId="0" borderId="0" xfId="52" applyFont="1" applyBorder="1" applyAlignment="1">
      <alignment/>
    </xf>
    <xf numFmtId="0" fontId="4" fillId="0" borderId="0" xfId="0" applyFont="1" applyBorder="1" applyAlignment="1">
      <alignment horizontal="justify" vertical="center"/>
    </xf>
    <xf numFmtId="44" fontId="4" fillId="0" borderId="0" xfId="0" applyNumberFormat="1" applyFont="1" applyBorder="1" applyAlignment="1">
      <alignment/>
    </xf>
    <xf numFmtId="44" fontId="0" fillId="0" borderId="0" xfId="52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justify" vertical="center"/>
    </xf>
    <xf numFmtId="44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4" fontId="0" fillId="0" borderId="11" xfId="52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44" fontId="0" fillId="0" borderId="13" xfId="52" applyBorder="1" applyAlignment="1">
      <alignment horizontal="center"/>
    </xf>
    <xf numFmtId="44" fontId="0" fillId="0" borderId="14" xfId="52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44" fontId="0" fillId="0" borderId="16" xfId="52" applyBorder="1" applyAlignment="1">
      <alignment horizontal="center"/>
    </xf>
    <xf numFmtId="44" fontId="0" fillId="0" borderId="17" xfId="52" applyBorder="1" applyAlignment="1">
      <alignment horizontal="center"/>
    </xf>
    <xf numFmtId="44" fontId="0" fillId="0" borderId="18" xfId="52" applyBorder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4" fontId="0" fillId="0" borderId="19" xfId="52" applyFont="1" applyBorder="1" applyAlignment="1">
      <alignment vertical="top" wrapText="1"/>
    </xf>
    <xf numFmtId="44" fontId="0" fillId="0" borderId="20" xfId="52" applyFont="1" applyBorder="1" applyAlignment="1">
      <alignment vertical="top" wrapText="1"/>
    </xf>
    <xf numFmtId="0" fontId="0" fillId="0" borderId="21" xfId="0" applyBorder="1" applyAlignment="1">
      <alignment/>
    </xf>
    <xf numFmtId="44" fontId="4" fillId="0" borderId="22" xfId="52" applyFont="1" applyBorder="1" applyAlignment="1">
      <alignment horizontal="center"/>
    </xf>
    <xf numFmtId="44" fontId="0" fillId="0" borderId="23" xfId="52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24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4" fontId="0" fillId="8" borderId="19" xfId="52" applyFont="1" applyFill="1" applyBorder="1" applyAlignment="1">
      <alignment vertical="top" wrapText="1"/>
    </xf>
    <xf numFmtId="9" fontId="0" fillId="0" borderId="0" xfId="55" applyAlignment="1">
      <alignment/>
    </xf>
    <xf numFmtId="1" fontId="0" fillId="0" borderId="0" xfId="55" applyNumberFormat="1" applyAlignment="1">
      <alignment/>
    </xf>
    <xf numFmtId="44" fontId="0" fillId="3" borderId="19" xfId="52" applyFont="1" applyFill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4" fontId="0" fillId="3" borderId="20" xfId="52" applyFont="1" applyFill="1" applyBorder="1" applyAlignment="1">
      <alignment vertical="top" wrapText="1"/>
    </xf>
    <xf numFmtId="44" fontId="17" fillId="8" borderId="0" xfId="0" applyNumberFormat="1" applyFont="1" applyFill="1" applyAlignment="1">
      <alignment horizontal="center"/>
    </xf>
    <xf numFmtId="44" fontId="17" fillId="3" borderId="0" xfId="0" applyNumberFormat="1" applyFont="1" applyFill="1" applyAlignment="1">
      <alignment horizontal="center"/>
    </xf>
    <xf numFmtId="0" fontId="17" fillId="0" borderId="0" xfId="0" applyFont="1" applyAlignment="1">
      <alignment horizontal="justify"/>
    </xf>
    <xf numFmtId="44" fontId="17" fillId="0" borderId="0" xfId="52" applyFont="1" applyAlignment="1">
      <alignment horizontal="center"/>
    </xf>
    <xf numFmtId="0" fontId="0" fillId="0" borderId="0" xfId="0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4" fontId="2" fillId="24" borderId="14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vertical="center" shrinkToFi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22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justify" vertical="center" wrapText="1"/>
    </xf>
    <xf numFmtId="0" fontId="2" fillId="24" borderId="26" xfId="0" applyFont="1" applyFill="1" applyBorder="1" applyAlignment="1">
      <alignment horizontal="justify" vertical="center" wrapText="1"/>
    </xf>
    <xf numFmtId="0" fontId="2" fillId="24" borderId="26" xfId="0" applyFont="1" applyFill="1" applyBorder="1" applyAlignment="1">
      <alignment horizontal="center" vertical="center" wrapText="1"/>
    </xf>
    <xf numFmtId="4" fontId="2" fillId="24" borderId="2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justify" vertical="center" wrapText="1"/>
    </xf>
    <xf numFmtId="0" fontId="2" fillId="24" borderId="13" xfId="0" applyFont="1" applyFill="1" applyBorder="1" applyAlignment="1">
      <alignment horizontal="justify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4" fontId="2" fillId="24" borderId="2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9" fontId="0" fillId="0" borderId="0" xfId="55" applyFont="1" applyAlignment="1">
      <alignment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6" fillId="0" borderId="32" xfId="0" applyFont="1" applyBorder="1" applyAlignment="1">
      <alignment/>
    </xf>
    <xf numFmtId="0" fontId="27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12" fillId="0" borderId="32" xfId="0" applyFont="1" applyBorder="1" applyAlignment="1">
      <alignment horizontal="justify"/>
    </xf>
    <xf numFmtId="0" fontId="0" fillId="0" borderId="34" xfId="0" applyFont="1" applyBorder="1" applyAlignment="1">
      <alignment horizontal="justify"/>
    </xf>
    <xf numFmtId="0" fontId="4" fillId="0" borderId="34" xfId="0" applyFont="1" applyBorder="1" applyAlignment="1">
      <alignment horizontal="right"/>
    </xf>
    <xf numFmtId="0" fontId="0" fillId="0" borderId="35" xfId="0" applyFont="1" applyBorder="1" applyAlignment="1">
      <alignment/>
    </xf>
    <xf numFmtId="9" fontId="0" fillId="0" borderId="36" xfId="55" applyFont="1" applyBorder="1" applyAlignment="1">
      <alignment/>
    </xf>
    <xf numFmtId="9" fontId="0" fillId="0" borderId="30" xfId="55" applyFont="1" applyBorder="1" applyAlignment="1">
      <alignment/>
    </xf>
    <xf numFmtId="9" fontId="0" fillId="0" borderId="33" xfId="55" applyFont="1" applyBorder="1" applyAlignment="1">
      <alignment/>
    </xf>
    <xf numFmtId="9" fontId="0" fillId="0" borderId="33" xfId="55" applyFont="1" applyBorder="1" applyAlignment="1">
      <alignment horizontal="right"/>
    </xf>
    <xf numFmtId="9" fontId="0" fillId="0" borderId="31" xfId="55" applyFont="1" applyBorder="1" applyAlignment="1">
      <alignment horizontal="right"/>
    </xf>
    <xf numFmtId="9" fontId="0" fillId="0" borderId="10" xfId="55" applyFont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84" fontId="2" fillId="24" borderId="12" xfId="50" applyNumberFormat="1" applyFont="1" applyFill="1" applyBorder="1" applyAlignment="1">
      <alignment horizontal="center" vertical="center" wrapText="1"/>
    </xf>
    <xf numFmtId="184" fontId="2" fillId="24" borderId="15" xfId="50" applyNumberFormat="1" applyFont="1" applyFill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top" wrapText="1"/>
    </xf>
    <xf numFmtId="184" fontId="0" fillId="0" borderId="15" xfId="0" applyNumberFormat="1" applyFont="1" applyBorder="1" applyAlignment="1">
      <alignment horizontal="center" vertical="top" wrapText="1"/>
    </xf>
    <xf numFmtId="184" fontId="0" fillId="0" borderId="0" xfId="0" applyNumberFormat="1" applyAlignment="1">
      <alignment/>
    </xf>
    <xf numFmtId="0" fontId="0" fillId="0" borderId="12" xfId="0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184" fontId="12" fillId="0" borderId="22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84" fontId="12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12" fillId="0" borderId="22" xfId="0" applyFont="1" applyBorder="1" applyAlignment="1">
      <alignment horizontal="center" vertical="top" wrapText="1"/>
    </xf>
    <xf numFmtId="190" fontId="0" fillId="24" borderId="12" xfId="0" applyNumberFormat="1" applyFont="1" applyFill="1" applyBorder="1" applyAlignment="1">
      <alignment horizontal="right" vertical="center" wrapText="1"/>
    </xf>
    <xf numFmtId="190" fontId="0" fillId="24" borderId="15" xfId="0" applyNumberFormat="1" applyFont="1" applyFill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top" wrapText="1"/>
    </xf>
    <xf numFmtId="184" fontId="0" fillId="24" borderId="12" xfId="50" applyNumberFormat="1" applyFont="1" applyFill="1" applyBorder="1" applyAlignment="1">
      <alignment horizontal="right" vertical="center" wrapText="1"/>
    </xf>
    <xf numFmtId="184" fontId="0" fillId="24" borderId="15" xfId="50" applyNumberFormat="1" applyFont="1" applyFill="1" applyBorder="1" applyAlignment="1">
      <alignment horizontal="right" vertical="center" wrapText="1"/>
    </xf>
    <xf numFmtId="184" fontId="0" fillId="0" borderId="12" xfId="50" applyNumberFormat="1" applyFont="1" applyFill="1" applyBorder="1" applyAlignment="1">
      <alignment horizontal="right" vertical="center" wrapText="1"/>
    </xf>
    <xf numFmtId="184" fontId="0" fillId="0" borderId="37" xfId="50" applyNumberFormat="1" applyFont="1" applyFill="1" applyBorder="1" applyAlignment="1">
      <alignment horizontal="right" vertical="center" wrapText="1"/>
    </xf>
    <xf numFmtId="184" fontId="12" fillId="0" borderId="22" xfId="0" applyNumberFormat="1" applyFont="1" applyFill="1" applyBorder="1" applyAlignment="1">
      <alignment/>
    </xf>
    <xf numFmtId="9" fontId="2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4" fontId="2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84" fontId="24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184" fontId="20" fillId="0" borderId="0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84" fontId="2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9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83" fontId="20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right"/>
    </xf>
    <xf numFmtId="10" fontId="3" fillId="0" borderId="14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 wrapText="1"/>
    </xf>
    <xf numFmtId="183" fontId="3" fillId="0" borderId="0" xfId="0" applyNumberFormat="1" applyFont="1" applyFill="1" applyBorder="1" applyAlignment="1">
      <alignment/>
    </xf>
    <xf numFmtId="184" fontId="3" fillId="0" borderId="14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90" fontId="3" fillId="0" borderId="0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right" wrapText="1"/>
    </xf>
    <xf numFmtId="10" fontId="3" fillId="0" borderId="26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80" fontId="31" fillId="0" borderId="0" xfId="0" applyNumberFormat="1" applyFont="1" applyFill="1" applyAlignment="1">
      <alignment/>
    </xf>
    <xf numFmtId="184" fontId="31" fillId="0" borderId="0" xfId="0" applyNumberFormat="1" applyFont="1" applyFill="1" applyAlignment="1">
      <alignment/>
    </xf>
    <xf numFmtId="9" fontId="31" fillId="0" borderId="0" xfId="0" applyNumberFormat="1" applyFont="1" applyFill="1" applyAlignment="1">
      <alignment/>
    </xf>
    <xf numFmtId="183" fontId="30" fillId="0" borderId="0" xfId="0" applyNumberFormat="1" applyFont="1" applyFill="1" applyBorder="1" applyAlignment="1">
      <alignment/>
    </xf>
    <xf numFmtId="183" fontId="31" fillId="0" borderId="0" xfId="0" applyNumberFormat="1" applyFont="1" applyFill="1" applyAlignment="1">
      <alignment/>
    </xf>
    <xf numFmtId="183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9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83" fontId="20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14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83" fontId="20" fillId="0" borderId="0" xfId="0" applyNumberFormat="1" applyFont="1" applyFill="1" applyBorder="1" applyAlignment="1">
      <alignment/>
    </xf>
    <xf numFmtId="18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10" fontId="0" fillId="0" borderId="0" xfId="55" applyNumberFormat="1" applyFont="1" applyAlignment="1">
      <alignment/>
    </xf>
    <xf numFmtId="2" fontId="28" fillId="0" borderId="0" xfId="0" applyNumberFormat="1" applyFont="1" applyAlignment="1">
      <alignment/>
    </xf>
    <xf numFmtId="0" fontId="32" fillId="10" borderId="0" xfId="0" applyFont="1" applyFill="1" applyAlignment="1">
      <alignment/>
    </xf>
    <xf numFmtId="0" fontId="32" fillId="25" borderId="40" xfId="0" applyFont="1" applyFill="1" applyBorder="1" applyAlignment="1">
      <alignment/>
    </xf>
    <xf numFmtId="0" fontId="32" fillId="25" borderId="31" xfId="0" applyFont="1" applyFill="1" applyBorder="1" applyAlignment="1">
      <alignment/>
    </xf>
    <xf numFmtId="0" fontId="32" fillId="24" borderId="0" xfId="0" applyFont="1" applyFill="1" applyAlignment="1">
      <alignment/>
    </xf>
    <xf numFmtId="3" fontId="32" fillId="24" borderId="0" xfId="0" applyNumberFormat="1" applyFont="1" applyFill="1" applyAlignment="1">
      <alignment/>
    </xf>
    <xf numFmtId="10" fontId="32" fillId="24" borderId="0" xfId="0" applyNumberFormat="1" applyFont="1" applyFill="1" applyAlignment="1">
      <alignment/>
    </xf>
    <xf numFmtId="0" fontId="32" fillId="24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24" borderId="0" xfId="0" applyFont="1" applyFill="1" applyAlignment="1">
      <alignment/>
    </xf>
    <xf numFmtId="3" fontId="34" fillId="24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4" fontId="0" fillId="0" borderId="0" xfId="52" applyFill="1" applyBorder="1" applyAlignment="1">
      <alignment horizontal="center"/>
    </xf>
    <xf numFmtId="44" fontId="0" fillId="0" borderId="0" xfId="52" applyFont="1" applyFill="1" applyBorder="1" applyAlignment="1">
      <alignment horizontal="center"/>
    </xf>
    <xf numFmtId="44" fontId="4" fillId="0" borderId="0" xfId="5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9" fontId="1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44" fontId="0" fillId="0" borderId="0" xfId="52" applyFont="1" applyFill="1" applyBorder="1" applyAlignment="1">
      <alignment horizontal="center" vertical="top" wrapText="1"/>
    </xf>
    <xf numFmtId="44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9" fontId="0" fillId="0" borderId="0" xfId="0" applyNumberFormat="1" applyFill="1" applyBorder="1" applyAlignment="1">
      <alignment wrapText="1"/>
    </xf>
    <xf numFmtId="44" fontId="0" fillId="0" borderId="0" xfId="52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textRotation="90" wrapText="1"/>
    </xf>
    <xf numFmtId="0" fontId="16" fillId="0" borderId="0" xfId="0" applyFont="1" applyFill="1" applyBorder="1" applyAlignment="1">
      <alignment vertical="top" textRotation="180" wrapText="1"/>
    </xf>
    <xf numFmtId="0" fontId="19" fillId="0" borderId="0" xfId="0" applyFont="1" applyFill="1" applyBorder="1" applyAlignment="1">
      <alignment vertical="top" textRotation="180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41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44" fontId="0" fillId="0" borderId="14" xfId="52" applyFont="1" applyBorder="1" applyAlignment="1">
      <alignment horizontal="center" vertical="top" wrapText="1"/>
    </xf>
    <xf numFmtId="44" fontId="0" fillId="0" borderId="14" xfId="52" applyFont="1" applyBorder="1" applyAlignment="1">
      <alignment horizontal="center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44" fontId="0" fillId="0" borderId="42" xfId="52" applyFont="1" applyBorder="1" applyAlignment="1">
      <alignment horizontal="center" vertical="top" wrapText="1"/>
    </xf>
    <xf numFmtId="44" fontId="0" fillId="0" borderId="42" xfId="52" applyFont="1" applyBorder="1" applyAlignment="1">
      <alignment horizontal="center"/>
    </xf>
    <xf numFmtId="0" fontId="0" fillId="0" borderId="43" xfId="0" applyFont="1" applyBorder="1" applyAlignment="1">
      <alignment horizontal="center" vertical="top" wrapText="1"/>
    </xf>
    <xf numFmtId="44" fontId="0" fillId="0" borderId="43" xfId="52" applyFont="1" applyBorder="1" applyAlignment="1">
      <alignment horizontal="center" vertical="top" wrapText="1"/>
    </xf>
    <xf numFmtId="44" fontId="0" fillId="0" borderId="43" xfId="52" applyFont="1" applyBorder="1" applyAlignment="1">
      <alignment horizontal="center"/>
    </xf>
    <xf numFmtId="44" fontId="0" fillId="0" borderId="44" xfId="52" applyFont="1" applyBorder="1" applyAlignment="1">
      <alignment horizontal="center"/>
    </xf>
    <xf numFmtId="44" fontId="0" fillId="0" borderId="38" xfId="52" applyFont="1" applyBorder="1" applyAlignment="1">
      <alignment horizontal="center"/>
    </xf>
    <xf numFmtId="44" fontId="0" fillId="0" borderId="45" xfId="52" applyFont="1" applyBorder="1" applyAlignment="1">
      <alignment horizontal="center"/>
    </xf>
    <xf numFmtId="44" fontId="0" fillId="0" borderId="13" xfId="52" applyFont="1" applyBorder="1" applyAlignment="1">
      <alignment horizontal="center"/>
    </xf>
    <xf numFmtId="44" fontId="0" fillId="0" borderId="46" xfId="52" applyFont="1" applyBorder="1" applyAlignment="1">
      <alignment horizontal="center"/>
    </xf>
    <xf numFmtId="44" fontId="0" fillId="0" borderId="12" xfId="52" applyFont="1" applyBorder="1" applyAlignment="1">
      <alignment horizontal="center"/>
    </xf>
    <xf numFmtId="44" fontId="0" fillId="0" borderId="15" xfId="52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/>
    </xf>
    <xf numFmtId="44" fontId="0" fillId="0" borderId="42" xfId="52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Font="1" applyBorder="1" applyAlignment="1">
      <alignment horizontal="center" vertical="top" wrapText="1"/>
    </xf>
    <xf numFmtId="44" fontId="0" fillId="0" borderId="43" xfId="52" applyBorder="1" applyAlignment="1">
      <alignment horizontal="center"/>
    </xf>
    <xf numFmtId="0" fontId="0" fillId="0" borderId="54" xfId="0" applyBorder="1" applyAlignment="1">
      <alignment/>
    </xf>
    <xf numFmtId="44" fontId="0" fillId="0" borderId="11" xfId="52" applyFont="1" applyBorder="1" applyAlignment="1">
      <alignment horizontal="center"/>
    </xf>
    <xf numFmtId="44" fontId="0" fillId="0" borderId="16" xfId="52" applyFont="1" applyBorder="1" applyAlignment="1">
      <alignment horizontal="center"/>
    </xf>
    <xf numFmtId="44" fontId="0" fillId="0" borderId="55" xfId="52" applyFont="1" applyBorder="1" applyAlignment="1">
      <alignment horizontal="center"/>
    </xf>
    <xf numFmtId="44" fontId="0" fillId="0" borderId="22" xfId="52" applyFont="1" applyBorder="1" applyAlignment="1">
      <alignment horizontal="center"/>
    </xf>
    <xf numFmtId="0" fontId="16" fillId="0" borderId="56" xfId="0" applyFont="1" applyBorder="1" applyAlignment="1">
      <alignment vertical="top" wrapText="1"/>
    </xf>
    <xf numFmtId="44" fontId="4" fillId="0" borderId="2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84" fontId="0" fillId="0" borderId="0" xfId="0" applyNumberFormat="1" applyFont="1" applyBorder="1" applyAlignment="1">
      <alignment horizontal="justify" vertical="top" wrapText="1"/>
    </xf>
    <xf numFmtId="0" fontId="38" fillId="0" borderId="27" xfId="0" applyFont="1" applyBorder="1" applyAlignment="1">
      <alignment/>
    </xf>
    <xf numFmtId="4" fontId="39" fillId="0" borderId="26" xfId="0" applyNumberFormat="1" applyFont="1" applyBorder="1" applyAlignment="1">
      <alignment/>
    </xf>
    <xf numFmtId="0" fontId="39" fillId="0" borderId="26" xfId="0" applyFont="1" applyBorder="1" applyAlignment="1">
      <alignment/>
    </xf>
    <xf numFmtId="0" fontId="38" fillId="0" borderId="26" xfId="0" applyFont="1" applyBorder="1" applyAlignment="1">
      <alignment/>
    </xf>
    <xf numFmtId="4" fontId="39" fillId="0" borderId="57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4" xfId="0" applyFont="1" applyBorder="1" applyAlignment="1">
      <alignment/>
    </xf>
    <xf numFmtId="4" fontId="39" fillId="0" borderId="21" xfId="0" applyNumberFormat="1" applyFont="1" applyBorder="1" applyAlignment="1">
      <alignment/>
    </xf>
    <xf numFmtId="0" fontId="39" fillId="0" borderId="13" xfId="0" applyFont="1" applyBorder="1" applyAlignment="1">
      <alignment/>
    </xf>
    <xf numFmtId="4" fontId="39" fillId="0" borderId="14" xfId="0" applyNumberFormat="1" applyFont="1" applyBorder="1" applyAlignment="1">
      <alignment/>
    </xf>
    <xf numFmtId="0" fontId="41" fillId="0" borderId="14" xfId="0" applyFont="1" applyBorder="1" applyAlignment="1">
      <alignment/>
    </xf>
    <xf numFmtId="0" fontId="39" fillId="0" borderId="21" xfId="0" applyFont="1" applyBorder="1" applyAlignment="1">
      <alignment/>
    </xf>
    <xf numFmtId="0" fontId="38" fillId="0" borderId="14" xfId="0" applyFont="1" applyBorder="1" applyAlignment="1">
      <alignment/>
    </xf>
    <xf numFmtId="0" fontId="41" fillId="0" borderId="16" xfId="0" applyFont="1" applyBorder="1" applyAlignment="1">
      <alignment/>
    </xf>
    <xf numFmtId="190" fontId="39" fillId="0" borderId="43" xfId="0" applyNumberFormat="1" applyFont="1" applyBorder="1" applyAlignment="1">
      <alignment/>
    </xf>
    <xf numFmtId="0" fontId="39" fillId="0" borderId="43" xfId="0" applyFont="1" applyBorder="1" applyAlignment="1">
      <alignment/>
    </xf>
    <xf numFmtId="0" fontId="41" fillId="0" borderId="43" xfId="0" applyFont="1" applyBorder="1" applyAlignment="1">
      <alignment/>
    </xf>
    <xf numFmtId="190" fontId="39" fillId="0" borderId="54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4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4" fontId="2" fillId="24" borderId="58" xfId="0" applyNumberFormat="1" applyFont="1" applyFill="1" applyBorder="1" applyAlignment="1">
      <alignment horizontal="center" vertical="center" wrapText="1"/>
    </xf>
    <xf numFmtId="4" fontId="2" fillId="24" borderId="38" xfId="0" applyNumberFormat="1" applyFont="1" applyFill="1" applyBorder="1" applyAlignment="1">
      <alignment horizontal="center" vertical="center" wrapText="1"/>
    </xf>
    <xf numFmtId="4" fontId="2" fillId="24" borderId="59" xfId="0" applyNumberFormat="1" applyFont="1" applyFill="1" applyBorder="1" applyAlignment="1">
      <alignment horizontal="center" vertical="center" wrapText="1"/>
    </xf>
    <xf numFmtId="4" fontId="1" fillId="24" borderId="3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4" fillId="27" borderId="14" xfId="0" applyFont="1" applyFill="1" applyBorder="1" applyAlignment="1">
      <alignment/>
    </xf>
    <xf numFmtId="0" fontId="20" fillId="4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184" fontId="24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right"/>
    </xf>
    <xf numFmtId="184" fontId="20" fillId="0" borderId="14" xfId="0" applyNumberFormat="1" applyFont="1" applyFill="1" applyBorder="1" applyAlignment="1">
      <alignment/>
    </xf>
    <xf numFmtId="184" fontId="21" fillId="0" borderId="14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right"/>
    </xf>
    <xf numFmtId="184" fontId="23" fillId="0" borderId="14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9" fillId="8" borderId="16" xfId="0" applyFont="1" applyFill="1" applyBorder="1" applyAlignment="1">
      <alignment horizontal="center"/>
    </xf>
    <xf numFmtId="2" fontId="19" fillId="0" borderId="43" xfId="0" applyNumberFormat="1" applyFont="1" applyBorder="1" applyAlignment="1">
      <alignment horizontal="center"/>
    </xf>
    <xf numFmtId="2" fontId="19" fillId="0" borderId="54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184" fontId="3" fillId="0" borderId="0" xfId="0" applyNumberFormat="1" applyFont="1" applyFill="1" applyAlignment="1">
      <alignment horizontal="right"/>
    </xf>
    <xf numFmtId="0" fontId="44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 wrapText="1"/>
    </xf>
    <xf numFmtId="10" fontId="3" fillId="0" borderId="21" xfId="0" applyNumberFormat="1" applyFont="1" applyFill="1" applyBorder="1" applyAlignment="1">
      <alignment/>
    </xf>
    <xf numFmtId="184" fontId="3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 wrapText="1"/>
    </xf>
    <xf numFmtId="10" fontId="3" fillId="0" borderId="54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10" fontId="22" fillId="0" borderId="52" xfId="0" applyNumberFormat="1" applyFont="1" applyFill="1" applyBorder="1" applyAlignment="1">
      <alignment/>
    </xf>
    <xf numFmtId="190" fontId="0" fillId="0" borderId="14" xfId="0" applyNumberFormat="1" applyFill="1" applyBorder="1" applyAlignment="1">
      <alignment horizontal="right"/>
    </xf>
    <xf numFmtId="190" fontId="0" fillId="27" borderId="14" xfId="0" applyNumberFormat="1" applyFill="1" applyBorder="1" applyAlignment="1">
      <alignment horizontal="right"/>
    </xf>
    <xf numFmtId="190" fontId="0" fillId="0" borderId="14" xfId="0" applyNumberFormat="1" applyBorder="1" applyAlignment="1">
      <alignment horizontal="right"/>
    </xf>
    <xf numFmtId="190" fontId="0" fillId="4" borderId="14" xfId="0" applyNumberFormat="1" applyFill="1" applyBorder="1" applyAlignment="1">
      <alignment horizontal="right"/>
    </xf>
    <xf numFmtId="199" fontId="4" fillId="0" borderId="0" xfId="0" applyNumberFormat="1" applyFont="1" applyAlignment="1">
      <alignment/>
    </xf>
    <xf numFmtId="190" fontId="20" fillId="0" borderId="14" xfId="0" applyNumberFormat="1" applyFont="1" applyFill="1" applyBorder="1" applyAlignment="1">
      <alignment horizontal="right"/>
    </xf>
    <xf numFmtId="193" fontId="0" fillId="0" borderId="0" xfId="55" applyNumberFormat="1" applyFont="1" applyBorder="1" applyAlignment="1">
      <alignment horizontal="center"/>
    </xf>
    <xf numFmtId="193" fontId="0" fillId="0" borderId="0" xfId="55" applyNumberFormat="1" applyBorder="1" applyAlignment="1">
      <alignment horizontal="center"/>
    </xf>
    <xf numFmtId="0" fontId="4" fillId="0" borderId="0" xfId="0" applyFont="1" applyBorder="1" applyAlignment="1">
      <alignment/>
    </xf>
    <xf numFmtId="193" fontId="4" fillId="0" borderId="0" xfId="0" applyNumberFormat="1" applyFont="1" applyBorder="1" applyAlignment="1">
      <alignment horizontal="center"/>
    </xf>
    <xf numFmtId="193" fontId="0" fillId="0" borderId="0" xfId="0" applyNumberFormat="1" applyBorder="1" applyAlignment="1">
      <alignment horizontal="center"/>
    </xf>
    <xf numFmtId="184" fontId="20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10" fontId="0" fillId="0" borderId="0" xfId="55" applyNumberFormat="1" applyAlignment="1">
      <alignment/>
    </xf>
    <xf numFmtId="10" fontId="0" fillId="3" borderId="0" xfId="55" applyNumberFormat="1" applyFill="1" applyAlignment="1">
      <alignment/>
    </xf>
    <xf numFmtId="10" fontId="0" fillId="0" borderId="0" xfId="0" applyNumberFormat="1" applyAlignment="1">
      <alignment/>
    </xf>
    <xf numFmtId="191" fontId="32" fillId="24" borderId="0" xfId="55" applyNumberFormat="1" applyFont="1" applyFill="1" applyAlignment="1">
      <alignment/>
    </xf>
    <xf numFmtId="0" fontId="32" fillId="24" borderId="0" xfId="0" applyFont="1" applyFill="1" applyAlignment="1">
      <alignment wrapText="1"/>
    </xf>
    <xf numFmtId="191" fontId="32" fillId="24" borderId="0" xfId="55" applyNumberFormat="1" applyFont="1" applyFill="1" applyAlignment="1">
      <alignment wrapText="1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5" fillId="0" borderId="55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5" fillId="0" borderId="54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9" fontId="25" fillId="0" borderId="60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3" fillId="0" borderId="52" xfId="0" applyFont="1" applyBorder="1" applyAlignment="1">
      <alignment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44" fontId="3" fillId="0" borderId="55" xfId="52" applyFont="1" applyBorder="1" applyAlignment="1">
      <alignment horizontal="center" vertical="top" wrapText="1"/>
    </xf>
    <xf numFmtId="44" fontId="3" fillId="0" borderId="62" xfId="52" applyFont="1" applyBorder="1" applyAlignment="1">
      <alignment horizontal="center"/>
    </xf>
    <xf numFmtId="44" fontId="3" fillId="0" borderId="63" xfId="52" applyFont="1" applyBorder="1" applyAlignment="1">
      <alignment horizontal="center"/>
    </xf>
    <xf numFmtId="44" fontId="3" fillId="0" borderId="11" xfId="52" applyFont="1" applyBorder="1" applyAlignment="1">
      <alignment horizontal="center"/>
    </xf>
    <xf numFmtId="44" fontId="3" fillId="0" borderId="64" xfId="52" applyFont="1" applyBorder="1" applyAlignment="1">
      <alignment horizontal="center"/>
    </xf>
    <xf numFmtId="44" fontId="3" fillId="0" borderId="61" xfId="52" applyFont="1" applyBorder="1" applyAlignment="1">
      <alignment horizontal="center"/>
    </xf>
    <xf numFmtId="44" fontId="3" fillId="0" borderId="27" xfId="52" applyFont="1" applyBorder="1" applyAlignment="1">
      <alignment horizontal="center"/>
    </xf>
    <xf numFmtId="44" fontId="3" fillId="0" borderId="26" xfId="52" applyFont="1" applyBorder="1" applyAlignment="1">
      <alignment horizontal="center"/>
    </xf>
    <xf numFmtId="0" fontId="3" fillId="0" borderId="57" xfId="0" applyFont="1" applyBorder="1" applyAlignment="1">
      <alignment/>
    </xf>
    <xf numFmtId="0" fontId="63" fillId="0" borderId="2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44" fontId="3" fillId="0" borderId="12" xfId="52" applyFont="1" applyBorder="1" applyAlignment="1">
      <alignment horizontal="center" vertical="top" wrapText="1"/>
    </xf>
    <xf numFmtId="44" fontId="3" fillId="0" borderId="66" xfId="52" applyFont="1" applyBorder="1" applyAlignment="1">
      <alignment horizontal="center"/>
    </xf>
    <xf numFmtId="44" fontId="3" fillId="0" borderId="12" xfId="52" applyFont="1" applyBorder="1" applyAlignment="1">
      <alignment horizontal="center"/>
    </xf>
    <xf numFmtId="44" fontId="3" fillId="0" borderId="13" xfId="52" applyFont="1" applyBorder="1" applyAlignment="1">
      <alignment horizontal="center"/>
    </xf>
    <xf numFmtId="44" fontId="3" fillId="0" borderId="67" xfId="52" applyFont="1" applyBorder="1" applyAlignment="1">
      <alignment horizontal="center"/>
    </xf>
    <xf numFmtId="44" fontId="3" fillId="0" borderId="65" xfId="52" applyFont="1" applyBorder="1" applyAlignment="1">
      <alignment horizontal="center"/>
    </xf>
    <xf numFmtId="44" fontId="3" fillId="0" borderId="14" xfId="52" applyFont="1" applyBorder="1" applyAlignment="1">
      <alignment horizontal="center"/>
    </xf>
    <xf numFmtId="0" fontId="3" fillId="0" borderId="21" xfId="0" applyFont="1" applyBorder="1" applyAlignment="1">
      <alignment/>
    </xf>
    <xf numFmtId="0" fontId="63" fillId="0" borderId="65" xfId="0" applyFont="1" applyBorder="1" applyAlignment="1">
      <alignment vertical="top" wrapText="1"/>
    </xf>
    <xf numFmtId="0" fontId="63" fillId="0" borderId="67" xfId="0" applyFont="1" applyBorder="1" applyAlignment="1">
      <alignment vertical="top" wrapText="1"/>
    </xf>
    <xf numFmtId="0" fontId="63" fillId="0" borderId="5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44" fontId="3" fillId="0" borderId="15" xfId="52" applyFont="1" applyBorder="1" applyAlignment="1">
      <alignment horizontal="center" vertical="top" wrapText="1"/>
    </xf>
    <xf numFmtId="44" fontId="3" fillId="0" borderId="68" xfId="52" applyFont="1" applyBorder="1" applyAlignment="1">
      <alignment horizontal="center"/>
    </xf>
    <xf numFmtId="44" fontId="3" fillId="0" borderId="15" xfId="52" applyFont="1" applyBorder="1" applyAlignment="1">
      <alignment horizontal="center"/>
    </xf>
    <xf numFmtId="44" fontId="3" fillId="0" borderId="16" xfId="52" applyFont="1" applyBorder="1" applyAlignment="1">
      <alignment horizontal="center"/>
    </xf>
    <xf numFmtId="44" fontId="3" fillId="0" borderId="69" xfId="52" applyFont="1" applyBorder="1" applyAlignment="1">
      <alignment horizontal="center"/>
    </xf>
    <xf numFmtId="44" fontId="3" fillId="0" borderId="70" xfId="52" applyFont="1" applyBorder="1" applyAlignment="1">
      <alignment horizontal="center"/>
    </xf>
    <xf numFmtId="44" fontId="3" fillId="0" borderId="29" xfId="52" applyFont="1" applyBorder="1" applyAlignment="1">
      <alignment horizontal="center"/>
    </xf>
    <xf numFmtId="44" fontId="3" fillId="0" borderId="28" xfId="52" applyFont="1" applyBorder="1" applyAlignment="1">
      <alignment horizontal="center"/>
    </xf>
    <xf numFmtId="0" fontId="3" fillId="0" borderId="71" xfId="0" applyFont="1" applyBorder="1" applyAlignment="1">
      <alignment/>
    </xf>
    <xf numFmtId="44" fontId="64" fillId="0" borderId="10" xfId="0" applyNumberFormat="1" applyFont="1" applyBorder="1" applyAlignment="1">
      <alignment horizontal="center"/>
    </xf>
    <xf numFmtId="44" fontId="3" fillId="0" borderId="72" xfId="52" applyFont="1" applyBorder="1" applyAlignment="1">
      <alignment horizontal="center"/>
    </xf>
    <xf numFmtId="44" fontId="3" fillId="0" borderId="73" xfId="52" applyFont="1" applyBorder="1" applyAlignment="1">
      <alignment horizontal="center"/>
    </xf>
    <xf numFmtId="44" fontId="3" fillId="0" borderId="35" xfId="52" applyFont="1" applyBorder="1" applyAlignment="1">
      <alignment horizontal="center"/>
    </xf>
    <xf numFmtId="44" fontId="3" fillId="0" borderId="17" xfId="52" applyFont="1" applyBorder="1" applyAlignment="1">
      <alignment horizontal="center"/>
    </xf>
    <xf numFmtId="44" fontId="3" fillId="0" borderId="18" xfId="52" applyFont="1" applyBorder="1" applyAlignment="1">
      <alignment horizontal="center"/>
    </xf>
    <xf numFmtId="44" fontId="3" fillId="0" borderId="23" xfId="52" applyFont="1" applyBorder="1" applyAlignment="1">
      <alignment horizontal="center"/>
    </xf>
    <xf numFmtId="44" fontId="20" fillId="0" borderId="22" xfId="52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44" fontId="3" fillId="0" borderId="0" xfId="52" applyFont="1" applyBorder="1" applyAlignment="1">
      <alignment horizontal="center"/>
    </xf>
    <xf numFmtId="44" fontId="20" fillId="0" borderId="0" xfId="52" applyFont="1" applyBorder="1" applyAlignment="1">
      <alignment horizontal="center"/>
    </xf>
    <xf numFmtId="0" fontId="63" fillId="5" borderId="52" xfId="0" applyFont="1" applyFill="1" applyBorder="1" applyAlignment="1">
      <alignment vertical="top" wrapText="1"/>
    </xf>
    <xf numFmtId="0" fontId="63" fillId="5" borderId="21" xfId="0" applyFont="1" applyFill="1" applyBorder="1" applyAlignment="1">
      <alignment vertical="top" wrapText="1"/>
    </xf>
    <xf numFmtId="0" fontId="63" fillId="5" borderId="65" xfId="0" applyFont="1" applyFill="1" applyBorder="1" applyAlignment="1">
      <alignment vertical="top" wrapText="1"/>
    </xf>
    <xf numFmtId="0" fontId="63" fillId="5" borderId="67" xfId="0" applyFont="1" applyFill="1" applyBorder="1" applyAlignment="1">
      <alignment vertical="top" wrapText="1"/>
    </xf>
    <xf numFmtId="0" fontId="63" fillId="5" borderId="54" xfId="0" applyFont="1" applyFill="1" applyBorder="1" applyAlignment="1">
      <alignment vertical="top" wrapText="1"/>
    </xf>
    <xf numFmtId="44" fontId="64" fillId="0" borderId="0" xfId="0" applyNumberFormat="1" applyFont="1" applyBorder="1" applyAlignment="1">
      <alignment horizontal="center"/>
    </xf>
    <xf numFmtId="44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4" fontId="2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14" xfId="0" applyFont="1" applyFill="1" applyBorder="1" applyAlignment="1">
      <alignment/>
    </xf>
    <xf numFmtId="0" fontId="3" fillId="0" borderId="63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44" fontId="3" fillId="0" borderId="74" xfId="52" applyFont="1" applyBorder="1" applyAlignment="1">
      <alignment horizontal="center" vertical="top" wrapText="1"/>
    </xf>
    <xf numFmtId="4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4" fontId="3" fillId="0" borderId="65" xfId="52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9" fontId="3" fillId="0" borderId="0" xfId="0" applyNumberFormat="1" applyFont="1" applyAlignment="1">
      <alignment wrapText="1"/>
    </xf>
    <xf numFmtId="44" fontId="3" fillId="0" borderId="60" xfId="52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4" fontId="3" fillId="0" borderId="19" xfId="52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4" fontId="20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52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4" fontId="3" fillId="0" borderId="0" xfId="52" applyFont="1" applyFill="1" applyBorder="1" applyAlignment="1">
      <alignment horizontal="center" vertical="top" wrapText="1"/>
    </xf>
    <xf numFmtId="44" fontId="22" fillId="0" borderId="0" xfId="52" applyFont="1" applyBorder="1" applyAlignment="1">
      <alignment horizontal="center"/>
    </xf>
    <xf numFmtId="44" fontId="64" fillId="0" borderId="0" xfId="52" applyFont="1" applyBorder="1" applyAlignment="1">
      <alignment horizontal="center"/>
    </xf>
    <xf numFmtId="0" fontId="25" fillId="0" borderId="55" xfId="0" applyFont="1" applyFill="1" applyBorder="1" applyAlignment="1">
      <alignment horizont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9" fontId="25" fillId="0" borderId="6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44" fontId="3" fillId="0" borderId="55" xfId="52" applyFont="1" applyFill="1" applyBorder="1" applyAlignment="1">
      <alignment horizontal="center" vertical="top" wrapText="1"/>
    </xf>
    <xf numFmtId="44" fontId="3" fillId="0" borderId="62" xfId="52" applyFont="1" applyFill="1" applyBorder="1" applyAlignment="1">
      <alignment horizontal="center"/>
    </xf>
    <xf numFmtId="44" fontId="3" fillId="0" borderId="63" xfId="52" applyFont="1" applyFill="1" applyBorder="1" applyAlignment="1">
      <alignment horizontal="center"/>
    </xf>
    <xf numFmtId="44" fontId="3" fillId="0" borderId="11" xfId="52" applyFont="1" applyFill="1" applyBorder="1" applyAlignment="1">
      <alignment horizontal="center"/>
    </xf>
    <xf numFmtId="44" fontId="3" fillId="0" borderId="64" xfId="52" applyFont="1" applyFill="1" applyBorder="1" applyAlignment="1">
      <alignment horizontal="center"/>
    </xf>
    <xf numFmtId="44" fontId="3" fillId="0" borderId="61" xfId="52" applyFont="1" applyFill="1" applyBorder="1" applyAlignment="1">
      <alignment horizontal="center"/>
    </xf>
    <xf numFmtId="44" fontId="3" fillId="0" borderId="27" xfId="52" applyFont="1" applyFill="1" applyBorder="1" applyAlignment="1">
      <alignment horizontal="center"/>
    </xf>
    <xf numFmtId="44" fontId="3" fillId="0" borderId="26" xfId="52" applyFont="1" applyFill="1" applyBorder="1" applyAlignment="1">
      <alignment horizontal="center"/>
    </xf>
    <xf numFmtId="0" fontId="3" fillId="0" borderId="57" xfId="0" applyFont="1" applyFill="1" applyBorder="1" applyAlignment="1">
      <alignment/>
    </xf>
    <xf numFmtId="0" fontId="63" fillId="0" borderId="2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44" fontId="3" fillId="0" borderId="12" xfId="52" applyFont="1" applyFill="1" applyBorder="1" applyAlignment="1">
      <alignment horizontal="center" vertical="top" wrapText="1"/>
    </xf>
    <xf numFmtId="44" fontId="3" fillId="0" borderId="12" xfId="52" applyFont="1" applyFill="1" applyBorder="1" applyAlignment="1">
      <alignment horizontal="center"/>
    </xf>
    <xf numFmtId="44" fontId="3" fillId="0" borderId="13" xfId="52" applyFont="1" applyFill="1" applyBorder="1" applyAlignment="1">
      <alignment horizontal="center"/>
    </xf>
    <xf numFmtId="44" fontId="3" fillId="0" borderId="67" xfId="52" applyFont="1" applyFill="1" applyBorder="1" applyAlignment="1">
      <alignment horizontal="center"/>
    </xf>
    <xf numFmtId="44" fontId="3" fillId="0" borderId="65" xfId="52" applyFont="1" applyFill="1" applyBorder="1" applyAlignment="1">
      <alignment horizontal="center"/>
    </xf>
    <xf numFmtId="44" fontId="3" fillId="0" borderId="14" xfId="52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63" fillId="0" borderId="65" xfId="0" applyFont="1" applyFill="1" applyBorder="1" applyAlignment="1">
      <alignment vertical="top" wrapText="1"/>
    </xf>
    <xf numFmtId="0" fontId="63" fillId="0" borderId="67" xfId="0" applyFont="1" applyFill="1" applyBorder="1" applyAlignment="1">
      <alignment vertical="top" wrapText="1"/>
    </xf>
    <xf numFmtId="0" fontId="63" fillId="0" borderId="5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44" fontId="3" fillId="0" borderId="15" xfId="52" applyFont="1" applyFill="1" applyBorder="1" applyAlignment="1">
      <alignment horizontal="center" vertical="top" wrapText="1"/>
    </xf>
    <xf numFmtId="44" fontId="3" fillId="0" borderId="15" xfId="52" applyFont="1" applyFill="1" applyBorder="1" applyAlignment="1">
      <alignment horizontal="center"/>
    </xf>
    <xf numFmtId="44" fontId="3" fillId="0" borderId="16" xfId="52" applyFont="1" applyFill="1" applyBorder="1" applyAlignment="1">
      <alignment horizontal="center"/>
    </xf>
    <xf numFmtId="44" fontId="3" fillId="0" borderId="69" xfId="52" applyFont="1" applyFill="1" applyBorder="1" applyAlignment="1">
      <alignment horizontal="center"/>
    </xf>
    <xf numFmtId="44" fontId="3" fillId="0" borderId="70" xfId="52" applyFont="1" applyFill="1" applyBorder="1" applyAlignment="1">
      <alignment horizontal="center"/>
    </xf>
    <xf numFmtId="44" fontId="3" fillId="0" borderId="29" xfId="52" applyFont="1" applyFill="1" applyBorder="1" applyAlignment="1">
      <alignment horizontal="center"/>
    </xf>
    <xf numFmtId="44" fontId="3" fillId="0" borderId="28" xfId="52" applyFont="1" applyFill="1" applyBorder="1" applyAlignment="1">
      <alignment horizontal="center"/>
    </xf>
    <xf numFmtId="0" fontId="3" fillId="0" borderId="71" xfId="0" applyFont="1" applyFill="1" applyBorder="1" applyAlignment="1">
      <alignment/>
    </xf>
    <xf numFmtId="44" fontId="64" fillId="0" borderId="10" xfId="0" applyNumberFormat="1" applyFont="1" applyFill="1" applyBorder="1" applyAlignment="1">
      <alignment horizontal="center"/>
    </xf>
    <xf numFmtId="44" fontId="3" fillId="0" borderId="72" xfId="52" applyFont="1" applyFill="1" applyBorder="1" applyAlignment="1">
      <alignment horizontal="center"/>
    </xf>
    <xf numFmtId="44" fontId="3" fillId="0" borderId="73" xfId="52" applyFont="1" applyFill="1" applyBorder="1" applyAlignment="1">
      <alignment horizontal="center"/>
    </xf>
    <xf numFmtId="44" fontId="3" fillId="0" borderId="35" xfId="52" applyFont="1" applyFill="1" applyBorder="1" applyAlignment="1">
      <alignment horizontal="center"/>
    </xf>
    <xf numFmtId="44" fontId="3" fillId="0" borderId="17" xfId="52" applyFont="1" applyFill="1" applyBorder="1" applyAlignment="1">
      <alignment horizontal="center"/>
    </xf>
    <xf numFmtId="44" fontId="3" fillId="0" borderId="18" xfId="52" applyFont="1" applyFill="1" applyBorder="1" applyAlignment="1">
      <alignment horizontal="center"/>
    </xf>
    <xf numFmtId="44" fontId="3" fillId="0" borderId="23" xfId="52" applyFont="1" applyFill="1" applyBorder="1" applyAlignment="1">
      <alignment horizontal="center"/>
    </xf>
    <xf numFmtId="44" fontId="20" fillId="0" borderId="22" xfId="5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4" fillId="0" borderId="17" xfId="0" applyFont="1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0" fontId="0" fillId="0" borderId="14" xfId="55" applyNumberFormat="1" applyBorder="1" applyAlignment="1">
      <alignment horizontal="center" vertical="center"/>
    </xf>
    <xf numFmtId="10" fontId="0" fillId="3" borderId="14" xfId="55" applyNumberFormat="1" applyFill="1" applyBorder="1" applyAlignment="1">
      <alignment horizontal="center" vertical="center"/>
    </xf>
    <xf numFmtId="10" fontId="0" fillId="3" borderId="21" xfId="55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0" fillId="0" borderId="7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99" fontId="0" fillId="0" borderId="21" xfId="50" applyNumberFormat="1" applyBorder="1" applyAlignment="1">
      <alignment/>
    </xf>
    <xf numFmtId="199" fontId="0" fillId="0" borderId="52" xfId="50" applyNumberFormat="1" applyBorder="1" applyAlignment="1">
      <alignment/>
    </xf>
    <xf numFmtId="197" fontId="0" fillId="0" borderId="71" xfId="55" applyNumberFormat="1" applyBorder="1" applyAlignment="1">
      <alignment/>
    </xf>
    <xf numFmtId="199" fontId="0" fillId="0" borderId="46" xfId="50" applyNumberFormat="1" applyBorder="1" applyAlignment="1">
      <alignment/>
    </xf>
    <xf numFmtId="10" fontId="0" fillId="0" borderId="52" xfId="55" applyNumberFormat="1" applyFont="1" applyBorder="1" applyAlignment="1">
      <alignment horizontal="center"/>
    </xf>
    <xf numFmtId="192" fontId="0" fillId="0" borderId="21" xfId="55" applyNumberFormat="1" applyBorder="1" applyAlignment="1">
      <alignment horizontal="center"/>
    </xf>
    <xf numFmtId="10" fontId="0" fillId="0" borderId="21" xfId="55" applyNumberFormat="1" applyBorder="1" applyAlignment="1">
      <alignment horizontal="center"/>
    </xf>
    <xf numFmtId="0" fontId="4" fillId="0" borderId="13" xfId="0" applyFont="1" applyBorder="1" applyAlignment="1">
      <alignment/>
    </xf>
    <xf numFmtId="197" fontId="4" fillId="0" borderId="21" xfId="0" applyNumberFormat="1" applyFont="1" applyBorder="1" applyAlignment="1">
      <alignment horizontal="center"/>
    </xf>
    <xf numFmtId="0" fontId="4" fillId="0" borderId="16" xfId="0" applyFont="1" applyFill="1" applyBorder="1" applyAlignment="1">
      <alignment/>
    </xf>
    <xf numFmtId="10" fontId="4" fillId="0" borderId="54" xfId="0" applyNumberFormat="1" applyFont="1" applyBorder="1" applyAlignment="1">
      <alignment horizontal="center"/>
    </xf>
    <xf numFmtId="190" fontId="0" fillId="0" borderId="14" xfId="0" applyNumberFormat="1" applyBorder="1" applyAlignment="1">
      <alignment/>
    </xf>
    <xf numFmtId="190" fontId="0" fillId="0" borderId="0" xfId="0" applyNumberFormat="1" applyAlignment="1">
      <alignment/>
    </xf>
    <xf numFmtId="0" fontId="6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6" fillId="0" borderId="14" xfId="0" applyFont="1" applyBorder="1" applyAlignment="1">
      <alignment horizontal="justify"/>
    </xf>
    <xf numFmtId="190" fontId="0" fillId="0" borderId="14" xfId="0" applyNumberFormat="1" applyFont="1" applyBorder="1" applyAlignment="1">
      <alignment/>
    </xf>
    <xf numFmtId="0" fontId="66" fillId="0" borderId="14" xfId="0" applyFont="1" applyBorder="1" applyAlignment="1">
      <alignment/>
    </xf>
    <xf numFmtId="190" fontId="4" fillId="0" borderId="14" xfId="0" applyNumberFormat="1" applyFont="1" applyBorder="1" applyAlignment="1">
      <alignment/>
    </xf>
    <xf numFmtId="0" fontId="0" fillId="3" borderId="0" xfId="0" applyFill="1" applyAlignment="1">
      <alignment/>
    </xf>
    <xf numFmtId="0" fontId="65" fillId="8" borderId="14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65" fillId="8" borderId="14" xfId="0" applyFont="1" applyFill="1" applyBorder="1" applyAlignment="1">
      <alignment horizontal="justify"/>
    </xf>
    <xf numFmtId="190" fontId="0" fillId="8" borderId="14" xfId="0" applyNumberFormat="1" applyFont="1" applyFill="1" applyBorder="1" applyAlignment="1">
      <alignment/>
    </xf>
    <xf numFmtId="0" fontId="66" fillId="0" borderId="14" xfId="0" applyFont="1" applyFill="1" applyBorder="1" applyAlignment="1">
      <alignment/>
    </xf>
    <xf numFmtId="190" fontId="0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justify" vertical="center"/>
    </xf>
    <xf numFmtId="0" fontId="0" fillId="0" borderId="76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justify" vertical="center"/>
    </xf>
    <xf numFmtId="0" fontId="0" fillId="0" borderId="33" xfId="0" applyFont="1" applyFill="1" applyBorder="1" applyAlignment="1">
      <alignment/>
    </xf>
    <xf numFmtId="0" fontId="0" fillId="0" borderId="41" xfId="0" applyFont="1" applyFill="1" applyBorder="1" applyAlignment="1">
      <alignment horizontal="justify" vertical="center"/>
    </xf>
    <xf numFmtId="44" fontId="0" fillId="0" borderId="0" xfId="0" applyNumberFormat="1" applyFont="1" applyFill="1" applyBorder="1" applyAlignment="1">
      <alignment/>
    </xf>
    <xf numFmtId="44" fontId="0" fillId="0" borderId="0" xfId="52" applyFont="1" applyFill="1" applyBorder="1" applyAlignment="1">
      <alignment/>
    </xf>
    <xf numFmtId="44" fontId="0" fillId="0" borderId="33" xfId="52" applyFont="1" applyFill="1" applyBorder="1" applyAlignment="1">
      <alignment/>
    </xf>
    <xf numFmtId="44" fontId="0" fillId="0" borderId="0" xfId="52" applyFont="1" applyFill="1" applyBorder="1" applyAlignment="1">
      <alignment horizontal="center"/>
    </xf>
    <xf numFmtId="44" fontId="13" fillId="0" borderId="0" xfId="5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4" fontId="13" fillId="0" borderId="0" xfId="52" applyFont="1" applyFill="1" applyBorder="1" applyAlignment="1">
      <alignment/>
    </xf>
    <xf numFmtId="44" fontId="13" fillId="0" borderId="33" xfId="52" applyFont="1" applyFill="1" applyBorder="1" applyAlignment="1">
      <alignment/>
    </xf>
    <xf numFmtId="0" fontId="29" fillId="0" borderId="41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44" fontId="0" fillId="0" borderId="0" xfId="52" applyFont="1" applyFill="1" applyBorder="1" applyAlignment="1">
      <alignment/>
    </xf>
    <xf numFmtId="44" fontId="0" fillId="0" borderId="33" xfId="52" applyFont="1" applyFill="1" applyBorder="1" applyAlignment="1">
      <alignment/>
    </xf>
    <xf numFmtId="0" fontId="15" fillId="0" borderId="41" xfId="0" applyFont="1" applyFill="1" applyBorder="1" applyAlignment="1">
      <alignment horizontal="justify" vertical="center"/>
    </xf>
    <xf numFmtId="44" fontId="13" fillId="0" borderId="0" xfId="0" applyNumberFormat="1" applyFont="1" applyFill="1" applyBorder="1" applyAlignment="1">
      <alignment/>
    </xf>
    <xf numFmtId="44" fontId="13" fillId="0" borderId="33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44" fontId="13" fillId="0" borderId="0" xfId="0" applyNumberFormat="1" applyFont="1" applyFill="1" applyBorder="1" applyAlignment="1">
      <alignment/>
    </xf>
    <xf numFmtId="44" fontId="67" fillId="0" borderId="0" xfId="0" applyNumberFormat="1" applyFont="1" applyFill="1" applyBorder="1" applyAlignment="1">
      <alignment/>
    </xf>
    <xf numFmtId="44" fontId="68" fillId="0" borderId="0" xfId="0" applyNumberFormat="1" applyFont="1" applyFill="1" applyBorder="1" applyAlignment="1">
      <alignment/>
    </xf>
    <xf numFmtId="44" fontId="69" fillId="0" borderId="0" xfId="52" applyFont="1" applyFill="1" applyBorder="1" applyAlignment="1">
      <alignment/>
    </xf>
    <xf numFmtId="44" fontId="69" fillId="0" borderId="33" xfId="52" applyFont="1" applyFill="1" applyBorder="1" applyAlignment="1">
      <alignment/>
    </xf>
    <xf numFmtId="0" fontId="69" fillId="0" borderId="0" xfId="0" applyFont="1" applyFill="1" applyBorder="1" applyAlignment="1">
      <alignment/>
    </xf>
    <xf numFmtId="44" fontId="67" fillId="0" borderId="0" xfId="0" applyNumberFormat="1" applyFont="1" applyFill="1" applyBorder="1" applyAlignment="1">
      <alignment/>
    </xf>
    <xf numFmtId="0" fontId="4" fillId="26" borderId="72" xfId="0" applyFont="1" applyFill="1" applyBorder="1" applyAlignment="1">
      <alignment/>
    </xf>
    <xf numFmtId="190" fontId="0" fillId="26" borderId="77" xfId="50" applyNumberFormat="1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78" xfId="0" applyBorder="1" applyAlignment="1">
      <alignment horizontal="center"/>
    </xf>
    <xf numFmtId="190" fontId="0" fillId="0" borderId="78" xfId="50" applyNumberFormat="1" applyFont="1" applyBorder="1" applyAlignment="1">
      <alignment horizontal="center"/>
    </xf>
    <xf numFmtId="190" fontId="0" fillId="0" borderId="78" xfId="50" applyNumberFormat="1" applyFont="1" applyBorder="1" applyAlignment="1">
      <alignment horizontal="center"/>
    </xf>
    <xf numFmtId="190" fontId="0" fillId="0" borderId="26" xfId="5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190" fontId="70" fillId="0" borderId="78" xfId="50" applyNumberFormat="1" applyFont="1" applyBorder="1" applyAlignment="1">
      <alignment horizontal="center"/>
    </xf>
    <xf numFmtId="190" fontId="71" fillId="26" borderId="73" xfId="5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9" fontId="22" fillId="0" borderId="0" xfId="0" applyNumberFormat="1" applyFont="1" applyFill="1" applyAlignment="1">
      <alignment/>
    </xf>
    <xf numFmtId="184" fontId="2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7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26" borderId="75" xfId="0" applyFont="1" applyFill="1" applyBorder="1" applyAlignment="1">
      <alignment horizontal="center"/>
    </xf>
    <xf numFmtId="0" fontId="4" fillId="26" borderId="76" xfId="0" applyFont="1" applyFill="1" applyBorder="1" applyAlignment="1">
      <alignment horizontal="center"/>
    </xf>
    <xf numFmtId="0" fontId="4" fillId="26" borderId="56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6" fillId="0" borderId="75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6" fillId="0" borderId="41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0" fillId="0" borderId="4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 wrapText="1"/>
    </xf>
    <xf numFmtId="0" fontId="25" fillId="0" borderId="64" xfId="0" applyFont="1" applyFill="1" applyBorder="1" applyAlignment="1">
      <alignment horizontal="center" wrapText="1"/>
    </xf>
    <xf numFmtId="0" fontId="25" fillId="0" borderId="79" xfId="0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/>
    </xf>
    <xf numFmtId="0" fontId="25" fillId="0" borderId="81" xfId="0" applyFont="1" applyFill="1" applyBorder="1" applyAlignment="1">
      <alignment horizontal="center"/>
    </xf>
    <xf numFmtId="0" fontId="25" fillId="0" borderId="82" xfId="0" applyFont="1" applyFill="1" applyBorder="1" applyAlignment="1">
      <alignment horizontal="center"/>
    </xf>
    <xf numFmtId="0" fontId="63" fillId="0" borderId="79" xfId="0" applyFont="1" applyFill="1" applyBorder="1" applyAlignment="1">
      <alignment horizontal="center" vertical="top" wrapText="1"/>
    </xf>
    <xf numFmtId="0" fontId="63" fillId="0" borderId="83" xfId="0" applyFont="1" applyFill="1" applyBorder="1" applyAlignment="1">
      <alignment horizontal="center" vertical="top" wrapText="1"/>
    </xf>
    <xf numFmtId="0" fontId="63" fillId="0" borderId="27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left" vertical="top" wrapText="1"/>
    </xf>
    <xf numFmtId="0" fontId="63" fillId="0" borderId="83" xfId="0" applyFont="1" applyFill="1" applyBorder="1" applyAlignment="1">
      <alignment horizontal="left" vertical="top" wrapText="1"/>
    </xf>
    <xf numFmtId="0" fontId="63" fillId="0" borderId="72" xfId="0" applyFont="1" applyFill="1" applyBorder="1" applyAlignment="1">
      <alignment horizontal="left" vertical="top" wrapText="1"/>
    </xf>
    <xf numFmtId="0" fontId="25" fillId="0" borderId="84" xfId="0" applyFont="1" applyFill="1" applyBorder="1" applyAlignment="1">
      <alignment horizontal="center" vertical="center" textRotation="90" wrapText="1"/>
    </xf>
    <xf numFmtId="0" fontId="25" fillId="0" borderId="34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/>
    </xf>
    <xf numFmtId="0" fontId="25" fillId="0" borderId="79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25" fillId="0" borderId="81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63" fillId="0" borderId="79" xfId="0" applyFont="1" applyBorder="1" applyAlignment="1">
      <alignment horizontal="center" vertical="top" wrapText="1"/>
    </xf>
    <xf numFmtId="0" fontId="63" fillId="0" borderId="83" xfId="0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left" vertical="top" wrapText="1"/>
    </xf>
    <xf numFmtId="0" fontId="63" fillId="0" borderId="83" xfId="0" applyFont="1" applyBorder="1" applyAlignment="1">
      <alignment horizontal="left" vertical="top" wrapText="1"/>
    </xf>
    <xf numFmtId="0" fontId="63" fillId="0" borderId="72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5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/>
    </xf>
    <xf numFmtId="0" fontId="25" fillId="0" borderId="61" xfId="0" applyFont="1" applyBorder="1" applyAlignment="1">
      <alignment horizontal="center" wrapText="1"/>
    </xf>
    <xf numFmtId="0" fontId="25" fillId="0" borderId="64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textRotation="90" wrapText="1"/>
    </xf>
    <xf numFmtId="0" fontId="63" fillId="5" borderId="79" xfId="0" applyFont="1" applyFill="1" applyBorder="1" applyAlignment="1">
      <alignment horizontal="center" vertical="top" wrapText="1"/>
    </xf>
    <xf numFmtId="0" fontId="63" fillId="5" borderId="83" xfId="0" applyFont="1" applyFill="1" applyBorder="1" applyAlignment="1">
      <alignment horizontal="center" vertical="top" wrapText="1"/>
    </xf>
    <xf numFmtId="0" fontId="63" fillId="5" borderId="27" xfId="0" applyFont="1" applyFill="1" applyBorder="1" applyAlignment="1">
      <alignment horizontal="center" vertical="top" wrapText="1"/>
    </xf>
    <xf numFmtId="0" fontId="63" fillId="5" borderId="29" xfId="0" applyFont="1" applyFill="1" applyBorder="1" applyAlignment="1">
      <alignment horizontal="left" vertical="top" wrapText="1"/>
    </xf>
    <xf numFmtId="0" fontId="63" fillId="5" borderId="83" xfId="0" applyFont="1" applyFill="1" applyBorder="1" applyAlignment="1">
      <alignment horizontal="left" vertical="top" wrapText="1"/>
    </xf>
    <xf numFmtId="0" fontId="63" fillId="5" borderId="7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184" fontId="12" fillId="0" borderId="40" xfId="0" applyNumberFormat="1" applyFont="1" applyBorder="1" applyAlignment="1">
      <alignment horizontal="center" vertical="top" wrapText="1"/>
    </xf>
    <xf numFmtId="184" fontId="12" fillId="0" borderId="10" xfId="0" applyNumberFormat="1" applyFont="1" applyBorder="1" applyAlignment="1">
      <alignment horizontal="center" vertical="top" wrapText="1"/>
    </xf>
    <xf numFmtId="184" fontId="12" fillId="0" borderId="31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0" fillId="0" borderId="60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8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textRotation="90"/>
    </xf>
    <xf numFmtId="0" fontId="12" fillId="0" borderId="34" xfId="0" applyFont="1" applyBorder="1" applyAlignment="1">
      <alignment horizontal="center" textRotation="90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2" fillId="15" borderId="75" xfId="0" applyFont="1" applyFill="1" applyBorder="1" applyAlignment="1">
      <alignment horizontal="center"/>
    </xf>
    <xf numFmtId="0" fontId="32" fillId="15" borderId="56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19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85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90" fontId="0" fillId="0" borderId="78" xfId="0" applyNumberFormat="1" applyFill="1" applyBorder="1" applyAlignment="1">
      <alignment horizontal="right"/>
    </xf>
    <xf numFmtId="9" fontId="0" fillId="0" borderId="78" xfId="55" applyFill="1" applyBorder="1" applyAlignment="1">
      <alignment horizontal="right"/>
    </xf>
    <xf numFmtId="190" fontId="4" fillId="28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27" xfId="0" applyBorder="1" applyAlignment="1">
      <alignment/>
    </xf>
    <xf numFmtId="0" fontId="4" fillId="5" borderId="17" xfId="0" applyFont="1" applyFill="1" applyBorder="1" applyAlignment="1">
      <alignment/>
    </xf>
    <xf numFmtId="0" fontId="4" fillId="5" borderId="46" xfId="0" applyFont="1" applyFill="1" applyBorder="1" applyAlignment="1">
      <alignment/>
    </xf>
    <xf numFmtId="0" fontId="37" fillId="5" borderId="75" xfId="0" applyFont="1" applyFill="1" applyBorder="1" applyAlignment="1">
      <alignment horizontal="center" vertical="center"/>
    </xf>
    <xf numFmtId="0" fontId="37" fillId="5" borderId="76" xfId="0" applyFont="1" applyFill="1" applyBorder="1" applyAlignment="1">
      <alignment horizontal="center" vertical="center"/>
    </xf>
    <xf numFmtId="0" fontId="37" fillId="5" borderId="56" xfId="0" applyFont="1" applyFill="1" applyBorder="1" applyAlignment="1">
      <alignment horizontal="center" vertical="center"/>
    </xf>
    <xf numFmtId="0" fontId="37" fillId="5" borderId="40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7" fillId="5" borderId="31" xfId="0" applyFont="1" applyFill="1" applyBorder="1" applyAlignment="1">
      <alignment horizontal="center" vertical="center"/>
    </xf>
    <xf numFmtId="190" fontId="0" fillId="0" borderId="57" xfId="0" applyNumberFormat="1" applyBorder="1" applyAlignment="1">
      <alignment/>
    </xf>
    <xf numFmtId="190" fontId="0" fillId="0" borderId="21" xfId="0" applyNumberFormat="1" applyBorder="1" applyAlignment="1">
      <alignment/>
    </xf>
    <xf numFmtId="190" fontId="0" fillId="0" borderId="21" xfId="0" applyNumberFormat="1" applyFont="1" applyBorder="1" applyAlignment="1">
      <alignment/>
    </xf>
    <xf numFmtId="190" fontId="4" fillId="0" borderId="54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textRotation="90" wrapText="1"/>
    </xf>
    <xf numFmtId="0" fontId="29" fillId="5" borderId="42" xfId="0" applyFont="1" applyFill="1" applyBorder="1" applyAlignment="1">
      <alignment horizontal="center" vertical="center" textRotation="90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textRotation="90" wrapText="1"/>
    </xf>
    <xf numFmtId="0" fontId="12" fillId="5" borderId="52" xfId="0" applyFont="1" applyFill="1" applyBorder="1" applyAlignment="1">
      <alignment horizontal="center" vertical="center" textRotation="90" wrapText="1"/>
    </xf>
    <xf numFmtId="0" fontId="12" fillId="5" borderId="11" xfId="0" applyFont="1" applyFill="1" applyBorder="1" applyAlignment="1">
      <alignment horizontal="center" wrapText="1"/>
    </xf>
    <xf numFmtId="0" fontId="12" fillId="5" borderId="44" xfId="0" applyFont="1" applyFill="1" applyBorder="1" applyAlignment="1">
      <alignment horizontal="center" wrapText="1"/>
    </xf>
    <xf numFmtId="0" fontId="12" fillId="5" borderId="55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4" xfId="0" applyFont="1" applyFill="1" applyBorder="1" applyAlignment="1">
      <alignment horizontal="center"/>
    </xf>
    <xf numFmtId="0" fontId="12" fillId="5" borderId="52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textRotation="90" wrapText="1"/>
    </xf>
    <xf numFmtId="0" fontId="29" fillId="5" borderId="43" xfId="0" applyFont="1" applyFill="1" applyBorder="1" applyAlignment="1">
      <alignment horizontal="center" vertical="center" textRotation="90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textRotation="90" wrapText="1"/>
    </xf>
    <xf numFmtId="0" fontId="0" fillId="5" borderId="54" xfId="0" applyFont="1" applyFill="1" applyBorder="1" applyAlignment="1">
      <alignment/>
    </xf>
    <xf numFmtId="0" fontId="12" fillId="5" borderId="16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9" fontId="12" fillId="5" borderId="15" xfId="0" applyNumberFormat="1" applyFont="1" applyFill="1" applyBorder="1" applyAlignment="1">
      <alignment horizontal="center" vertical="center" wrapText="1"/>
    </xf>
    <xf numFmtId="0" fontId="12" fillId="5" borderId="72" xfId="0" applyFont="1" applyFill="1" applyBorder="1" applyAlignment="1">
      <alignment horizontal="center" vertical="center" wrapText="1"/>
    </xf>
    <xf numFmtId="0" fontId="12" fillId="5" borderId="77" xfId="0" applyFont="1" applyFill="1" applyBorder="1" applyAlignment="1">
      <alignment horizontal="center" vertical="center" wrapText="1"/>
    </xf>
    <xf numFmtId="0" fontId="12" fillId="5" borderId="7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2" fillId="5" borderId="22" xfId="0" applyFont="1" applyFill="1" applyBorder="1" applyAlignment="1">
      <alignment horizontal="right" vertical="top" wrapText="1"/>
    </xf>
    <xf numFmtId="184" fontId="0" fillId="5" borderId="12" xfId="50" applyNumberFormat="1" applyFont="1" applyFill="1" applyBorder="1" applyAlignment="1">
      <alignment horizontal="right" vertical="center" wrapText="1"/>
    </xf>
    <xf numFmtId="184" fontId="0" fillId="5" borderId="37" xfId="50" applyNumberFormat="1" applyFont="1" applyFill="1" applyBorder="1" applyAlignment="1">
      <alignment horizontal="right" vertical="center" wrapText="1"/>
    </xf>
    <xf numFmtId="184" fontId="12" fillId="5" borderId="22" xfId="0" applyNumberFormat="1" applyFont="1" applyFill="1" applyBorder="1" applyAlignment="1">
      <alignment vertical="top" wrapText="1"/>
    </xf>
    <xf numFmtId="184" fontId="12" fillId="5" borderId="22" xfId="0" applyNumberFormat="1" applyFont="1" applyFill="1" applyBorder="1" applyAlignment="1">
      <alignment/>
    </xf>
    <xf numFmtId="0" fontId="7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3" fillId="0" borderId="0" xfId="0" applyFont="1" applyAlignment="1">
      <alignment/>
    </xf>
    <xf numFmtId="0" fontId="12" fillId="5" borderId="22" xfId="0" applyFont="1" applyFill="1" applyBorder="1" applyAlignment="1">
      <alignment horizontal="center" vertical="top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4" fillId="5" borderId="7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5" borderId="14" xfId="0" applyFont="1" applyFill="1" applyBorder="1" applyAlignment="1">
      <alignment/>
    </xf>
    <xf numFmtId="0" fontId="21" fillId="5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30" fillId="0" borderId="14" xfId="0" applyFont="1" applyFill="1" applyBorder="1" applyAlignment="1">
      <alignment/>
    </xf>
    <xf numFmtId="0" fontId="75" fillId="0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184" fontId="31" fillId="0" borderId="14" xfId="0" applyNumberFormat="1" applyFont="1" applyFill="1" applyBorder="1" applyAlignment="1">
      <alignment/>
    </xf>
    <xf numFmtId="184" fontId="31" fillId="0" borderId="0" xfId="0" applyNumberFormat="1" applyFont="1" applyFill="1" applyBorder="1" applyAlignment="1">
      <alignment/>
    </xf>
    <xf numFmtId="4" fontId="31" fillId="0" borderId="14" xfId="0" applyNumberFormat="1" applyFont="1" applyFill="1" applyBorder="1" applyAlignment="1">
      <alignment/>
    </xf>
    <xf numFmtId="0" fontId="31" fillId="0" borderId="14" xfId="0" applyFont="1" applyFill="1" applyBorder="1" applyAlignment="1">
      <alignment wrapText="1"/>
    </xf>
    <xf numFmtId="184" fontId="76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 horizontal="right"/>
    </xf>
    <xf numFmtId="184" fontId="30" fillId="0" borderId="14" xfId="0" applyNumberFormat="1" applyFont="1" applyFill="1" applyBorder="1" applyAlignment="1">
      <alignment/>
    </xf>
    <xf numFmtId="184" fontId="75" fillId="0" borderId="14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right"/>
    </xf>
    <xf numFmtId="0" fontId="75" fillId="0" borderId="14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190" fontId="30" fillId="0" borderId="14" xfId="0" applyNumberFormat="1" applyFont="1" applyFill="1" applyBorder="1" applyAlignment="1">
      <alignment horizontal="right"/>
    </xf>
    <xf numFmtId="184" fontId="77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 wrapText="1"/>
    </xf>
    <xf numFmtId="10" fontId="3" fillId="0" borderId="52" xfId="0" applyNumberFormat="1" applyFont="1" applyFill="1" applyBorder="1" applyAlignment="1">
      <alignment/>
    </xf>
    <xf numFmtId="0" fontId="75" fillId="5" borderId="14" xfId="0" applyFont="1" applyFill="1" applyBorder="1" applyAlignment="1">
      <alignment horizontal="center"/>
    </xf>
    <xf numFmtId="0" fontId="31" fillId="5" borderId="0" xfId="0" applyFont="1" applyFill="1" applyBorder="1" applyAlignment="1">
      <alignment/>
    </xf>
    <xf numFmtId="0" fontId="30" fillId="5" borderId="14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sueldos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152400</xdr:rowOff>
    </xdr:from>
    <xdr:to>
      <xdr:col>18</xdr:col>
      <xdr:colOff>581025</xdr:colOff>
      <xdr:row>18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619375"/>
          <a:ext cx="13839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workbookViewId="0" topLeftCell="A13">
      <selection activeCell="B39" sqref="B39"/>
    </sheetView>
  </sheetViews>
  <sheetFormatPr defaultColWidth="9.140625" defaultRowHeight="12.75"/>
  <cols>
    <col min="1" max="1" width="27.8515625" style="206" bestFit="1" customWidth="1"/>
    <col min="2" max="3" width="10.00390625" style="206" bestFit="1" customWidth="1"/>
    <col min="4" max="4" width="9.7109375" style="206" bestFit="1" customWidth="1"/>
    <col min="5" max="6" width="9.140625" style="206" bestFit="1" customWidth="1"/>
    <col min="7" max="11" width="10.00390625" style="206" bestFit="1" customWidth="1"/>
    <col min="12" max="12" width="11.28125" style="206" bestFit="1" customWidth="1"/>
    <col min="13" max="16384" width="9.140625" style="206" customWidth="1"/>
  </cols>
  <sheetData>
    <row r="1" s="159" customFormat="1" ht="12.75">
      <c r="A1" s="159" t="s">
        <v>160</v>
      </c>
    </row>
    <row r="2" spans="1:10" s="159" customFormat="1" ht="12.75">
      <c r="A2" s="647" t="s">
        <v>163</v>
      </c>
      <c r="B2" s="647"/>
      <c r="C2" s="647"/>
      <c r="D2" s="647"/>
      <c r="E2" s="647"/>
      <c r="F2" s="647"/>
      <c r="G2" s="647"/>
      <c r="H2" s="647"/>
      <c r="I2" s="647"/>
      <c r="J2" s="647"/>
    </row>
    <row r="3" s="159" customFormat="1" ht="12.75"/>
    <row r="4" spans="1:12" s="159" customFormat="1" ht="12.75">
      <c r="A4" s="646" t="s">
        <v>133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</row>
    <row r="5" ht="11.25">
      <c r="D5" s="170"/>
    </row>
    <row r="6" spans="1:12" s="168" customFormat="1" ht="11.25">
      <c r="A6" s="339" t="s">
        <v>187</v>
      </c>
      <c r="B6" s="340" t="s">
        <v>120</v>
      </c>
      <c r="C6" s="340" t="s">
        <v>119</v>
      </c>
      <c r="D6" s="340" t="s">
        <v>121</v>
      </c>
      <c r="E6" s="340" t="s">
        <v>122</v>
      </c>
      <c r="F6" s="340" t="s">
        <v>123</v>
      </c>
      <c r="G6" s="340" t="s">
        <v>124</v>
      </c>
      <c r="H6" s="340" t="s">
        <v>125</v>
      </c>
      <c r="I6" s="340" t="s">
        <v>126</v>
      </c>
      <c r="J6" s="340" t="s">
        <v>127</v>
      </c>
      <c r="K6" s="340" t="s">
        <v>128</v>
      </c>
      <c r="L6" s="340" t="s">
        <v>129</v>
      </c>
    </row>
    <row r="7" spans="1:15" s="168" customFormat="1" ht="11.25">
      <c r="A7" s="335" t="s">
        <v>94</v>
      </c>
      <c r="B7" s="335"/>
      <c r="C7" s="219">
        <f>+'Sal. Var'!I65</f>
        <v>46680</v>
      </c>
      <c r="D7" s="219">
        <f>+C7+(C7*0.15)</f>
        <v>53682</v>
      </c>
      <c r="E7" s="219">
        <f>+D7+(D7*0.15)</f>
        <v>61734.3</v>
      </c>
      <c r="F7" s="219">
        <f aca="true" t="shared" si="0" ref="F7:L7">+E7+(E7*0.15)</f>
        <v>70994.445</v>
      </c>
      <c r="G7" s="219">
        <f t="shared" si="0"/>
        <v>81643.61175000001</v>
      </c>
      <c r="H7" s="219">
        <f t="shared" si="0"/>
        <v>93890.15351250001</v>
      </c>
      <c r="I7" s="219">
        <f t="shared" si="0"/>
        <v>107973.67653937501</v>
      </c>
      <c r="J7" s="219">
        <f t="shared" si="0"/>
        <v>124169.72802028127</v>
      </c>
      <c r="K7" s="219">
        <f t="shared" si="0"/>
        <v>142795.18722332345</v>
      </c>
      <c r="L7" s="219">
        <f t="shared" si="0"/>
        <v>164214.46530682198</v>
      </c>
      <c r="M7" s="170"/>
      <c r="N7" s="170"/>
      <c r="O7" s="170"/>
    </row>
    <row r="8" spans="1:15" s="168" customFormat="1" ht="22.5">
      <c r="A8" s="341" t="s">
        <v>188</v>
      </c>
      <c r="B8" s="335"/>
      <c r="C8" s="342">
        <v>0</v>
      </c>
      <c r="D8" s="342">
        <v>0</v>
      </c>
      <c r="E8" s="342">
        <v>0</v>
      </c>
      <c r="F8" s="342">
        <v>0</v>
      </c>
      <c r="G8" s="342">
        <f>+'Bce reemp'!I22</f>
        <v>769.75</v>
      </c>
      <c r="H8" s="342">
        <v>0</v>
      </c>
      <c r="I8" s="342">
        <v>0</v>
      </c>
      <c r="J8" s="342">
        <v>0</v>
      </c>
      <c r="K8" s="342">
        <v>0</v>
      </c>
      <c r="L8" s="342">
        <f>+'Bce reemp'!J22</f>
        <v>808.2375</v>
      </c>
      <c r="M8" s="170"/>
      <c r="N8" s="170"/>
      <c r="O8" s="170"/>
    </row>
    <row r="9" spans="1:12" s="168" customFormat="1" ht="11.25">
      <c r="A9" s="343" t="s">
        <v>8</v>
      </c>
      <c r="B9" s="343"/>
      <c r="C9" s="344">
        <f>SUM(C7)</f>
        <v>46680</v>
      </c>
      <c r="D9" s="344">
        <f aca="true" t="shared" si="1" ref="D9:L9">SUM(D7:D8)</f>
        <v>53682</v>
      </c>
      <c r="E9" s="344">
        <f t="shared" si="1"/>
        <v>61734.3</v>
      </c>
      <c r="F9" s="344">
        <f t="shared" si="1"/>
        <v>70994.445</v>
      </c>
      <c r="G9" s="344">
        <f t="shared" si="1"/>
        <v>82413.36175000001</v>
      </c>
      <c r="H9" s="344">
        <f t="shared" si="1"/>
        <v>93890.15351250001</v>
      </c>
      <c r="I9" s="344">
        <f t="shared" si="1"/>
        <v>107973.67653937501</v>
      </c>
      <c r="J9" s="344">
        <f t="shared" si="1"/>
        <v>124169.72802028127</v>
      </c>
      <c r="K9" s="344">
        <f t="shared" si="1"/>
        <v>142795.18722332345</v>
      </c>
      <c r="L9" s="344">
        <f t="shared" si="1"/>
        <v>165022.70280682197</v>
      </c>
    </row>
    <row r="10" spans="1:12" s="168" customFormat="1" ht="11.25">
      <c r="A10" s="335"/>
      <c r="B10" s="335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2" s="168" customFormat="1" ht="11.25">
      <c r="A11" s="339" t="s">
        <v>9</v>
      </c>
      <c r="B11" s="33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2" s="168" customFormat="1" ht="11.25">
      <c r="A12" s="339" t="s">
        <v>118</v>
      </c>
      <c r="B12" s="33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s="168" customFormat="1" ht="11.25">
      <c r="A13" s="335" t="s">
        <v>168</v>
      </c>
      <c r="B13" s="335"/>
      <c r="C13" s="219">
        <f>+'Bce Pers.'!B61</f>
        <v>29169.8064</v>
      </c>
      <c r="D13" s="219">
        <f>+C13</f>
        <v>29169.8064</v>
      </c>
      <c r="E13" s="219">
        <f>+C13</f>
        <v>29169.8064</v>
      </c>
      <c r="F13" s="219">
        <f>+E13+(E13*0.1)</f>
        <v>32086.787040000003</v>
      </c>
      <c r="G13" s="219">
        <f>+F13</f>
        <v>32086.787040000003</v>
      </c>
      <c r="H13" s="219">
        <f>+F13</f>
        <v>32086.787040000003</v>
      </c>
      <c r="I13" s="219">
        <f>+H13+(H13*0.1)</f>
        <v>35295.465744</v>
      </c>
      <c r="J13" s="219">
        <f aca="true" t="shared" si="2" ref="J13:L14">+I13</f>
        <v>35295.465744</v>
      </c>
      <c r="K13" s="219">
        <f t="shared" si="2"/>
        <v>35295.465744</v>
      </c>
      <c r="L13" s="219">
        <f t="shared" si="2"/>
        <v>35295.465744</v>
      </c>
    </row>
    <row r="14" spans="1:12" s="168" customFormat="1" ht="11.25">
      <c r="A14" s="335" t="s">
        <v>132</v>
      </c>
      <c r="B14" s="335"/>
      <c r="C14" s="219">
        <f>+'Sal. Var'!H48+200</f>
        <v>542</v>
      </c>
      <c r="D14" s="219">
        <f>+C14</f>
        <v>542</v>
      </c>
      <c r="E14" s="219">
        <f>+D14</f>
        <v>542</v>
      </c>
      <c r="F14" s="219">
        <f>+E14</f>
        <v>542</v>
      </c>
      <c r="G14" s="219">
        <f>+F14</f>
        <v>542</v>
      </c>
      <c r="H14" s="219">
        <f>+G14</f>
        <v>542</v>
      </c>
      <c r="I14" s="219">
        <f>+H14</f>
        <v>542</v>
      </c>
      <c r="J14" s="219">
        <f t="shared" si="2"/>
        <v>542</v>
      </c>
      <c r="K14" s="219">
        <f t="shared" si="2"/>
        <v>542</v>
      </c>
      <c r="L14" s="219">
        <f t="shared" si="2"/>
        <v>542</v>
      </c>
    </row>
    <row r="15" spans="1:12" s="168" customFormat="1" ht="11.25">
      <c r="A15" s="335" t="s">
        <v>116</v>
      </c>
      <c r="B15" s="335"/>
      <c r="C15" s="219">
        <f aca="true" t="shared" si="3" ref="C15:L15">(2*7*4*12)*15</f>
        <v>10080</v>
      </c>
      <c r="D15" s="219">
        <f t="shared" si="3"/>
        <v>10080</v>
      </c>
      <c r="E15" s="219">
        <f t="shared" si="3"/>
        <v>10080</v>
      </c>
      <c r="F15" s="219">
        <f t="shared" si="3"/>
        <v>10080</v>
      </c>
      <c r="G15" s="219">
        <f t="shared" si="3"/>
        <v>10080</v>
      </c>
      <c r="H15" s="219">
        <f t="shared" si="3"/>
        <v>10080</v>
      </c>
      <c r="I15" s="219">
        <f t="shared" si="3"/>
        <v>10080</v>
      </c>
      <c r="J15" s="219">
        <f t="shared" si="3"/>
        <v>10080</v>
      </c>
      <c r="K15" s="219">
        <f t="shared" si="3"/>
        <v>10080</v>
      </c>
      <c r="L15" s="219">
        <f t="shared" si="3"/>
        <v>10080</v>
      </c>
    </row>
    <row r="16" spans="1:12" s="168" customFormat="1" ht="11.25">
      <c r="A16" s="335" t="s">
        <v>249</v>
      </c>
      <c r="B16" s="335"/>
      <c r="C16" s="219">
        <f>Gtos!D21</f>
        <v>5595</v>
      </c>
      <c r="D16" s="219">
        <f aca="true" t="shared" si="4" ref="D16:L16">+C16</f>
        <v>5595</v>
      </c>
      <c r="E16" s="219">
        <f t="shared" si="4"/>
        <v>5595</v>
      </c>
      <c r="F16" s="219">
        <f t="shared" si="4"/>
        <v>5595</v>
      </c>
      <c r="G16" s="219">
        <f t="shared" si="4"/>
        <v>5595</v>
      </c>
      <c r="H16" s="219">
        <f t="shared" si="4"/>
        <v>5595</v>
      </c>
      <c r="I16" s="219">
        <f t="shared" si="4"/>
        <v>5595</v>
      </c>
      <c r="J16" s="219">
        <f t="shared" si="4"/>
        <v>5595</v>
      </c>
      <c r="K16" s="219">
        <f t="shared" si="4"/>
        <v>5595</v>
      </c>
      <c r="L16" s="219">
        <f t="shared" si="4"/>
        <v>5595</v>
      </c>
    </row>
    <row r="17" spans="1:12" s="168" customFormat="1" ht="11.25">
      <c r="A17" s="335" t="s">
        <v>10</v>
      </c>
      <c r="B17" s="335"/>
      <c r="C17" s="219">
        <f>+Gtos!B35+Gtos!B36+Gtos!B37+Gtos!B38</f>
        <v>936</v>
      </c>
      <c r="D17" s="219">
        <f>+C17</f>
        <v>936</v>
      </c>
      <c r="E17" s="219">
        <f aca="true" t="shared" si="5" ref="E17:L18">+D17+(D17*0.01)</f>
        <v>945.36</v>
      </c>
      <c r="F17" s="219">
        <f t="shared" si="5"/>
        <v>954.8136000000001</v>
      </c>
      <c r="G17" s="219">
        <f t="shared" si="5"/>
        <v>964.3617360000001</v>
      </c>
      <c r="H17" s="219">
        <f t="shared" si="5"/>
        <v>974.0053533600001</v>
      </c>
      <c r="I17" s="219">
        <f t="shared" si="5"/>
        <v>983.7454068936</v>
      </c>
      <c r="J17" s="219">
        <f t="shared" si="5"/>
        <v>993.5828609625361</v>
      </c>
      <c r="K17" s="219">
        <f t="shared" si="5"/>
        <v>1003.5186895721614</v>
      </c>
      <c r="L17" s="219">
        <f t="shared" si="5"/>
        <v>1013.553876467883</v>
      </c>
    </row>
    <row r="18" spans="1:12" s="168" customFormat="1" ht="11.25">
      <c r="A18" s="335" t="s">
        <v>6</v>
      </c>
      <c r="B18" s="335"/>
      <c r="C18" s="219">
        <f>+Hoja2!C35</f>
        <v>6000</v>
      </c>
      <c r="D18" s="219">
        <f>+C18</f>
        <v>6000</v>
      </c>
      <c r="E18" s="219">
        <f t="shared" si="5"/>
        <v>6060</v>
      </c>
      <c r="F18" s="219">
        <f t="shared" si="5"/>
        <v>6120.6</v>
      </c>
      <c r="G18" s="219">
        <f t="shared" si="5"/>
        <v>6181.8060000000005</v>
      </c>
      <c r="H18" s="219">
        <f t="shared" si="5"/>
        <v>6243.62406</v>
      </c>
      <c r="I18" s="219">
        <f t="shared" si="5"/>
        <v>6306.0603006</v>
      </c>
      <c r="J18" s="219">
        <f t="shared" si="5"/>
        <v>6369.120903606</v>
      </c>
      <c r="K18" s="219">
        <f t="shared" si="5"/>
        <v>6432.81211264206</v>
      </c>
      <c r="L18" s="219">
        <f t="shared" si="5"/>
        <v>6497.14023376848</v>
      </c>
    </row>
    <row r="19" spans="1:12" s="168" customFormat="1" ht="11.25">
      <c r="A19" s="343" t="s">
        <v>12</v>
      </c>
      <c r="B19" s="343"/>
      <c r="C19" s="345">
        <f aca="true" t="shared" si="6" ref="C19:L19">SUM(C13:C18)</f>
        <v>52322.8064</v>
      </c>
      <c r="D19" s="345">
        <f t="shared" si="6"/>
        <v>52322.8064</v>
      </c>
      <c r="E19" s="345">
        <f t="shared" si="6"/>
        <v>52392.1664</v>
      </c>
      <c r="F19" s="345">
        <f t="shared" si="6"/>
        <v>55379.20064</v>
      </c>
      <c r="G19" s="345">
        <f t="shared" si="6"/>
        <v>55449.954776</v>
      </c>
      <c r="H19" s="345">
        <f t="shared" si="6"/>
        <v>55521.416453360005</v>
      </c>
      <c r="I19" s="345">
        <f t="shared" si="6"/>
        <v>58802.2714514936</v>
      </c>
      <c r="J19" s="345">
        <f t="shared" si="6"/>
        <v>58875.16950856854</v>
      </c>
      <c r="K19" s="345">
        <f t="shared" si="6"/>
        <v>58948.796546214224</v>
      </c>
      <c r="L19" s="345">
        <f t="shared" si="6"/>
        <v>59023.159854236364</v>
      </c>
    </row>
    <row r="20" spans="1:12" s="168" customFormat="1" ht="11.25">
      <c r="A20" s="216" t="s">
        <v>109</v>
      </c>
      <c r="B20" s="343"/>
      <c r="C20" s="344">
        <f>Equipos!I10</f>
        <v>1282.9166666666667</v>
      </c>
      <c r="D20" s="344">
        <f aca="true" t="shared" si="7" ref="D20:L20">C20</f>
        <v>1282.9166666666667</v>
      </c>
      <c r="E20" s="344">
        <f t="shared" si="7"/>
        <v>1282.9166666666667</v>
      </c>
      <c r="F20" s="344">
        <f t="shared" si="7"/>
        <v>1282.9166666666667</v>
      </c>
      <c r="G20" s="344">
        <f t="shared" si="7"/>
        <v>1282.9166666666667</v>
      </c>
      <c r="H20" s="344">
        <f t="shared" si="7"/>
        <v>1282.9166666666667</v>
      </c>
      <c r="I20" s="344">
        <f t="shared" si="7"/>
        <v>1282.9166666666667</v>
      </c>
      <c r="J20" s="344">
        <f t="shared" si="7"/>
        <v>1282.9166666666667</v>
      </c>
      <c r="K20" s="344">
        <f t="shared" si="7"/>
        <v>1282.9166666666667</v>
      </c>
      <c r="L20" s="344">
        <f t="shared" si="7"/>
        <v>1282.9166666666667</v>
      </c>
    </row>
    <row r="21" spans="1:12" s="168" customFormat="1" ht="11.25">
      <c r="A21" s="343" t="s">
        <v>13</v>
      </c>
      <c r="B21" s="346"/>
      <c r="C21" s="345">
        <f aca="true" t="shared" si="8" ref="C21:L21">C9-C19-C20</f>
        <v>-6925.723066666668</v>
      </c>
      <c r="D21" s="345">
        <f t="shared" si="8"/>
        <v>76.27693333333195</v>
      </c>
      <c r="E21" s="345">
        <f t="shared" si="8"/>
        <v>8059.216933333334</v>
      </c>
      <c r="F21" s="345">
        <f t="shared" si="8"/>
        <v>14332.327693333338</v>
      </c>
      <c r="G21" s="345">
        <f t="shared" si="8"/>
        <v>25680.490307333344</v>
      </c>
      <c r="H21" s="345">
        <f t="shared" si="8"/>
        <v>37085.82039247334</v>
      </c>
      <c r="I21" s="345">
        <f t="shared" si="8"/>
        <v>47888.488421214744</v>
      </c>
      <c r="J21" s="345">
        <f t="shared" si="8"/>
        <v>64011.64184504606</v>
      </c>
      <c r="K21" s="345">
        <f t="shared" si="8"/>
        <v>82563.47401044254</v>
      </c>
      <c r="L21" s="345">
        <f t="shared" si="8"/>
        <v>104716.62628591893</v>
      </c>
    </row>
    <row r="22" spans="1:12" s="168" customFormat="1" ht="11.25">
      <c r="A22" s="216" t="s">
        <v>294</v>
      </c>
      <c r="B22" s="346"/>
      <c r="C22" s="219">
        <f aca="true" t="shared" si="9" ref="C22:L22">+C21*0.15</f>
        <v>-1038.8584600000002</v>
      </c>
      <c r="D22" s="219">
        <f t="shared" si="9"/>
        <v>11.441539999999792</v>
      </c>
      <c r="E22" s="219">
        <f t="shared" si="9"/>
        <v>1208.88254</v>
      </c>
      <c r="F22" s="219">
        <f t="shared" si="9"/>
        <v>2149.8491540000005</v>
      </c>
      <c r="G22" s="219">
        <f t="shared" si="9"/>
        <v>3852.0735461000013</v>
      </c>
      <c r="H22" s="219">
        <f t="shared" si="9"/>
        <v>5562.8730588710005</v>
      </c>
      <c r="I22" s="219">
        <f t="shared" si="9"/>
        <v>7183.273263182212</v>
      </c>
      <c r="J22" s="219">
        <f t="shared" si="9"/>
        <v>9601.746276756909</v>
      </c>
      <c r="K22" s="219">
        <f t="shared" si="9"/>
        <v>12384.52110156638</v>
      </c>
      <c r="L22" s="219">
        <f t="shared" si="9"/>
        <v>15707.493942887839</v>
      </c>
    </row>
    <row r="23" spans="1:12" s="168" customFormat="1" ht="11.25">
      <c r="A23" s="216" t="s">
        <v>104</v>
      </c>
      <c r="B23" s="216"/>
      <c r="C23" s="219"/>
      <c r="D23" s="219">
        <f aca="true" t="shared" si="10" ref="D23:L23">+D21*$D$31</f>
        <v>19.06923333333299</v>
      </c>
      <c r="E23" s="219">
        <f t="shared" si="10"/>
        <v>2014.8042333333335</v>
      </c>
      <c r="F23" s="219">
        <f t="shared" si="10"/>
        <v>3583.0819233333345</v>
      </c>
      <c r="G23" s="219">
        <f t="shared" si="10"/>
        <v>6420.122576833336</v>
      </c>
      <c r="H23" s="219">
        <f t="shared" si="10"/>
        <v>9271.455098118335</v>
      </c>
      <c r="I23" s="219">
        <f t="shared" si="10"/>
        <v>11972.122105303686</v>
      </c>
      <c r="J23" s="219">
        <f t="shared" si="10"/>
        <v>16002.910461261516</v>
      </c>
      <c r="K23" s="219">
        <f t="shared" si="10"/>
        <v>20640.868502610636</v>
      </c>
      <c r="L23" s="219">
        <f t="shared" si="10"/>
        <v>26179.156571479733</v>
      </c>
    </row>
    <row r="24" spans="1:12" s="168" customFormat="1" ht="11.25">
      <c r="A24" s="343" t="s">
        <v>214</v>
      </c>
      <c r="B24" s="343"/>
      <c r="C24" s="345">
        <f>C21-C23</f>
        <v>-6925.723066666668</v>
      </c>
      <c r="D24" s="345">
        <f>D21</f>
        <v>76.27693333333195</v>
      </c>
      <c r="E24" s="345">
        <f aca="true" t="shared" si="11" ref="E24:L24">E21</f>
        <v>8059.216933333334</v>
      </c>
      <c r="F24" s="345">
        <f t="shared" si="11"/>
        <v>14332.327693333338</v>
      </c>
      <c r="G24" s="345">
        <f t="shared" si="11"/>
        <v>25680.490307333344</v>
      </c>
      <c r="H24" s="345">
        <f t="shared" si="11"/>
        <v>37085.82039247334</v>
      </c>
      <c r="I24" s="345">
        <f t="shared" si="11"/>
        <v>47888.488421214744</v>
      </c>
      <c r="J24" s="345">
        <f t="shared" si="11"/>
        <v>64011.64184504606</v>
      </c>
      <c r="K24" s="345">
        <f t="shared" si="11"/>
        <v>82563.47401044254</v>
      </c>
      <c r="L24" s="345">
        <f t="shared" si="11"/>
        <v>104716.62628591893</v>
      </c>
    </row>
    <row r="25" spans="1:12" s="168" customFormat="1" ht="11.25">
      <c r="A25" s="216" t="s">
        <v>310</v>
      </c>
      <c r="B25" s="343"/>
      <c r="C25" s="345">
        <f aca="true" t="shared" si="12" ref="C25:L25">+C20</f>
        <v>1282.9166666666667</v>
      </c>
      <c r="D25" s="345">
        <f t="shared" si="12"/>
        <v>1282.9166666666667</v>
      </c>
      <c r="E25" s="345">
        <f t="shared" si="12"/>
        <v>1282.9166666666667</v>
      </c>
      <c r="F25" s="345">
        <f t="shared" si="12"/>
        <v>1282.9166666666667</v>
      </c>
      <c r="G25" s="345">
        <f t="shared" si="12"/>
        <v>1282.9166666666667</v>
      </c>
      <c r="H25" s="345">
        <f t="shared" si="12"/>
        <v>1282.9166666666667</v>
      </c>
      <c r="I25" s="345">
        <f t="shared" si="12"/>
        <v>1282.9166666666667</v>
      </c>
      <c r="J25" s="345">
        <f t="shared" si="12"/>
        <v>1282.9166666666667</v>
      </c>
      <c r="K25" s="345">
        <f t="shared" si="12"/>
        <v>1282.9166666666667</v>
      </c>
      <c r="L25" s="345">
        <f t="shared" si="12"/>
        <v>1282.9166666666667</v>
      </c>
    </row>
    <row r="26" spans="1:12" s="168" customFormat="1" ht="11.25">
      <c r="A26" s="343" t="s">
        <v>215</v>
      </c>
      <c r="B26" s="374">
        <f>-'Inv. Inic'!B12</f>
        <v>-13128.75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</row>
    <row r="27" spans="1:12" s="168" customFormat="1" ht="11.25">
      <c r="A27" s="343" t="s">
        <v>216</v>
      </c>
      <c r="B27" s="374">
        <f>+'Capital de Trabajo'!C20</f>
        <v>-4355.123199999998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</row>
    <row r="28" spans="1:12" s="168" customFormat="1" ht="11.25">
      <c r="A28" s="343" t="s">
        <v>217</v>
      </c>
      <c r="B28" s="343"/>
      <c r="C28" s="345"/>
      <c r="D28" s="345"/>
      <c r="E28" s="345"/>
      <c r="F28" s="345"/>
      <c r="G28" s="345"/>
      <c r="H28" s="345"/>
      <c r="I28" s="345"/>
      <c r="J28" s="345"/>
      <c r="K28" s="345"/>
      <c r="L28" s="345">
        <f>+'valor desecho'!D11</f>
        <v>836715.2658668316</v>
      </c>
    </row>
    <row r="29" spans="1:12" s="168" customFormat="1" ht="11.25">
      <c r="A29" s="343" t="s">
        <v>130</v>
      </c>
      <c r="B29" s="219">
        <f>+B26+B27</f>
        <v>-17483.873199999998</v>
      </c>
      <c r="C29" s="347">
        <f aca="true" t="shared" si="13" ref="C29:L29">+C24+C25</f>
        <v>-5642.806400000001</v>
      </c>
      <c r="D29" s="347">
        <f t="shared" si="13"/>
        <v>1359.1935999999987</v>
      </c>
      <c r="E29" s="347">
        <f t="shared" si="13"/>
        <v>9342.133600000001</v>
      </c>
      <c r="F29" s="347">
        <f t="shared" si="13"/>
        <v>15615.244360000004</v>
      </c>
      <c r="G29" s="347">
        <f t="shared" si="13"/>
        <v>26963.406974000012</v>
      </c>
      <c r="H29" s="347">
        <f t="shared" si="13"/>
        <v>38368.73705914</v>
      </c>
      <c r="I29" s="347">
        <f t="shared" si="13"/>
        <v>49171.40508788141</v>
      </c>
      <c r="J29" s="347">
        <f t="shared" si="13"/>
        <v>65294.55851171273</v>
      </c>
      <c r="K29" s="347">
        <f t="shared" si="13"/>
        <v>83846.39067710922</v>
      </c>
      <c r="L29" s="347">
        <f t="shared" si="13"/>
        <v>105999.5429525856</v>
      </c>
    </row>
    <row r="30" spans="1:12" ht="11.25">
      <c r="A30" s="168"/>
      <c r="B30" s="168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11.25">
      <c r="A31" s="208"/>
      <c r="B31" s="209"/>
      <c r="C31" s="210"/>
      <c r="D31" s="87">
        <v>0.25</v>
      </c>
      <c r="E31" s="170"/>
      <c r="F31" s="170"/>
      <c r="G31" s="170"/>
      <c r="H31" s="170"/>
      <c r="I31" s="170"/>
      <c r="J31" s="170"/>
      <c r="K31" s="170"/>
      <c r="L31" s="170"/>
    </row>
    <row r="32" spans="1:12" ht="11.25">
      <c r="A32" s="211"/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</row>
    <row r="33" spans="1:7" s="168" customFormat="1" ht="15" customHeight="1">
      <c r="A33" s="361"/>
      <c r="B33" s="361"/>
      <c r="C33" s="361"/>
      <c r="D33" s="208"/>
      <c r="E33" s="213"/>
      <c r="G33" s="359"/>
    </row>
    <row r="34" spans="1:7" s="168" customFormat="1" ht="15" customHeight="1" thickBot="1">
      <c r="A34" s="361"/>
      <c r="B34" s="361"/>
      <c r="C34" s="361"/>
      <c r="D34" s="214"/>
      <c r="E34" s="215"/>
      <c r="F34" s="214"/>
      <c r="G34" s="214"/>
    </row>
    <row r="35" spans="1:7" s="168" customFormat="1" ht="12.75" customHeight="1">
      <c r="A35" s="367" t="s">
        <v>16</v>
      </c>
      <c r="B35" s="368"/>
      <c r="E35" s="217"/>
      <c r="F35" s="217"/>
      <c r="G35" s="217"/>
    </row>
    <row r="36" spans="1:5" s="168" customFormat="1" ht="11.25">
      <c r="A36" s="362" t="s">
        <v>17</v>
      </c>
      <c r="B36" s="363">
        <f>IRR(B29:L29)</f>
        <v>0.5184275701571354</v>
      </c>
      <c r="E36" s="218"/>
    </row>
    <row r="37" spans="1:2" s="168" customFormat="1" ht="22.5">
      <c r="A37" s="362" t="s">
        <v>18</v>
      </c>
      <c r="B37" s="364">
        <f>NPV(B38,B29:L29)</f>
        <v>189374.85006467588</v>
      </c>
    </row>
    <row r="38" spans="1:2" s="168" customFormat="1" ht="12.75" customHeight="1">
      <c r="A38" s="362" t="s">
        <v>233</v>
      </c>
      <c r="B38" s="363">
        <f>+TMAR!C11</f>
        <v>0.074516</v>
      </c>
    </row>
    <row r="39" spans="1:2" ht="12" thickBot="1">
      <c r="A39" s="365" t="s">
        <v>309</v>
      </c>
      <c r="B39" s="366">
        <v>0.4</v>
      </c>
    </row>
    <row r="40" ht="11.25">
      <c r="C40" s="211"/>
    </row>
    <row r="41" ht="11.25">
      <c r="C41" s="210"/>
    </row>
    <row r="42" spans="3:6" ht="11.25">
      <c r="C42" s="209"/>
      <c r="D42" s="209"/>
      <c r="E42" s="209"/>
      <c r="F42" s="209"/>
    </row>
    <row r="43" spans="1:7" ht="11.25">
      <c r="A43" s="220"/>
      <c r="B43" s="220"/>
      <c r="C43" s="221"/>
      <c r="D43" s="212"/>
      <c r="E43" s="212"/>
      <c r="F43" s="212"/>
      <c r="G43" s="212"/>
    </row>
    <row r="48" spans="1:7" ht="11.25">
      <c r="A48" s="220"/>
      <c r="B48" s="220"/>
      <c r="C48" s="220"/>
      <c r="D48" s="220"/>
      <c r="E48" s="220"/>
      <c r="F48" s="220"/>
      <c r="G48" s="220"/>
    </row>
    <row r="53" spans="1:2" ht="11.25">
      <c r="A53" s="220"/>
      <c r="B53" s="220"/>
    </row>
    <row r="54" spans="3:7" ht="11.25">
      <c r="C54" s="212"/>
      <c r="D54" s="212"/>
      <c r="E54" s="212"/>
      <c r="F54" s="212"/>
      <c r="G54" s="212"/>
    </row>
    <row r="55" spans="3:7" ht="11.25">
      <c r="C55" s="212"/>
      <c r="D55" s="212"/>
      <c r="E55" s="212"/>
      <c r="F55" s="212"/>
      <c r="G55" s="212"/>
    </row>
    <row r="56" spans="3:7" ht="11.25">
      <c r="C56" s="212"/>
      <c r="D56" s="212"/>
      <c r="E56" s="212"/>
      <c r="F56" s="212"/>
      <c r="G56" s="212"/>
    </row>
    <row r="58" spans="1:2" ht="11.25">
      <c r="A58" s="220"/>
      <c r="B58" s="220"/>
    </row>
    <row r="59" spans="3:7" ht="11.25">
      <c r="C59" s="209"/>
      <c r="D59" s="209"/>
      <c r="E59" s="209"/>
      <c r="F59" s="209"/>
      <c r="G59" s="209"/>
    </row>
    <row r="60" spans="3:7" ht="11.25">
      <c r="C60" s="209"/>
      <c r="D60" s="209"/>
      <c r="E60" s="209"/>
      <c r="F60" s="209"/>
      <c r="G60" s="209"/>
    </row>
    <row r="61" spans="3:7" ht="11.25">
      <c r="C61" s="209"/>
      <c r="D61" s="209"/>
      <c r="E61" s="209"/>
      <c r="F61" s="209"/>
      <c r="G61" s="209"/>
    </row>
    <row r="63" spans="1:2" ht="11.25">
      <c r="A63" s="220"/>
      <c r="B63" s="220"/>
    </row>
    <row r="64" spans="3:7" ht="11.25">
      <c r="C64" s="212"/>
      <c r="D64" s="212"/>
      <c r="E64" s="212"/>
      <c r="F64" s="212"/>
      <c r="G64" s="212"/>
    </row>
    <row r="65" spans="3:7" ht="11.25">
      <c r="C65" s="212"/>
      <c r="D65" s="212"/>
      <c r="E65" s="212"/>
      <c r="F65" s="212"/>
      <c r="G65" s="212"/>
    </row>
    <row r="66" spans="3:7" ht="11.25">
      <c r="C66" s="212"/>
      <c r="D66" s="212"/>
      <c r="E66" s="212"/>
      <c r="F66" s="212"/>
      <c r="G66" s="212"/>
    </row>
    <row r="68" spans="1:7" ht="11.25">
      <c r="A68" s="220"/>
      <c r="B68" s="220"/>
      <c r="C68" s="222"/>
      <c r="D68" s="222"/>
      <c r="E68" s="222"/>
      <c r="F68" s="222"/>
      <c r="G68" s="222"/>
    </row>
    <row r="69" spans="3:7" ht="11.25">
      <c r="C69" s="212"/>
      <c r="D69" s="212"/>
      <c r="E69" s="212"/>
      <c r="F69" s="212"/>
      <c r="G69" s="212"/>
    </row>
    <row r="70" spans="3:7" ht="11.25">
      <c r="C70" s="212"/>
      <c r="D70" s="212"/>
      <c r="E70" s="212"/>
      <c r="F70" s="212"/>
      <c r="G70" s="212"/>
    </row>
    <row r="71" spans="3:7" ht="11.25">
      <c r="C71" s="212"/>
      <c r="D71" s="212"/>
      <c r="E71" s="212"/>
      <c r="F71" s="212"/>
      <c r="G71" s="212"/>
    </row>
    <row r="73" spans="1:7" ht="11.25">
      <c r="A73" s="220"/>
      <c r="B73" s="220"/>
      <c r="C73" s="222"/>
      <c r="D73" s="222"/>
      <c r="E73" s="222"/>
      <c r="F73" s="222"/>
      <c r="G73" s="222"/>
    </row>
    <row r="74" spans="3:7" ht="11.25">
      <c r="C74" s="212"/>
      <c r="D74" s="212"/>
      <c r="E74" s="212"/>
      <c r="F74" s="212"/>
      <c r="G74" s="212"/>
    </row>
    <row r="75" spans="3:7" ht="11.25">
      <c r="C75" s="212"/>
      <c r="D75" s="212"/>
      <c r="E75" s="212"/>
      <c r="F75" s="212"/>
      <c r="G75" s="212"/>
    </row>
    <row r="76" spans="3:7" ht="11.25">
      <c r="C76" s="212"/>
      <c r="D76" s="212"/>
      <c r="E76" s="212"/>
      <c r="F76" s="212"/>
      <c r="G76" s="212"/>
    </row>
    <row r="78" spans="1:7" ht="11.25">
      <c r="A78" s="220"/>
      <c r="B78" s="220"/>
      <c r="C78" s="222"/>
      <c r="D78" s="222"/>
      <c r="E78" s="222"/>
      <c r="F78" s="222"/>
      <c r="G78" s="222"/>
    </row>
    <row r="79" spans="3:7" ht="11.25">
      <c r="C79" s="212"/>
      <c r="D79" s="212"/>
      <c r="E79" s="212"/>
      <c r="F79" s="212"/>
      <c r="G79" s="212"/>
    </row>
    <row r="80" spans="3:7" ht="11.25">
      <c r="C80" s="212"/>
      <c r="D80" s="212"/>
      <c r="E80" s="212"/>
      <c r="F80" s="212"/>
      <c r="G80" s="212"/>
    </row>
    <row r="81" spans="3:7" ht="11.25">
      <c r="C81" s="212"/>
      <c r="D81" s="212"/>
      <c r="E81" s="212"/>
      <c r="F81" s="212"/>
      <c r="G81" s="212"/>
    </row>
    <row r="83" spans="1:2" ht="11.25">
      <c r="A83" s="220"/>
      <c r="B83" s="220"/>
    </row>
    <row r="84" spans="3:7" ht="11.25">
      <c r="C84" s="209"/>
      <c r="D84" s="209"/>
      <c r="E84" s="209"/>
      <c r="F84" s="209"/>
      <c r="G84" s="209"/>
    </row>
    <row r="85" spans="3:7" ht="11.25">
      <c r="C85" s="212"/>
      <c r="D85" s="212"/>
      <c r="E85" s="212"/>
      <c r="F85" s="212"/>
      <c r="G85" s="212"/>
    </row>
    <row r="88" spans="3:7" ht="11.25">
      <c r="C88" s="212"/>
      <c r="D88" s="212"/>
      <c r="E88" s="212"/>
      <c r="F88" s="212"/>
      <c r="G88" s="212"/>
    </row>
    <row r="89" spans="3:7" ht="11.25">
      <c r="C89" s="209"/>
      <c r="D89" s="209"/>
      <c r="E89" s="209"/>
      <c r="F89" s="209"/>
      <c r="G89" s="209"/>
    </row>
    <row r="90" spans="3:7" ht="11.25">
      <c r="C90" s="212"/>
      <c r="D90" s="212"/>
      <c r="E90" s="212"/>
      <c r="F90" s="212"/>
      <c r="G90" s="212"/>
    </row>
    <row r="91" spans="3:7" ht="11.25">
      <c r="C91" s="212"/>
      <c r="D91" s="212"/>
      <c r="E91" s="212"/>
      <c r="F91" s="212"/>
      <c r="G91" s="212"/>
    </row>
    <row r="92" spans="3:7" ht="11.25">
      <c r="C92" s="212"/>
      <c r="D92" s="212"/>
      <c r="E92" s="212"/>
      <c r="F92" s="212"/>
      <c r="G92" s="212"/>
    </row>
    <row r="93" spans="3:7" ht="11.25">
      <c r="C93" s="209"/>
      <c r="D93" s="209"/>
      <c r="E93" s="209"/>
      <c r="F93" s="209"/>
      <c r="G93" s="209"/>
    </row>
    <row r="94" ht="11.25">
      <c r="C94" s="212"/>
    </row>
    <row r="95" spans="1:3" ht="11.25">
      <c r="A95" s="220"/>
      <c r="B95" s="220"/>
      <c r="C95" s="212"/>
    </row>
    <row r="96" spans="3:7" ht="11.25">
      <c r="C96" s="212"/>
      <c r="D96" s="212"/>
      <c r="E96" s="212"/>
      <c r="F96" s="212"/>
      <c r="G96" s="212"/>
    </row>
    <row r="97" spans="3:7" ht="11.25">
      <c r="C97" s="212"/>
      <c r="D97" s="212"/>
      <c r="E97" s="212"/>
      <c r="F97" s="212"/>
      <c r="G97" s="212"/>
    </row>
    <row r="98" spans="3:7" ht="11.25">
      <c r="C98" s="212"/>
      <c r="D98" s="212"/>
      <c r="E98" s="212"/>
      <c r="F98" s="212"/>
      <c r="G98" s="212"/>
    </row>
    <row r="99" spans="1:7" ht="11.25">
      <c r="A99" s="223"/>
      <c r="B99" s="223"/>
      <c r="C99" s="222"/>
      <c r="D99" s="222"/>
      <c r="E99" s="222"/>
      <c r="F99" s="222"/>
      <c r="G99" s="222"/>
    </row>
    <row r="101" spans="1:2" ht="11.25">
      <c r="A101" s="220"/>
      <c r="B101" s="220"/>
    </row>
    <row r="102" spans="3:7" ht="11.25">
      <c r="C102" s="212"/>
      <c r="D102" s="212"/>
      <c r="E102" s="212"/>
      <c r="F102" s="212"/>
      <c r="G102" s="212"/>
    </row>
    <row r="103" spans="3:7" ht="11.25">
      <c r="C103" s="212"/>
      <c r="D103" s="212"/>
      <c r="E103" s="212"/>
      <c r="F103" s="212"/>
      <c r="G103" s="212"/>
    </row>
    <row r="104" spans="3:7" ht="11.25">
      <c r="C104" s="212"/>
      <c r="D104" s="212"/>
      <c r="E104" s="212"/>
      <c r="F104" s="212"/>
      <c r="G104" s="212"/>
    </row>
    <row r="105" spans="3:7" ht="11.25">
      <c r="C105" s="212"/>
      <c r="D105" s="212"/>
      <c r="E105" s="212"/>
      <c r="F105" s="212"/>
      <c r="G105" s="212"/>
    </row>
    <row r="106" spans="3:7" ht="11.25">
      <c r="C106" s="212"/>
      <c r="D106" s="212"/>
      <c r="E106" s="212"/>
      <c r="F106" s="212"/>
      <c r="G106" s="212"/>
    </row>
    <row r="107" spans="3:7" ht="11.25">
      <c r="C107" s="212"/>
      <c r="D107" s="212"/>
      <c r="E107" s="212"/>
      <c r="F107" s="212"/>
      <c r="G107" s="212"/>
    </row>
    <row r="108" spans="3:7" ht="11.25">
      <c r="C108" s="212"/>
      <c r="D108" s="212"/>
      <c r="E108" s="212"/>
      <c r="F108" s="212"/>
      <c r="G108" s="212"/>
    </row>
    <row r="109" spans="3:7" ht="11.25">
      <c r="C109" s="212"/>
      <c r="D109" s="212"/>
      <c r="E109" s="212"/>
      <c r="F109" s="212"/>
      <c r="G109" s="212"/>
    </row>
    <row r="110" spans="3:7" ht="11.25">
      <c r="C110" s="212"/>
      <c r="D110" s="212"/>
      <c r="E110" s="212"/>
      <c r="F110" s="212"/>
      <c r="G110" s="212"/>
    </row>
    <row r="111" spans="3:7" ht="11.25">
      <c r="C111" s="212"/>
      <c r="D111" s="212"/>
      <c r="E111" s="212"/>
      <c r="F111" s="212"/>
      <c r="G111" s="212"/>
    </row>
    <row r="112" spans="3:7" ht="11.25">
      <c r="C112" s="212"/>
      <c r="D112" s="212"/>
      <c r="E112" s="212"/>
      <c r="F112" s="212"/>
      <c r="G112" s="212"/>
    </row>
    <row r="113" spans="3:7" ht="11.25">
      <c r="C113" s="212"/>
      <c r="D113" s="212"/>
      <c r="E113" s="212"/>
      <c r="F113" s="212"/>
      <c r="G113" s="212"/>
    </row>
    <row r="114" spans="1:7" ht="11.25">
      <c r="A114" s="223"/>
      <c r="B114" s="223"/>
      <c r="C114" s="222"/>
      <c r="D114" s="222"/>
      <c r="E114" s="222"/>
      <c r="F114" s="222"/>
      <c r="G114" s="222"/>
    </row>
    <row r="115" spans="1:7" ht="11.25">
      <c r="A115" s="223"/>
      <c r="B115" s="223"/>
      <c r="C115" s="222"/>
      <c r="D115" s="222"/>
      <c r="E115" s="222"/>
      <c r="F115" s="222"/>
      <c r="G115" s="222"/>
    </row>
    <row r="116" spans="1:7" ht="11.25">
      <c r="A116" s="208"/>
      <c r="B116" s="208"/>
      <c r="C116" s="212"/>
      <c r="D116" s="212"/>
      <c r="E116" s="212"/>
      <c r="F116" s="212"/>
      <c r="G116" s="212"/>
    </row>
  </sheetData>
  <sheetProtection/>
  <mergeCells count="2">
    <mergeCell ref="A4:L4"/>
    <mergeCell ref="A2:J2"/>
  </mergeCells>
  <printOptions horizontalCentered="1" verticalCentered="1"/>
  <pageMargins left="0.4330708661417323" right="0.5118110236220472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1">
      <selection activeCell="B2" sqref="B2:F13"/>
    </sheetView>
  </sheetViews>
  <sheetFormatPr defaultColWidth="11.421875" defaultRowHeight="12.75"/>
  <cols>
    <col min="2" max="2" width="25.140625" style="0" bestFit="1" customWidth="1"/>
    <col min="4" max="4" width="0.2890625" style="0" customWidth="1"/>
    <col min="5" max="5" width="17.7109375" style="0" bestFit="1" customWidth="1"/>
    <col min="6" max="6" width="11.8515625" style="0" customWidth="1"/>
  </cols>
  <sheetData>
    <row r="1" ht="13.5" thickBot="1"/>
    <row r="2" spans="2:6" ht="12.75">
      <c r="B2" s="780" t="s">
        <v>218</v>
      </c>
      <c r="C2" s="781"/>
      <c r="D2" s="781"/>
      <c r="E2" s="781"/>
      <c r="F2" s="782"/>
    </row>
    <row r="3" spans="2:6" ht="13.5" thickBot="1">
      <c r="B3" s="783"/>
      <c r="C3" s="784"/>
      <c r="D3" s="784"/>
      <c r="E3" s="784"/>
      <c r="F3" s="785"/>
    </row>
    <row r="4" spans="2:6" ht="16.5">
      <c r="B4" s="305" t="s">
        <v>219</v>
      </c>
      <c r="C4" s="306"/>
      <c r="D4" s="307"/>
      <c r="E4" s="308" t="s">
        <v>220</v>
      </c>
      <c r="F4" s="309"/>
    </row>
    <row r="5" spans="2:6" ht="13.5">
      <c r="B5" s="310" t="s">
        <v>221</v>
      </c>
      <c r="C5" s="311"/>
      <c r="D5" s="311"/>
      <c r="E5" s="311" t="s">
        <v>222</v>
      </c>
      <c r="F5" s="312">
        <f>E15*C13</f>
        <v>0</v>
      </c>
    </row>
    <row r="6" spans="2:6" ht="12.75">
      <c r="B6" s="313" t="str">
        <f>+'Bce. maq'!A3</f>
        <v>Equpo de computación </v>
      </c>
      <c r="C6" s="314">
        <f>+'Bce. maq'!D3</f>
        <v>3600</v>
      </c>
      <c r="D6" s="311"/>
      <c r="E6" s="315" t="s">
        <v>223</v>
      </c>
      <c r="F6" s="312">
        <f>SUM(F5)</f>
        <v>0</v>
      </c>
    </row>
    <row r="7" spans="2:6" ht="12.75">
      <c r="B7" s="313" t="str">
        <f>+'Bce. maq'!A4</f>
        <v>Impresora multifuncion </v>
      </c>
      <c r="C7" s="314">
        <f>+'Bce. maq'!D4</f>
        <v>300</v>
      </c>
      <c r="D7" s="311"/>
      <c r="E7" s="311"/>
      <c r="F7" s="316"/>
    </row>
    <row r="8" spans="2:6" ht="12.75">
      <c r="B8" s="313" t="str">
        <f>+'Bce. maq'!A5</f>
        <v>Fax</v>
      </c>
      <c r="C8" s="314">
        <f>+'Bce. maq'!D5</f>
        <v>98.75</v>
      </c>
      <c r="D8" s="311"/>
      <c r="E8" s="311"/>
      <c r="F8" s="312"/>
    </row>
    <row r="9" spans="2:6" ht="12.75">
      <c r="B9" s="313" t="s">
        <v>224</v>
      </c>
      <c r="C9" s="314">
        <v>80</v>
      </c>
      <c r="D9" s="311"/>
      <c r="E9" s="311"/>
      <c r="F9" s="312"/>
    </row>
    <row r="10" spans="2:6" ht="12.75">
      <c r="B10" s="313" t="s">
        <v>225</v>
      </c>
      <c r="C10" s="314">
        <f>+'Bce reemp'!B24</f>
        <v>360</v>
      </c>
      <c r="D10" s="311"/>
      <c r="E10" s="311"/>
      <c r="F10" s="312"/>
    </row>
    <row r="11" spans="2:6" ht="16.5">
      <c r="B11" s="310" t="s">
        <v>226</v>
      </c>
      <c r="C11" s="311"/>
      <c r="D11" s="311"/>
      <c r="E11" s="317" t="s">
        <v>227</v>
      </c>
      <c r="F11" s="312"/>
    </row>
    <row r="12" spans="2:6" ht="12.75">
      <c r="B12" s="313" t="s">
        <v>228</v>
      </c>
      <c r="C12" s="314">
        <v>3000</v>
      </c>
      <c r="D12" s="311"/>
      <c r="E12" s="311" t="s">
        <v>229</v>
      </c>
      <c r="F12" s="312">
        <f>C13</f>
        <v>7438.75</v>
      </c>
    </row>
    <row r="13" spans="2:6" ht="13.5" thickBot="1">
      <c r="B13" s="318" t="s">
        <v>230</v>
      </c>
      <c r="C13" s="319">
        <f>SUM(C4:C12)</f>
        <v>7438.75</v>
      </c>
      <c r="D13" s="320"/>
      <c r="E13" s="321" t="s">
        <v>231</v>
      </c>
      <c r="F13" s="322">
        <f>F6+F12</f>
        <v>7438.75</v>
      </c>
    </row>
    <row r="16" ht="12.75">
      <c r="B16" s="207"/>
    </row>
    <row r="17" ht="12.75">
      <c r="B17" s="168"/>
    </row>
    <row r="18" ht="12.75">
      <c r="B18" s="168"/>
    </row>
    <row r="19" ht="12.75">
      <c r="B19" s="168"/>
    </row>
    <row r="20" ht="12.75">
      <c r="B20" s="168"/>
    </row>
    <row r="21" ht="12.75">
      <c r="B21" s="168"/>
    </row>
    <row r="22" ht="12.75">
      <c r="B22" s="168"/>
    </row>
  </sheetData>
  <sheetProtection/>
  <mergeCells count="1">
    <mergeCell ref="B2:F3"/>
  </mergeCells>
  <printOptions/>
  <pageMargins left="0.75" right="0.75" top="1.76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37">
      <selection activeCell="A43" sqref="A43:K62"/>
    </sheetView>
  </sheetViews>
  <sheetFormatPr defaultColWidth="11.421875" defaultRowHeight="12.75"/>
  <cols>
    <col min="1" max="1" width="30.00390625" style="38" bestFit="1" customWidth="1"/>
    <col min="2" max="2" width="14.00390625" style="9" bestFit="1" customWidth="1"/>
    <col min="3" max="3" width="0.9921875" style="39" bestFit="1" customWidth="1"/>
    <col min="4" max="6" width="10.8515625" style="9" bestFit="1" customWidth="1"/>
    <col min="7" max="7" width="2.28125" style="9" bestFit="1" customWidth="1"/>
    <col min="8" max="11" width="10.8515625" style="9" bestFit="1" customWidth="1"/>
    <col min="12" max="16384" width="11.421875" style="9" customWidth="1"/>
  </cols>
  <sheetData>
    <row r="1" spans="1:11" ht="12.75">
      <c r="A1" s="7" t="s">
        <v>23</v>
      </c>
      <c r="B1" s="5"/>
      <c r="C1" s="8"/>
      <c r="D1" s="5"/>
      <c r="E1" s="5"/>
      <c r="F1" s="5"/>
      <c r="G1" s="5"/>
      <c r="H1" s="5"/>
      <c r="I1" s="5"/>
      <c r="J1" s="5"/>
      <c r="K1" s="5"/>
    </row>
    <row r="2" spans="1:11" ht="12.75">
      <c r="A2" s="7"/>
      <c r="B2" s="5"/>
      <c r="C2" s="8"/>
      <c r="D2" s="5"/>
      <c r="E2" s="5"/>
      <c r="F2" s="5"/>
      <c r="G2" s="5"/>
      <c r="H2" s="5"/>
      <c r="I2" s="5"/>
      <c r="J2" s="5"/>
      <c r="K2" s="5"/>
    </row>
    <row r="3" spans="1:11" ht="13.5" thickBot="1">
      <c r="A3" s="10"/>
      <c r="B3" s="535" t="s">
        <v>24</v>
      </c>
      <c r="C3" s="8"/>
      <c r="D3" s="539" t="s">
        <v>25</v>
      </c>
      <c r="E3" s="539"/>
      <c r="F3" s="539"/>
      <c r="G3" s="1"/>
      <c r="H3" s="539" t="s">
        <v>26</v>
      </c>
      <c r="I3" s="539"/>
      <c r="J3" s="539"/>
      <c r="K3" s="539"/>
    </row>
    <row r="4" spans="1:11" s="15" customFormat="1" ht="13.5" thickBot="1">
      <c r="A4" s="10"/>
      <c r="B4" s="536"/>
      <c r="C4" s="12" t="s">
        <v>27</v>
      </c>
      <c r="D4" s="13" t="s">
        <v>28</v>
      </c>
      <c r="E4" s="13" t="s">
        <v>29</v>
      </c>
      <c r="F4" s="13" t="s">
        <v>30</v>
      </c>
      <c r="G4" s="14" t="s">
        <v>27</v>
      </c>
      <c r="H4" s="13" t="s">
        <v>31</v>
      </c>
      <c r="I4" s="13" t="s">
        <v>32</v>
      </c>
      <c r="J4" s="13" t="s">
        <v>33</v>
      </c>
      <c r="K4" s="13" t="s">
        <v>34</v>
      </c>
    </row>
    <row r="5" spans="1:11" s="15" customFormat="1" ht="12.75">
      <c r="A5" s="10"/>
      <c r="B5" s="11"/>
      <c r="C5" s="12"/>
      <c r="D5" s="16"/>
      <c r="E5" s="16"/>
      <c r="F5" s="16"/>
      <c r="G5" s="14"/>
      <c r="H5" s="16"/>
      <c r="I5" s="16"/>
      <c r="J5" s="16"/>
      <c r="K5" s="16"/>
    </row>
    <row r="6" spans="1:11" ht="12.75" customHeight="1">
      <c r="A6" s="17" t="s">
        <v>35</v>
      </c>
      <c r="B6" s="18"/>
      <c r="C6" s="12" t="s">
        <v>27</v>
      </c>
      <c r="D6" s="19"/>
      <c r="E6" s="19"/>
      <c r="F6" s="19"/>
      <c r="G6" s="20" t="s">
        <v>27</v>
      </c>
      <c r="H6" s="19"/>
      <c r="I6" s="19"/>
      <c r="J6" s="19"/>
      <c r="K6" s="19"/>
    </row>
    <row r="7" spans="1:11" ht="12.75">
      <c r="A7" s="21" t="s">
        <v>136</v>
      </c>
      <c r="B7" s="18"/>
      <c r="C7" s="12" t="s">
        <v>27</v>
      </c>
      <c r="D7" s="5"/>
      <c r="E7" s="5"/>
      <c r="F7" s="5"/>
      <c r="G7" s="20" t="s">
        <v>27</v>
      </c>
      <c r="H7" s="5"/>
      <c r="I7" s="5"/>
      <c r="J7" s="5"/>
      <c r="K7" s="5"/>
    </row>
    <row r="8" spans="1:11" ht="12.75">
      <c r="A8" s="22" t="s">
        <v>36</v>
      </c>
      <c r="B8" s="23">
        <f>SUM(H8:K8)</f>
        <v>4560</v>
      </c>
      <c r="C8" s="12" t="s">
        <v>27</v>
      </c>
      <c r="D8" s="24">
        <f>+Hoja2!$B$31</f>
        <v>380</v>
      </c>
      <c r="E8" s="24">
        <f>+Hoja2!$B$31</f>
        <v>380</v>
      </c>
      <c r="F8" s="24">
        <f>+Hoja2!$B$31</f>
        <v>380</v>
      </c>
      <c r="G8" s="20" t="s">
        <v>27</v>
      </c>
      <c r="H8" s="24">
        <f>+D8+E8+F8</f>
        <v>1140</v>
      </c>
      <c r="I8" s="24">
        <f aca="true" t="shared" si="0" ref="I8:K10">+H8</f>
        <v>1140</v>
      </c>
      <c r="J8" s="24">
        <f t="shared" si="0"/>
        <v>1140</v>
      </c>
      <c r="K8" s="24">
        <f t="shared" si="0"/>
        <v>1140</v>
      </c>
    </row>
    <row r="9" spans="1:11" ht="12.75">
      <c r="A9" s="22" t="s">
        <v>37</v>
      </c>
      <c r="B9" s="23">
        <f>SUM(H9:K9)</f>
        <v>9600</v>
      </c>
      <c r="C9" s="12" t="s">
        <v>27</v>
      </c>
      <c r="D9" s="25">
        <f>+Hoja2!$B$33</f>
        <v>800</v>
      </c>
      <c r="E9" s="25">
        <f>+Hoja2!$B$33</f>
        <v>800</v>
      </c>
      <c r="F9" s="25">
        <f>+Hoja2!$B$33</f>
        <v>800</v>
      </c>
      <c r="G9" s="20" t="s">
        <v>27</v>
      </c>
      <c r="H9" s="24">
        <f>+D9+E9+F9</f>
        <v>2400</v>
      </c>
      <c r="I9" s="24">
        <f t="shared" si="0"/>
        <v>2400</v>
      </c>
      <c r="J9" s="24">
        <f t="shared" si="0"/>
        <v>2400</v>
      </c>
      <c r="K9" s="24">
        <f t="shared" si="0"/>
        <v>2400</v>
      </c>
    </row>
    <row r="10" spans="1:11" ht="15">
      <c r="A10" s="22" t="s">
        <v>38</v>
      </c>
      <c r="B10" s="23">
        <f>SUM(H10:K10)</f>
        <v>1800</v>
      </c>
      <c r="C10" s="12" t="s">
        <v>27</v>
      </c>
      <c r="D10" s="26">
        <f>+Hoja2!$B$32</f>
        <v>150</v>
      </c>
      <c r="E10" s="26">
        <f>+Hoja2!$B$32</f>
        <v>150</v>
      </c>
      <c r="F10" s="26">
        <f>+Hoja2!$B$32</f>
        <v>150</v>
      </c>
      <c r="G10" s="27" t="s">
        <v>27</v>
      </c>
      <c r="H10" s="28">
        <f>+D10+E10+F10</f>
        <v>450</v>
      </c>
      <c r="I10" s="28">
        <f t="shared" si="0"/>
        <v>450</v>
      </c>
      <c r="J10" s="28">
        <f t="shared" si="0"/>
        <v>450</v>
      </c>
      <c r="K10" s="28">
        <f t="shared" si="0"/>
        <v>450</v>
      </c>
    </row>
    <row r="11" spans="1:11" ht="15">
      <c r="A11" s="124" t="s">
        <v>167</v>
      </c>
      <c r="C11" s="12"/>
      <c r="D11" s="26"/>
      <c r="E11" s="26"/>
      <c r="F11" s="26"/>
      <c r="G11" s="27"/>
      <c r="H11" s="28"/>
      <c r="I11" s="28"/>
      <c r="J11" s="28"/>
      <c r="K11" s="28"/>
    </row>
    <row r="12" spans="1:11" ht="15">
      <c r="A12" s="22" t="s">
        <v>166</v>
      </c>
      <c r="B12" s="23">
        <f>150*12*2</f>
        <v>3600</v>
      </c>
      <c r="C12" s="12"/>
      <c r="D12" s="26"/>
      <c r="E12" s="26"/>
      <c r="F12" s="26"/>
      <c r="G12" s="27"/>
      <c r="H12" s="28"/>
      <c r="I12" s="28"/>
      <c r="J12" s="28"/>
      <c r="K12" s="28"/>
    </row>
    <row r="13" spans="1:11" s="32" customFormat="1" ht="12.75">
      <c r="A13" s="29" t="s">
        <v>39</v>
      </c>
      <c r="B13" s="30">
        <f>SUM(B8:B12)</f>
        <v>19560</v>
      </c>
      <c r="C13" s="12" t="s">
        <v>27</v>
      </c>
      <c r="D13" s="31">
        <f>SUM(D8:D10)</f>
        <v>1330</v>
      </c>
      <c r="E13" s="31">
        <f>SUM(E8:E10)</f>
        <v>1330</v>
      </c>
      <c r="F13" s="31">
        <f>SUM(F8:F10)</f>
        <v>1330</v>
      </c>
      <c r="G13" s="31"/>
      <c r="H13" s="31">
        <f>SUM(H8:H10)</f>
        <v>3990</v>
      </c>
      <c r="I13" s="31">
        <f>SUM(I8:I10)</f>
        <v>3990</v>
      </c>
      <c r="J13" s="31">
        <f>SUM(J8:J10)</f>
        <v>3990</v>
      </c>
      <c r="K13" s="31">
        <f>SUM(K8:K10)</f>
        <v>3990</v>
      </c>
    </row>
    <row r="14" spans="1:11" ht="12.75">
      <c r="A14" s="33"/>
      <c r="B14" s="5"/>
      <c r="C14" s="12" t="s">
        <v>27</v>
      </c>
      <c r="D14" s="5"/>
      <c r="E14" s="5"/>
      <c r="F14" s="5"/>
      <c r="G14" s="20" t="s">
        <v>27</v>
      </c>
      <c r="H14" s="5"/>
      <c r="I14" s="5"/>
      <c r="J14" s="5"/>
      <c r="K14" s="5"/>
    </row>
    <row r="15" spans="1:11" ht="12.75">
      <c r="A15" s="17" t="s">
        <v>40</v>
      </c>
      <c r="B15" s="5"/>
      <c r="C15" s="12" t="s">
        <v>27</v>
      </c>
      <c r="D15" s="5"/>
      <c r="E15" s="5"/>
      <c r="F15" s="5"/>
      <c r="G15" s="20" t="s">
        <v>27</v>
      </c>
      <c r="H15" s="5"/>
      <c r="I15" s="5"/>
      <c r="J15" s="5"/>
      <c r="K15" s="5"/>
    </row>
    <row r="16" spans="1:11" ht="15">
      <c r="A16" s="10" t="s">
        <v>137</v>
      </c>
      <c r="B16" s="23">
        <f>SUM(H16:K16)</f>
        <v>12895.516799999998</v>
      </c>
      <c r="C16" s="12" t="s">
        <v>27</v>
      </c>
      <c r="D16" s="34">
        <f>+'Sal. Var'!$N$14</f>
        <v>1074.6263999999999</v>
      </c>
      <c r="E16" s="34">
        <f>+'Sal. Var'!$N$14</f>
        <v>1074.6263999999999</v>
      </c>
      <c r="F16" s="34">
        <f>+'Sal. Var'!$N$14</f>
        <v>1074.6263999999999</v>
      </c>
      <c r="G16" s="27" t="s">
        <v>27</v>
      </c>
      <c r="H16" s="34">
        <f>SUM(D16:F16)</f>
        <v>3223.8791999999994</v>
      </c>
      <c r="I16" s="34">
        <f>+H16</f>
        <v>3223.8791999999994</v>
      </c>
      <c r="J16" s="34">
        <f>+I16</f>
        <v>3223.8791999999994</v>
      </c>
      <c r="K16" s="34">
        <f>+J16</f>
        <v>3223.8791999999994</v>
      </c>
    </row>
    <row r="17" spans="1:11" s="32" customFormat="1" ht="12.75">
      <c r="A17" s="29" t="s">
        <v>41</v>
      </c>
      <c r="B17" s="30">
        <f>SUM(B14:B16)</f>
        <v>12895.516799999998</v>
      </c>
      <c r="C17" s="12" t="s">
        <v>27</v>
      </c>
      <c r="D17" s="31">
        <f>SUM(D14:D16)</f>
        <v>1074.6263999999999</v>
      </c>
      <c r="E17" s="31">
        <f>SUM(E14:E16)</f>
        <v>1074.6263999999999</v>
      </c>
      <c r="F17" s="31">
        <f>SUM(F14:F16)</f>
        <v>1074.6263999999999</v>
      </c>
      <c r="G17" s="31"/>
      <c r="H17" s="31">
        <f>SUM(H14:H16)</f>
        <v>3223.8791999999994</v>
      </c>
      <c r="I17" s="31">
        <f>SUM(I14:I16)</f>
        <v>3223.8791999999994</v>
      </c>
      <c r="J17" s="31">
        <f>SUM(J14:J16)</f>
        <v>3223.8791999999994</v>
      </c>
      <c r="K17" s="31">
        <f>SUM(K14:K16)</f>
        <v>3223.8791999999994</v>
      </c>
    </row>
    <row r="18" spans="1:11" s="32" customFormat="1" ht="12.75">
      <c r="A18" s="29" t="s">
        <v>93</v>
      </c>
      <c r="B18" s="30">
        <f>+B13+B17</f>
        <v>32455.516799999998</v>
      </c>
      <c r="C18" s="12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10"/>
      <c r="B19" s="5"/>
      <c r="C19" s="12" t="s">
        <v>27</v>
      </c>
      <c r="D19" s="35"/>
      <c r="E19" s="35"/>
      <c r="F19" s="35"/>
      <c r="G19" s="36" t="s">
        <v>27</v>
      </c>
      <c r="H19" s="35"/>
      <c r="I19" s="35"/>
      <c r="J19" s="35"/>
      <c r="K19" s="35"/>
    </row>
    <row r="20" spans="1:11" ht="12.75">
      <c r="A20" s="655" t="s">
        <v>138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</row>
    <row r="21" spans="1:11" s="37" customFormat="1" ht="12.75" customHeight="1">
      <c r="A21" s="537" t="s">
        <v>139</v>
      </c>
      <c r="B21" s="537"/>
      <c r="C21" s="537"/>
      <c r="D21" s="537"/>
      <c r="E21" s="537"/>
      <c r="F21" s="537"/>
      <c r="G21" s="537"/>
      <c r="H21" s="537"/>
      <c r="I21" s="537"/>
      <c r="J21" s="537"/>
      <c r="K21" s="537"/>
    </row>
    <row r="22" spans="1:11" s="37" customFormat="1" ht="12.75">
      <c r="A22" s="537"/>
      <c r="B22" s="537"/>
      <c r="C22" s="537"/>
      <c r="D22" s="537"/>
      <c r="E22" s="537"/>
      <c r="F22" s="537"/>
      <c r="G22" s="537"/>
      <c r="H22" s="537"/>
      <c r="I22" s="537"/>
      <c r="J22" s="537"/>
      <c r="K22" s="537"/>
    </row>
    <row r="24" spans="1:11" ht="12.75">
      <c r="A24" s="7" t="s">
        <v>23</v>
      </c>
      <c r="B24" s="5"/>
      <c r="C24" s="8"/>
      <c r="D24" s="5"/>
      <c r="E24" s="5"/>
      <c r="F24" s="5"/>
      <c r="G24" s="5"/>
      <c r="H24" s="5"/>
      <c r="I24" s="5"/>
      <c r="J24" s="5"/>
      <c r="K24" s="5"/>
    </row>
    <row r="25" spans="1:11" ht="12.75">
      <c r="A25" s="7"/>
      <c r="B25" s="5"/>
      <c r="C25" s="8"/>
      <c r="D25" s="5"/>
      <c r="E25" s="5"/>
      <c r="F25" s="5"/>
      <c r="G25" s="5"/>
      <c r="H25" s="5"/>
      <c r="I25" s="5"/>
      <c r="J25" s="5"/>
      <c r="K25" s="5"/>
    </row>
    <row r="26" spans="1:11" ht="13.5" thickBot="1">
      <c r="A26" s="10"/>
      <c r="B26" s="535" t="s">
        <v>24</v>
      </c>
      <c r="C26" s="8"/>
      <c r="D26" s="539" t="s">
        <v>25</v>
      </c>
      <c r="E26" s="539"/>
      <c r="F26" s="539"/>
      <c r="G26" s="1"/>
      <c r="H26" s="539" t="s">
        <v>26</v>
      </c>
      <c r="I26" s="539"/>
      <c r="J26" s="539"/>
      <c r="K26" s="539"/>
    </row>
    <row r="27" spans="1:11" ht="13.5" thickBot="1">
      <c r="A27" s="10"/>
      <c r="B27" s="536"/>
      <c r="C27" s="12" t="s">
        <v>27</v>
      </c>
      <c r="D27" s="13" t="s">
        <v>28</v>
      </c>
      <c r="E27" s="13" t="s">
        <v>29</v>
      </c>
      <c r="F27" s="13" t="s">
        <v>30</v>
      </c>
      <c r="G27" s="14" t="s">
        <v>27</v>
      </c>
      <c r="H27" s="13" t="s">
        <v>31</v>
      </c>
      <c r="I27" s="13" t="s">
        <v>32</v>
      </c>
      <c r="J27" s="13" t="s">
        <v>33</v>
      </c>
      <c r="K27" s="13" t="s">
        <v>34</v>
      </c>
    </row>
    <row r="28" spans="1:11" ht="12.75">
      <c r="A28" s="10"/>
      <c r="B28" s="11"/>
      <c r="C28" s="12"/>
      <c r="D28" s="16"/>
      <c r="E28" s="16"/>
      <c r="F28" s="16"/>
      <c r="G28" s="14"/>
      <c r="H28" s="16"/>
      <c r="I28" s="16"/>
      <c r="J28" s="16"/>
      <c r="K28" s="16"/>
    </row>
    <row r="29" spans="1:11" ht="12.75">
      <c r="A29" s="17" t="s">
        <v>35</v>
      </c>
      <c r="B29" s="18"/>
      <c r="C29" s="12" t="s">
        <v>27</v>
      </c>
      <c r="D29" s="19"/>
      <c r="E29" s="19"/>
      <c r="F29" s="19"/>
      <c r="G29" s="20" t="s">
        <v>27</v>
      </c>
      <c r="H29" s="19"/>
      <c r="I29" s="19"/>
      <c r="J29" s="19"/>
      <c r="K29" s="19"/>
    </row>
    <row r="30" spans="1:11" ht="12.75">
      <c r="A30" s="21" t="s">
        <v>136</v>
      </c>
      <c r="B30" s="18"/>
      <c r="C30" s="12" t="s">
        <v>27</v>
      </c>
      <c r="D30" s="5"/>
      <c r="E30" s="5"/>
      <c r="F30" s="5"/>
      <c r="G30" s="20" t="s">
        <v>27</v>
      </c>
      <c r="H30" s="5"/>
      <c r="I30" s="5"/>
      <c r="J30" s="5"/>
      <c r="K30" s="5"/>
    </row>
    <row r="31" spans="1:11" ht="12.75">
      <c r="A31" s="22" t="s">
        <v>36</v>
      </c>
      <c r="B31" s="23">
        <f>SUM(H31:K31)</f>
        <v>4560</v>
      </c>
      <c r="C31" s="12" t="s">
        <v>27</v>
      </c>
      <c r="D31" s="24">
        <f>+Hoja2!$B$31</f>
        <v>380</v>
      </c>
      <c r="E31" s="24">
        <f>+Hoja2!$B$31</f>
        <v>380</v>
      </c>
      <c r="F31" s="24">
        <f>+Hoja2!$B$31</f>
        <v>380</v>
      </c>
      <c r="G31" s="20" t="s">
        <v>27</v>
      </c>
      <c r="H31" s="24">
        <f>+D31+E31+F31</f>
        <v>1140</v>
      </c>
      <c r="I31" s="24">
        <f aca="true" t="shared" si="1" ref="I31:K33">+H31</f>
        <v>1140</v>
      </c>
      <c r="J31" s="24">
        <f t="shared" si="1"/>
        <v>1140</v>
      </c>
      <c r="K31" s="24">
        <f t="shared" si="1"/>
        <v>1140</v>
      </c>
    </row>
    <row r="32" spans="1:11" ht="12.75">
      <c r="A32" s="22" t="s">
        <v>37</v>
      </c>
      <c r="B32" s="23">
        <f>SUM(H32:K32)</f>
        <v>9600</v>
      </c>
      <c r="C32" s="12" t="s">
        <v>27</v>
      </c>
      <c r="D32" s="25">
        <f>+Hoja2!$B$33</f>
        <v>800</v>
      </c>
      <c r="E32" s="25">
        <f>+Hoja2!$B$33</f>
        <v>800</v>
      </c>
      <c r="F32" s="25">
        <f>+Hoja2!$B$33</f>
        <v>800</v>
      </c>
      <c r="G32" s="20" t="s">
        <v>27</v>
      </c>
      <c r="H32" s="24">
        <f>+D32+E32+F32</f>
        <v>2400</v>
      </c>
      <c r="I32" s="24">
        <f t="shared" si="1"/>
        <v>2400</v>
      </c>
      <c r="J32" s="24">
        <f t="shared" si="1"/>
        <v>2400</v>
      </c>
      <c r="K32" s="24">
        <f t="shared" si="1"/>
        <v>2400</v>
      </c>
    </row>
    <row r="33" spans="1:11" ht="15">
      <c r="A33" s="22" t="s">
        <v>38</v>
      </c>
      <c r="B33" s="23">
        <f>SUM(H33:K33)</f>
        <v>1800</v>
      </c>
      <c r="C33" s="12" t="s">
        <v>27</v>
      </c>
      <c r="D33" s="26">
        <f>+Hoja2!$B$32</f>
        <v>150</v>
      </c>
      <c r="E33" s="26">
        <f>+Hoja2!$B$32</f>
        <v>150</v>
      </c>
      <c r="F33" s="26">
        <f>+Hoja2!$B$32</f>
        <v>150</v>
      </c>
      <c r="G33" s="27" t="s">
        <v>27</v>
      </c>
      <c r="H33" s="28">
        <f>+D33+E33+F33</f>
        <v>450</v>
      </c>
      <c r="I33" s="28">
        <f t="shared" si="1"/>
        <v>450</v>
      </c>
      <c r="J33" s="28">
        <f t="shared" si="1"/>
        <v>450</v>
      </c>
      <c r="K33" s="28">
        <f t="shared" si="1"/>
        <v>450</v>
      </c>
    </row>
    <row r="34" spans="1:11" ht="15">
      <c r="A34" s="124" t="s">
        <v>167</v>
      </c>
      <c r="C34" s="12"/>
      <c r="D34" s="26"/>
      <c r="E34" s="26"/>
      <c r="F34" s="26"/>
      <c r="G34" s="27"/>
      <c r="H34" s="28"/>
      <c r="I34" s="28"/>
      <c r="J34" s="28"/>
      <c r="K34" s="28"/>
    </row>
    <row r="35" spans="1:11" ht="15">
      <c r="A35" s="22" t="s">
        <v>166</v>
      </c>
      <c r="B35" s="23">
        <f>150*2*12</f>
        <v>3600</v>
      </c>
      <c r="C35" s="12"/>
      <c r="D35" s="26"/>
      <c r="E35" s="26"/>
      <c r="F35" s="26"/>
      <c r="G35" s="27"/>
      <c r="H35" s="28"/>
      <c r="I35" s="28"/>
      <c r="J35" s="28"/>
      <c r="K35" s="28"/>
    </row>
    <row r="36" spans="1:11" ht="12.75">
      <c r="A36" s="29" t="s">
        <v>39</v>
      </c>
      <c r="B36" s="30">
        <f>SUM(B31:B35)</f>
        <v>19560</v>
      </c>
      <c r="C36" s="12" t="s">
        <v>27</v>
      </c>
      <c r="D36" s="31">
        <f>SUM(D31:D33)</f>
        <v>1330</v>
      </c>
      <c r="E36" s="31">
        <f>SUM(E31:E33)</f>
        <v>1330</v>
      </c>
      <c r="F36" s="31">
        <f>SUM(F31:F33)</f>
        <v>1330</v>
      </c>
      <c r="G36" s="31"/>
      <c r="H36" s="31">
        <f>SUM(H31:H33)</f>
        <v>3990</v>
      </c>
      <c r="I36" s="31">
        <f>SUM(I31:I33)</f>
        <v>3990</v>
      </c>
      <c r="J36" s="31">
        <f>SUM(J31:J33)</f>
        <v>3990</v>
      </c>
      <c r="K36" s="31">
        <f>SUM(K31:K33)</f>
        <v>3990</v>
      </c>
    </row>
    <row r="37" spans="1:11" ht="12.75">
      <c r="A37" s="33"/>
      <c r="B37" s="5"/>
      <c r="C37" s="12" t="s">
        <v>27</v>
      </c>
      <c r="D37" s="5"/>
      <c r="E37" s="5"/>
      <c r="F37" s="5"/>
      <c r="G37" s="20" t="s">
        <v>27</v>
      </c>
      <c r="H37" s="5"/>
      <c r="I37" s="5"/>
      <c r="J37" s="5"/>
      <c r="K37" s="5"/>
    </row>
    <row r="38" spans="1:11" ht="12.75">
      <c r="A38" s="17" t="s">
        <v>40</v>
      </c>
      <c r="B38" s="5"/>
      <c r="C38" s="12" t="s">
        <v>27</v>
      </c>
      <c r="D38" s="5"/>
      <c r="E38" s="5"/>
      <c r="F38" s="5"/>
      <c r="G38" s="20" t="s">
        <v>27</v>
      </c>
      <c r="H38" s="5"/>
      <c r="I38" s="5"/>
      <c r="J38" s="5"/>
      <c r="K38" s="5"/>
    </row>
    <row r="39" spans="1:11" ht="15">
      <c r="A39" s="10" t="s">
        <v>137</v>
      </c>
      <c r="B39" s="23">
        <f>+'Sal. Var'!O25</f>
        <v>13546.079999999998</v>
      </c>
      <c r="C39" s="12" t="s">
        <v>27</v>
      </c>
      <c r="D39" s="34">
        <f>+'Sal. Var'!$N$14</f>
        <v>1074.6263999999999</v>
      </c>
      <c r="E39" s="34">
        <f>+'Sal. Var'!$N$14</f>
        <v>1074.6263999999999</v>
      </c>
      <c r="F39" s="34">
        <f>+'Sal. Var'!$N$14</f>
        <v>1074.6263999999999</v>
      </c>
      <c r="G39" s="27" t="s">
        <v>27</v>
      </c>
      <c r="H39" s="34">
        <f>SUM(D39:F39)</f>
        <v>3223.8791999999994</v>
      </c>
      <c r="I39" s="34">
        <f>+H39</f>
        <v>3223.8791999999994</v>
      </c>
      <c r="J39" s="34">
        <f>+I39</f>
        <v>3223.8791999999994</v>
      </c>
      <c r="K39" s="34">
        <f>+J39</f>
        <v>3223.8791999999994</v>
      </c>
    </row>
    <row r="40" spans="1:11" ht="12.75">
      <c r="A40" s="29" t="s">
        <v>41</v>
      </c>
      <c r="B40" s="30">
        <f>SUM(B37:B39)</f>
        <v>13546.079999999998</v>
      </c>
      <c r="C40" s="12" t="s">
        <v>27</v>
      </c>
      <c r="D40" s="31">
        <f>SUM(D37:D39)</f>
        <v>1074.6263999999999</v>
      </c>
      <c r="E40" s="31">
        <f>SUM(E37:E39)</f>
        <v>1074.6263999999999</v>
      </c>
      <c r="F40" s="31">
        <f>SUM(F37:F39)</f>
        <v>1074.6263999999999</v>
      </c>
      <c r="G40" s="31"/>
      <c r="H40" s="31">
        <f>SUM(H37:H39)</f>
        <v>3223.8791999999994</v>
      </c>
      <c r="I40" s="31">
        <f>SUM(I37:I39)</f>
        <v>3223.8791999999994</v>
      </c>
      <c r="J40" s="31">
        <f>SUM(J37:J39)</f>
        <v>3223.8791999999994</v>
      </c>
      <c r="K40" s="31">
        <f>SUM(K37:K39)</f>
        <v>3223.8791999999994</v>
      </c>
    </row>
    <row r="41" spans="1:11" ht="12.75">
      <c r="A41" s="29" t="s">
        <v>93</v>
      </c>
      <c r="B41" s="30">
        <f>+B36+B40</f>
        <v>33106.08</v>
      </c>
      <c r="C41" s="12"/>
      <c r="D41" s="31"/>
      <c r="E41" s="31"/>
      <c r="F41" s="31"/>
      <c r="G41" s="31"/>
      <c r="H41" s="31"/>
      <c r="I41" s="31"/>
      <c r="J41" s="31"/>
      <c r="K41" s="31"/>
    </row>
    <row r="43" spans="1:11" ht="16.5">
      <c r="A43" s="837" t="s">
        <v>353</v>
      </c>
      <c r="B43" s="837"/>
      <c r="C43" s="837"/>
      <c r="D43" s="837"/>
      <c r="E43" s="837"/>
      <c r="F43" s="837"/>
      <c r="G43" s="837"/>
      <c r="H43" s="837"/>
      <c r="I43" s="837"/>
      <c r="J43" s="837"/>
      <c r="K43" s="837"/>
    </row>
    <row r="44" spans="1:11" ht="16.5">
      <c r="A44" s="838"/>
      <c r="B44" s="838"/>
      <c r="C44" s="838"/>
      <c r="D44" s="838"/>
      <c r="E44" s="838"/>
      <c r="F44" s="838"/>
      <c r="G44" s="838"/>
      <c r="H44" s="838"/>
      <c r="I44" s="838"/>
      <c r="J44" s="838"/>
      <c r="K44" s="838"/>
    </row>
    <row r="45" spans="1:11" ht="16.5">
      <c r="A45" s="837" t="s">
        <v>354</v>
      </c>
      <c r="B45" s="837"/>
      <c r="C45" s="837"/>
      <c r="D45" s="837"/>
      <c r="E45" s="837"/>
      <c r="F45" s="837"/>
      <c r="G45" s="837"/>
      <c r="H45" s="837"/>
      <c r="I45" s="837"/>
      <c r="J45" s="837"/>
      <c r="K45" s="837"/>
    </row>
    <row r="46" spans="1:11" ht="13.5" thickBot="1">
      <c r="A46" s="584"/>
      <c r="B46" s="585"/>
      <c r="C46" s="586"/>
      <c r="D46" s="585"/>
      <c r="E46" s="585"/>
      <c r="F46" s="585"/>
      <c r="G46" s="585"/>
      <c r="H46" s="585"/>
      <c r="I46" s="585"/>
      <c r="J46" s="585"/>
      <c r="K46" s="585"/>
    </row>
    <row r="47" spans="1:11" ht="13.5" thickBot="1">
      <c r="A47" s="587"/>
      <c r="B47" s="831" t="s">
        <v>24</v>
      </c>
      <c r="C47" s="588"/>
      <c r="D47" s="833" t="s">
        <v>25</v>
      </c>
      <c r="E47" s="833"/>
      <c r="F47" s="833"/>
      <c r="G47" s="589"/>
      <c r="H47" s="833" t="s">
        <v>26</v>
      </c>
      <c r="I47" s="833"/>
      <c r="J47" s="833"/>
      <c r="K47" s="835"/>
    </row>
    <row r="48" spans="1:11" ht="13.5" thickBot="1">
      <c r="A48" s="590"/>
      <c r="B48" s="832"/>
      <c r="C48" s="591" t="s">
        <v>27</v>
      </c>
      <c r="D48" s="834" t="s">
        <v>28</v>
      </c>
      <c r="E48" s="834" t="s">
        <v>29</v>
      </c>
      <c r="F48" s="834" t="s">
        <v>30</v>
      </c>
      <c r="G48" s="592" t="s">
        <v>27</v>
      </c>
      <c r="H48" s="834" t="s">
        <v>31</v>
      </c>
      <c r="I48" s="834" t="s">
        <v>32</v>
      </c>
      <c r="J48" s="834" t="s">
        <v>33</v>
      </c>
      <c r="K48" s="836" t="s">
        <v>34</v>
      </c>
    </row>
    <row r="49" spans="1:11" ht="12.75">
      <c r="A49" s="590"/>
      <c r="B49" s="593"/>
      <c r="C49" s="591"/>
      <c r="D49" s="594"/>
      <c r="E49" s="594"/>
      <c r="F49" s="594"/>
      <c r="G49" s="592"/>
      <c r="H49" s="594"/>
      <c r="I49" s="594"/>
      <c r="J49" s="594"/>
      <c r="K49" s="595"/>
    </row>
    <row r="50" spans="1:11" ht="12.75">
      <c r="A50" s="596" t="s">
        <v>35</v>
      </c>
      <c r="B50" s="597"/>
      <c r="C50" s="591" t="s">
        <v>27</v>
      </c>
      <c r="D50" s="598"/>
      <c r="E50" s="598"/>
      <c r="F50" s="598"/>
      <c r="G50" s="599" t="s">
        <v>27</v>
      </c>
      <c r="H50" s="598"/>
      <c r="I50" s="598"/>
      <c r="J50" s="598"/>
      <c r="K50" s="600"/>
    </row>
    <row r="51" spans="1:11" ht="12.75">
      <c r="A51" s="601" t="s">
        <v>136</v>
      </c>
      <c r="B51" s="597"/>
      <c r="C51" s="591" t="s">
        <v>27</v>
      </c>
      <c r="D51" s="585"/>
      <c r="E51" s="585"/>
      <c r="F51" s="585"/>
      <c r="G51" s="599" t="s">
        <v>27</v>
      </c>
      <c r="H51" s="585"/>
      <c r="I51" s="585"/>
      <c r="J51" s="585"/>
      <c r="K51" s="602"/>
    </row>
    <row r="52" spans="1:11" ht="12.75">
      <c r="A52" s="603" t="s">
        <v>36</v>
      </c>
      <c r="B52" s="604">
        <f>SUM(H52:K52)</f>
        <v>4560</v>
      </c>
      <c r="C52" s="591" t="s">
        <v>27</v>
      </c>
      <c r="D52" s="605">
        <f>+Hoja2!$B$31</f>
        <v>380</v>
      </c>
      <c r="E52" s="605">
        <f>+Hoja2!$B$31</f>
        <v>380</v>
      </c>
      <c r="F52" s="605">
        <f>+Hoja2!$B$31</f>
        <v>380</v>
      </c>
      <c r="G52" s="599" t="s">
        <v>27</v>
      </c>
      <c r="H52" s="605">
        <f>+D52+E52+F52</f>
        <v>1140</v>
      </c>
      <c r="I52" s="605">
        <f aca="true" t="shared" si="2" ref="I52:K54">+H52</f>
        <v>1140</v>
      </c>
      <c r="J52" s="605">
        <f t="shared" si="2"/>
        <v>1140</v>
      </c>
      <c r="K52" s="606">
        <f t="shared" si="2"/>
        <v>1140</v>
      </c>
    </row>
    <row r="53" spans="1:11" ht="12.75">
      <c r="A53" s="603" t="s">
        <v>37</v>
      </c>
      <c r="B53" s="604">
        <f>SUM(H53:K53)</f>
        <v>9600</v>
      </c>
      <c r="C53" s="591" t="s">
        <v>27</v>
      </c>
      <c r="D53" s="607">
        <f>+Hoja2!$B$33</f>
        <v>800</v>
      </c>
      <c r="E53" s="607">
        <f>+Hoja2!$B$33</f>
        <v>800</v>
      </c>
      <c r="F53" s="607">
        <f>+Hoja2!$B$33</f>
        <v>800</v>
      </c>
      <c r="G53" s="599" t="s">
        <v>27</v>
      </c>
      <c r="H53" s="605">
        <f>+D53+E53+F53</f>
        <v>2400</v>
      </c>
      <c r="I53" s="605">
        <f t="shared" si="2"/>
        <v>2400</v>
      </c>
      <c r="J53" s="605">
        <f t="shared" si="2"/>
        <v>2400</v>
      </c>
      <c r="K53" s="606">
        <f t="shared" si="2"/>
        <v>2400</v>
      </c>
    </row>
    <row r="54" spans="1:11" ht="15">
      <c r="A54" s="603" t="s">
        <v>38</v>
      </c>
      <c r="B54" s="623">
        <f>SUM(H54:K54)</f>
        <v>1800</v>
      </c>
      <c r="C54" s="591" t="s">
        <v>27</v>
      </c>
      <c r="D54" s="608">
        <f>+Hoja2!$B$32</f>
        <v>150</v>
      </c>
      <c r="E54" s="608">
        <f>+Hoja2!$B$32</f>
        <v>150</v>
      </c>
      <c r="F54" s="608">
        <f>+Hoja2!$B$32</f>
        <v>150</v>
      </c>
      <c r="G54" s="609" t="s">
        <v>27</v>
      </c>
      <c r="H54" s="610">
        <f>+D54+E54+F54</f>
        <v>450</v>
      </c>
      <c r="I54" s="610">
        <f t="shared" si="2"/>
        <v>450</v>
      </c>
      <c r="J54" s="610">
        <f t="shared" si="2"/>
        <v>450</v>
      </c>
      <c r="K54" s="611">
        <f t="shared" si="2"/>
        <v>450</v>
      </c>
    </row>
    <row r="55" spans="1:11" ht="15">
      <c r="A55" s="612" t="s">
        <v>167</v>
      </c>
      <c r="B55" s="628"/>
      <c r="C55" s="591"/>
      <c r="D55" s="608"/>
      <c r="E55" s="608"/>
      <c r="F55" s="608"/>
      <c r="G55" s="609"/>
      <c r="H55" s="610"/>
      <c r="I55" s="610"/>
      <c r="J55" s="610"/>
      <c r="K55" s="611"/>
    </row>
    <row r="56" spans="1:11" ht="15">
      <c r="A56" s="613" t="s">
        <v>39</v>
      </c>
      <c r="B56" s="629">
        <f>SUM(B52:B55)</f>
        <v>15960</v>
      </c>
      <c r="C56" s="591" t="s">
        <v>27</v>
      </c>
      <c r="D56" s="626">
        <f>SUM(D52:D54)</f>
        <v>1330</v>
      </c>
      <c r="E56" s="626">
        <f>SUM(E52:E54)</f>
        <v>1330</v>
      </c>
      <c r="F56" s="626">
        <f>SUM(F52:F54)</f>
        <v>1330</v>
      </c>
      <c r="G56" s="626"/>
      <c r="H56" s="626">
        <f>SUM(H52:H54)</f>
        <v>3990</v>
      </c>
      <c r="I56" s="626">
        <f>SUM(I52:I54)</f>
        <v>3990</v>
      </c>
      <c r="J56" s="626">
        <f>SUM(J52:J54)</f>
        <v>3990</v>
      </c>
      <c r="K56" s="627">
        <f>SUM(K52:K54)</f>
        <v>3990</v>
      </c>
    </row>
    <row r="57" spans="1:11" ht="12.75">
      <c r="A57" s="616"/>
      <c r="B57" s="585"/>
      <c r="C57" s="591" t="s">
        <v>27</v>
      </c>
      <c r="D57" s="585"/>
      <c r="E57" s="585"/>
      <c r="F57" s="585"/>
      <c r="G57" s="599" t="s">
        <v>27</v>
      </c>
      <c r="H57" s="585"/>
      <c r="I57" s="585"/>
      <c r="J57" s="585"/>
      <c r="K57" s="602"/>
    </row>
    <row r="58" spans="1:11" ht="12.75">
      <c r="A58" s="596" t="s">
        <v>40</v>
      </c>
      <c r="B58" s="585"/>
      <c r="C58" s="591" t="s">
        <v>27</v>
      </c>
      <c r="D58" s="585"/>
      <c r="E58" s="585"/>
      <c r="F58" s="585"/>
      <c r="G58" s="599" t="s">
        <v>27</v>
      </c>
      <c r="H58" s="585"/>
      <c r="I58" s="585"/>
      <c r="J58" s="585"/>
      <c r="K58" s="602"/>
    </row>
    <row r="59" spans="1:11" ht="15">
      <c r="A59" s="590" t="s">
        <v>137</v>
      </c>
      <c r="B59" s="604">
        <f>+'Sal. Var'!O48</f>
        <v>13209.806400000001</v>
      </c>
      <c r="C59" s="591" t="s">
        <v>27</v>
      </c>
      <c r="D59" s="617">
        <f>+'Sal. Var'!$N$14</f>
        <v>1074.6263999999999</v>
      </c>
      <c r="E59" s="617">
        <f>+'Sal. Var'!$N$14</f>
        <v>1074.6263999999999</v>
      </c>
      <c r="F59" s="617">
        <f>+'Sal. Var'!$N$14</f>
        <v>1074.6263999999999</v>
      </c>
      <c r="G59" s="609" t="s">
        <v>27</v>
      </c>
      <c r="H59" s="617">
        <f>SUM(D59:F59)</f>
        <v>3223.8791999999994</v>
      </c>
      <c r="I59" s="617">
        <f>+H59</f>
        <v>3223.8791999999994</v>
      </c>
      <c r="J59" s="617">
        <f>+I59</f>
        <v>3223.8791999999994</v>
      </c>
      <c r="K59" s="618">
        <f>+J59</f>
        <v>3223.8791999999994</v>
      </c>
    </row>
    <row r="60" spans="1:11" ht="15">
      <c r="A60" s="613" t="s">
        <v>41</v>
      </c>
      <c r="B60" s="625">
        <f>SUM(B57:B59)</f>
        <v>13209.806400000001</v>
      </c>
      <c r="C60" s="591" t="s">
        <v>27</v>
      </c>
      <c r="D60" s="626">
        <f>SUM(D57:D59)</f>
        <v>1074.6263999999999</v>
      </c>
      <c r="E60" s="626">
        <f>SUM(E57:E59)</f>
        <v>1074.6263999999999</v>
      </c>
      <c r="F60" s="626">
        <f>SUM(F57:F59)</f>
        <v>1074.6263999999999</v>
      </c>
      <c r="G60" s="626"/>
      <c r="H60" s="626">
        <f>SUM(H57:H59)</f>
        <v>3223.8791999999994</v>
      </c>
      <c r="I60" s="626">
        <f>SUM(I57:I59)</f>
        <v>3223.8791999999994</v>
      </c>
      <c r="J60" s="626">
        <f>SUM(J57:J59)</f>
        <v>3223.8791999999994</v>
      </c>
      <c r="K60" s="627">
        <f>SUM(K57:K59)</f>
        <v>3223.8791999999994</v>
      </c>
    </row>
    <row r="61" spans="1:11" ht="15">
      <c r="A61" s="613" t="s">
        <v>93</v>
      </c>
      <c r="B61" s="624">
        <f>+B56+B60</f>
        <v>29169.8064</v>
      </c>
      <c r="C61" s="591"/>
      <c r="D61" s="614"/>
      <c r="E61" s="614"/>
      <c r="F61" s="614"/>
      <c r="G61" s="614"/>
      <c r="H61" s="614"/>
      <c r="I61" s="614"/>
      <c r="J61" s="614"/>
      <c r="K61" s="615"/>
    </row>
    <row r="62" spans="1:11" ht="13.5" thickBot="1">
      <c r="A62" s="619"/>
      <c r="B62" s="620"/>
      <c r="C62" s="621"/>
      <c r="D62" s="620"/>
      <c r="E62" s="620"/>
      <c r="F62" s="620"/>
      <c r="G62" s="620"/>
      <c r="H62" s="620"/>
      <c r="I62" s="620"/>
      <c r="J62" s="620"/>
      <c r="K62" s="622"/>
    </row>
  </sheetData>
  <sheetProtection/>
  <mergeCells count="13">
    <mergeCell ref="B47:B48"/>
    <mergeCell ref="D47:F47"/>
    <mergeCell ref="H47:K47"/>
    <mergeCell ref="B26:B27"/>
    <mergeCell ref="D26:F26"/>
    <mergeCell ref="H26:K26"/>
    <mergeCell ref="A43:K43"/>
    <mergeCell ref="A45:K45"/>
    <mergeCell ref="D3:F3"/>
    <mergeCell ref="H3:K3"/>
    <mergeCell ref="B3:B4"/>
    <mergeCell ref="A21:K22"/>
    <mergeCell ref="A20:K20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E1">
      <selection activeCell="B2" sqref="B2:O17"/>
    </sheetView>
  </sheetViews>
  <sheetFormatPr defaultColWidth="11.421875" defaultRowHeight="12.75"/>
  <cols>
    <col min="1" max="1" width="0.5625" style="0" customWidth="1"/>
    <col min="2" max="2" width="34.140625" style="0" bestFit="1" customWidth="1"/>
    <col min="3" max="3" width="18.00390625" style="0" customWidth="1"/>
    <col min="4" max="4" width="7.7109375" style="41" customWidth="1"/>
    <col min="5" max="5" width="8.140625" style="41" customWidth="1"/>
    <col min="6" max="6" width="8.421875" style="0" bestFit="1" customWidth="1"/>
    <col min="7" max="7" width="8.00390625" style="0" customWidth="1"/>
    <col min="8" max="8" width="8.421875" style="0" customWidth="1"/>
    <col min="9" max="9" width="11.8515625" style="0" bestFit="1" customWidth="1"/>
    <col min="10" max="10" width="9.28125" style="0" customWidth="1"/>
    <col min="11" max="11" width="9.57421875" style="0" customWidth="1"/>
    <col min="12" max="12" width="8.28125" style="0" bestFit="1" customWidth="1"/>
    <col min="13" max="13" width="9.28125" style="0" bestFit="1" customWidth="1"/>
    <col min="14" max="14" width="10.8515625" style="0" bestFit="1" customWidth="1"/>
    <col min="15" max="15" width="11.8515625" style="0" bestFit="1" customWidth="1"/>
  </cols>
  <sheetData>
    <row r="1" spans="2:5" ht="12.75">
      <c r="B1" s="261" t="s">
        <v>211</v>
      </c>
      <c r="C1" s="262"/>
      <c r="D1" s="263"/>
      <c r="E1" s="263"/>
    </row>
    <row r="2" spans="2:15" ht="16.5">
      <c r="B2" s="774" t="s">
        <v>350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6.5"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</row>
    <row r="4" spans="2:15" ht="12.75">
      <c r="B4" s="790" t="s">
        <v>42</v>
      </c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</row>
    <row r="5" spans="1:15" ht="13.5" thickBot="1">
      <c r="A5" s="284"/>
      <c r="B5" s="74"/>
      <c r="C5" s="74"/>
      <c r="D5" s="289"/>
      <c r="E5" s="289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7" ht="38.25">
      <c r="A6" s="287"/>
      <c r="B6" s="791" t="s">
        <v>43</v>
      </c>
      <c r="C6" s="792"/>
      <c r="D6" s="793" t="s">
        <v>44</v>
      </c>
      <c r="E6" s="794" t="s">
        <v>212</v>
      </c>
      <c r="F6" s="795" t="s">
        <v>46</v>
      </c>
      <c r="G6" s="796" t="s">
        <v>47</v>
      </c>
      <c r="H6" s="797" t="s">
        <v>48</v>
      </c>
      <c r="I6" s="798" t="s">
        <v>84</v>
      </c>
      <c r="J6" s="799"/>
      <c r="K6" s="800" t="s">
        <v>49</v>
      </c>
      <c r="L6" s="801" t="s">
        <v>50</v>
      </c>
      <c r="M6" s="802"/>
      <c r="N6" s="803"/>
      <c r="O6" s="804"/>
      <c r="P6" s="42"/>
      <c r="Q6" s="42"/>
    </row>
    <row r="7" spans="1:18" s="43" customFormat="1" ht="51.75" thickBot="1">
      <c r="A7" s="288"/>
      <c r="B7" s="805"/>
      <c r="C7" s="806"/>
      <c r="D7" s="807"/>
      <c r="E7" s="808"/>
      <c r="F7" s="809"/>
      <c r="G7" s="810"/>
      <c r="H7" s="811"/>
      <c r="I7" s="812" t="s">
        <v>51</v>
      </c>
      <c r="J7" s="813" t="s">
        <v>52</v>
      </c>
      <c r="K7" s="814">
        <v>0.33</v>
      </c>
      <c r="L7" s="815" t="s">
        <v>53</v>
      </c>
      <c r="M7" s="816" t="s">
        <v>54</v>
      </c>
      <c r="N7" s="816" t="s">
        <v>55</v>
      </c>
      <c r="O7" s="817" t="s">
        <v>67</v>
      </c>
      <c r="Q7" s="43" t="s">
        <v>56</v>
      </c>
      <c r="R7" s="43" t="s">
        <v>57</v>
      </c>
    </row>
    <row r="8" spans="1:18" ht="20.25" customHeight="1">
      <c r="A8" s="290"/>
      <c r="B8" s="656" t="s">
        <v>58</v>
      </c>
      <c r="C8" s="300" t="s">
        <v>59</v>
      </c>
      <c r="D8" s="286">
        <v>7</v>
      </c>
      <c r="E8" s="271">
        <v>5</v>
      </c>
      <c r="F8" s="272">
        <v>4.5</v>
      </c>
      <c r="G8" s="273">
        <v>2</v>
      </c>
      <c r="H8" s="277">
        <f>+F8*0.02</f>
        <v>0.09</v>
      </c>
      <c r="I8" s="296">
        <f>+F8-G8-H8</f>
        <v>2.41</v>
      </c>
      <c r="J8" s="277">
        <f>+I8*E8</f>
        <v>12.05</v>
      </c>
      <c r="K8" s="298">
        <f>+J8*$K$7</f>
        <v>3.9765000000000006</v>
      </c>
      <c r="L8" s="44">
        <f>+J8-K8</f>
        <v>8.0735</v>
      </c>
      <c r="M8" s="291">
        <f aca="true" t="shared" si="0" ref="M8:N10">+L8*4</f>
        <v>32.294</v>
      </c>
      <c r="N8" s="291">
        <f t="shared" si="0"/>
        <v>129.176</v>
      </c>
      <c r="O8" s="292">
        <f>+N8*12</f>
        <v>1550.1119999999999</v>
      </c>
      <c r="P8" s="41"/>
      <c r="Q8">
        <f>+K8*4</f>
        <v>15.906000000000002</v>
      </c>
      <c r="R8">
        <f>+Q8*D8</f>
        <v>111.34200000000001</v>
      </c>
    </row>
    <row r="9" spans="1:18" ht="20.25" customHeight="1">
      <c r="A9" s="290"/>
      <c r="B9" s="657"/>
      <c r="C9" s="265" t="s">
        <v>60</v>
      </c>
      <c r="D9" s="270">
        <v>5</v>
      </c>
      <c r="E9" s="267">
        <v>3</v>
      </c>
      <c r="F9" s="268">
        <v>6</v>
      </c>
      <c r="G9" s="269">
        <v>2</v>
      </c>
      <c r="H9" s="278">
        <f>+F9*0.02</f>
        <v>0.12</v>
      </c>
      <c r="I9" s="280">
        <f>+F9-G9-H9</f>
        <v>3.88</v>
      </c>
      <c r="J9" s="278">
        <f>+I9*E9</f>
        <v>11.64</v>
      </c>
      <c r="K9" s="282">
        <f>+J9*$K$7</f>
        <v>3.8412</v>
      </c>
      <c r="L9" s="46">
        <f>+J9-K9</f>
        <v>7.7988</v>
      </c>
      <c r="M9" s="47">
        <f t="shared" si="0"/>
        <v>31.1952</v>
      </c>
      <c r="N9" s="47">
        <f t="shared" si="0"/>
        <v>124.7808</v>
      </c>
      <c r="O9" s="56">
        <f>+N9*12</f>
        <v>1497.3696</v>
      </c>
      <c r="P9" s="41"/>
      <c r="Q9">
        <f>+K9*5</f>
        <v>19.206</v>
      </c>
      <c r="R9">
        <f>+Q9*D9</f>
        <v>96.03</v>
      </c>
    </row>
    <row r="10" spans="1:18" ht="20.25" customHeight="1">
      <c r="A10" s="290"/>
      <c r="B10" s="657"/>
      <c r="C10" s="265" t="s">
        <v>61</v>
      </c>
      <c r="D10" s="270">
        <v>3</v>
      </c>
      <c r="E10" s="267">
        <v>2</v>
      </c>
      <c r="F10" s="268">
        <v>8</v>
      </c>
      <c r="G10" s="269">
        <v>2</v>
      </c>
      <c r="H10" s="278">
        <f>+F10*0.02</f>
        <v>0.16</v>
      </c>
      <c r="I10" s="280">
        <f>+F10-G10-H10</f>
        <v>5.84</v>
      </c>
      <c r="J10" s="278">
        <f>+I10*E10</f>
        <v>11.68</v>
      </c>
      <c r="K10" s="282">
        <f>+J10*$K$7</f>
        <v>3.8544</v>
      </c>
      <c r="L10" s="46">
        <f>+J10-K10</f>
        <v>7.8256</v>
      </c>
      <c r="M10" s="47">
        <f t="shared" si="0"/>
        <v>31.3024</v>
      </c>
      <c r="N10" s="47">
        <f t="shared" si="0"/>
        <v>125.2096</v>
      </c>
      <c r="O10" s="56">
        <f>+N10*12</f>
        <v>1502.5151999999998</v>
      </c>
      <c r="P10" s="41"/>
      <c r="Q10">
        <f>+K10*5</f>
        <v>19.272</v>
      </c>
      <c r="R10">
        <f>+Q10*D10</f>
        <v>57.815999999999995</v>
      </c>
    </row>
    <row r="11" spans="1:16" ht="20.25" customHeight="1">
      <c r="A11" s="290"/>
      <c r="B11" s="264"/>
      <c r="C11" s="265"/>
      <c r="D11" s="270"/>
      <c r="E11" s="267"/>
      <c r="F11" s="268"/>
      <c r="G11" s="269"/>
      <c r="H11" s="278"/>
      <c r="I11" s="280"/>
      <c r="J11" s="278"/>
      <c r="K11" s="282"/>
      <c r="L11" s="46"/>
      <c r="M11" s="47"/>
      <c r="N11" s="47"/>
      <c r="O11" s="56"/>
      <c r="P11" s="41"/>
    </row>
    <row r="12" spans="1:18" ht="20.25" customHeight="1">
      <c r="A12" s="290"/>
      <c r="B12" s="661" t="s">
        <v>62</v>
      </c>
      <c r="C12" s="265" t="s">
        <v>59</v>
      </c>
      <c r="D12" s="270">
        <v>4</v>
      </c>
      <c r="E12" s="267">
        <v>5</v>
      </c>
      <c r="F12" s="268">
        <v>5</v>
      </c>
      <c r="G12" s="269">
        <v>2</v>
      </c>
      <c r="H12" s="278">
        <f>+F12*0.02</f>
        <v>0.1</v>
      </c>
      <c r="I12" s="280">
        <f>+F12-G12-H12</f>
        <v>2.9</v>
      </c>
      <c r="J12" s="278">
        <f>+I12*E12</f>
        <v>14.5</v>
      </c>
      <c r="K12" s="282">
        <f>+J12*$K$7</f>
        <v>4.785</v>
      </c>
      <c r="L12" s="46">
        <f>+J12-K12</f>
        <v>9.715</v>
      </c>
      <c r="M12" s="47">
        <f>+L12*3</f>
        <v>29.145</v>
      </c>
      <c r="N12" s="47">
        <f>+M12*4</f>
        <v>116.58</v>
      </c>
      <c r="O12" s="56">
        <f>+N12*12</f>
        <v>1398.96</v>
      </c>
      <c r="P12" s="41"/>
      <c r="Q12">
        <f>+K12*3</f>
        <v>14.355</v>
      </c>
      <c r="R12">
        <f>+Q12*D12</f>
        <v>57.42</v>
      </c>
    </row>
    <row r="13" spans="1:18" ht="20.25" customHeight="1">
      <c r="A13" s="290"/>
      <c r="B13" s="661"/>
      <c r="C13" s="265" t="s">
        <v>60</v>
      </c>
      <c r="D13" s="270">
        <v>7</v>
      </c>
      <c r="E13" s="267">
        <v>10</v>
      </c>
      <c r="F13" s="268">
        <v>7</v>
      </c>
      <c r="G13" s="269">
        <v>2</v>
      </c>
      <c r="H13" s="278">
        <f>+F13*0.02</f>
        <v>0.14</v>
      </c>
      <c r="I13" s="280">
        <f>+F13-G13-H13</f>
        <v>4.86</v>
      </c>
      <c r="J13" s="278">
        <f>+I13*E13</f>
        <v>48.6</v>
      </c>
      <c r="K13" s="282">
        <f>+J13*$K$7</f>
        <v>16.038</v>
      </c>
      <c r="L13" s="46">
        <f>+J13-K13</f>
        <v>32.562</v>
      </c>
      <c r="M13" s="47">
        <f>+L13*3</f>
        <v>97.68599999999999</v>
      </c>
      <c r="N13" s="47">
        <f>+M13*4</f>
        <v>390.74399999999997</v>
      </c>
      <c r="O13" s="56">
        <f>+N13*12</f>
        <v>4688.928</v>
      </c>
      <c r="P13" s="41"/>
      <c r="Q13">
        <f>+K13*3</f>
        <v>48.114000000000004</v>
      </c>
      <c r="R13">
        <f>+Q13*D13</f>
        <v>336.798</v>
      </c>
    </row>
    <row r="14" spans="1:18" ht="20.25" customHeight="1" thickBot="1">
      <c r="A14" s="290"/>
      <c r="B14" s="662"/>
      <c r="C14" s="266" t="s">
        <v>61</v>
      </c>
      <c r="D14" s="293">
        <v>4</v>
      </c>
      <c r="E14" s="274">
        <v>3</v>
      </c>
      <c r="F14" s="275">
        <v>10</v>
      </c>
      <c r="G14" s="276">
        <v>2</v>
      </c>
      <c r="H14" s="279">
        <f>+F14*0.02</f>
        <v>0.2</v>
      </c>
      <c r="I14" s="297">
        <f>+F14-G14-H14</f>
        <v>7.8</v>
      </c>
      <c r="J14" s="279">
        <f>+I14*E14</f>
        <v>23.4</v>
      </c>
      <c r="K14" s="283">
        <f>+J14*$K$7</f>
        <v>7.7219999999999995</v>
      </c>
      <c r="L14" s="49">
        <f>+J14-K14</f>
        <v>15.677999999999999</v>
      </c>
      <c r="M14" s="294">
        <f>+L14*3</f>
        <v>47.034</v>
      </c>
      <c r="N14" s="294">
        <f>+M14*4</f>
        <v>188.136</v>
      </c>
      <c r="O14" s="295">
        <f>+N14*12</f>
        <v>2257.632</v>
      </c>
      <c r="P14" s="41"/>
      <c r="Q14">
        <f>+K14*3</f>
        <v>23.165999999999997</v>
      </c>
      <c r="R14">
        <f>+Q14*D14</f>
        <v>92.66399999999999</v>
      </c>
    </row>
    <row r="15" spans="1:16" ht="13.5" thickBot="1">
      <c r="A15" s="285"/>
      <c r="B15" s="658" t="s">
        <v>63</v>
      </c>
      <c r="C15" s="659"/>
      <c r="D15" s="659"/>
      <c r="E15" s="659"/>
      <c r="F15" s="659"/>
      <c r="G15" s="659"/>
      <c r="H15" s="301">
        <f>SUM(H8:H14)*$D$16*6*4</f>
        <v>0</v>
      </c>
      <c r="I15" s="58">
        <f aca="true" t="shared" si="1" ref="I15:O15">SUM(I8:I14)</f>
        <v>27.69</v>
      </c>
      <c r="J15" s="281">
        <f t="shared" si="1"/>
        <v>121.87</v>
      </c>
      <c r="K15" s="299">
        <f t="shared" si="1"/>
        <v>40.2171</v>
      </c>
      <c r="L15" s="50">
        <f t="shared" si="1"/>
        <v>81.65289999999999</v>
      </c>
      <c r="M15" s="51">
        <f t="shared" si="1"/>
        <v>268.65659999999997</v>
      </c>
      <c r="N15" s="281">
        <f t="shared" si="1"/>
        <v>1074.6263999999999</v>
      </c>
      <c r="O15" s="57">
        <f t="shared" si="1"/>
        <v>12895.5168</v>
      </c>
      <c r="P15" s="41"/>
    </row>
    <row r="16" spans="2:16" ht="9" customHeight="1">
      <c r="B16" s="237"/>
      <c r="C16" s="237"/>
      <c r="D16" s="238"/>
      <c r="E16" s="237"/>
      <c r="F16" s="237"/>
      <c r="G16" s="237"/>
      <c r="H16" s="238"/>
      <c r="I16" s="239"/>
      <c r="J16" s="239"/>
      <c r="K16" s="239"/>
      <c r="L16" s="239"/>
      <c r="M16" s="239"/>
      <c r="N16" s="240"/>
      <c r="O16" s="241"/>
      <c r="P16" s="41"/>
    </row>
    <row r="17" spans="2:16" s="2" customFormat="1" ht="57" customHeight="1">
      <c r="B17" s="667" t="s">
        <v>213</v>
      </c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53"/>
    </row>
    <row r="18" spans="2:16" ht="12.75">
      <c r="B18" s="257"/>
      <c r="C18" s="257"/>
      <c r="D18" s="258"/>
      <c r="E18" s="258"/>
      <c r="F18" s="257"/>
      <c r="G18" s="257"/>
      <c r="H18" s="253"/>
      <c r="I18" s="242"/>
      <c r="J18" s="242"/>
      <c r="K18" s="245"/>
      <c r="L18" s="242"/>
      <c r="M18" s="242"/>
      <c r="N18" s="242"/>
      <c r="O18" s="242"/>
      <c r="P18" s="41"/>
    </row>
    <row r="19" spans="2:16" ht="12.75">
      <c r="B19" s="260"/>
      <c r="C19" s="246"/>
      <c r="D19" s="247"/>
      <c r="E19" s="247"/>
      <c r="F19" s="248"/>
      <c r="G19" s="239"/>
      <c r="H19" s="239"/>
      <c r="I19" s="239"/>
      <c r="J19" s="239"/>
      <c r="K19" s="239"/>
      <c r="L19" s="239"/>
      <c r="M19" s="239"/>
      <c r="N19" s="239"/>
      <c r="O19" s="244"/>
      <c r="P19" s="41"/>
    </row>
    <row r="20" spans="2:16" ht="12.75">
      <c r="B20" s="259"/>
      <c r="C20" s="246"/>
      <c r="D20" s="247"/>
      <c r="E20" s="247"/>
      <c r="F20" s="248"/>
      <c r="G20" s="239"/>
      <c r="H20" s="239"/>
      <c r="I20" s="239"/>
      <c r="J20" s="239"/>
      <c r="K20" s="239"/>
      <c r="L20" s="239"/>
      <c r="M20" s="239"/>
      <c r="N20" s="239"/>
      <c r="O20" s="244"/>
      <c r="P20" s="41"/>
    </row>
    <row r="21" spans="2:16" ht="12.75">
      <c r="B21" s="259"/>
      <c r="C21" s="246"/>
      <c r="D21" s="247"/>
      <c r="E21" s="247"/>
      <c r="F21" s="248"/>
      <c r="G21" s="239"/>
      <c r="H21" s="239"/>
      <c r="I21" s="239"/>
      <c r="J21" s="239"/>
      <c r="K21" s="239"/>
      <c r="L21" s="239"/>
      <c r="M21" s="239"/>
      <c r="N21" s="239"/>
      <c r="O21" s="244"/>
      <c r="P21" s="41"/>
    </row>
    <row r="22" spans="2:16" ht="12.75">
      <c r="B22" s="246"/>
      <c r="C22" s="246"/>
      <c r="D22" s="247"/>
      <c r="E22" s="247"/>
      <c r="F22" s="248"/>
      <c r="G22" s="239"/>
      <c r="H22" s="239"/>
      <c r="I22" s="239"/>
      <c r="J22" s="239"/>
      <c r="K22" s="239"/>
      <c r="L22" s="239"/>
      <c r="M22" s="239"/>
      <c r="N22" s="239"/>
      <c r="O22" s="244"/>
      <c r="P22" s="41"/>
    </row>
    <row r="23" spans="2:16" ht="12.75">
      <c r="B23" s="665"/>
      <c r="C23" s="246"/>
      <c r="D23" s="247"/>
      <c r="E23" s="247"/>
      <c r="F23" s="248"/>
      <c r="G23" s="239"/>
      <c r="H23" s="239"/>
      <c r="I23" s="239"/>
      <c r="J23" s="239"/>
      <c r="K23" s="239"/>
      <c r="L23" s="239"/>
      <c r="M23" s="239"/>
      <c r="N23" s="239"/>
      <c r="O23" s="244"/>
      <c r="P23" s="41"/>
    </row>
    <row r="24" spans="2:16" ht="12.75">
      <c r="B24" s="665"/>
      <c r="C24" s="246"/>
      <c r="D24" s="247"/>
      <c r="E24" s="247"/>
      <c r="F24" s="248"/>
      <c r="G24" s="239"/>
      <c r="H24" s="239"/>
      <c r="I24" s="239"/>
      <c r="J24" s="239"/>
      <c r="K24" s="239"/>
      <c r="L24" s="239"/>
      <c r="M24" s="239"/>
      <c r="N24" s="239"/>
      <c r="O24" s="244"/>
      <c r="P24" s="41"/>
    </row>
    <row r="25" spans="2:16" ht="12.75">
      <c r="B25" s="665"/>
      <c r="C25" s="246"/>
      <c r="D25" s="247"/>
      <c r="E25" s="247"/>
      <c r="F25" s="248"/>
      <c r="G25" s="239"/>
      <c r="H25" s="239"/>
      <c r="I25" s="239"/>
      <c r="J25" s="239"/>
      <c r="K25" s="239"/>
      <c r="L25" s="239"/>
      <c r="M25" s="239"/>
      <c r="N25" s="239"/>
      <c r="O25" s="244"/>
      <c r="P25" s="41"/>
    </row>
    <row r="26" spans="2:16" ht="12.75">
      <c r="B26" s="666"/>
      <c r="C26" s="666"/>
      <c r="D26" s="666"/>
      <c r="E26" s="666"/>
      <c r="F26" s="666"/>
      <c r="G26" s="666"/>
      <c r="H26" s="249"/>
      <c r="I26" s="239"/>
      <c r="J26" s="239"/>
      <c r="K26" s="239"/>
      <c r="L26" s="239"/>
      <c r="M26" s="239"/>
      <c r="N26" s="240"/>
      <c r="O26" s="241"/>
      <c r="P26" s="41"/>
    </row>
    <row r="27" spans="2:16" ht="12.75">
      <c r="B27" s="237"/>
      <c r="C27" s="237"/>
      <c r="D27" s="237"/>
      <c r="E27" s="237"/>
      <c r="F27" s="237"/>
      <c r="G27" s="237"/>
      <c r="H27" s="237"/>
      <c r="I27" s="239"/>
      <c r="J27" s="239"/>
      <c r="K27" s="239"/>
      <c r="L27" s="239"/>
      <c r="M27" s="239"/>
      <c r="N27" s="240"/>
      <c r="O27" s="241"/>
      <c r="P27" s="41"/>
    </row>
    <row r="28" spans="2:16" ht="12.75">
      <c r="B28" s="237"/>
      <c r="C28" s="237"/>
      <c r="D28" s="237"/>
      <c r="E28" s="237"/>
      <c r="F28" s="237"/>
      <c r="G28" s="237"/>
      <c r="H28" s="237"/>
      <c r="I28" s="239"/>
      <c r="J28" s="239"/>
      <c r="K28" s="239"/>
      <c r="L28" s="239"/>
      <c r="M28" s="239"/>
      <c r="N28" s="240"/>
      <c r="O28" s="241"/>
      <c r="P28" s="41"/>
    </row>
    <row r="29" spans="2:16" ht="12.75">
      <c r="B29" s="237"/>
      <c r="C29" s="237"/>
      <c r="D29" s="237"/>
      <c r="E29" s="237"/>
      <c r="F29" s="237"/>
      <c r="G29" s="237"/>
      <c r="H29" s="237"/>
      <c r="I29" s="239"/>
      <c r="J29" s="239"/>
      <c r="K29" s="239"/>
      <c r="L29" s="239"/>
      <c r="M29" s="239"/>
      <c r="N29" s="240"/>
      <c r="O29" s="241"/>
      <c r="P29" s="41"/>
    </row>
    <row r="30" spans="2:16" ht="12.75">
      <c r="B30" s="663"/>
      <c r="C30" s="663"/>
      <c r="D30" s="664"/>
      <c r="E30" s="664"/>
      <c r="F30" s="663"/>
      <c r="G30" s="663"/>
      <c r="H30" s="664"/>
      <c r="I30" s="668"/>
      <c r="J30" s="668"/>
      <c r="K30" s="243"/>
      <c r="L30" s="669"/>
      <c r="M30" s="669"/>
      <c r="N30" s="669"/>
      <c r="O30" s="669"/>
      <c r="P30" s="41"/>
    </row>
    <row r="31" spans="2:16" ht="12.75">
      <c r="B31" s="663"/>
      <c r="C31" s="663"/>
      <c r="D31" s="664"/>
      <c r="E31" s="664"/>
      <c r="F31" s="663"/>
      <c r="G31" s="663"/>
      <c r="H31" s="671"/>
      <c r="I31" s="242"/>
      <c r="J31" s="242"/>
      <c r="K31" s="245"/>
      <c r="L31" s="242"/>
      <c r="M31" s="242"/>
      <c r="N31" s="242"/>
      <c r="O31" s="242"/>
      <c r="P31" s="41"/>
    </row>
    <row r="32" spans="2:16" ht="12.75">
      <c r="B32" s="670"/>
      <c r="C32" s="246"/>
      <c r="D32" s="247"/>
      <c r="E32" s="247"/>
      <c r="F32" s="248"/>
      <c r="G32" s="239"/>
      <c r="H32" s="239"/>
      <c r="I32" s="239"/>
      <c r="J32" s="239"/>
      <c r="K32" s="239"/>
      <c r="L32" s="239"/>
      <c r="M32" s="239"/>
      <c r="N32" s="239"/>
      <c r="O32" s="244"/>
      <c r="P32" s="41"/>
    </row>
    <row r="33" spans="2:16" ht="12.75">
      <c r="B33" s="670"/>
      <c r="C33" s="246"/>
      <c r="D33" s="247"/>
      <c r="E33" s="247"/>
      <c r="F33" s="248"/>
      <c r="G33" s="239"/>
      <c r="H33" s="239"/>
      <c r="I33" s="239"/>
      <c r="J33" s="239"/>
      <c r="K33" s="239"/>
      <c r="L33" s="239"/>
      <c r="M33" s="239"/>
      <c r="N33" s="239"/>
      <c r="O33" s="244"/>
      <c r="P33" s="41"/>
    </row>
    <row r="34" spans="2:16" ht="12.75">
      <c r="B34" s="670"/>
      <c r="C34" s="246"/>
      <c r="D34" s="247"/>
      <c r="E34" s="247"/>
      <c r="F34" s="248"/>
      <c r="G34" s="239"/>
      <c r="H34" s="239"/>
      <c r="I34" s="239"/>
      <c r="J34" s="239"/>
      <c r="K34" s="239"/>
      <c r="L34" s="239"/>
      <c r="M34" s="239"/>
      <c r="N34" s="239"/>
      <c r="O34" s="244"/>
      <c r="P34" s="41"/>
    </row>
    <row r="35" spans="2:16" ht="12.75">
      <c r="B35" s="246"/>
      <c r="C35" s="246"/>
      <c r="D35" s="247"/>
      <c r="E35" s="247"/>
      <c r="F35" s="248"/>
      <c r="G35" s="239"/>
      <c r="H35" s="239"/>
      <c r="I35" s="239"/>
      <c r="J35" s="239"/>
      <c r="K35" s="239"/>
      <c r="L35" s="239"/>
      <c r="M35" s="239"/>
      <c r="N35" s="239"/>
      <c r="O35" s="244"/>
      <c r="P35" s="41"/>
    </row>
    <row r="36" spans="2:16" ht="12.75">
      <c r="B36" s="665"/>
      <c r="C36" s="246"/>
      <c r="D36" s="247"/>
      <c r="E36" s="247"/>
      <c r="F36" s="248"/>
      <c r="G36" s="239"/>
      <c r="H36" s="239"/>
      <c r="I36" s="239"/>
      <c r="J36" s="239"/>
      <c r="K36" s="239"/>
      <c r="L36" s="239"/>
      <c r="M36" s="239"/>
      <c r="N36" s="239"/>
      <c r="O36" s="244"/>
      <c r="P36" s="41"/>
    </row>
    <row r="37" spans="2:16" ht="12.75">
      <c r="B37" s="665"/>
      <c r="C37" s="246"/>
      <c r="D37" s="247"/>
      <c r="E37" s="247"/>
      <c r="F37" s="248"/>
      <c r="G37" s="239"/>
      <c r="H37" s="239"/>
      <c r="I37" s="239"/>
      <c r="J37" s="239"/>
      <c r="K37" s="239"/>
      <c r="L37" s="239"/>
      <c r="M37" s="239"/>
      <c r="N37" s="239"/>
      <c r="O37" s="244"/>
      <c r="P37" s="41"/>
    </row>
    <row r="38" spans="2:16" ht="12.75">
      <c r="B38" s="665"/>
      <c r="C38" s="246"/>
      <c r="D38" s="247"/>
      <c r="E38" s="247"/>
      <c r="F38" s="248"/>
      <c r="G38" s="239"/>
      <c r="H38" s="239"/>
      <c r="I38" s="239"/>
      <c r="J38" s="239"/>
      <c r="K38" s="239"/>
      <c r="L38" s="239"/>
      <c r="M38" s="239"/>
      <c r="N38" s="239"/>
      <c r="O38" s="244"/>
      <c r="P38" s="41"/>
    </row>
    <row r="39" spans="2:16" ht="12.75">
      <c r="B39" s="666"/>
      <c r="C39" s="666"/>
      <c r="D39" s="666"/>
      <c r="E39" s="666"/>
      <c r="F39" s="666"/>
      <c r="G39" s="666"/>
      <c r="H39" s="249"/>
      <c r="I39" s="239"/>
      <c r="J39" s="239"/>
      <c r="K39" s="239"/>
      <c r="L39" s="239"/>
      <c r="M39" s="239"/>
      <c r="N39" s="240"/>
      <c r="O39" s="241"/>
      <c r="P39" s="41"/>
    </row>
    <row r="40" spans="2:16" ht="12.75">
      <c r="B40" s="237"/>
      <c r="C40" s="237"/>
      <c r="D40" s="237"/>
      <c r="E40" s="237"/>
      <c r="F40" s="237"/>
      <c r="G40" s="237"/>
      <c r="H40" s="237"/>
      <c r="I40" s="239"/>
      <c r="J40" s="239"/>
      <c r="K40" s="239"/>
      <c r="L40" s="239"/>
      <c r="M40" s="239"/>
      <c r="N40" s="240"/>
      <c r="O40" s="241"/>
      <c r="P40" s="41"/>
    </row>
    <row r="41" spans="2:16" ht="12.75">
      <c r="B41" s="237"/>
      <c r="C41" s="237"/>
      <c r="D41" s="237"/>
      <c r="E41" s="237"/>
      <c r="F41" s="237"/>
      <c r="G41" s="237"/>
      <c r="H41" s="237"/>
      <c r="I41" s="239"/>
      <c r="J41" s="239"/>
      <c r="K41" s="239"/>
      <c r="L41" s="239"/>
      <c r="M41" s="239"/>
      <c r="N41" s="240"/>
      <c r="O41" s="241"/>
      <c r="P41" s="41"/>
    </row>
    <row r="42" spans="2:16" ht="12.75">
      <c r="B42" s="237"/>
      <c r="C42" s="237"/>
      <c r="D42" s="237"/>
      <c r="E42" s="237"/>
      <c r="F42" s="237"/>
      <c r="G42" s="237"/>
      <c r="H42" s="237"/>
      <c r="I42" s="239"/>
      <c r="J42" s="239"/>
      <c r="K42" s="239"/>
      <c r="L42" s="239"/>
      <c r="M42" s="239"/>
      <c r="N42" s="240"/>
      <c r="O42" s="241"/>
      <c r="P42" s="41"/>
    </row>
    <row r="43" spans="2:16" ht="12.75">
      <c r="B43" s="237"/>
      <c r="C43" s="237"/>
      <c r="D43" s="237"/>
      <c r="E43" s="237"/>
      <c r="F43" s="237"/>
      <c r="G43" s="237"/>
      <c r="H43" s="237"/>
      <c r="I43" s="239"/>
      <c r="J43" s="239"/>
      <c r="K43" s="239"/>
      <c r="L43" s="239"/>
      <c r="M43" s="239"/>
      <c r="N43" s="240"/>
      <c r="O43" s="241"/>
      <c r="P43" s="41"/>
    </row>
    <row r="44" spans="2:16" ht="12.75">
      <c r="B44" s="237"/>
      <c r="C44" s="237"/>
      <c r="D44" s="237"/>
      <c r="E44" s="237"/>
      <c r="F44" s="237"/>
      <c r="G44" s="237"/>
      <c r="H44" s="237"/>
      <c r="I44" s="239"/>
      <c r="J44" s="239"/>
      <c r="K44" s="239"/>
      <c r="L44" s="239"/>
      <c r="M44" s="239"/>
      <c r="N44" s="240"/>
      <c r="O44" s="241"/>
      <c r="P44" s="41"/>
    </row>
    <row r="45" spans="2:15" ht="12.75">
      <c r="B45" s="244"/>
      <c r="C45" s="244"/>
      <c r="D45" s="250"/>
      <c r="E45" s="250"/>
      <c r="F45" s="244"/>
      <c r="G45" s="244"/>
      <c r="H45" s="244"/>
      <c r="I45" s="244"/>
      <c r="J45" s="251"/>
      <c r="K45" s="244"/>
      <c r="L45" s="244"/>
      <c r="M45" s="244"/>
      <c r="N45" s="244"/>
      <c r="O45" s="244"/>
    </row>
    <row r="46" spans="2:18" ht="12.75">
      <c r="B46" s="244"/>
      <c r="C46" s="244"/>
      <c r="D46" s="250"/>
      <c r="E46" s="250"/>
      <c r="F46" s="244"/>
      <c r="G46" s="251"/>
      <c r="H46" s="244"/>
      <c r="I46" s="244"/>
      <c r="J46" s="251"/>
      <c r="K46" s="244"/>
      <c r="L46" s="244"/>
      <c r="M46" s="244"/>
      <c r="N46" s="244"/>
      <c r="O46" s="244"/>
      <c r="Q46" s="52">
        <f>SUM(H8:H14)</f>
        <v>0.81</v>
      </c>
      <c r="R46">
        <f>+Q46*8*7*12</f>
        <v>544.3199999999999</v>
      </c>
    </row>
    <row r="47" spans="2:15" ht="18.75" customHeight="1">
      <c r="B47" s="660"/>
      <c r="C47" s="660"/>
      <c r="D47" s="660"/>
      <c r="E47" s="660"/>
      <c r="F47" s="244"/>
      <c r="G47" s="251"/>
      <c r="H47" s="244"/>
      <c r="I47" s="244"/>
      <c r="J47" s="251"/>
      <c r="K47" s="244"/>
      <c r="L47" s="244"/>
      <c r="M47" s="244"/>
      <c r="N47" s="244"/>
      <c r="O47" s="244"/>
    </row>
    <row r="48" spans="2:15" ht="12.75">
      <c r="B48" s="244"/>
      <c r="C48" s="252"/>
      <c r="D48" s="250"/>
      <c r="E48" s="250"/>
      <c r="F48" s="244"/>
      <c r="G48" s="244"/>
      <c r="H48" s="244"/>
      <c r="I48" s="244"/>
      <c r="J48" s="251"/>
      <c r="K48" s="244"/>
      <c r="L48" s="244"/>
      <c r="M48" s="244"/>
      <c r="N48" s="244"/>
      <c r="O48" s="244"/>
    </row>
    <row r="49" spans="2:18" ht="12.75">
      <c r="B49" s="244"/>
      <c r="C49" s="252"/>
      <c r="D49" s="250"/>
      <c r="E49" s="247"/>
      <c r="F49" s="247"/>
      <c r="G49" s="248"/>
      <c r="H49" s="251"/>
      <c r="I49" s="244"/>
      <c r="J49" s="244"/>
      <c r="K49" s="253"/>
      <c r="L49" s="244"/>
      <c r="M49" s="244"/>
      <c r="N49" s="244"/>
      <c r="O49" s="244"/>
      <c r="Q49" s="42"/>
      <c r="R49" s="42"/>
    </row>
    <row r="50" spans="2:18" ht="11.25" customHeight="1">
      <c r="B50" s="244"/>
      <c r="C50" s="244"/>
      <c r="D50" s="250"/>
      <c r="E50" s="247"/>
      <c r="F50" s="247"/>
      <c r="G50" s="248"/>
      <c r="H50" s="251"/>
      <c r="I50" s="244"/>
      <c r="J50" s="254"/>
      <c r="K50" s="255"/>
      <c r="L50" s="254"/>
      <c r="M50" s="254"/>
      <c r="N50" s="254"/>
      <c r="O50" s="254"/>
      <c r="Q50" s="2" t="s">
        <v>56</v>
      </c>
      <c r="R50" s="2" t="s">
        <v>66</v>
      </c>
    </row>
    <row r="51" spans="2:18" ht="12.75">
      <c r="B51" s="244"/>
      <c r="C51" s="244"/>
      <c r="D51" s="250"/>
      <c r="E51" s="247"/>
      <c r="F51" s="247"/>
      <c r="G51" s="248"/>
      <c r="H51" s="251"/>
      <c r="I51" s="244"/>
      <c r="J51" s="244"/>
      <c r="K51" s="244"/>
      <c r="L51" s="244"/>
      <c r="M51" s="244"/>
      <c r="N51" s="244"/>
      <c r="O51" s="244"/>
      <c r="Q51">
        <f>+K51*4</f>
        <v>0</v>
      </c>
      <c r="R51">
        <f>+Q51*5</f>
        <v>0</v>
      </c>
    </row>
    <row r="52" spans="2:18" ht="12.75">
      <c r="B52" s="244"/>
      <c r="C52" s="244"/>
      <c r="D52" s="250"/>
      <c r="E52" s="247"/>
      <c r="F52" s="247"/>
      <c r="G52" s="248"/>
      <c r="H52" s="251"/>
      <c r="I52" s="244"/>
      <c r="J52" s="244"/>
      <c r="K52" s="244"/>
      <c r="L52" s="244"/>
      <c r="M52" s="244"/>
      <c r="N52" s="244"/>
      <c r="O52" s="244"/>
      <c r="Q52">
        <f>+K52*5</f>
        <v>0</v>
      </c>
      <c r="R52">
        <f>+Q52*7</f>
        <v>0</v>
      </c>
    </row>
    <row r="53" spans="2:18" ht="12.75">
      <c r="B53" s="244"/>
      <c r="C53" s="244"/>
      <c r="D53" s="250"/>
      <c r="E53" s="247"/>
      <c r="F53" s="247"/>
      <c r="G53" s="248"/>
      <c r="H53" s="251"/>
      <c r="I53" s="244"/>
      <c r="J53" s="244"/>
      <c r="K53" s="244"/>
      <c r="L53" s="244"/>
      <c r="M53" s="244"/>
      <c r="N53" s="244"/>
      <c r="O53" s="244"/>
      <c r="Q53">
        <f>+K53*5</f>
        <v>0</v>
      </c>
      <c r="R53">
        <f>+Q53*5</f>
        <v>0</v>
      </c>
    </row>
    <row r="54" spans="2:15" ht="12.75">
      <c r="B54" s="244"/>
      <c r="C54" s="244"/>
      <c r="D54" s="250"/>
      <c r="E54" s="247"/>
      <c r="F54" s="247"/>
      <c r="G54" s="248"/>
      <c r="H54" s="251"/>
      <c r="I54" s="244"/>
      <c r="J54" s="254"/>
      <c r="K54" s="244"/>
      <c r="L54" s="244"/>
      <c r="M54" s="244"/>
      <c r="N54" s="244"/>
      <c r="O54" s="244"/>
    </row>
    <row r="55" spans="2:18" ht="12.75">
      <c r="B55" s="244"/>
      <c r="C55" s="244"/>
      <c r="D55" s="250"/>
      <c r="E55" s="247"/>
      <c r="F55" s="247"/>
      <c r="G55" s="248"/>
      <c r="H55" s="251"/>
      <c r="I55" s="244"/>
      <c r="J55" s="244"/>
      <c r="K55" s="244"/>
      <c r="L55" s="244"/>
      <c r="M55" s="244"/>
      <c r="N55" s="244"/>
      <c r="O55" s="244"/>
      <c r="Q55">
        <f>+K55*3</f>
        <v>0</v>
      </c>
      <c r="R55">
        <f>+Q55*7</f>
        <v>0</v>
      </c>
    </row>
    <row r="56" spans="2:18" ht="12.75">
      <c r="B56" s="244"/>
      <c r="C56" s="244"/>
      <c r="D56" s="250"/>
      <c r="E56" s="250"/>
      <c r="F56" s="256"/>
      <c r="G56" s="244"/>
      <c r="H56" s="244"/>
      <c r="I56" s="251"/>
      <c r="J56" s="244"/>
      <c r="K56" s="244"/>
      <c r="L56" s="244"/>
      <c r="M56" s="244"/>
      <c r="N56" s="244"/>
      <c r="O56" s="244"/>
      <c r="Q56">
        <f>+K56*3</f>
        <v>0</v>
      </c>
      <c r="R56">
        <f>+Q56*5</f>
        <v>0</v>
      </c>
    </row>
    <row r="57" spans="2:17" ht="12.75">
      <c r="B57" s="244"/>
      <c r="C57" s="244"/>
      <c r="D57" s="250"/>
      <c r="E57" s="250"/>
      <c r="F57" s="256"/>
      <c r="G57" s="244"/>
      <c r="H57" s="244"/>
      <c r="I57" s="251"/>
      <c r="J57" s="244"/>
      <c r="K57" s="244"/>
      <c r="L57" s="244"/>
      <c r="M57" s="244"/>
      <c r="N57" s="244"/>
      <c r="O57" s="244"/>
      <c r="P57">
        <f>+K57*3</f>
        <v>0</v>
      </c>
      <c r="Q57">
        <f>+P57*5</f>
        <v>0</v>
      </c>
    </row>
    <row r="58" spans="2:15" ht="12.75">
      <c r="B58" s="244"/>
      <c r="C58" s="244"/>
      <c r="D58" s="250"/>
      <c r="E58" s="250"/>
      <c r="F58" s="244"/>
      <c r="G58" s="244"/>
      <c r="H58" s="244"/>
      <c r="I58" s="244"/>
      <c r="J58" s="244"/>
      <c r="K58" s="244"/>
      <c r="L58" s="244"/>
      <c r="M58" s="244"/>
      <c r="N58" s="244"/>
      <c r="O58" s="244"/>
    </row>
    <row r="59" spans="2:15" ht="12.75">
      <c r="B59" s="244"/>
      <c r="C59" s="244"/>
      <c r="D59" s="250"/>
      <c r="E59" s="250"/>
      <c r="F59" s="244"/>
      <c r="G59" s="244"/>
      <c r="H59" s="244"/>
      <c r="I59" s="244"/>
      <c r="J59" s="244"/>
      <c r="K59" s="244"/>
      <c r="L59" s="244"/>
      <c r="M59" s="244"/>
      <c r="N59" s="244"/>
      <c r="O59" s="244"/>
    </row>
    <row r="60" spans="2:15" ht="12.75">
      <c r="B60" s="244"/>
      <c r="C60" s="244"/>
      <c r="D60" s="250"/>
      <c r="E60" s="250"/>
      <c r="F60" s="244"/>
      <c r="G60" s="244"/>
      <c r="H60" s="244"/>
      <c r="I60" s="244"/>
      <c r="J60" s="244"/>
      <c r="K60" s="244"/>
      <c r="L60" s="244"/>
      <c r="M60" s="244"/>
      <c r="N60" s="244"/>
      <c r="O60" s="244"/>
    </row>
    <row r="61" spans="2:15" ht="12.75">
      <c r="B61" s="244"/>
      <c r="C61" s="244"/>
      <c r="D61" s="250"/>
      <c r="E61" s="250"/>
      <c r="F61" s="244"/>
      <c r="G61" s="244"/>
      <c r="H61" s="244"/>
      <c r="I61" s="244"/>
      <c r="J61" s="244"/>
      <c r="K61" s="244"/>
      <c r="L61" s="244"/>
      <c r="M61" s="244"/>
      <c r="N61" s="244"/>
      <c r="O61" s="244"/>
    </row>
    <row r="62" spans="2:15" ht="12.75">
      <c r="B62" s="244"/>
      <c r="C62" s="244"/>
      <c r="D62" s="250"/>
      <c r="E62" s="250"/>
      <c r="F62" s="244"/>
      <c r="G62" s="244"/>
      <c r="H62" s="244"/>
      <c r="I62" s="244"/>
      <c r="J62" s="244"/>
      <c r="K62" s="244"/>
      <c r="L62" s="244"/>
      <c r="M62" s="244"/>
      <c r="N62" s="244"/>
      <c r="O62" s="244"/>
    </row>
    <row r="63" spans="2:15" ht="12.75">
      <c r="B63" s="244"/>
      <c r="C63" s="244"/>
      <c r="D63" s="250"/>
      <c r="E63" s="250"/>
      <c r="F63" s="244"/>
      <c r="G63" s="244"/>
      <c r="H63" s="244"/>
      <c r="I63" s="244"/>
      <c r="J63" s="244"/>
      <c r="K63" s="244"/>
      <c r="L63" s="244"/>
      <c r="M63" s="244"/>
      <c r="N63" s="244"/>
      <c r="O63" s="244"/>
    </row>
    <row r="64" spans="2:15" ht="12.75">
      <c r="B64" s="244"/>
      <c r="C64" s="244"/>
      <c r="D64" s="250"/>
      <c r="E64" s="250"/>
      <c r="F64" s="244"/>
      <c r="G64" s="244"/>
      <c r="H64" s="244"/>
      <c r="I64" s="244"/>
      <c r="J64" s="244"/>
      <c r="K64" s="244"/>
      <c r="L64" s="244"/>
      <c r="M64" s="244"/>
      <c r="N64" s="244"/>
      <c r="O64" s="244"/>
    </row>
    <row r="65" spans="2:15" ht="12.75">
      <c r="B65" s="244"/>
      <c r="C65" s="244"/>
      <c r="D65" s="250"/>
      <c r="E65" s="250"/>
      <c r="F65" s="244"/>
      <c r="G65" s="244"/>
      <c r="H65" s="244"/>
      <c r="I65" s="244"/>
      <c r="J65" s="244"/>
      <c r="K65" s="244"/>
      <c r="L65" s="244"/>
      <c r="M65" s="244"/>
      <c r="N65" s="244"/>
      <c r="O65" s="244"/>
    </row>
    <row r="66" spans="2:15" ht="12.75">
      <c r="B66" s="244"/>
      <c r="C66" s="244"/>
      <c r="D66" s="250"/>
      <c r="E66" s="250"/>
      <c r="F66" s="244"/>
      <c r="G66" s="244"/>
      <c r="H66" s="244"/>
      <c r="I66" s="244"/>
      <c r="J66" s="244"/>
      <c r="K66" s="244"/>
      <c r="L66" s="244"/>
      <c r="M66" s="244"/>
      <c r="N66" s="244"/>
      <c r="O66" s="244"/>
    </row>
    <row r="67" spans="2:15" ht="12.75">
      <c r="B67" s="244"/>
      <c r="C67" s="244"/>
      <c r="D67" s="250"/>
      <c r="E67" s="250"/>
      <c r="F67" s="244"/>
      <c r="G67" s="244"/>
      <c r="H67" s="244"/>
      <c r="I67" s="244"/>
      <c r="J67" s="244"/>
      <c r="K67" s="244"/>
      <c r="L67" s="244"/>
      <c r="M67" s="244"/>
      <c r="N67" s="244"/>
      <c r="O67" s="244"/>
    </row>
    <row r="68" spans="2:15" ht="12.75">
      <c r="B68" s="244"/>
      <c r="C68" s="244"/>
      <c r="D68" s="250"/>
      <c r="E68" s="250"/>
      <c r="F68" s="244"/>
      <c r="G68" s="244"/>
      <c r="H68" s="244"/>
      <c r="I68" s="244"/>
      <c r="J68" s="244"/>
      <c r="K68" s="244"/>
      <c r="L68" s="244"/>
      <c r="M68" s="244"/>
      <c r="N68" s="244"/>
      <c r="O68" s="244"/>
    </row>
    <row r="69" spans="2:15" ht="12.75">
      <c r="B69" s="244"/>
      <c r="C69" s="244"/>
      <c r="D69" s="250"/>
      <c r="E69" s="250"/>
      <c r="F69" s="244"/>
      <c r="G69" s="244"/>
      <c r="H69" s="244"/>
      <c r="I69" s="244"/>
      <c r="J69" s="244"/>
      <c r="K69" s="244"/>
      <c r="L69" s="244"/>
      <c r="M69" s="244"/>
      <c r="N69" s="244"/>
      <c r="O69" s="244"/>
    </row>
    <row r="70" spans="2:15" ht="12.75">
      <c r="B70" s="244"/>
      <c r="C70" s="244"/>
      <c r="D70" s="250"/>
      <c r="E70" s="250"/>
      <c r="F70" s="244"/>
      <c r="G70" s="244"/>
      <c r="H70" s="244"/>
      <c r="I70" s="244"/>
      <c r="J70" s="244"/>
      <c r="K70" s="244"/>
      <c r="L70" s="244"/>
      <c r="M70" s="244"/>
      <c r="N70" s="244"/>
      <c r="O70" s="244"/>
    </row>
    <row r="71" spans="2:15" ht="12.75">
      <c r="B71" s="244"/>
      <c r="C71" s="244"/>
      <c r="D71" s="250"/>
      <c r="E71" s="250"/>
      <c r="F71" s="244"/>
      <c r="G71" s="244"/>
      <c r="H71" s="244"/>
      <c r="I71" s="244"/>
      <c r="J71" s="244"/>
      <c r="K71" s="244"/>
      <c r="L71" s="244"/>
      <c r="M71" s="244"/>
      <c r="N71" s="244"/>
      <c r="O71" s="244"/>
    </row>
    <row r="72" spans="2:15" ht="12.75">
      <c r="B72" s="244"/>
      <c r="C72" s="244"/>
      <c r="D72" s="250"/>
      <c r="E72" s="250"/>
      <c r="F72" s="244"/>
      <c r="G72" s="244"/>
      <c r="H72" s="244"/>
      <c r="I72" s="244"/>
      <c r="J72" s="244"/>
      <c r="K72" s="244"/>
      <c r="L72" s="244"/>
      <c r="M72" s="244"/>
      <c r="N72" s="244"/>
      <c r="O72" s="244"/>
    </row>
    <row r="73" spans="2:15" ht="12.75">
      <c r="B73" s="244"/>
      <c r="C73" s="244"/>
      <c r="D73" s="250"/>
      <c r="E73" s="250"/>
      <c r="F73" s="244"/>
      <c r="G73" s="244"/>
      <c r="H73" s="244"/>
      <c r="I73" s="244"/>
      <c r="J73" s="244"/>
      <c r="K73" s="244"/>
      <c r="L73" s="244"/>
      <c r="M73" s="244"/>
      <c r="N73" s="244"/>
      <c r="O73" s="244"/>
    </row>
    <row r="74" spans="2:15" ht="12.75">
      <c r="B74" s="244"/>
      <c r="C74" s="244"/>
      <c r="D74" s="250"/>
      <c r="E74" s="250"/>
      <c r="F74" s="244"/>
      <c r="G74" s="244"/>
      <c r="H74" s="244"/>
      <c r="I74" s="244"/>
      <c r="J74" s="244"/>
      <c r="K74" s="244"/>
      <c r="L74" s="244"/>
      <c r="M74" s="244"/>
      <c r="N74" s="244"/>
      <c r="O74" s="244"/>
    </row>
    <row r="75" spans="2:15" ht="12.75">
      <c r="B75" s="244"/>
      <c r="C75" s="244"/>
      <c r="D75" s="250"/>
      <c r="E75" s="250"/>
      <c r="F75" s="244"/>
      <c r="G75" s="244"/>
      <c r="H75" s="244"/>
      <c r="I75" s="244"/>
      <c r="J75" s="244"/>
      <c r="K75" s="244"/>
      <c r="L75" s="244"/>
      <c r="M75" s="244"/>
      <c r="N75" s="244"/>
      <c r="O75" s="244"/>
    </row>
    <row r="76" spans="2:15" ht="12.75">
      <c r="B76" s="244"/>
      <c r="C76" s="244"/>
      <c r="D76" s="250"/>
      <c r="E76" s="250"/>
      <c r="F76" s="244"/>
      <c r="G76" s="244"/>
      <c r="H76" s="244"/>
      <c r="I76" s="244"/>
      <c r="J76" s="244"/>
      <c r="K76" s="244"/>
      <c r="L76" s="244"/>
      <c r="M76" s="244"/>
      <c r="N76" s="244"/>
      <c r="O76" s="244"/>
    </row>
    <row r="77" spans="2:15" ht="12.75">
      <c r="B77" s="244"/>
      <c r="C77" s="244"/>
      <c r="D77" s="250"/>
      <c r="E77" s="250"/>
      <c r="F77" s="244"/>
      <c r="G77" s="244"/>
      <c r="H77" s="244"/>
      <c r="I77" s="244"/>
      <c r="J77" s="244"/>
      <c r="K77" s="244"/>
      <c r="L77" s="244"/>
      <c r="M77" s="244"/>
      <c r="N77" s="244"/>
      <c r="O77" s="244"/>
    </row>
    <row r="78" spans="2:15" ht="12.75">
      <c r="B78" s="244"/>
      <c r="C78" s="244"/>
      <c r="D78" s="250"/>
      <c r="E78" s="250"/>
      <c r="F78" s="244"/>
      <c r="G78" s="244"/>
      <c r="H78" s="244"/>
      <c r="I78" s="244"/>
      <c r="J78" s="244"/>
      <c r="K78" s="244"/>
      <c r="L78" s="244"/>
      <c r="M78" s="244"/>
      <c r="N78" s="244"/>
      <c r="O78" s="244"/>
    </row>
    <row r="79" spans="2:15" ht="12.75">
      <c r="B79" s="244"/>
      <c r="C79" s="244"/>
      <c r="D79" s="250"/>
      <c r="E79" s="250"/>
      <c r="F79" s="244"/>
      <c r="G79" s="244"/>
      <c r="H79" s="244"/>
      <c r="I79" s="244"/>
      <c r="J79" s="244"/>
      <c r="K79" s="244"/>
      <c r="L79" s="244"/>
      <c r="M79" s="244"/>
      <c r="N79" s="244"/>
      <c r="O79" s="244"/>
    </row>
    <row r="80" spans="2:15" ht="12.75">
      <c r="B80" s="244"/>
      <c r="C80" s="244"/>
      <c r="D80" s="250"/>
      <c r="E80" s="250"/>
      <c r="F80" s="244"/>
      <c r="G80" s="244"/>
      <c r="H80" s="244"/>
      <c r="I80" s="244"/>
      <c r="J80" s="244"/>
      <c r="K80" s="244"/>
      <c r="L80" s="244"/>
      <c r="M80" s="244"/>
      <c r="N80" s="244"/>
      <c r="O80" s="244"/>
    </row>
    <row r="81" spans="2:15" ht="12.75">
      <c r="B81" s="244"/>
      <c r="C81" s="244"/>
      <c r="D81" s="250"/>
      <c r="E81" s="250"/>
      <c r="F81" s="244"/>
      <c r="G81" s="244"/>
      <c r="H81" s="244"/>
      <c r="I81" s="244"/>
      <c r="J81" s="244"/>
      <c r="K81" s="244"/>
      <c r="L81" s="244"/>
      <c r="M81" s="244"/>
      <c r="N81" s="244"/>
      <c r="O81" s="244"/>
    </row>
    <row r="82" spans="2:15" ht="12.75">
      <c r="B82" s="244"/>
      <c r="C82" s="244"/>
      <c r="D82" s="250"/>
      <c r="E82" s="250"/>
      <c r="F82" s="244"/>
      <c r="G82" s="244"/>
      <c r="H82" s="244"/>
      <c r="I82" s="244"/>
      <c r="J82" s="244"/>
      <c r="K82" s="244"/>
      <c r="L82" s="244"/>
      <c r="M82" s="244"/>
      <c r="N82" s="244"/>
      <c r="O82" s="244"/>
    </row>
    <row r="83" spans="2:15" ht="12.75">
      <c r="B83" s="244"/>
      <c r="C83" s="244"/>
      <c r="D83" s="250"/>
      <c r="E83" s="250"/>
      <c r="F83" s="244"/>
      <c r="G83" s="244"/>
      <c r="H83" s="244"/>
      <c r="I83" s="244"/>
      <c r="J83" s="244"/>
      <c r="K83" s="244"/>
      <c r="L83" s="244"/>
      <c r="M83" s="244"/>
      <c r="N83" s="244"/>
      <c r="O83" s="244"/>
    </row>
    <row r="84" spans="2:15" ht="12.75">
      <c r="B84" s="244"/>
      <c r="C84" s="244"/>
      <c r="D84" s="250"/>
      <c r="E84" s="250"/>
      <c r="F84" s="244"/>
      <c r="G84" s="244"/>
      <c r="H84" s="244"/>
      <c r="I84" s="244"/>
      <c r="J84" s="244"/>
      <c r="K84" s="244"/>
      <c r="L84" s="244"/>
      <c r="M84" s="244"/>
      <c r="N84" s="244"/>
      <c r="O84" s="244"/>
    </row>
    <row r="85" spans="2:15" ht="12.75">
      <c r="B85" s="244"/>
      <c r="C85" s="244"/>
      <c r="D85" s="250"/>
      <c r="E85" s="250"/>
      <c r="F85" s="244"/>
      <c r="G85" s="244"/>
      <c r="H85" s="244"/>
      <c r="I85" s="244"/>
      <c r="J85" s="244"/>
      <c r="K85" s="244"/>
      <c r="L85" s="244"/>
      <c r="M85" s="244"/>
      <c r="N85" s="244"/>
      <c r="O85" s="244"/>
    </row>
    <row r="86" spans="2:15" ht="12.75">
      <c r="B86" s="244"/>
      <c r="C86" s="244"/>
      <c r="D86" s="250"/>
      <c r="E86" s="250"/>
      <c r="F86" s="244"/>
      <c r="G86" s="244"/>
      <c r="H86" s="244"/>
      <c r="I86" s="244"/>
      <c r="J86" s="244"/>
      <c r="K86" s="244"/>
      <c r="L86" s="244"/>
      <c r="M86" s="244"/>
      <c r="N86" s="244"/>
      <c r="O86" s="244"/>
    </row>
    <row r="87" spans="2:15" ht="12.75">
      <c r="B87" s="244"/>
      <c r="C87" s="244"/>
      <c r="D87" s="250"/>
      <c r="E87" s="250"/>
      <c r="F87" s="244"/>
      <c r="G87" s="244"/>
      <c r="H87" s="244"/>
      <c r="I87" s="244"/>
      <c r="J87" s="244"/>
      <c r="K87" s="244"/>
      <c r="L87" s="244"/>
      <c r="M87" s="244"/>
      <c r="N87" s="244"/>
      <c r="O87" s="244"/>
    </row>
    <row r="88" spans="2:15" ht="12.75">
      <c r="B88" s="244"/>
      <c r="C88" s="244"/>
      <c r="D88" s="250"/>
      <c r="E88" s="250"/>
      <c r="F88" s="244"/>
      <c r="G88" s="244"/>
      <c r="H88" s="244"/>
      <c r="I88" s="244"/>
      <c r="J88" s="244"/>
      <c r="K88" s="244"/>
      <c r="L88" s="244"/>
      <c r="M88" s="244"/>
      <c r="N88" s="244"/>
      <c r="O88" s="244"/>
    </row>
    <row r="89" spans="2:15" ht="12.75">
      <c r="B89" s="244"/>
      <c r="C89" s="244"/>
      <c r="D89" s="250"/>
      <c r="E89" s="250"/>
      <c r="F89" s="244"/>
      <c r="G89" s="244"/>
      <c r="H89" s="244"/>
      <c r="I89" s="244"/>
      <c r="J89" s="244"/>
      <c r="K89" s="244"/>
      <c r="L89" s="244"/>
      <c r="M89" s="244"/>
      <c r="N89" s="244"/>
      <c r="O89" s="244"/>
    </row>
    <row r="90" spans="2:15" ht="12.75">
      <c r="B90" s="244"/>
      <c r="C90" s="244"/>
      <c r="D90" s="250"/>
      <c r="E90" s="250"/>
      <c r="F90" s="244"/>
      <c r="G90" s="244"/>
      <c r="H90" s="244"/>
      <c r="I90" s="244"/>
      <c r="J90" s="244"/>
      <c r="K90" s="244"/>
      <c r="L90" s="244"/>
      <c r="M90" s="244"/>
      <c r="N90" s="244"/>
      <c r="O90" s="244"/>
    </row>
    <row r="91" spans="2:15" ht="12.75">
      <c r="B91" s="244"/>
      <c r="C91" s="244"/>
      <c r="D91" s="250"/>
      <c r="E91" s="250"/>
      <c r="F91" s="244"/>
      <c r="G91" s="244"/>
      <c r="H91" s="244"/>
      <c r="I91" s="244"/>
      <c r="J91" s="244"/>
      <c r="K91" s="244"/>
      <c r="L91" s="244"/>
      <c r="M91" s="244"/>
      <c r="N91" s="244"/>
      <c r="O91" s="244"/>
    </row>
  </sheetData>
  <sheetProtection/>
  <mergeCells count="28">
    <mergeCell ref="B2:O2"/>
    <mergeCell ref="B4:O4"/>
    <mergeCell ref="B39:G39"/>
    <mergeCell ref="I30:J30"/>
    <mergeCell ref="L30:O30"/>
    <mergeCell ref="B32:B34"/>
    <mergeCell ref="B36:B38"/>
    <mergeCell ref="E30:E31"/>
    <mergeCell ref="F30:F31"/>
    <mergeCell ref="G30:G31"/>
    <mergeCell ref="H30:H31"/>
    <mergeCell ref="B47:E47"/>
    <mergeCell ref="B12:B14"/>
    <mergeCell ref="B6:C7"/>
    <mergeCell ref="D6:D7"/>
    <mergeCell ref="E6:E7"/>
    <mergeCell ref="B30:C31"/>
    <mergeCell ref="D30:D31"/>
    <mergeCell ref="B23:B25"/>
    <mergeCell ref="B26:G26"/>
    <mergeCell ref="B17:O17"/>
    <mergeCell ref="H6:H7"/>
    <mergeCell ref="B8:B10"/>
    <mergeCell ref="L6:O6"/>
    <mergeCell ref="B15:G15"/>
    <mergeCell ref="F6:F7"/>
    <mergeCell ref="G6:G7"/>
    <mergeCell ref="I6:J6"/>
  </mergeCells>
  <printOptions horizontalCentered="1" verticalCentered="1"/>
  <pageMargins left="0.68" right="0.63" top="1.68" bottom="0.984251968503937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73"/>
  <sheetViews>
    <sheetView zoomScalePageLayoutView="0" workbookViewId="0" topLeftCell="B37">
      <selection activeCell="I65" sqref="I65"/>
    </sheetView>
  </sheetViews>
  <sheetFormatPr defaultColWidth="11.421875" defaultRowHeight="12.75"/>
  <cols>
    <col min="1" max="1" width="0.5625" style="389" hidden="1" customWidth="1"/>
    <col min="2" max="2" width="10.421875" style="389" customWidth="1"/>
    <col min="3" max="3" width="16.7109375" style="389" customWidth="1"/>
    <col min="4" max="4" width="6.8515625" style="390" customWidth="1"/>
    <col min="5" max="5" width="8.140625" style="390" customWidth="1"/>
    <col min="6" max="6" width="8.7109375" style="389" bestFit="1" customWidth="1"/>
    <col min="7" max="7" width="8.421875" style="389" customWidth="1"/>
    <col min="8" max="8" width="8.7109375" style="389" customWidth="1"/>
    <col min="9" max="9" width="11.00390625" style="389" customWidth="1"/>
    <col min="10" max="10" width="9.8515625" style="389" customWidth="1"/>
    <col min="11" max="11" width="10.00390625" style="389" bestFit="1" customWidth="1"/>
    <col min="12" max="12" width="8.28125" style="389" bestFit="1" customWidth="1"/>
    <col min="13" max="13" width="9.28125" style="389" bestFit="1" customWidth="1"/>
    <col min="14" max="14" width="10.8515625" style="389" bestFit="1" customWidth="1"/>
    <col min="15" max="15" width="11.8515625" style="389" bestFit="1" customWidth="1"/>
    <col min="16" max="16384" width="11.421875" style="389" customWidth="1"/>
  </cols>
  <sheetData>
    <row r="2" spans="2:6" ht="11.25">
      <c r="B2" s="388" t="s">
        <v>42</v>
      </c>
      <c r="F2" s="391" t="s">
        <v>158</v>
      </c>
    </row>
    <row r="3" spans="2:6" ht="11.25">
      <c r="B3" s="388"/>
      <c r="F3" s="391" t="s">
        <v>159</v>
      </c>
    </row>
    <row r="4" ht="12" thickBot="1"/>
    <row r="5" spans="2:17" ht="22.5" thickBot="1">
      <c r="B5" s="713" t="s">
        <v>43</v>
      </c>
      <c r="C5" s="714"/>
      <c r="D5" s="709" t="s">
        <v>44</v>
      </c>
      <c r="E5" s="709" t="s">
        <v>45</v>
      </c>
      <c r="F5" s="705" t="s">
        <v>46</v>
      </c>
      <c r="G5" s="707" t="s">
        <v>47</v>
      </c>
      <c r="H5" s="709" t="s">
        <v>48</v>
      </c>
      <c r="I5" s="711" t="s">
        <v>84</v>
      </c>
      <c r="J5" s="712"/>
      <c r="K5" s="392" t="s">
        <v>49</v>
      </c>
      <c r="L5" s="693" t="s">
        <v>50</v>
      </c>
      <c r="M5" s="694"/>
      <c r="N5" s="695"/>
      <c r="O5" s="696"/>
      <c r="P5" s="393"/>
      <c r="Q5" s="393"/>
    </row>
    <row r="6" spans="2:18" s="400" customFormat="1" ht="23.25" thickBot="1">
      <c r="B6" s="715"/>
      <c r="C6" s="716"/>
      <c r="D6" s="717"/>
      <c r="E6" s="717"/>
      <c r="F6" s="706"/>
      <c r="G6" s="708"/>
      <c r="H6" s="710"/>
      <c r="I6" s="395" t="s">
        <v>51</v>
      </c>
      <c r="J6" s="394" t="s">
        <v>52</v>
      </c>
      <c r="K6" s="396">
        <v>0.33</v>
      </c>
      <c r="L6" s="397" t="s">
        <v>53</v>
      </c>
      <c r="M6" s="398" t="s">
        <v>54</v>
      </c>
      <c r="N6" s="398" t="s">
        <v>55</v>
      </c>
      <c r="O6" s="399" t="s">
        <v>67</v>
      </c>
      <c r="Q6" s="400" t="s">
        <v>56</v>
      </c>
      <c r="R6" s="400" t="s">
        <v>57</v>
      </c>
    </row>
    <row r="7" spans="2:18" ht="20.25" customHeight="1">
      <c r="B7" s="697" t="s">
        <v>58</v>
      </c>
      <c r="C7" s="401" t="s">
        <v>59</v>
      </c>
      <c r="D7" s="402">
        <v>7</v>
      </c>
      <c r="E7" s="403">
        <v>5</v>
      </c>
      <c r="F7" s="404">
        <v>4.5</v>
      </c>
      <c r="G7" s="405">
        <v>2</v>
      </c>
      <c r="H7" s="406">
        <f>+F7*0.02</f>
        <v>0.09</v>
      </c>
      <c r="I7" s="407">
        <f>+F7-G7-H7</f>
        <v>2.41</v>
      </c>
      <c r="J7" s="408">
        <f>+I7*E7</f>
        <v>12.05</v>
      </c>
      <c r="K7" s="409">
        <f>+J7*$K$6</f>
        <v>3.9765000000000006</v>
      </c>
      <c r="L7" s="410">
        <f>+J7-K7</f>
        <v>8.0735</v>
      </c>
      <c r="M7" s="411">
        <f aca="true" t="shared" si="0" ref="M7:N9">+L7*4</f>
        <v>32.294</v>
      </c>
      <c r="N7" s="411">
        <f t="shared" si="0"/>
        <v>129.176</v>
      </c>
      <c r="O7" s="412">
        <f>+N7*12</f>
        <v>1550.1119999999999</v>
      </c>
      <c r="P7" s="390"/>
      <c r="Q7" s="389">
        <f>+K7*4</f>
        <v>15.906000000000002</v>
      </c>
      <c r="R7" s="389">
        <f>+Q7*D7</f>
        <v>111.34200000000001</v>
      </c>
    </row>
    <row r="8" spans="2:18" ht="20.25" customHeight="1">
      <c r="B8" s="698"/>
      <c r="C8" s="413" t="s">
        <v>60</v>
      </c>
      <c r="D8" s="414">
        <v>5</v>
      </c>
      <c r="E8" s="415">
        <v>3</v>
      </c>
      <c r="F8" s="416">
        <v>6</v>
      </c>
      <c r="G8" s="417">
        <v>2</v>
      </c>
      <c r="H8" s="418">
        <f>+F8*0.02</f>
        <v>0.12</v>
      </c>
      <c r="I8" s="419">
        <f>+F8-G8-H8</f>
        <v>3.88</v>
      </c>
      <c r="J8" s="420">
        <f>+I8*E8</f>
        <v>11.64</v>
      </c>
      <c r="K8" s="421">
        <f>+J8*$K$6</f>
        <v>3.8412</v>
      </c>
      <c r="L8" s="419">
        <f>+J8-K8</f>
        <v>7.7988</v>
      </c>
      <c r="M8" s="422">
        <f t="shared" si="0"/>
        <v>31.1952</v>
      </c>
      <c r="N8" s="422">
        <f t="shared" si="0"/>
        <v>124.7808</v>
      </c>
      <c r="O8" s="423">
        <f aca="true" t="shared" si="1" ref="O8:O13">+N8*12</f>
        <v>1497.3696</v>
      </c>
      <c r="P8" s="390"/>
      <c r="Q8" s="389">
        <f>+K8*5</f>
        <v>19.206</v>
      </c>
      <c r="R8" s="389">
        <f>+Q8*D8</f>
        <v>96.03</v>
      </c>
    </row>
    <row r="9" spans="2:18" ht="20.25" customHeight="1">
      <c r="B9" s="699"/>
      <c r="C9" s="413" t="s">
        <v>61</v>
      </c>
      <c r="D9" s="414">
        <v>3</v>
      </c>
      <c r="E9" s="415">
        <v>2</v>
      </c>
      <c r="F9" s="416">
        <v>8</v>
      </c>
      <c r="G9" s="417">
        <v>2</v>
      </c>
      <c r="H9" s="418">
        <f>+F9*0.02</f>
        <v>0.16</v>
      </c>
      <c r="I9" s="419">
        <f>+F9-G9-H9</f>
        <v>5.84</v>
      </c>
      <c r="J9" s="420">
        <f>+I9*E9</f>
        <v>11.68</v>
      </c>
      <c r="K9" s="421">
        <f>+J9*$K$6</f>
        <v>3.8544</v>
      </c>
      <c r="L9" s="419">
        <f>+J9-K9</f>
        <v>7.8256</v>
      </c>
      <c r="M9" s="422">
        <f t="shared" si="0"/>
        <v>31.3024</v>
      </c>
      <c r="N9" s="422">
        <f t="shared" si="0"/>
        <v>125.2096</v>
      </c>
      <c r="O9" s="423">
        <f t="shared" si="1"/>
        <v>1502.5151999999998</v>
      </c>
      <c r="P9" s="390"/>
      <c r="Q9" s="389">
        <f>+K9*5</f>
        <v>19.272</v>
      </c>
      <c r="R9" s="389">
        <f>+Q9*D9</f>
        <v>57.815999999999995</v>
      </c>
    </row>
    <row r="10" spans="2:16" ht="20.25" customHeight="1">
      <c r="B10" s="424"/>
      <c r="C10" s="425"/>
      <c r="D10" s="414"/>
      <c r="E10" s="415"/>
      <c r="F10" s="416"/>
      <c r="G10" s="417"/>
      <c r="H10" s="418"/>
      <c r="I10" s="419"/>
      <c r="J10" s="420"/>
      <c r="K10" s="421"/>
      <c r="L10" s="419"/>
      <c r="M10" s="422"/>
      <c r="N10" s="422"/>
      <c r="O10" s="423"/>
      <c r="P10" s="390"/>
    </row>
    <row r="11" spans="2:18" ht="20.25" customHeight="1">
      <c r="B11" s="700" t="s">
        <v>62</v>
      </c>
      <c r="C11" s="413" t="s">
        <v>59</v>
      </c>
      <c r="D11" s="414">
        <v>4</v>
      </c>
      <c r="E11" s="415">
        <v>5</v>
      </c>
      <c r="F11" s="416">
        <v>5</v>
      </c>
      <c r="G11" s="417">
        <v>2</v>
      </c>
      <c r="H11" s="418">
        <f>+F11*0.02</f>
        <v>0.1</v>
      </c>
      <c r="I11" s="419">
        <f>+F11-G11-H11</f>
        <v>2.9</v>
      </c>
      <c r="J11" s="420">
        <f>+I11*E11</f>
        <v>14.5</v>
      </c>
      <c r="K11" s="421">
        <f>+J11*$K$6</f>
        <v>4.785</v>
      </c>
      <c r="L11" s="419">
        <f>+J11-K11</f>
        <v>9.715</v>
      </c>
      <c r="M11" s="422">
        <f>+L11*3</f>
        <v>29.145</v>
      </c>
      <c r="N11" s="422">
        <f>+M11*4</f>
        <v>116.58</v>
      </c>
      <c r="O11" s="423">
        <f t="shared" si="1"/>
        <v>1398.96</v>
      </c>
      <c r="P11" s="390"/>
      <c r="Q11" s="389">
        <f>+K11*3</f>
        <v>14.355</v>
      </c>
      <c r="R11" s="389">
        <f>+Q11*D11</f>
        <v>57.42</v>
      </c>
    </row>
    <row r="12" spans="2:18" ht="20.25" customHeight="1">
      <c r="B12" s="701"/>
      <c r="C12" s="413" t="s">
        <v>60</v>
      </c>
      <c r="D12" s="414">
        <v>7</v>
      </c>
      <c r="E12" s="415">
        <v>10</v>
      </c>
      <c r="F12" s="416">
        <v>7</v>
      </c>
      <c r="G12" s="417">
        <v>2</v>
      </c>
      <c r="H12" s="418">
        <f>+F12*0.02</f>
        <v>0.14</v>
      </c>
      <c r="I12" s="419">
        <f>+F12-G12-H12</f>
        <v>4.86</v>
      </c>
      <c r="J12" s="420">
        <f>+I12*E12</f>
        <v>48.6</v>
      </c>
      <c r="K12" s="421">
        <f>+J12*$K$6</f>
        <v>16.038</v>
      </c>
      <c r="L12" s="419">
        <f>+J12-K12</f>
        <v>32.562</v>
      </c>
      <c r="M12" s="422">
        <f>+L12*3</f>
        <v>97.68599999999999</v>
      </c>
      <c r="N12" s="422">
        <f>+M12*4</f>
        <v>390.74399999999997</v>
      </c>
      <c r="O12" s="423">
        <f t="shared" si="1"/>
        <v>4688.928</v>
      </c>
      <c r="P12" s="390"/>
      <c r="Q12" s="389">
        <f>+K12*3</f>
        <v>48.114000000000004</v>
      </c>
      <c r="R12" s="389">
        <f>+Q12*D12</f>
        <v>336.798</v>
      </c>
    </row>
    <row r="13" spans="2:18" ht="20.25" customHeight="1" thickBot="1">
      <c r="B13" s="702"/>
      <c r="C13" s="426" t="s">
        <v>61</v>
      </c>
      <c r="D13" s="427">
        <v>4</v>
      </c>
      <c r="E13" s="428">
        <v>3</v>
      </c>
      <c r="F13" s="429">
        <v>10</v>
      </c>
      <c r="G13" s="430">
        <v>2</v>
      </c>
      <c r="H13" s="431">
        <f>+F13*0.02</f>
        <v>0.2</v>
      </c>
      <c r="I13" s="432">
        <f>+F13-G13-H13</f>
        <v>7.8</v>
      </c>
      <c r="J13" s="433">
        <f>+I13*E13</f>
        <v>23.4</v>
      </c>
      <c r="K13" s="434">
        <f>+J13*$K$6</f>
        <v>7.7219999999999995</v>
      </c>
      <c r="L13" s="435">
        <f>+J13-K13</f>
        <v>15.677999999999999</v>
      </c>
      <c r="M13" s="436">
        <f>+L13*3</f>
        <v>47.034</v>
      </c>
      <c r="N13" s="436">
        <f>+M13*4</f>
        <v>188.136</v>
      </c>
      <c r="O13" s="437">
        <f t="shared" si="1"/>
        <v>2257.632</v>
      </c>
      <c r="P13" s="390"/>
      <c r="Q13" s="389">
        <f>+K13*3</f>
        <v>23.165999999999997</v>
      </c>
      <c r="R13" s="389">
        <f>+Q13*D13</f>
        <v>92.66399999999999</v>
      </c>
    </row>
    <row r="14" spans="2:16" ht="12" thickBot="1">
      <c r="B14" s="703" t="s">
        <v>63</v>
      </c>
      <c r="C14" s="704"/>
      <c r="D14" s="704"/>
      <c r="E14" s="704"/>
      <c r="F14" s="704"/>
      <c r="G14" s="704"/>
      <c r="H14" s="438">
        <f>SUM(H7:H13)*$D$15*6*4</f>
        <v>583.2</v>
      </c>
      <c r="I14" s="439">
        <f aca="true" t="shared" si="2" ref="I14:O14">SUM(I7:I13)</f>
        <v>27.69</v>
      </c>
      <c r="J14" s="440">
        <f t="shared" si="2"/>
        <v>121.87</v>
      </c>
      <c r="K14" s="441">
        <f t="shared" si="2"/>
        <v>40.2171</v>
      </c>
      <c r="L14" s="442">
        <f t="shared" si="2"/>
        <v>81.65289999999999</v>
      </c>
      <c r="M14" s="443">
        <f t="shared" si="2"/>
        <v>268.65659999999997</v>
      </c>
      <c r="N14" s="444">
        <f t="shared" si="2"/>
        <v>1074.6263999999999</v>
      </c>
      <c r="O14" s="445">
        <f t="shared" si="2"/>
        <v>12895.5168</v>
      </c>
      <c r="P14" s="390"/>
    </row>
    <row r="15" spans="2:16" ht="12" thickBot="1">
      <c r="B15" s="446" t="s">
        <v>164</v>
      </c>
      <c r="C15" s="446"/>
      <c r="D15" s="447">
        <f>+D7+D8+D9+D11+D12+D13</f>
        <v>30</v>
      </c>
      <c r="E15" s="446"/>
      <c r="F15" s="446"/>
      <c r="G15" s="446"/>
      <c r="H15" s="448"/>
      <c r="I15" s="449"/>
      <c r="J15" s="449"/>
      <c r="K15" s="449"/>
      <c r="L15" s="449"/>
      <c r="M15" s="449"/>
      <c r="N15" s="449"/>
      <c r="O15" s="450"/>
      <c r="P15" s="390"/>
    </row>
    <row r="16" spans="2:16" ht="22.5" thickBot="1">
      <c r="B16" s="713" t="s">
        <v>43</v>
      </c>
      <c r="C16" s="714"/>
      <c r="D16" s="709" t="s">
        <v>44</v>
      </c>
      <c r="E16" s="709" t="s">
        <v>45</v>
      </c>
      <c r="F16" s="705" t="s">
        <v>46</v>
      </c>
      <c r="G16" s="707" t="s">
        <v>47</v>
      </c>
      <c r="H16" s="709" t="s">
        <v>48</v>
      </c>
      <c r="I16" s="711" t="s">
        <v>84</v>
      </c>
      <c r="J16" s="712"/>
      <c r="K16" s="392" t="s">
        <v>49</v>
      </c>
      <c r="L16" s="693" t="s">
        <v>50</v>
      </c>
      <c r="M16" s="694"/>
      <c r="N16" s="695"/>
      <c r="O16" s="696"/>
      <c r="P16" s="390"/>
    </row>
    <row r="17" spans="2:16" ht="21.75" thickBot="1">
      <c r="B17" s="715"/>
      <c r="C17" s="716"/>
      <c r="D17" s="717"/>
      <c r="E17" s="717"/>
      <c r="F17" s="706"/>
      <c r="G17" s="708"/>
      <c r="H17" s="710"/>
      <c r="I17" s="395" t="s">
        <v>51</v>
      </c>
      <c r="J17" s="394" t="s">
        <v>52</v>
      </c>
      <c r="K17" s="396">
        <v>0.22</v>
      </c>
      <c r="L17" s="397" t="s">
        <v>53</v>
      </c>
      <c r="M17" s="398" t="s">
        <v>54</v>
      </c>
      <c r="N17" s="398" t="s">
        <v>55</v>
      </c>
      <c r="O17" s="399" t="s">
        <v>67</v>
      </c>
      <c r="P17" s="390"/>
    </row>
    <row r="18" spans="2:16" ht="12" thickBot="1">
      <c r="B18" s="697" t="s">
        <v>58</v>
      </c>
      <c r="C18" s="401" t="s">
        <v>59</v>
      </c>
      <c r="D18" s="402">
        <v>7</v>
      </c>
      <c r="E18" s="403">
        <v>5</v>
      </c>
      <c r="F18" s="404">
        <v>4.5</v>
      </c>
      <c r="G18" s="405">
        <v>2</v>
      </c>
      <c r="H18" s="406"/>
      <c r="I18" s="407">
        <f>+F18-G18-H18</f>
        <v>2.5</v>
      </c>
      <c r="J18" s="408">
        <f>+I18*E18</f>
        <v>12.5</v>
      </c>
      <c r="K18" s="409">
        <f>+J18*$K$17</f>
        <v>2.75</v>
      </c>
      <c r="L18" s="410">
        <f>+J18-K18</f>
        <v>9.75</v>
      </c>
      <c r="M18" s="411">
        <f aca="true" t="shared" si="3" ref="M18:N20">+L18*4</f>
        <v>39</v>
      </c>
      <c r="N18" s="411">
        <f t="shared" si="3"/>
        <v>156</v>
      </c>
      <c r="O18" s="412">
        <f>+N18*12</f>
        <v>1872</v>
      </c>
      <c r="P18" s="390"/>
    </row>
    <row r="19" spans="2:16" ht="12" thickBot="1">
      <c r="B19" s="698"/>
      <c r="C19" s="413" t="s">
        <v>60</v>
      </c>
      <c r="D19" s="414">
        <v>5</v>
      </c>
      <c r="E19" s="415">
        <v>3</v>
      </c>
      <c r="F19" s="416">
        <v>6</v>
      </c>
      <c r="G19" s="405">
        <v>2</v>
      </c>
      <c r="H19" s="418"/>
      <c r="I19" s="419">
        <f>+F19-G19-H19</f>
        <v>4</v>
      </c>
      <c r="J19" s="420">
        <f>+I19*E19</f>
        <v>12</v>
      </c>
      <c r="K19" s="421">
        <f>+J19*$K$6</f>
        <v>3.96</v>
      </c>
      <c r="L19" s="419">
        <f>+J19-K19</f>
        <v>8.04</v>
      </c>
      <c r="M19" s="422">
        <f t="shared" si="3"/>
        <v>32.16</v>
      </c>
      <c r="N19" s="422">
        <f t="shared" si="3"/>
        <v>128.64</v>
      </c>
      <c r="O19" s="423">
        <f aca="true" t="shared" si="4" ref="O19:O24">+N19*12</f>
        <v>1543.6799999999998</v>
      </c>
      <c r="P19" s="390"/>
    </row>
    <row r="20" spans="2:16" ht="12" thickBot="1">
      <c r="B20" s="699"/>
      <c r="C20" s="413" t="s">
        <v>61</v>
      </c>
      <c r="D20" s="414">
        <v>3</v>
      </c>
      <c r="E20" s="415">
        <v>2</v>
      </c>
      <c r="F20" s="416">
        <v>8</v>
      </c>
      <c r="G20" s="405">
        <v>2</v>
      </c>
      <c r="H20" s="418"/>
      <c r="I20" s="419">
        <f>+F20-G20-H20</f>
        <v>6</v>
      </c>
      <c r="J20" s="420">
        <f>+I20*E20</f>
        <v>12</v>
      </c>
      <c r="K20" s="421">
        <f>+J20*$K$6</f>
        <v>3.96</v>
      </c>
      <c r="L20" s="419">
        <f>+J20-K20</f>
        <v>8.04</v>
      </c>
      <c r="M20" s="422">
        <f t="shared" si="3"/>
        <v>32.16</v>
      </c>
      <c r="N20" s="422">
        <f t="shared" si="3"/>
        <v>128.64</v>
      </c>
      <c r="O20" s="423">
        <f t="shared" si="4"/>
        <v>1543.6799999999998</v>
      </c>
      <c r="P20" s="390"/>
    </row>
    <row r="21" spans="2:16" ht="12" thickBot="1">
      <c r="B21" s="424"/>
      <c r="C21" s="425"/>
      <c r="D21" s="414"/>
      <c r="E21" s="415"/>
      <c r="F21" s="416"/>
      <c r="G21" s="405">
        <v>2</v>
      </c>
      <c r="H21" s="418"/>
      <c r="I21" s="419"/>
      <c r="J21" s="420"/>
      <c r="K21" s="421"/>
      <c r="L21" s="419"/>
      <c r="M21" s="422"/>
      <c r="N21" s="422"/>
      <c r="O21" s="423"/>
      <c r="P21" s="390"/>
    </row>
    <row r="22" spans="2:16" ht="12" thickBot="1">
      <c r="B22" s="700" t="s">
        <v>62</v>
      </c>
      <c r="C22" s="413" t="s">
        <v>59</v>
      </c>
      <c r="D22" s="414">
        <v>4</v>
      </c>
      <c r="E22" s="415">
        <v>5</v>
      </c>
      <c r="F22" s="416">
        <v>5</v>
      </c>
      <c r="G22" s="405">
        <v>2</v>
      </c>
      <c r="H22" s="418"/>
      <c r="I22" s="419">
        <f>+F22-G22-H22</f>
        <v>3</v>
      </c>
      <c r="J22" s="420">
        <f>+I22*E22</f>
        <v>15</v>
      </c>
      <c r="K22" s="421">
        <f>+J22*$K$6</f>
        <v>4.95</v>
      </c>
      <c r="L22" s="419">
        <f>+J22-K22</f>
        <v>10.05</v>
      </c>
      <c r="M22" s="422">
        <f>+L22*3</f>
        <v>30.150000000000002</v>
      </c>
      <c r="N22" s="422">
        <f>+M22*4</f>
        <v>120.60000000000001</v>
      </c>
      <c r="O22" s="423">
        <f t="shared" si="4"/>
        <v>1447.2</v>
      </c>
      <c r="P22" s="390"/>
    </row>
    <row r="23" spans="2:16" ht="12" thickBot="1">
      <c r="B23" s="701"/>
      <c r="C23" s="413" t="s">
        <v>60</v>
      </c>
      <c r="D23" s="414">
        <v>7</v>
      </c>
      <c r="E23" s="415">
        <v>10</v>
      </c>
      <c r="F23" s="416">
        <v>7</v>
      </c>
      <c r="G23" s="405">
        <v>2</v>
      </c>
      <c r="H23" s="418"/>
      <c r="I23" s="419">
        <f>+F23-G23-H23</f>
        <v>5</v>
      </c>
      <c r="J23" s="420">
        <f>+I23*E23</f>
        <v>50</v>
      </c>
      <c r="K23" s="421">
        <f>+J23*$K$6</f>
        <v>16.5</v>
      </c>
      <c r="L23" s="419">
        <f>+J23-K23</f>
        <v>33.5</v>
      </c>
      <c r="M23" s="422">
        <f>+L23*3</f>
        <v>100.5</v>
      </c>
      <c r="N23" s="422">
        <f>+M23*4</f>
        <v>402</v>
      </c>
      <c r="O23" s="423">
        <f t="shared" si="4"/>
        <v>4824</v>
      </c>
      <c r="P23" s="390"/>
    </row>
    <row r="24" spans="2:16" ht="12" thickBot="1">
      <c r="B24" s="702"/>
      <c r="C24" s="426" t="s">
        <v>61</v>
      </c>
      <c r="D24" s="427">
        <v>4</v>
      </c>
      <c r="E24" s="428">
        <v>3</v>
      </c>
      <c r="F24" s="429">
        <v>10</v>
      </c>
      <c r="G24" s="405">
        <v>2</v>
      </c>
      <c r="H24" s="431"/>
      <c r="I24" s="432">
        <f>+F24-G24-H24</f>
        <v>8</v>
      </c>
      <c r="J24" s="433">
        <f>+I24*E24</f>
        <v>24</v>
      </c>
      <c r="K24" s="434">
        <f>+J24*$K$6</f>
        <v>7.92</v>
      </c>
      <c r="L24" s="435">
        <f>+J24-K24</f>
        <v>16.08</v>
      </c>
      <c r="M24" s="436">
        <f>+L24*3</f>
        <v>48.239999999999995</v>
      </c>
      <c r="N24" s="436">
        <f>+M24*4</f>
        <v>192.95999999999998</v>
      </c>
      <c r="O24" s="437">
        <f t="shared" si="4"/>
        <v>2315.5199999999995</v>
      </c>
      <c r="P24" s="390"/>
    </row>
    <row r="25" spans="2:16" ht="12" thickBot="1">
      <c r="B25" s="703" t="s">
        <v>63</v>
      </c>
      <c r="C25" s="704"/>
      <c r="D25" s="704"/>
      <c r="E25" s="704"/>
      <c r="F25" s="704"/>
      <c r="G25" s="704"/>
      <c r="H25" s="438">
        <f>+AVERAGE(H14,H48)</f>
        <v>462.6</v>
      </c>
      <c r="I25" s="439">
        <f aca="true" t="shared" si="5" ref="I25:O25">SUM(I18:I24)</f>
        <v>28.5</v>
      </c>
      <c r="J25" s="440">
        <f t="shared" si="5"/>
        <v>125.5</v>
      </c>
      <c r="K25" s="441">
        <f t="shared" si="5"/>
        <v>40.040000000000006</v>
      </c>
      <c r="L25" s="442">
        <f t="shared" si="5"/>
        <v>85.46</v>
      </c>
      <c r="M25" s="443">
        <f t="shared" si="5"/>
        <v>282.21</v>
      </c>
      <c r="N25" s="444">
        <f t="shared" si="5"/>
        <v>1128.84</v>
      </c>
      <c r="O25" s="445">
        <f t="shared" si="5"/>
        <v>13546.079999999998</v>
      </c>
      <c r="P25" s="390"/>
    </row>
    <row r="26" spans="2:16" ht="11.25">
      <c r="B26" s="446"/>
      <c r="C26" s="446"/>
      <c r="D26" s="446"/>
      <c r="E26" s="446"/>
      <c r="F26" s="446"/>
      <c r="G26" s="446"/>
      <c r="H26" s="456"/>
      <c r="I26" s="449"/>
      <c r="J26" s="449"/>
      <c r="K26" s="449"/>
      <c r="L26" s="449"/>
      <c r="M26" s="449"/>
      <c r="N26" s="449"/>
      <c r="O26" s="450"/>
      <c r="P26" s="390"/>
    </row>
    <row r="27" spans="2:16" ht="11.25">
      <c r="B27" s="446"/>
      <c r="C27" s="446"/>
      <c r="D27" s="446"/>
      <c r="E27" s="446"/>
      <c r="F27" s="446"/>
      <c r="G27" s="446"/>
      <c r="H27" s="456"/>
      <c r="I27" s="449"/>
      <c r="J27" s="449"/>
      <c r="K27" s="449"/>
      <c r="L27" s="449"/>
      <c r="M27" s="449"/>
      <c r="N27" s="449"/>
      <c r="O27" s="450"/>
      <c r="P27" s="390"/>
    </row>
    <row r="28" spans="2:16" ht="11.25">
      <c r="B28" s="446"/>
      <c r="C28" s="446"/>
      <c r="D28" s="446"/>
      <c r="E28" s="446"/>
      <c r="F28" s="446"/>
      <c r="G28" s="446"/>
      <c r="H28" s="456"/>
      <c r="I28" s="449"/>
      <c r="J28" s="449"/>
      <c r="K28" s="449"/>
      <c r="L28" s="449"/>
      <c r="M28" s="449"/>
      <c r="N28" s="449"/>
      <c r="O28" s="450"/>
      <c r="P28" s="390"/>
    </row>
    <row r="29" spans="2:16" ht="11.25">
      <c r="B29" s="446"/>
      <c r="C29" s="446"/>
      <c r="D29" s="446"/>
      <c r="E29" s="446"/>
      <c r="F29" s="446"/>
      <c r="G29" s="446"/>
      <c r="H29" s="456"/>
      <c r="I29" s="449"/>
      <c r="J29" s="449"/>
      <c r="K29" s="449"/>
      <c r="L29" s="449"/>
      <c r="M29" s="449"/>
      <c r="N29" s="449"/>
      <c r="O29" s="450"/>
      <c r="P29" s="390"/>
    </row>
    <row r="30" spans="2:16" ht="11.25">
      <c r="B30" s="446"/>
      <c r="C30" s="446"/>
      <c r="D30" s="446"/>
      <c r="E30" s="446"/>
      <c r="F30" s="446"/>
      <c r="G30" s="446"/>
      <c r="H30" s="456"/>
      <c r="I30" s="449"/>
      <c r="J30" s="449"/>
      <c r="K30" s="449"/>
      <c r="L30" s="449"/>
      <c r="M30" s="449"/>
      <c r="N30" s="449"/>
      <c r="O30" s="450"/>
      <c r="P30" s="390"/>
    </row>
    <row r="31" spans="2:16" ht="11.25">
      <c r="B31" s="446"/>
      <c r="C31" s="446"/>
      <c r="D31" s="446"/>
      <c r="E31" s="446"/>
      <c r="F31" s="446"/>
      <c r="G31" s="446"/>
      <c r="H31" s="456"/>
      <c r="I31" s="449"/>
      <c r="J31" s="449"/>
      <c r="K31" s="449"/>
      <c r="L31" s="449"/>
      <c r="M31" s="449"/>
      <c r="N31" s="449"/>
      <c r="O31" s="450"/>
      <c r="P31" s="390"/>
    </row>
    <row r="32" spans="2:16" ht="11.25">
      <c r="B32" s="446"/>
      <c r="C32" s="446"/>
      <c r="D32" s="446"/>
      <c r="E32" s="446"/>
      <c r="F32" s="446"/>
      <c r="G32" s="446"/>
      <c r="H32" s="456"/>
      <c r="I32" s="449"/>
      <c r="J32" s="449"/>
      <c r="K32" s="449"/>
      <c r="L32" s="449"/>
      <c r="M32" s="449"/>
      <c r="N32" s="449"/>
      <c r="O32" s="450"/>
      <c r="P32" s="390"/>
    </row>
    <row r="33" spans="2:16" ht="11.25">
      <c r="B33" s="446"/>
      <c r="C33" s="446"/>
      <c r="D33" s="446"/>
      <c r="E33" s="446"/>
      <c r="F33" s="446"/>
      <c r="G33" s="446"/>
      <c r="H33" s="456"/>
      <c r="I33" s="449"/>
      <c r="J33" s="449"/>
      <c r="K33" s="449"/>
      <c r="L33" s="449"/>
      <c r="M33" s="449"/>
      <c r="N33" s="449"/>
      <c r="O33" s="450"/>
      <c r="P33" s="390"/>
    </row>
    <row r="34" spans="2:16" ht="11.25">
      <c r="B34" s="446"/>
      <c r="C34" s="446"/>
      <c r="D34" s="446"/>
      <c r="E34" s="446"/>
      <c r="F34" s="446"/>
      <c r="G34" s="446"/>
      <c r="H34" s="446"/>
      <c r="I34" s="449"/>
      <c r="J34" s="449"/>
      <c r="K34" s="449"/>
      <c r="L34" s="449"/>
      <c r="M34" s="449"/>
      <c r="N34" s="449"/>
      <c r="O34" s="450"/>
      <c r="P34" s="390"/>
    </row>
    <row r="35" spans="2:16" ht="11.25">
      <c r="B35" s="446"/>
      <c r="C35" s="446"/>
      <c r="D35" s="446"/>
      <c r="E35" s="446"/>
      <c r="F35" s="446"/>
      <c r="G35" s="446"/>
      <c r="H35" s="446"/>
      <c r="I35" s="449"/>
      <c r="J35" s="449"/>
      <c r="K35" s="449"/>
      <c r="L35" s="449"/>
      <c r="M35" s="449"/>
      <c r="N35" s="449"/>
      <c r="O35" s="450"/>
      <c r="P35" s="390"/>
    </row>
    <row r="36" spans="2:16" ht="11.25">
      <c r="B36" s="446"/>
      <c r="C36" s="446"/>
      <c r="D36" s="446"/>
      <c r="E36" s="446"/>
      <c r="F36" s="446"/>
      <c r="G36" s="446"/>
      <c r="H36" s="446"/>
      <c r="I36" s="449"/>
      <c r="J36" s="449"/>
      <c r="K36" s="449"/>
      <c r="L36" s="449"/>
      <c r="M36" s="449"/>
      <c r="N36" s="449"/>
      <c r="O36" s="450"/>
      <c r="P36" s="390"/>
    </row>
    <row r="37" spans="2:16" ht="11.25">
      <c r="B37" s="446" t="str">
        <f>+B2</f>
        <v>Detalle del Salario de las Babysitters</v>
      </c>
      <c r="C37" s="446"/>
      <c r="D37" s="446"/>
      <c r="E37" s="446"/>
      <c r="F37" s="446"/>
      <c r="G37" s="446"/>
      <c r="H37" s="446"/>
      <c r="I37" s="449"/>
      <c r="J37" s="449"/>
      <c r="K37" s="449"/>
      <c r="L37" s="449"/>
      <c r="M37" s="449"/>
      <c r="N37" s="449"/>
      <c r="O37" s="450"/>
      <c r="P37" s="390"/>
    </row>
    <row r="38" spans="2:16" ht="12" thickBot="1">
      <c r="B38" s="446"/>
      <c r="C38" s="446"/>
      <c r="D38" s="446"/>
      <c r="E38" s="446"/>
      <c r="F38" s="446"/>
      <c r="G38" s="446"/>
      <c r="H38" s="446"/>
      <c r="I38" s="449"/>
      <c r="J38" s="449"/>
      <c r="K38" s="449"/>
      <c r="L38" s="449"/>
      <c r="M38" s="449"/>
      <c r="N38" s="449"/>
      <c r="O38" s="450"/>
      <c r="P38" s="390"/>
    </row>
    <row r="39" spans="2:16" ht="22.5" thickBot="1">
      <c r="B39" s="725" t="s">
        <v>43</v>
      </c>
      <c r="C39" s="726"/>
      <c r="D39" s="686" t="s">
        <v>44</v>
      </c>
      <c r="E39" s="686" t="s">
        <v>45</v>
      </c>
      <c r="F39" s="688" t="s">
        <v>46</v>
      </c>
      <c r="G39" s="690" t="s">
        <v>47</v>
      </c>
      <c r="H39" s="686" t="s">
        <v>169</v>
      </c>
      <c r="I39" s="674" t="s">
        <v>84</v>
      </c>
      <c r="J39" s="675"/>
      <c r="K39" s="485" t="s">
        <v>49</v>
      </c>
      <c r="L39" s="676" t="s">
        <v>50</v>
      </c>
      <c r="M39" s="677"/>
      <c r="N39" s="678"/>
      <c r="O39" s="679"/>
      <c r="P39" s="390"/>
    </row>
    <row r="40" spans="2:16" ht="21.75" thickBot="1">
      <c r="B40" s="727"/>
      <c r="C40" s="728"/>
      <c r="D40" s="687"/>
      <c r="E40" s="687"/>
      <c r="F40" s="689"/>
      <c r="G40" s="691"/>
      <c r="H40" s="692"/>
      <c r="I40" s="487" t="s">
        <v>51</v>
      </c>
      <c r="J40" s="486" t="s">
        <v>52</v>
      </c>
      <c r="K40" s="488">
        <v>0.25</v>
      </c>
      <c r="L40" s="489" t="s">
        <v>53</v>
      </c>
      <c r="M40" s="490" t="s">
        <v>54</v>
      </c>
      <c r="N40" s="490" t="s">
        <v>55</v>
      </c>
      <c r="O40" s="491" t="s">
        <v>67</v>
      </c>
      <c r="P40" s="390"/>
    </row>
    <row r="41" spans="2:16" ht="12" thickBot="1">
      <c r="B41" s="680" t="s">
        <v>58</v>
      </c>
      <c r="C41" s="492" t="s">
        <v>59</v>
      </c>
      <c r="D41" s="493">
        <v>7</v>
      </c>
      <c r="E41" s="494">
        <v>5</v>
      </c>
      <c r="F41" s="495">
        <v>4.5</v>
      </c>
      <c r="G41" s="496">
        <v>2</v>
      </c>
      <c r="H41" s="497">
        <f>+F41*0.01</f>
        <v>0.045</v>
      </c>
      <c r="I41" s="498">
        <f>+F41-G41-H41</f>
        <v>2.455</v>
      </c>
      <c r="J41" s="499">
        <f>+I41*E41</f>
        <v>12.275</v>
      </c>
      <c r="K41" s="500">
        <f>+J41*$K$40</f>
        <v>3.06875</v>
      </c>
      <c r="L41" s="501">
        <f>+J41-K41</f>
        <v>9.20625</v>
      </c>
      <c r="M41" s="502">
        <f aca="true" t="shared" si="6" ref="M41:N43">+L41*4</f>
        <v>36.825</v>
      </c>
      <c r="N41" s="502">
        <f t="shared" si="6"/>
        <v>147.3</v>
      </c>
      <c r="O41" s="503">
        <f>+N41*12</f>
        <v>1767.6000000000001</v>
      </c>
      <c r="P41" s="390"/>
    </row>
    <row r="42" spans="2:16" ht="12" thickBot="1">
      <c r="B42" s="681"/>
      <c r="C42" s="504" t="s">
        <v>60</v>
      </c>
      <c r="D42" s="505">
        <v>5</v>
      </c>
      <c r="E42" s="506">
        <v>3</v>
      </c>
      <c r="F42" s="507">
        <v>6</v>
      </c>
      <c r="G42" s="496">
        <v>2</v>
      </c>
      <c r="H42" s="508">
        <f>+F42*0.01</f>
        <v>0.06</v>
      </c>
      <c r="I42" s="509">
        <f>+F42-G42-H42</f>
        <v>3.94</v>
      </c>
      <c r="J42" s="510">
        <f>+I42*E42</f>
        <v>11.82</v>
      </c>
      <c r="K42" s="511">
        <f>+J42*$K$6</f>
        <v>3.9006000000000003</v>
      </c>
      <c r="L42" s="509">
        <f>+J42-K42</f>
        <v>7.9193999999999996</v>
      </c>
      <c r="M42" s="512">
        <f t="shared" si="6"/>
        <v>31.677599999999998</v>
      </c>
      <c r="N42" s="512">
        <f t="shared" si="6"/>
        <v>126.71039999999999</v>
      </c>
      <c r="O42" s="513">
        <f aca="true" t="shared" si="7" ref="O42:O47">+N42*12</f>
        <v>1520.5248</v>
      </c>
      <c r="P42" s="390"/>
    </row>
    <row r="43" spans="2:16" ht="12" thickBot="1">
      <c r="B43" s="682"/>
      <c r="C43" s="504" t="s">
        <v>61</v>
      </c>
      <c r="D43" s="505">
        <v>3</v>
      </c>
      <c r="E43" s="506">
        <v>2</v>
      </c>
      <c r="F43" s="507">
        <v>8</v>
      </c>
      <c r="G43" s="496">
        <v>2</v>
      </c>
      <c r="H43" s="508">
        <f>+F43*0.01</f>
        <v>0.08</v>
      </c>
      <c r="I43" s="509">
        <f>+F43-G43-H43</f>
        <v>5.92</v>
      </c>
      <c r="J43" s="510">
        <f>+I43*E43</f>
        <v>11.84</v>
      </c>
      <c r="K43" s="511">
        <f>+J43*$K$6</f>
        <v>3.9072</v>
      </c>
      <c r="L43" s="509">
        <f>+J43-K43</f>
        <v>7.9328</v>
      </c>
      <c r="M43" s="512">
        <f t="shared" si="6"/>
        <v>31.7312</v>
      </c>
      <c r="N43" s="512">
        <f t="shared" si="6"/>
        <v>126.9248</v>
      </c>
      <c r="O43" s="513">
        <f t="shared" si="7"/>
        <v>1523.0976</v>
      </c>
      <c r="P43" s="390"/>
    </row>
    <row r="44" spans="2:16" ht="12" thickBot="1">
      <c r="B44" s="514"/>
      <c r="C44" s="515"/>
      <c r="D44" s="505"/>
      <c r="E44" s="506"/>
      <c r="F44" s="507"/>
      <c r="G44" s="496">
        <v>2</v>
      </c>
      <c r="H44" s="508"/>
      <c r="I44" s="509"/>
      <c r="J44" s="510"/>
      <c r="K44" s="511"/>
      <c r="L44" s="509"/>
      <c r="M44" s="512"/>
      <c r="N44" s="512"/>
      <c r="O44" s="513"/>
      <c r="P44" s="390"/>
    </row>
    <row r="45" spans="2:16" ht="12" thickBot="1">
      <c r="B45" s="683" t="s">
        <v>62</v>
      </c>
      <c r="C45" s="504" t="s">
        <v>59</v>
      </c>
      <c r="D45" s="505">
        <v>4</v>
      </c>
      <c r="E45" s="506">
        <v>5</v>
      </c>
      <c r="F45" s="507">
        <v>5</v>
      </c>
      <c r="G45" s="496">
        <v>2</v>
      </c>
      <c r="H45" s="508">
        <f>+F45*0.01</f>
        <v>0.05</v>
      </c>
      <c r="I45" s="509">
        <f>+F45-G45-H45</f>
        <v>2.95</v>
      </c>
      <c r="J45" s="510">
        <f>+I45*E45</f>
        <v>14.75</v>
      </c>
      <c r="K45" s="511">
        <f>+J45*$K$6</f>
        <v>4.867500000000001</v>
      </c>
      <c r="L45" s="509">
        <f>+J45-K45</f>
        <v>9.8825</v>
      </c>
      <c r="M45" s="512">
        <f>+L45*3</f>
        <v>29.6475</v>
      </c>
      <c r="N45" s="512">
        <f>+M45*4</f>
        <v>118.59</v>
      </c>
      <c r="O45" s="513">
        <f t="shared" si="7"/>
        <v>1423.08</v>
      </c>
      <c r="P45" s="390"/>
    </row>
    <row r="46" spans="2:16" ht="12" thickBot="1">
      <c r="B46" s="684"/>
      <c r="C46" s="504" t="s">
        <v>60</v>
      </c>
      <c r="D46" s="505">
        <v>7</v>
      </c>
      <c r="E46" s="506">
        <v>10</v>
      </c>
      <c r="F46" s="507">
        <v>7</v>
      </c>
      <c r="G46" s="496">
        <v>2</v>
      </c>
      <c r="H46" s="508">
        <f>+F46*0.02</f>
        <v>0.14</v>
      </c>
      <c r="I46" s="509">
        <f>+F46-G46-H46</f>
        <v>4.86</v>
      </c>
      <c r="J46" s="510">
        <f>+I46*E46</f>
        <v>48.6</v>
      </c>
      <c r="K46" s="511">
        <f>+J46*$K$6</f>
        <v>16.038</v>
      </c>
      <c r="L46" s="509">
        <f>+J46-K46</f>
        <v>32.562</v>
      </c>
      <c r="M46" s="512">
        <f>+L46*3</f>
        <v>97.68599999999999</v>
      </c>
      <c r="N46" s="512">
        <f>+M46*4</f>
        <v>390.74399999999997</v>
      </c>
      <c r="O46" s="513">
        <f t="shared" si="7"/>
        <v>4688.928</v>
      </c>
      <c r="P46" s="390"/>
    </row>
    <row r="47" spans="2:16" ht="12" thickBot="1">
      <c r="B47" s="685"/>
      <c r="C47" s="516" t="s">
        <v>61</v>
      </c>
      <c r="D47" s="517">
        <v>4</v>
      </c>
      <c r="E47" s="518">
        <v>3</v>
      </c>
      <c r="F47" s="519">
        <v>10</v>
      </c>
      <c r="G47" s="496">
        <v>2</v>
      </c>
      <c r="H47" s="520">
        <f>+F47*0.01</f>
        <v>0.1</v>
      </c>
      <c r="I47" s="521">
        <f>+F47-G47-H47</f>
        <v>7.9</v>
      </c>
      <c r="J47" s="522">
        <f>+I47*E47</f>
        <v>23.700000000000003</v>
      </c>
      <c r="K47" s="523">
        <f>+J47*$K$6</f>
        <v>7.8210000000000015</v>
      </c>
      <c r="L47" s="524">
        <f>+J47-K47</f>
        <v>15.879000000000001</v>
      </c>
      <c r="M47" s="525">
        <f>+L47*3</f>
        <v>47.637</v>
      </c>
      <c r="N47" s="525">
        <f>+M47*4</f>
        <v>190.548</v>
      </c>
      <c r="O47" s="526">
        <f t="shared" si="7"/>
        <v>2286.576</v>
      </c>
      <c r="P47" s="390"/>
    </row>
    <row r="48" spans="2:16" ht="12" thickBot="1">
      <c r="B48" s="672" t="s">
        <v>63</v>
      </c>
      <c r="C48" s="673"/>
      <c r="D48" s="673"/>
      <c r="E48" s="673"/>
      <c r="F48" s="673"/>
      <c r="G48" s="673"/>
      <c r="H48" s="527">
        <f>SUM(H41:H47)*$D$15*6*4</f>
        <v>342</v>
      </c>
      <c r="I48" s="528">
        <f aca="true" t="shared" si="8" ref="I48:O48">SUM(I41:I47)</f>
        <v>28.025</v>
      </c>
      <c r="J48" s="529">
        <f t="shared" si="8"/>
        <v>122.985</v>
      </c>
      <c r="K48" s="530">
        <f t="shared" si="8"/>
        <v>39.60305</v>
      </c>
      <c r="L48" s="531">
        <f t="shared" si="8"/>
        <v>83.38195</v>
      </c>
      <c r="M48" s="532">
        <f t="shared" si="8"/>
        <v>275.2043</v>
      </c>
      <c r="N48" s="533">
        <f t="shared" si="8"/>
        <v>1100.8172</v>
      </c>
      <c r="O48" s="534">
        <f t="shared" si="8"/>
        <v>13209.806400000001</v>
      </c>
      <c r="P48" s="390"/>
    </row>
    <row r="49" spans="2:16" s="458" customFormat="1" ht="11.25">
      <c r="B49" s="448"/>
      <c r="C49" s="448"/>
      <c r="D49" s="448"/>
      <c r="E49" s="448"/>
      <c r="F49" s="448"/>
      <c r="G49" s="448"/>
      <c r="H49" s="448"/>
      <c r="I49" s="483"/>
      <c r="J49" s="483"/>
      <c r="K49" s="483"/>
      <c r="L49" s="483"/>
      <c r="M49" s="483"/>
      <c r="N49" s="483"/>
      <c r="O49" s="484"/>
      <c r="P49" s="459"/>
    </row>
    <row r="50" spans="2:16" ht="11.25">
      <c r="B50" s="446"/>
      <c r="C50" s="446"/>
      <c r="D50" s="446"/>
      <c r="E50" s="446"/>
      <c r="F50" s="456">
        <f>+(AVERAGE(F41:F43,F45:F47))</f>
        <v>6.75</v>
      </c>
      <c r="G50" s="446"/>
      <c r="H50" s="446"/>
      <c r="I50" s="449"/>
      <c r="J50" s="449"/>
      <c r="K50" s="449"/>
      <c r="L50" s="449"/>
      <c r="M50" s="449"/>
      <c r="N50" s="449"/>
      <c r="O50" s="450"/>
      <c r="P50" s="390"/>
    </row>
    <row r="51" spans="2:16" ht="11.25">
      <c r="B51" s="446"/>
      <c r="C51" s="446"/>
      <c r="D51" s="446"/>
      <c r="E51" s="446"/>
      <c r="F51" s="446"/>
      <c r="G51" s="446"/>
      <c r="H51" s="446"/>
      <c r="I51" s="449"/>
      <c r="J51" s="449"/>
      <c r="K51" s="449"/>
      <c r="L51" s="449"/>
      <c r="M51" s="449"/>
      <c r="N51" s="449"/>
      <c r="O51" s="450"/>
      <c r="P51" s="390"/>
    </row>
    <row r="52" spans="2:16" ht="11.25">
      <c r="B52" s="446"/>
      <c r="C52" s="446"/>
      <c r="D52" s="446"/>
      <c r="E52" s="446"/>
      <c r="F52" s="446"/>
      <c r="G52" s="446"/>
      <c r="H52" s="446"/>
      <c r="I52" s="449"/>
      <c r="J52" s="449"/>
      <c r="K52" s="449"/>
      <c r="L52" s="449"/>
      <c r="M52" s="449"/>
      <c r="N52" s="449"/>
      <c r="O52" s="450"/>
      <c r="P52" s="390"/>
    </row>
    <row r="53" spans="2:16" ht="11.25">
      <c r="B53" s="446"/>
      <c r="C53" s="446"/>
      <c r="D53" s="446"/>
      <c r="E53" s="446"/>
      <c r="F53" s="446"/>
      <c r="G53" s="446"/>
      <c r="H53" s="446"/>
      <c r="I53" s="449"/>
      <c r="J53" s="449"/>
      <c r="K53" s="449"/>
      <c r="L53" s="449"/>
      <c r="M53" s="449"/>
      <c r="N53" s="449"/>
      <c r="O53" s="450"/>
      <c r="P53" s="390"/>
    </row>
    <row r="54" ht="11.25">
      <c r="J54" s="457"/>
    </row>
    <row r="55" spans="2:18" ht="11.25">
      <c r="B55" s="458" t="s">
        <v>64</v>
      </c>
      <c r="C55" s="458"/>
      <c r="D55" s="459"/>
      <c r="E55" s="459"/>
      <c r="F55" s="458"/>
      <c r="G55" s="460"/>
      <c r="H55" s="458"/>
      <c r="I55" s="458"/>
      <c r="J55" s="460"/>
      <c r="K55" s="458">
        <f>+K14*8*7*4*12</f>
        <v>108103.5648</v>
      </c>
      <c r="Q55" s="457">
        <f>SUM(H7:H13)</f>
        <v>0.81</v>
      </c>
      <c r="R55" s="389">
        <f>+Q55*8*7*12</f>
        <v>544.3199999999999</v>
      </c>
    </row>
    <row r="56" spans="2:10" ht="18.75" customHeight="1">
      <c r="B56" s="724" t="s">
        <v>65</v>
      </c>
      <c r="C56" s="724"/>
      <c r="D56" s="724"/>
      <c r="E56" s="724"/>
      <c r="G56" s="457"/>
      <c r="J56" s="457"/>
    </row>
    <row r="57" spans="3:10" ht="12" thickBot="1">
      <c r="C57" s="461"/>
      <c r="E57" s="462" t="s">
        <v>266</v>
      </c>
      <c r="F57" s="463" t="s">
        <v>267</v>
      </c>
      <c r="G57" s="464" t="s">
        <v>268</v>
      </c>
      <c r="H57" s="463" t="s">
        <v>269</v>
      </c>
      <c r="I57" s="465" t="s">
        <v>270</v>
      </c>
      <c r="J57" s="457"/>
    </row>
    <row r="58" spans="2:18" ht="11.25">
      <c r="B58" s="718" t="s">
        <v>58</v>
      </c>
      <c r="C58" s="451" t="s">
        <v>59</v>
      </c>
      <c r="E58" s="466">
        <v>7</v>
      </c>
      <c r="F58" s="467">
        <v>5</v>
      </c>
      <c r="G58" s="468">
        <v>4.5</v>
      </c>
      <c r="H58" s="469">
        <f>+E58*G58</f>
        <v>31.5</v>
      </c>
      <c r="I58" s="470">
        <f>+H58*5*4*12</f>
        <v>7560</v>
      </c>
      <c r="K58" s="393"/>
      <c r="Q58" s="393"/>
      <c r="R58" s="393"/>
    </row>
    <row r="59" spans="2:18" ht="11.25" customHeight="1">
      <c r="B59" s="719"/>
      <c r="C59" s="452" t="s">
        <v>60</v>
      </c>
      <c r="E59" s="414">
        <v>5</v>
      </c>
      <c r="F59" s="415">
        <v>3</v>
      </c>
      <c r="G59" s="471">
        <v>6</v>
      </c>
      <c r="H59" s="469">
        <f aca="true" t="shared" si="9" ref="H59:H64">+E59*G59</f>
        <v>30</v>
      </c>
      <c r="I59" s="470">
        <f aca="true" t="shared" si="10" ref="I59:I64">+H59*5*4*12</f>
        <v>7200</v>
      </c>
      <c r="J59" s="472"/>
      <c r="K59" s="473"/>
      <c r="L59" s="472"/>
      <c r="M59" s="472"/>
      <c r="N59" s="472"/>
      <c r="O59" s="472"/>
      <c r="Q59" s="472" t="s">
        <v>56</v>
      </c>
      <c r="R59" s="472" t="s">
        <v>66</v>
      </c>
    </row>
    <row r="60" spans="2:18" ht="11.25">
      <c r="B60" s="720"/>
      <c r="C60" s="452" t="s">
        <v>61</v>
      </c>
      <c r="E60" s="414">
        <v>3</v>
      </c>
      <c r="F60" s="415">
        <v>2</v>
      </c>
      <c r="G60" s="471">
        <v>8</v>
      </c>
      <c r="H60" s="469">
        <f t="shared" si="9"/>
        <v>24</v>
      </c>
      <c r="I60" s="470">
        <f t="shared" si="10"/>
        <v>5760</v>
      </c>
      <c r="Q60" s="389">
        <f>+K60*4</f>
        <v>0</v>
      </c>
      <c r="R60" s="389">
        <f>+Q60*5</f>
        <v>0</v>
      </c>
    </row>
    <row r="61" spans="2:18" ht="11.25">
      <c r="B61" s="453"/>
      <c r="C61" s="454"/>
      <c r="E61" s="414"/>
      <c r="F61" s="415"/>
      <c r="G61" s="471"/>
      <c r="H61" s="469">
        <f t="shared" si="9"/>
        <v>0</v>
      </c>
      <c r="I61" s="470">
        <f t="shared" si="10"/>
        <v>0</v>
      </c>
      <c r="Q61" s="389">
        <f>+K61*5</f>
        <v>0</v>
      </c>
      <c r="R61" s="389">
        <f>+Q61*7</f>
        <v>0</v>
      </c>
    </row>
    <row r="62" spans="2:18" ht="11.25">
      <c r="B62" s="721" t="s">
        <v>62</v>
      </c>
      <c r="C62" s="452" t="s">
        <v>59</v>
      </c>
      <c r="E62" s="414">
        <v>4</v>
      </c>
      <c r="F62" s="415">
        <v>5</v>
      </c>
      <c r="G62" s="471">
        <v>5</v>
      </c>
      <c r="H62" s="469">
        <f t="shared" si="9"/>
        <v>20</v>
      </c>
      <c r="I62" s="470">
        <f t="shared" si="10"/>
        <v>4800</v>
      </c>
      <c r="Q62" s="389">
        <f>+K62*5</f>
        <v>0</v>
      </c>
      <c r="R62" s="389">
        <f>+Q62*5</f>
        <v>0</v>
      </c>
    </row>
    <row r="63" spans="2:10" ht="11.25">
      <c r="B63" s="722"/>
      <c r="C63" s="452" t="s">
        <v>60</v>
      </c>
      <c r="E63" s="414">
        <v>7</v>
      </c>
      <c r="F63" s="415">
        <v>10</v>
      </c>
      <c r="G63" s="471">
        <v>7</v>
      </c>
      <c r="H63" s="469">
        <f t="shared" si="9"/>
        <v>49</v>
      </c>
      <c r="I63" s="470">
        <f t="shared" si="10"/>
        <v>11760</v>
      </c>
      <c r="J63" s="472"/>
    </row>
    <row r="64" spans="2:18" ht="12" thickBot="1">
      <c r="B64" s="723"/>
      <c r="C64" s="455" t="s">
        <v>61</v>
      </c>
      <c r="E64" s="427">
        <v>4</v>
      </c>
      <c r="F64" s="428">
        <v>3</v>
      </c>
      <c r="G64" s="474">
        <v>10</v>
      </c>
      <c r="H64" s="469">
        <f t="shared" si="9"/>
        <v>40</v>
      </c>
      <c r="I64" s="470">
        <f t="shared" si="10"/>
        <v>9600</v>
      </c>
      <c r="Q64" s="389">
        <f>+K64*3</f>
        <v>0</v>
      </c>
      <c r="R64" s="389">
        <f>+Q64*7</f>
        <v>0</v>
      </c>
    </row>
    <row r="65" spans="5:18" ht="11.25">
      <c r="E65" s="475"/>
      <c r="F65" s="476"/>
      <c r="G65" s="477"/>
      <c r="I65" s="478">
        <f>SUM(I58:I64)</f>
        <v>46680</v>
      </c>
      <c r="Q65" s="389">
        <f>+K65*3</f>
        <v>0</v>
      </c>
      <c r="R65" s="389">
        <f>+Q65*5</f>
        <v>0</v>
      </c>
    </row>
    <row r="66" spans="5:17" ht="11.25">
      <c r="E66" s="479"/>
      <c r="F66" s="480"/>
      <c r="G66" s="481"/>
      <c r="I66" s="457"/>
      <c r="P66" s="389">
        <f>+K66*3</f>
        <v>0</v>
      </c>
      <c r="Q66" s="389">
        <f>+P66*5</f>
        <v>0</v>
      </c>
    </row>
    <row r="67" spans="5:7" ht="11.25">
      <c r="E67" s="479"/>
      <c r="F67" s="481"/>
      <c r="G67" s="482"/>
    </row>
    <row r="68" spans="5:7" ht="11.25">
      <c r="E68" s="479"/>
      <c r="F68" s="481"/>
      <c r="G68" s="482"/>
    </row>
    <row r="69" spans="5:7" ht="11.25">
      <c r="E69" s="479"/>
      <c r="F69" s="481"/>
      <c r="G69" s="482"/>
    </row>
    <row r="70" spans="5:7" ht="11.25">
      <c r="E70" s="479"/>
      <c r="F70" s="481"/>
      <c r="G70" s="482"/>
    </row>
    <row r="71" spans="5:7" ht="11.25">
      <c r="E71" s="479"/>
      <c r="F71" s="481"/>
      <c r="G71" s="482"/>
    </row>
    <row r="72" spans="5:7" ht="11.25">
      <c r="E72" s="479"/>
      <c r="F72" s="481"/>
      <c r="G72" s="482"/>
    </row>
    <row r="73" ht="11.25">
      <c r="G73" s="457"/>
    </row>
  </sheetData>
  <sheetProtection/>
  <mergeCells count="36">
    <mergeCell ref="B58:B60"/>
    <mergeCell ref="B62:B64"/>
    <mergeCell ref="H5:H6"/>
    <mergeCell ref="B7:B9"/>
    <mergeCell ref="B56:E56"/>
    <mergeCell ref="B16:C17"/>
    <mergeCell ref="D16:D17"/>
    <mergeCell ref="E16:E17"/>
    <mergeCell ref="B39:C40"/>
    <mergeCell ref="D39:D40"/>
    <mergeCell ref="L5:O5"/>
    <mergeCell ref="B14:G14"/>
    <mergeCell ref="F5:F6"/>
    <mergeCell ref="G5:G6"/>
    <mergeCell ref="I5:J5"/>
    <mergeCell ref="B11:B13"/>
    <mergeCell ref="B5:C6"/>
    <mergeCell ref="D5:D6"/>
    <mergeCell ref="E5:E6"/>
    <mergeCell ref="L16:O16"/>
    <mergeCell ref="B18:B20"/>
    <mergeCell ref="B22:B24"/>
    <mergeCell ref="B25:G25"/>
    <mergeCell ref="F16:F17"/>
    <mergeCell ref="G16:G17"/>
    <mergeCell ref="H16:H17"/>
    <mergeCell ref="I16:J16"/>
    <mergeCell ref="B48:G48"/>
    <mergeCell ref="I39:J39"/>
    <mergeCell ref="L39:O39"/>
    <mergeCell ref="B41:B43"/>
    <mergeCell ref="B45:B47"/>
    <mergeCell ref="E39:E40"/>
    <mergeCell ref="F39:F40"/>
    <mergeCell ref="G39:G40"/>
    <mergeCell ref="H39:H40"/>
  </mergeCells>
  <printOptions horizontalCentered="1" verticalCentered="1"/>
  <pageMargins left="0.37" right="0.5" top="2.61" bottom="2.23" header="0.12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:G5"/>
    </sheetView>
  </sheetViews>
  <sheetFormatPr defaultColWidth="11.421875" defaultRowHeight="12.75"/>
  <cols>
    <col min="1" max="1" width="23.28125" style="0" customWidth="1"/>
    <col min="3" max="3" width="11.7109375" style="0" bestFit="1" customWidth="1"/>
    <col min="4" max="4" width="10.28125" style="0" bestFit="1" customWidth="1"/>
    <col min="5" max="5" width="7.421875" style="0" bestFit="1" customWidth="1"/>
    <col min="6" max="6" width="9.7109375" style="0" bestFit="1" customWidth="1"/>
    <col min="7" max="7" width="10.140625" style="0" bestFit="1" customWidth="1"/>
  </cols>
  <sheetData>
    <row r="1" spans="1:7" ht="13.5" thickBot="1">
      <c r="A1" s="125"/>
      <c r="B1" s="126"/>
      <c r="C1" s="126"/>
      <c r="D1" s="126"/>
      <c r="E1" s="126"/>
      <c r="F1" s="126"/>
      <c r="G1" s="126"/>
    </row>
    <row r="2" spans="1:7" ht="39" thickBot="1">
      <c r="A2" s="129" t="s">
        <v>170</v>
      </c>
      <c r="B2" s="129" t="s">
        <v>171</v>
      </c>
      <c r="C2" s="129" t="s">
        <v>174</v>
      </c>
      <c r="D2" s="129" t="s">
        <v>4</v>
      </c>
      <c r="E2" s="129" t="s">
        <v>175</v>
      </c>
      <c r="F2" s="129" t="s">
        <v>173</v>
      </c>
      <c r="G2" s="129" t="s">
        <v>176</v>
      </c>
    </row>
    <row r="3" spans="1:8" ht="12.75">
      <c r="A3" s="137" t="s">
        <v>89</v>
      </c>
      <c r="B3" s="130">
        <v>3</v>
      </c>
      <c r="C3" s="132">
        <v>1200</v>
      </c>
      <c r="D3" s="132">
        <f>B3*C3</f>
        <v>3600</v>
      </c>
      <c r="E3" s="45">
        <v>5</v>
      </c>
      <c r="F3" s="134">
        <f>+D3*$H$3</f>
        <v>720</v>
      </c>
      <c r="G3" s="134">
        <f>+D10</f>
        <v>720</v>
      </c>
      <c r="H3" s="86">
        <v>0.2</v>
      </c>
    </row>
    <row r="4" spans="1:7" ht="12.75">
      <c r="A4" s="138" t="s">
        <v>87</v>
      </c>
      <c r="B4" s="130">
        <v>2</v>
      </c>
      <c r="C4" s="132">
        <v>150</v>
      </c>
      <c r="D4" s="132">
        <f>B4*C4</f>
        <v>300</v>
      </c>
      <c r="E4" s="45">
        <v>5</v>
      </c>
      <c r="F4" s="134">
        <f>+D4*$H$3</f>
        <v>60</v>
      </c>
      <c r="G4" s="134">
        <f>+D18</f>
        <v>90</v>
      </c>
    </row>
    <row r="5" spans="1:7" ht="13.5" thickBot="1">
      <c r="A5" s="139" t="s">
        <v>91</v>
      </c>
      <c r="B5" s="131">
        <v>1</v>
      </c>
      <c r="C5" s="133">
        <v>98.75</v>
      </c>
      <c r="D5" s="133">
        <f>B5*C5</f>
        <v>98.75</v>
      </c>
      <c r="E5" s="48">
        <v>5</v>
      </c>
      <c r="F5" s="135">
        <f>+D5*$H$3</f>
        <v>19.75</v>
      </c>
      <c r="G5" s="135">
        <f>+D25</f>
        <v>59.25</v>
      </c>
    </row>
    <row r="6" spans="1:7" ht="12.75" customHeight="1" thickBot="1">
      <c r="A6" s="729" t="s">
        <v>172</v>
      </c>
      <c r="B6" s="730"/>
      <c r="C6" s="730"/>
      <c r="D6" s="732">
        <f>SUM(D3:D5)</f>
        <v>3998.75</v>
      </c>
      <c r="E6" s="733"/>
      <c r="F6" s="733"/>
      <c r="G6" s="734"/>
    </row>
    <row r="7" spans="1:7" ht="12.75">
      <c r="A7" s="731"/>
      <c r="B7" s="731"/>
      <c r="C7" s="731"/>
      <c r="D7" s="304">
        <f>SUM(D3:D5)</f>
        <v>3998.75</v>
      </c>
      <c r="E7" s="128"/>
      <c r="F7" s="128"/>
      <c r="G7" s="128"/>
    </row>
    <row r="8" ht="12.75">
      <c r="I8" s="74"/>
    </row>
    <row r="9" spans="6:9" ht="12.75">
      <c r="F9" s="32" t="s">
        <v>179</v>
      </c>
      <c r="I9" s="127"/>
    </row>
    <row r="10" spans="1:9" ht="12.75">
      <c r="A10" s="136">
        <f>+$C$3</f>
        <v>1200</v>
      </c>
      <c r="B10">
        <f>+A10*$H$3</f>
        <v>240</v>
      </c>
      <c r="C10" s="136">
        <f>+A10</f>
        <v>1200</v>
      </c>
      <c r="D10">
        <f>+C14*3</f>
        <v>720</v>
      </c>
      <c r="F10" s="136">
        <f>+$D$3</f>
        <v>3600</v>
      </c>
      <c r="G10">
        <f>+F10*$H$3</f>
        <v>720</v>
      </c>
      <c r="H10" s="136">
        <f>+F10</f>
        <v>3600</v>
      </c>
      <c r="I10">
        <f>+H14*3</f>
        <v>2160</v>
      </c>
    </row>
    <row r="11" spans="1:8" ht="12.75">
      <c r="A11" s="136">
        <f>+C10</f>
        <v>1200</v>
      </c>
      <c r="B11">
        <f>+B10</f>
        <v>240</v>
      </c>
      <c r="C11" s="136">
        <f>+C10-B11</f>
        <v>960</v>
      </c>
      <c r="F11" s="136">
        <f>+H10</f>
        <v>3600</v>
      </c>
      <c r="G11">
        <f>+G10</f>
        <v>720</v>
      </c>
      <c r="H11" s="136">
        <f>+H10-G11</f>
        <v>2880</v>
      </c>
    </row>
    <row r="12" spans="2:8" ht="12.75">
      <c r="B12">
        <f>+B11</f>
        <v>240</v>
      </c>
      <c r="C12" s="136">
        <f>+C11-B12</f>
        <v>720</v>
      </c>
      <c r="G12">
        <f>+G11</f>
        <v>720</v>
      </c>
      <c r="H12" s="136">
        <f>+H11-G12</f>
        <v>2160</v>
      </c>
    </row>
    <row r="13" spans="2:8" ht="12.75">
      <c r="B13">
        <f>+B12</f>
        <v>240</v>
      </c>
      <c r="C13" s="136">
        <f>+C12-B13</f>
        <v>480</v>
      </c>
      <c r="G13">
        <f>+G12</f>
        <v>720</v>
      </c>
      <c r="H13" s="136">
        <f>+H12-G13</f>
        <v>1440</v>
      </c>
    </row>
    <row r="14" spans="2:8" ht="12.75">
      <c r="B14">
        <f>+B13</f>
        <v>240</v>
      </c>
      <c r="C14" s="136">
        <f>+C13-B14</f>
        <v>240</v>
      </c>
      <c r="G14">
        <f>+G13</f>
        <v>720</v>
      </c>
      <c r="H14" s="136">
        <f>+H13-G14</f>
        <v>720</v>
      </c>
    </row>
    <row r="15" spans="2:7" ht="13.5" customHeight="1">
      <c r="B15">
        <f>+A15*H8</f>
        <v>0</v>
      </c>
      <c r="G15">
        <f>+F15*M8</f>
        <v>0</v>
      </c>
    </row>
    <row r="18" spans="1:9" ht="12.75">
      <c r="A18" s="136">
        <f>+$C$4</f>
        <v>150</v>
      </c>
      <c r="B18">
        <f>+A18*$H$3</f>
        <v>30</v>
      </c>
      <c r="C18" s="136">
        <f>+A18</f>
        <v>150</v>
      </c>
      <c r="D18">
        <f>+C22*3</f>
        <v>90</v>
      </c>
      <c r="F18" s="136">
        <f>+$C$4</f>
        <v>150</v>
      </c>
      <c r="G18">
        <f>+F18*$H$3</f>
        <v>30</v>
      </c>
      <c r="H18" s="136">
        <f>+F18</f>
        <v>150</v>
      </c>
      <c r="I18">
        <f>+H22*3</f>
        <v>90</v>
      </c>
    </row>
    <row r="19" spans="1:8" ht="12.75">
      <c r="A19" s="136">
        <f>+C18</f>
        <v>150</v>
      </c>
      <c r="B19">
        <f>+B18</f>
        <v>30</v>
      </c>
      <c r="C19" s="136">
        <f>+C18-B19</f>
        <v>120</v>
      </c>
      <c r="F19" s="136">
        <f>+H18</f>
        <v>150</v>
      </c>
      <c r="G19">
        <f>+G18</f>
        <v>30</v>
      </c>
      <c r="H19" s="136">
        <f>+H18-G19</f>
        <v>120</v>
      </c>
    </row>
    <row r="20" spans="2:8" ht="12.75">
      <c r="B20">
        <f>+B19</f>
        <v>30</v>
      </c>
      <c r="C20" s="136">
        <f>+C19-B20</f>
        <v>90</v>
      </c>
      <c r="G20">
        <f>+G19</f>
        <v>30</v>
      </c>
      <c r="H20" s="136">
        <f>+H19-G20</f>
        <v>90</v>
      </c>
    </row>
    <row r="21" spans="2:8" ht="12.75">
      <c r="B21">
        <f>+B20</f>
        <v>30</v>
      </c>
      <c r="C21" s="136">
        <f>+C20-B21</f>
        <v>60</v>
      </c>
      <c r="G21">
        <f>+G20</f>
        <v>30</v>
      </c>
      <c r="H21" s="136">
        <f>+H20-G21</f>
        <v>60</v>
      </c>
    </row>
    <row r="22" spans="2:8" ht="12.75">
      <c r="B22">
        <f>+B21</f>
        <v>30</v>
      </c>
      <c r="C22" s="136">
        <f>+C21-B22</f>
        <v>30</v>
      </c>
      <c r="G22">
        <f>+G21</f>
        <v>30</v>
      </c>
      <c r="H22" s="136">
        <f>+H21-G22</f>
        <v>30</v>
      </c>
    </row>
    <row r="23" spans="2:7" ht="12.75">
      <c r="B23">
        <f>+A23*H16</f>
        <v>0</v>
      </c>
      <c r="G23">
        <f>+F23*M16</f>
        <v>0</v>
      </c>
    </row>
    <row r="25" spans="1:9" ht="12.75">
      <c r="A25" s="136">
        <f>+$C$5</f>
        <v>98.75</v>
      </c>
      <c r="B25">
        <f>+A25*$H$3</f>
        <v>19.75</v>
      </c>
      <c r="C25" s="136">
        <f>+A25</f>
        <v>98.75</v>
      </c>
      <c r="D25">
        <f>+C29*3</f>
        <v>59.25</v>
      </c>
      <c r="F25" s="136">
        <f>+$C$5</f>
        <v>98.75</v>
      </c>
      <c r="G25">
        <f>+F25*$H$3</f>
        <v>19.75</v>
      </c>
      <c r="H25" s="136">
        <f>+F25</f>
        <v>98.75</v>
      </c>
      <c r="I25">
        <f>+H29*3</f>
        <v>59.25</v>
      </c>
    </row>
    <row r="26" spans="1:8" ht="12.75">
      <c r="A26" s="136">
        <f>+C25</f>
        <v>98.75</v>
      </c>
      <c r="B26">
        <f>+B25</f>
        <v>19.75</v>
      </c>
      <c r="C26" s="136">
        <f>+C25-B26</f>
        <v>79</v>
      </c>
      <c r="F26" s="136">
        <f>+H25</f>
        <v>98.75</v>
      </c>
      <c r="G26">
        <f>+G25</f>
        <v>19.75</v>
      </c>
      <c r="H26" s="136">
        <f>+H25-G26</f>
        <v>79</v>
      </c>
    </row>
    <row r="27" spans="2:8" ht="12.75">
      <c r="B27">
        <f>+B26</f>
        <v>19.75</v>
      </c>
      <c r="C27" s="136">
        <f>+C26-B27</f>
        <v>59.25</v>
      </c>
      <c r="G27">
        <f>+G26</f>
        <v>19.75</v>
      </c>
      <c r="H27" s="136">
        <f>+H26-G27</f>
        <v>59.25</v>
      </c>
    </row>
    <row r="28" spans="2:8" ht="12.75">
      <c r="B28">
        <f>+B27</f>
        <v>19.75</v>
      </c>
      <c r="C28" s="136">
        <f>+C27-B28</f>
        <v>39.5</v>
      </c>
      <c r="G28">
        <f>+G27</f>
        <v>19.75</v>
      </c>
      <c r="H28" s="136">
        <f>+H27-G28</f>
        <v>39.5</v>
      </c>
    </row>
    <row r="29" spans="2:8" ht="12.75">
      <c r="B29">
        <f>+B28</f>
        <v>19.75</v>
      </c>
      <c r="C29" s="136">
        <f>+C28-B29</f>
        <v>19.75</v>
      </c>
      <c r="G29">
        <f>+G28</f>
        <v>19.75</v>
      </c>
      <c r="H29" s="136">
        <f>+H28-G29</f>
        <v>19.75</v>
      </c>
    </row>
    <row r="31" spans="5:6" ht="12.75">
      <c r="E31">
        <f>+D31*H23</f>
        <v>0</v>
      </c>
      <c r="F31" s="32" t="s">
        <v>178</v>
      </c>
    </row>
    <row r="32" ht="12.75">
      <c r="F32" s="32">
        <v>2</v>
      </c>
    </row>
    <row r="34" spans="6:8" ht="12.75">
      <c r="F34" s="136">
        <f>+$D$3+(D3*0.05)</f>
        <v>3780</v>
      </c>
      <c r="G34">
        <f>+F34*$H$3</f>
        <v>756</v>
      </c>
      <c r="H34" s="136">
        <f>+F34</f>
        <v>3780</v>
      </c>
    </row>
    <row r="35" spans="6:8" ht="12.75">
      <c r="F35" s="136">
        <f>+H34</f>
        <v>3780</v>
      </c>
      <c r="G35">
        <f>+G34</f>
        <v>756</v>
      </c>
      <c r="H35" s="136">
        <f>+H34-G35</f>
        <v>3024</v>
      </c>
    </row>
    <row r="36" spans="7:8" ht="12.75">
      <c r="G36">
        <f>+G35</f>
        <v>756</v>
      </c>
      <c r="H36" s="136">
        <f>+H35-G36</f>
        <v>2268</v>
      </c>
    </row>
    <row r="37" spans="7:8" ht="12.75">
      <c r="G37">
        <f>+G36</f>
        <v>756</v>
      </c>
      <c r="H37" s="136">
        <f>+H36-G37</f>
        <v>1512</v>
      </c>
    </row>
    <row r="38" spans="7:8" ht="12.75">
      <c r="G38">
        <f>+G37</f>
        <v>756</v>
      </c>
      <c r="H38" s="136">
        <f>+H37-G38</f>
        <v>756</v>
      </c>
    </row>
    <row r="39" ht="12.75">
      <c r="G39">
        <f>+F39*M32</f>
        <v>0</v>
      </c>
    </row>
    <row r="42" spans="6:8" ht="12.75">
      <c r="F42" s="136">
        <f>+$C$4+(C4*0.05)</f>
        <v>157.5</v>
      </c>
      <c r="G42">
        <f>+F42*$H$3</f>
        <v>31.5</v>
      </c>
      <c r="H42" s="136">
        <f>+F42</f>
        <v>157.5</v>
      </c>
    </row>
    <row r="43" spans="6:8" ht="12.75">
      <c r="F43" s="136">
        <f>+H42</f>
        <v>157.5</v>
      </c>
      <c r="G43">
        <f>+G42</f>
        <v>31.5</v>
      </c>
      <c r="H43" s="136">
        <f>+H42-G43</f>
        <v>126</v>
      </c>
    </row>
    <row r="44" spans="7:8" ht="12.75">
      <c r="G44">
        <f>+G43</f>
        <v>31.5</v>
      </c>
      <c r="H44" s="136">
        <f>+H43-G44</f>
        <v>94.5</v>
      </c>
    </row>
    <row r="45" spans="7:8" ht="12.75">
      <c r="G45">
        <f>+G44</f>
        <v>31.5</v>
      </c>
      <c r="H45" s="136">
        <f>+H44-G45</f>
        <v>63</v>
      </c>
    </row>
    <row r="46" spans="7:8" ht="12.75">
      <c r="G46">
        <f>+G45</f>
        <v>31.5</v>
      </c>
      <c r="H46" s="136">
        <f>+H45-G46</f>
        <v>31.5</v>
      </c>
    </row>
    <row r="47" ht="12.75">
      <c r="G47">
        <f>+F47*M40</f>
        <v>0</v>
      </c>
    </row>
    <row r="49" spans="6:8" ht="12.75">
      <c r="F49" s="136">
        <f>+$C$5+(C5*0.05)</f>
        <v>103.6875</v>
      </c>
      <c r="G49">
        <f>+F49*$H$3</f>
        <v>20.7375</v>
      </c>
      <c r="H49" s="136">
        <f>+F49</f>
        <v>103.6875</v>
      </c>
    </row>
    <row r="50" spans="6:8" ht="12.75">
      <c r="F50" s="136">
        <f>+H49</f>
        <v>103.6875</v>
      </c>
      <c r="G50">
        <f>+G49</f>
        <v>20.7375</v>
      </c>
      <c r="H50" s="136">
        <f>+H49-G50</f>
        <v>82.95</v>
      </c>
    </row>
    <row r="51" spans="7:8" ht="12.75">
      <c r="G51">
        <f>+G50</f>
        <v>20.7375</v>
      </c>
      <c r="H51" s="136">
        <f>+H50-G51</f>
        <v>62.212500000000006</v>
      </c>
    </row>
    <row r="52" spans="7:8" ht="12.75">
      <c r="G52">
        <f>+G51</f>
        <v>20.7375</v>
      </c>
      <c r="H52" s="136">
        <f>+H51-G52</f>
        <v>41.47500000000001</v>
      </c>
    </row>
    <row r="53" spans="7:8" ht="12.75">
      <c r="G53">
        <f>+G52</f>
        <v>20.7375</v>
      </c>
      <c r="H53" s="136">
        <f>+H52-G53</f>
        <v>20.737500000000008</v>
      </c>
    </row>
  </sheetData>
  <sheetProtection/>
  <mergeCells count="3">
    <mergeCell ref="A6:C6"/>
    <mergeCell ref="A7:C7"/>
    <mergeCell ref="D6:G6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21.8515625" style="123" customWidth="1"/>
    <col min="2" max="5" width="9.7109375" style="123" bestFit="1" customWidth="1"/>
    <col min="6" max="6" width="0.9921875" style="123" hidden="1" customWidth="1"/>
    <col min="7" max="7" width="0.42578125" style="123" hidden="1" customWidth="1"/>
    <col min="8" max="8" width="4.28125" style="123" hidden="1" customWidth="1"/>
    <col min="9" max="10" width="9.7109375" style="123" bestFit="1" customWidth="1"/>
    <col min="11" max="11" width="8.140625" style="123" bestFit="1" customWidth="1"/>
    <col min="12" max="12" width="9.7109375" style="123" bestFit="1" customWidth="1"/>
    <col min="13" max="16384" width="11.421875" style="123" customWidth="1"/>
  </cols>
  <sheetData>
    <row r="1" spans="1:12" ht="12.75">
      <c r="A1" s="738" t="s">
        <v>180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16.5">
      <c r="A2" s="774" t="s">
        <v>351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</row>
    <row r="3" spans="1:12" ht="16.5">
      <c r="A3" s="775"/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</row>
    <row r="4" spans="1:12" ht="15.75">
      <c r="A4" s="825" t="s">
        <v>181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</row>
    <row r="5" spans="1:12" ht="13.5" thickBo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3.5" thickBot="1">
      <c r="A6" s="149" t="s">
        <v>186</v>
      </c>
      <c r="B6" s="152" t="s">
        <v>120</v>
      </c>
      <c r="C6" s="152" t="s">
        <v>119</v>
      </c>
      <c r="D6" s="152" t="s">
        <v>121</v>
      </c>
      <c r="E6" s="152" t="s">
        <v>122</v>
      </c>
      <c r="F6" s="152" t="s">
        <v>123</v>
      </c>
      <c r="G6" s="820" t="s">
        <v>124</v>
      </c>
      <c r="H6" s="152" t="s">
        <v>125</v>
      </c>
      <c r="I6" s="152" t="s">
        <v>126</v>
      </c>
      <c r="J6" s="152" t="s">
        <v>127</v>
      </c>
      <c r="K6" s="152" t="s">
        <v>128</v>
      </c>
      <c r="L6" s="820" t="s">
        <v>129</v>
      </c>
    </row>
    <row r="7" spans="1:12" ht="12.75">
      <c r="A7" s="144" t="s">
        <v>184</v>
      </c>
      <c r="B7" s="150">
        <f>+'Bce. maq'!D3</f>
        <v>3600</v>
      </c>
      <c r="C7" s="153">
        <f>+'Bce. maq'!H11</f>
        <v>2880</v>
      </c>
      <c r="D7" s="153">
        <f>+C7-'Bce. maq'!$G$11</f>
        <v>2160</v>
      </c>
      <c r="E7" s="153">
        <f>+D7-'Bce. maq'!$G$11</f>
        <v>1440</v>
      </c>
      <c r="F7" s="153">
        <f>+E7-'Bce. maq'!$G$11</f>
        <v>720</v>
      </c>
      <c r="G7" s="821">
        <f>+'Bce. maq'!F34</f>
        <v>3780</v>
      </c>
      <c r="H7" s="153">
        <f>+G7-'Bce. maq'!$G$34</f>
        <v>3024</v>
      </c>
      <c r="I7" s="153">
        <f>+H7-'Bce. maq'!$G$34</f>
        <v>2268</v>
      </c>
      <c r="J7" s="153">
        <f>+I7-'Bce. maq'!$G$34</f>
        <v>1512</v>
      </c>
      <c r="K7" s="153">
        <f>+J7-'Bce. maq'!$G$34</f>
        <v>756</v>
      </c>
      <c r="L7" s="821">
        <f>+G7+(G7*0.03)</f>
        <v>3893.4</v>
      </c>
    </row>
    <row r="8" spans="1:12" ht="12.75">
      <c r="A8" s="145" t="s">
        <v>87</v>
      </c>
      <c r="B8" s="150">
        <f>+'Bce. maq'!D4</f>
        <v>300</v>
      </c>
      <c r="C8" s="153">
        <f>+'Bce. maq'!H19</f>
        <v>120</v>
      </c>
      <c r="D8" s="153">
        <f>+C8-'Bce. maq'!$G$18</f>
        <v>90</v>
      </c>
      <c r="E8" s="153">
        <f>+D8-'Bce. maq'!$G$18</f>
        <v>60</v>
      </c>
      <c r="F8" s="153">
        <f>+E8-'Bce. maq'!$G$18</f>
        <v>30</v>
      </c>
      <c r="G8" s="821">
        <f>+'Bce. maq'!F42</f>
        <v>157.5</v>
      </c>
      <c r="H8" s="153">
        <f>+G8-'Bce. maq'!$G$42</f>
        <v>126</v>
      </c>
      <c r="I8" s="153">
        <f>+H8-'Bce. maq'!$G$42</f>
        <v>94.5</v>
      </c>
      <c r="J8" s="153">
        <f>+I8-'Bce. maq'!$G$42</f>
        <v>63</v>
      </c>
      <c r="K8" s="153">
        <f>+J8-'Bce. maq'!$G$42</f>
        <v>31.5</v>
      </c>
      <c r="L8" s="821">
        <f>+G8+(G8*0.03)</f>
        <v>162.225</v>
      </c>
    </row>
    <row r="9" spans="1:12" ht="13.5" thickBot="1">
      <c r="A9" s="146" t="s">
        <v>91</v>
      </c>
      <c r="B9" s="151">
        <f>+'Bce. maq'!D5</f>
        <v>98.75</v>
      </c>
      <c r="C9" s="154">
        <f>+'Bce. maq'!H26</f>
        <v>79</v>
      </c>
      <c r="D9" s="154">
        <f>+C9-'Bce. maq'!$G$25</f>
        <v>59.25</v>
      </c>
      <c r="E9" s="154">
        <f>+D9-'Bce. maq'!$G$25</f>
        <v>39.5</v>
      </c>
      <c r="F9" s="154">
        <f>+E9-'Bce. maq'!$G$25</f>
        <v>19.75</v>
      </c>
      <c r="G9" s="822">
        <f>+'Bce. maq'!F49</f>
        <v>103.6875</v>
      </c>
      <c r="H9" s="154">
        <f>+G9-'Bce. maq'!$G$49</f>
        <v>82.95</v>
      </c>
      <c r="I9" s="154">
        <f>+H9-'Bce. maq'!$G$49</f>
        <v>62.212500000000006</v>
      </c>
      <c r="J9" s="154">
        <f>+I9-'Bce. maq'!$G$49</f>
        <v>41.47500000000001</v>
      </c>
      <c r="K9" s="154">
        <f>+J9-'Bce. maq'!$G$49</f>
        <v>20.737500000000008</v>
      </c>
      <c r="L9" s="822">
        <f>+G9+(G9*0.03)</f>
        <v>106.798125</v>
      </c>
    </row>
    <row r="10" spans="1:12" ht="13.5" customHeight="1" thickBot="1">
      <c r="A10" s="735" t="s">
        <v>63</v>
      </c>
      <c r="B10" s="736"/>
      <c r="C10" s="736"/>
      <c r="D10" s="736"/>
      <c r="E10" s="736"/>
      <c r="F10" s="737"/>
      <c r="G10" s="823">
        <f>SUM(G7:G9)</f>
        <v>4041.1875</v>
      </c>
      <c r="H10" s="40"/>
      <c r="I10" s="40"/>
      <c r="J10" s="40"/>
      <c r="K10" s="40"/>
      <c r="L10" s="824">
        <f>SUM(L7:L9)</f>
        <v>4162.423125</v>
      </c>
    </row>
    <row r="11" spans="1:12" ht="13.5" customHeight="1">
      <c r="A11" s="141"/>
      <c r="B11" s="141"/>
      <c r="C11" s="141"/>
      <c r="D11" s="141"/>
      <c r="E11" s="141"/>
      <c r="F11" s="141"/>
      <c r="G11" s="142"/>
      <c r="H11" s="147"/>
      <c r="I11" s="147"/>
      <c r="J11" s="147"/>
      <c r="K11" s="147"/>
      <c r="L11" s="148"/>
    </row>
    <row r="12" spans="1:12" ht="13.5" customHeight="1">
      <c r="A12" s="141"/>
      <c r="B12" s="141"/>
      <c r="C12" s="141"/>
      <c r="D12" s="141"/>
      <c r="E12" s="141"/>
      <c r="F12" s="141"/>
      <c r="G12" s="142"/>
      <c r="H12" s="147"/>
      <c r="I12" s="147"/>
      <c r="J12" s="147"/>
      <c r="K12" s="147"/>
      <c r="L12" s="148"/>
    </row>
    <row r="13" spans="1:12" ht="12.75">
      <c r="A13" s="738" t="s">
        <v>183</v>
      </c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</row>
    <row r="14" spans="1:12" ht="16.5">
      <c r="A14" s="774" t="s">
        <v>352</v>
      </c>
      <c r="B14" s="774"/>
      <c r="C14" s="774"/>
      <c r="D14" s="774"/>
      <c r="E14" s="774"/>
      <c r="F14" s="774"/>
      <c r="G14" s="774"/>
      <c r="H14" s="774"/>
      <c r="I14" s="774"/>
      <c r="J14" s="774"/>
      <c r="K14" s="827"/>
      <c r="L14" s="827"/>
    </row>
    <row r="15" spans="1:12" ht="16.5">
      <c r="A15" s="775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</row>
    <row r="16" spans="1:12" ht="15.75">
      <c r="A16" s="825" t="s">
        <v>182</v>
      </c>
      <c r="B16" s="825"/>
      <c r="C16" s="825"/>
      <c r="D16" s="825"/>
      <c r="E16" s="825"/>
      <c r="F16" s="825"/>
      <c r="G16" s="825"/>
      <c r="H16" s="825"/>
      <c r="I16" s="825"/>
      <c r="J16" s="825"/>
      <c r="K16" s="826"/>
      <c r="L16" s="826"/>
    </row>
    <row r="17" ht="13.5" thickBot="1"/>
    <row r="18" spans="1:10" ht="13.5" customHeight="1" thickBot="1">
      <c r="A18" s="828" t="s">
        <v>186</v>
      </c>
      <c r="B18" s="829" t="s">
        <v>1</v>
      </c>
      <c r="C18" s="830"/>
      <c r="D18" s="830"/>
      <c r="E18" s="830"/>
      <c r="F18" s="830"/>
      <c r="G18" s="830"/>
      <c r="H18" s="830"/>
      <c r="I18" s="828" t="s">
        <v>124</v>
      </c>
      <c r="J18" s="828" t="s">
        <v>129</v>
      </c>
    </row>
    <row r="19" spans="1:10" s="538" customFormat="1" ht="32.25" customHeight="1">
      <c r="A19" s="302" t="s">
        <v>89</v>
      </c>
      <c r="B19" s="743" t="s">
        <v>20</v>
      </c>
      <c r="C19" s="744"/>
      <c r="D19" s="744"/>
      <c r="E19" s="744"/>
      <c r="F19" s="744"/>
      <c r="G19" s="744"/>
      <c r="H19" s="744"/>
      <c r="I19" s="155">
        <f>+'Bce. maq'!H14</f>
        <v>720</v>
      </c>
      <c r="J19" s="155">
        <f>+'Bce. maq'!H38</f>
        <v>756</v>
      </c>
    </row>
    <row r="20" spans="1:10" ht="12.75" customHeight="1">
      <c r="A20" s="302" t="s">
        <v>87</v>
      </c>
      <c r="B20" s="745" t="s">
        <v>90</v>
      </c>
      <c r="C20" s="746"/>
      <c r="D20" s="746"/>
      <c r="E20" s="746"/>
      <c r="F20" s="746"/>
      <c r="G20" s="746"/>
      <c r="H20" s="746"/>
      <c r="I20" s="155">
        <f>+'Bce. maq'!H22</f>
        <v>30</v>
      </c>
      <c r="J20" s="155">
        <f>+'Bce. maq'!H46</f>
        <v>31.5</v>
      </c>
    </row>
    <row r="21" spans="1:10" ht="13.5" thickBot="1">
      <c r="A21" s="303" t="s">
        <v>91</v>
      </c>
      <c r="B21" s="741" t="s">
        <v>92</v>
      </c>
      <c r="C21" s="742"/>
      <c r="D21" s="742"/>
      <c r="E21" s="742"/>
      <c r="F21" s="742"/>
      <c r="G21" s="742"/>
      <c r="H21" s="742"/>
      <c r="I21" s="156">
        <f>+'Bce. maq'!H29</f>
        <v>19.75</v>
      </c>
      <c r="J21" s="156">
        <f>+'Bce. maq'!H53</f>
        <v>20.737500000000008</v>
      </c>
    </row>
    <row r="22" spans="1:10" ht="13.5" customHeight="1" thickBot="1">
      <c r="A22" s="739" t="s">
        <v>185</v>
      </c>
      <c r="B22" s="740"/>
      <c r="C22" s="740"/>
      <c r="D22" s="740"/>
      <c r="E22" s="740"/>
      <c r="F22" s="740"/>
      <c r="G22" s="740"/>
      <c r="H22" s="740"/>
      <c r="I22" s="140">
        <f>SUM(I19:I21)</f>
        <v>769.75</v>
      </c>
      <c r="J22" s="157">
        <f>SUM(J19:J21)</f>
        <v>808.2375</v>
      </c>
    </row>
    <row r="24" spans="1:2" ht="12.75">
      <c r="A24" s="323" t="s">
        <v>232</v>
      </c>
      <c r="B24" s="123">
        <v>360</v>
      </c>
    </row>
  </sheetData>
  <sheetProtection/>
  <mergeCells count="12">
    <mergeCell ref="A2:L2"/>
    <mergeCell ref="A16:J16"/>
    <mergeCell ref="A14:J14"/>
    <mergeCell ref="A10:F10"/>
    <mergeCell ref="A1:L1"/>
    <mergeCell ref="A4:L4"/>
    <mergeCell ref="A22:H22"/>
    <mergeCell ref="B21:H21"/>
    <mergeCell ref="B18:H18"/>
    <mergeCell ref="B19:H19"/>
    <mergeCell ref="B20:H20"/>
    <mergeCell ref="A13:L13"/>
  </mergeCells>
  <printOptions horizontalCentered="1" verticalCentered="1"/>
  <pageMargins left="0.984251968503937" right="0.984251968503937" top="0.984251968503937" bottom="0.984251968503937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50"/>
  <sheetViews>
    <sheetView zoomScalePageLayoutView="0" workbookViewId="0" topLeftCell="A5">
      <selection activeCell="B12" sqref="B12:E16"/>
    </sheetView>
  </sheetViews>
  <sheetFormatPr defaultColWidth="9.140625" defaultRowHeight="12.75"/>
  <cols>
    <col min="1" max="1" width="5.140625" style="0" customWidth="1"/>
    <col min="2" max="2" width="19.7109375" style="0" bestFit="1" customWidth="1"/>
    <col min="3" max="3" width="21.421875" style="0" customWidth="1"/>
    <col min="4" max="4" width="13.140625" style="0" bestFit="1" customWidth="1"/>
    <col min="5" max="5" width="14.421875" style="0" bestFit="1" customWidth="1"/>
    <col min="6" max="6" width="18.28125" style="0" bestFit="1" customWidth="1"/>
    <col min="7" max="7" width="24.00390625" style="2" bestFit="1" customWidth="1"/>
    <col min="8" max="8" width="14.8515625" style="0" customWidth="1"/>
    <col min="9" max="10" width="19.00390625" style="0" customWidth="1"/>
  </cols>
  <sheetData>
    <row r="1" ht="12.75"/>
    <row r="2" ht="12.75"/>
    <row r="3" ht="18">
      <c r="B3" s="3"/>
    </row>
    <row r="4" spans="4:20" ht="12.75">
      <c r="D4" s="4"/>
      <c r="E4" s="4"/>
      <c r="F4" s="4"/>
      <c r="G4" s="6"/>
      <c r="H4" s="4"/>
      <c r="T4" s="2"/>
    </row>
    <row r="5" spans="2:20" ht="15.75" thickBot="1">
      <c r="B5" s="100" t="s">
        <v>0</v>
      </c>
      <c r="C5" s="4"/>
      <c r="D5" s="4"/>
      <c r="E5" s="4"/>
      <c r="F5" s="4"/>
      <c r="G5" s="6"/>
      <c r="H5" s="4"/>
      <c r="P5" t="s">
        <v>95</v>
      </c>
      <c r="T5" s="2"/>
    </row>
    <row r="6" spans="2:20" ht="26.25" thickBot="1">
      <c r="B6" s="92" t="s">
        <v>88</v>
      </c>
      <c r="C6" s="93" t="s">
        <v>1</v>
      </c>
      <c r="D6" s="93" t="s">
        <v>21</v>
      </c>
      <c r="E6" s="93" t="s">
        <v>2</v>
      </c>
      <c r="F6" s="93" t="s">
        <v>85</v>
      </c>
      <c r="G6" s="93" t="s">
        <v>3</v>
      </c>
      <c r="H6" s="327" t="s">
        <v>22</v>
      </c>
      <c r="I6" s="332" t="s">
        <v>252</v>
      </c>
      <c r="T6" s="2"/>
    </row>
    <row r="7" spans="2:20" ht="43.5" customHeight="1">
      <c r="B7" s="94" t="s">
        <v>89</v>
      </c>
      <c r="C7" s="89" t="s">
        <v>20</v>
      </c>
      <c r="D7" s="90">
        <v>3</v>
      </c>
      <c r="E7" s="91">
        <v>1200</v>
      </c>
      <c r="F7" s="91">
        <f>D7*E7</f>
        <v>3600</v>
      </c>
      <c r="G7" s="90" t="s">
        <v>86</v>
      </c>
      <c r="H7" s="328">
        <f>F7</f>
        <v>3600</v>
      </c>
      <c r="I7" s="324">
        <f>+F7/3</f>
        <v>1200</v>
      </c>
      <c r="T7" s="2"/>
    </row>
    <row r="8" spans="2:20" ht="25.5">
      <c r="B8" s="95" t="s">
        <v>87</v>
      </c>
      <c r="C8" s="88" t="s">
        <v>90</v>
      </c>
      <c r="D8" s="75">
        <v>1</v>
      </c>
      <c r="E8" s="76">
        <v>150</v>
      </c>
      <c r="F8" s="76">
        <f>D8*E8</f>
        <v>150</v>
      </c>
      <c r="G8" s="75" t="s">
        <v>134</v>
      </c>
      <c r="H8" s="329">
        <f>F8</f>
        <v>150</v>
      </c>
      <c r="I8" s="324">
        <f>+F8/3</f>
        <v>50</v>
      </c>
      <c r="T8" s="2">
        <f>(100/5)/100</f>
        <v>0.2</v>
      </c>
    </row>
    <row r="9" spans="2:20" ht="13.5" thickBot="1">
      <c r="B9" s="97" t="s">
        <v>91</v>
      </c>
      <c r="C9" s="98" t="s">
        <v>92</v>
      </c>
      <c r="D9" s="96">
        <v>1</v>
      </c>
      <c r="E9" s="99">
        <v>98.75</v>
      </c>
      <c r="F9" s="99">
        <f>D9*E9</f>
        <v>98.75</v>
      </c>
      <c r="G9" s="96" t="s">
        <v>135</v>
      </c>
      <c r="H9" s="330">
        <f>F9</f>
        <v>98.75</v>
      </c>
      <c r="I9" s="324">
        <f>+F9/3</f>
        <v>32.916666666666664</v>
      </c>
      <c r="J9">
        <f>+I7+I9+I8</f>
        <v>1282.9166666666667</v>
      </c>
      <c r="T9" s="2"/>
    </row>
    <row r="10" spans="2:20" ht="18.75" customHeight="1" thickBot="1">
      <c r="B10" s="747" t="s">
        <v>5</v>
      </c>
      <c r="C10" s="748"/>
      <c r="D10" s="748"/>
      <c r="E10" s="748"/>
      <c r="F10" s="748"/>
      <c r="G10" s="749"/>
      <c r="H10" s="331">
        <f>SUM(H7:H9)</f>
        <v>3848.75</v>
      </c>
      <c r="I10" s="333">
        <f>H10/3</f>
        <v>1282.9166666666667</v>
      </c>
      <c r="T10" s="2"/>
    </row>
    <row r="11" ht="13.5" thickBot="1">
      <c r="T11" s="2"/>
    </row>
    <row r="12" spans="2:20" ht="63">
      <c r="B12" s="349" t="s">
        <v>96</v>
      </c>
      <c r="C12" s="350" t="s">
        <v>108</v>
      </c>
      <c r="D12" s="350" t="s">
        <v>97</v>
      </c>
      <c r="E12" s="351" t="s">
        <v>98</v>
      </c>
      <c r="T12" s="2"/>
    </row>
    <row r="13" spans="2:20" ht="15.75">
      <c r="B13" s="352">
        <v>0</v>
      </c>
      <c r="C13" s="78"/>
      <c r="D13" s="78"/>
      <c r="E13" s="353">
        <f>+H10</f>
        <v>3848.75</v>
      </c>
      <c r="T13" s="2"/>
    </row>
    <row r="14" spans="2:20" ht="15.75">
      <c r="B14" s="354" t="s">
        <v>105</v>
      </c>
      <c r="C14" s="79">
        <f>+H10/3</f>
        <v>1282.9166666666667</v>
      </c>
      <c r="D14" s="79">
        <f>D13+C14</f>
        <v>1282.9166666666667</v>
      </c>
      <c r="E14" s="353">
        <f>E13-C14</f>
        <v>2565.833333333333</v>
      </c>
      <c r="T14" s="2"/>
    </row>
    <row r="15" spans="2:20" ht="15.75">
      <c r="B15" s="354" t="s">
        <v>106</v>
      </c>
      <c r="C15" s="79">
        <f>+C14</f>
        <v>1282.9166666666667</v>
      </c>
      <c r="D15" s="79">
        <f>D14+C15</f>
        <v>2565.8333333333335</v>
      </c>
      <c r="E15" s="353">
        <f>E14-C15</f>
        <v>1282.9166666666663</v>
      </c>
      <c r="T15" s="2"/>
    </row>
    <row r="16" spans="2:20" ht="16.5" thickBot="1">
      <c r="B16" s="355" t="s">
        <v>107</v>
      </c>
      <c r="C16" s="356">
        <f>+C15</f>
        <v>1282.9166666666667</v>
      </c>
      <c r="D16" s="356">
        <f>D15+C16</f>
        <v>3848.75</v>
      </c>
      <c r="E16" s="357">
        <f>E15-C16</f>
        <v>0</v>
      </c>
      <c r="T16" s="2"/>
    </row>
    <row r="17" spans="1:20" ht="15.75">
      <c r="A17" s="244"/>
      <c r="B17" s="81"/>
      <c r="C17" s="348"/>
      <c r="D17" s="348"/>
      <c r="E17" s="348"/>
      <c r="T17" s="2"/>
    </row>
    <row r="18" spans="1:20" ht="15.75">
      <c r="A18" s="244"/>
      <c r="B18" s="81"/>
      <c r="C18" s="348"/>
      <c r="D18" s="348"/>
      <c r="E18" s="348"/>
      <c r="T18" s="2"/>
    </row>
    <row r="19" spans="1:20" ht="15.75">
      <c r="A19" s="244"/>
      <c r="B19" s="81"/>
      <c r="C19" s="348"/>
      <c r="D19" s="348"/>
      <c r="E19" s="348"/>
      <c r="P19" s="81"/>
      <c r="T19" s="2"/>
    </row>
    <row r="20" spans="1:20" ht="15.75">
      <c r="A20" s="244"/>
      <c r="B20" s="81"/>
      <c r="C20" s="348"/>
      <c r="D20" s="348"/>
      <c r="E20" s="348"/>
      <c r="P20" s="81"/>
      <c r="T20" s="2"/>
    </row>
    <row r="21" spans="1:20" ht="15.75">
      <c r="A21" s="244"/>
      <c r="B21" s="81"/>
      <c r="C21" s="348"/>
      <c r="D21" s="348"/>
      <c r="E21" s="348"/>
      <c r="P21" s="83" t="s">
        <v>111</v>
      </c>
      <c r="Q21" s="82"/>
      <c r="R21" s="82"/>
      <c r="S21" s="82"/>
      <c r="T21" s="82"/>
    </row>
    <row r="22" spans="1:20" ht="31.5">
      <c r="A22" s="244"/>
      <c r="B22" s="81"/>
      <c r="C22" s="348"/>
      <c r="D22" s="348"/>
      <c r="E22" s="348"/>
      <c r="P22" s="84" t="s">
        <v>96</v>
      </c>
      <c r="Q22" s="84" t="s">
        <v>112</v>
      </c>
      <c r="R22" s="84" t="s">
        <v>113</v>
      </c>
      <c r="S22" s="77" t="s">
        <v>114</v>
      </c>
      <c r="T22" s="77" t="s">
        <v>115</v>
      </c>
    </row>
    <row r="23" spans="1:20" ht="15.75">
      <c r="A23" s="244"/>
      <c r="B23" s="81"/>
      <c r="C23" s="348"/>
      <c r="D23" s="348"/>
      <c r="E23" s="348"/>
      <c r="P23" s="78" t="s">
        <v>99</v>
      </c>
      <c r="Q23" s="79"/>
      <c r="R23" s="79"/>
      <c r="S23" s="79"/>
      <c r="T23" s="79">
        <v>1500</v>
      </c>
    </row>
    <row r="24" spans="1:20" ht="15.75">
      <c r="A24" s="244"/>
      <c r="B24" s="244"/>
      <c r="C24" s="244"/>
      <c r="D24" s="244"/>
      <c r="E24" s="244"/>
      <c r="P24" s="78" t="s">
        <v>100</v>
      </c>
      <c r="Q24" s="79">
        <f>R24+S24</f>
        <v>140.625</v>
      </c>
      <c r="R24" s="79">
        <f>+$T$23/12</f>
        <v>125</v>
      </c>
      <c r="S24" s="79">
        <f>0.125/12*T23</f>
        <v>15.625</v>
      </c>
      <c r="T24" s="79">
        <f>T23-R24</f>
        <v>1375</v>
      </c>
    </row>
    <row r="25" spans="16:20" ht="15.75">
      <c r="P25" s="78" t="s">
        <v>101</v>
      </c>
      <c r="Q25" s="79">
        <f>R25+S25</f>
        <v>139.32291666666666</v>
      </c>
      <c r="R25" s="79">
        <f>+$T$23/12</f>
        <v>125</v>
      </c>
      <c r="S25" s="79">
        <f>0.125/12*T24</f>
        <v>14.322916666666666</v>
      </c>
      <c r="T25" s="79">
        <f>T24-R25</f>
        <v>1250</v>
      </c>
    </row>
    <row r="26" spans="16:20" ht="15.75">
      <c r="P26" s="78" t="s">
        <v>102</v>
      </c>
      <c r="Q26" s="79">
        <f>R26+S26</f>
        <v>138.02083333333334</v>
      </c>
      <c r="R26" s="79">
        <f>+$T$23/12</f>
        <v>125</v>
      </c>
      <c r="S26" s="79">
        <f>0.125/12*T25</f>
        <v>13.020833333333332</v>
      </c>
      <c r="T26" s="79">
        <f>T25-R26</f>
        <v>1125</v>
      </c>
    </row>
    <row r="27" spans="16:20" ht="15.75">
      <c r="P27" s="78" t="s">
        <v>103</v>
      </c>
      <c r="Q27" s="79">
        <f>R27+S27</f>
        <v>136.71875</v>
      </c>
      <c r="R27" s="79">
        <f>+$T$23/12</f>
        <v>125</v>
      </c>
      <c r="S27" s="79">
        <f>0.125/12*T26</f>
        <v>11.71875</v>
      </c>
      <c r="T27" s="79">
        <f>T26-R27</f>
        <v>1000</v>
      </c>
    </row>
    <row r="28" spans="16:20" ht="15.75">
      <c r="P28" s="80"/>
      <c r="Q28" s="85">
        <f>SUM(Q24:Q27)</f>
        <v>554.6875</v>
      </c>
      <c r="T28" s="2"/>
    </row>
    <row r="37" ht="15.75">
      <c r="C37" s="80"/>
    </row>
    <row r="38" ht="15.75">
      <c r="C38" s="80"/>
    </row>
    <row r="39" ht="15.75">
      <c r="C39" s="80"/>
    </row>
    <row r="40" ht="15.75">
      <c r="C40" s="80"/>
    </row>
    <row r="41" ht="15.75">
      <c r="C41" s="80"/>
    </row>
    <row r="42" ht="15.75">
      <c r="C42" s="80"/>
    </row>
    <row r="43" ht="15.75">
      <c r="C43" s="80"/>
    </row>
    <row r="44" ht="15.75">
      <c r="C44" s="80"/>
    </row>
    <row r="45" ht="15.75">
      <c r="C45" s="80"/>
    </row>
    <row r="46" ht="15.75">
      <c r="C46" s="80"/>
    </row>
    <row r="47" ht="15.75">
      <c r="C47" s="80"/>
    </row>
    <row r="48" ht="15.75">
      <c r="C48" s="80"/>
    </row>
    <row r="49" ht="12.75">
      <c r="C49" s="74"/>
    </row>
    <row r="50" ht="12.75">
      <c r="C50" s="74"/>
    </row>
  </sheetData>
  <sheetProtection/>
  <mergeCells count="1">
    <mergeCell ref="B10:G10"/>
  </mergeCells>
  <printOptions/>
  <pageMargins left="0.75" right="0.75" top="1" bottom="1" header="0.5" footer="0.5"/>
  <pageSetup fitToHeight="1" fitToWidth="1" horizontalDpi="600" verticalDpi="600" orientation="landscape" scale="8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51.421875" style="0" bestFit="1" customWidth="1"/>
    <col min="2" max="2" width="5.7109375" style="0" bestFit="1" customWidth="1"/>
    <col min="3" max="3" width="6.00390625" style="0" bestFit="1" customWidth="1"/>
    <col min="4" max="4" width="6.421875" style="0" customWidth="1"/>
    <col min="5" max="5" width="6.00390625" style="0" bestFit="1" customWidth="1"/>
    <col min="6" max="6" width="5.7109375" style="0" bestFit="1" customWidth="1"/>
    <col min="7" max="7" width="6.28125" style="0" bestFit="1" customWidth="1"/>
    <col min="8" max="8" width="5.7109375" style="0" bestFit="1" customWidth="1"/>
    <col min="9" max="9" width="6.28125" style="0" bestFit="1" customWidth="1"/>
    <col min="10" max="10" width="5.7109375" style="0" bestFit="1" customWidth="1"/>
  </cols>
  <sheetData>
    <row r="1" ht="13.5" customHeight="1" thickBot="1"/>
    <row r="2" spans="1:10" ht="33" customHeight="1" thickBot="1">
      <c r="A2" s="752" t="s">
        <v>152</v>
      </c>
      <c r="B2" s="754" t="s">
        <v>145</v>
      </c>
      <c r="C2" s="756" t="s">
        <v>150</v>
      </c>
      <c r="D2" s="757"/>
      <c r="E2" s="750" t="s">
        <v>151</v>
      </c>
      <c r="F2" s="751"/>
      <c r="G2" s="750" t="s">
        <v>157</v>
      </c>
      <c r="H2" s="751"/>
      <c r="I2" s="750" t="s">
        <v>148</v>
      </c>
      <c r="J2" s="751"/>
    </row>
    <row r="3" spans="1:10" ht="33" customHeight="1" thickBot="1">
      <c r="A3" s="753"/>
      <c r="B3" s="755"/>
      <c r="C3" s="107" t="s">
        <v>147</v>
      </c>
      <c r="D3" s="106" t="s">
        <v>153</v>
      </c>
      <c r="E3" s="107" t="s">
        <v>147</v>
      </c>
      <c r="F3" s="107" t="s">
        <v>153</v>
      </c>
      <c r="G3" s="107" t="s">
        <v>147</v>
      </c>
      <c r="H3" s="107" t="s">
        <v>153</v>
      </c>
      <c r="I3" s="107" t="s">
        <v>147</v>
      </c>
      <c r="J3" s="107" t="s">
        <v>153</v>
      </c>
    </row>
    <row r="4" spans="1:10" ht="12.75">
      <c r="A4" s="108" t="s">
        <v>140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2.75">
      <c r="A5" s="110" t="s">
        <v>154</v>
      </c>
      <c r="B5" s="120">
        <v>0.2</v>
      </c>
      <c r="C5" s="109">
        <v>0.7</v>
      </c>
      <c r="D5" s="119">
        <f>+$B$5*C5</f>
        <v>0.13999999999999999</v>
      </c>
      <c r="E5" s="109">
        <v>0.7</v>
      </c>
      <c r="F5" s="119">
        <f>+$B$5*E5</f>
        <v>0.13999999999999999</v>
      </c>
      <c r="G5" s="109">
        <v>0.5</v>
      </c>
      <c r="H5" s="119">
        <f>+$B$5*G5</f>
        <v>0.1</v>
      </c>
      <c r="I5" s="109">
        <v>0.5</v>
      </c>
      <c r="J5" s="119">
        <f>+$B$5*I5</f>
        <v>0.1</v>
      </c>
    </row>
    <row r="6" spans="1:10" ht="12.75">
      <c r="A6" s="111" t="s">
        <v>155</v>
      </c>
      <c r="B6" s="120">
        <v>0.1</v>
      </c>
      <c r="C6" s="112">
        <v>0.7</v>
      </c>
      <c r="D6" s="119">
        <f>+$B$6*C6</f>
        <v>0.06999999999999999</v>
      </c>
      <c r="E6" s="112">
        <v>0.7</v>
      </c>
      <c r="F6" s="119">
        <f>+$B$6*E6</f>
        <v>0.06999999999999999</v>
      </c>
      <c r="G6" s="112">
        <v>0.4</v>
      </c>
      <c r="H6" s="119">
        <f>+$B$6*G6</f>
        <v>0.04000000000000001</v>
      </c>
      <c r="I6" s="112">
        <v>0.5</v>
      </c>
      <c r="J6" s="119">
        <f>+$B$6*I6</f>
        <v>0.05</v>
      </c>
    </row>
    <row r="7" spans="1:10" ht="12.75">
      <c r="A7" s="110" t="s">
        <v>141</v>
      </c>
      <c r="B7" s="120">
        <v>0.05</v>
      </c>
      <c r="C7" s="112">
        <v>0.9</v>
      </c>
      <c r="D7" s="119">
        <f>+$B$7*C7</f>
        <v>0.045000000000000005</v>
      </c>
      <c r="E7" s="112">
        <v>0.8</v>
      </c>
      <c r="F7" s="119">
        <f>+$B$7*E7</f>
        <v>0.04000000000000001</v>
      </c>
      <c r="G7" s="112">
        <v>0.8</v>
      </c>
      <c r="H7" s="119">
        <f>+$B$7*G7</f>
        <v>0.04000000000000001</v>
      </c>
      <c r="I7" s="112">
        <v>0.7</v>
      </c>
      <c r="J7" s="119">
        <f>+$B$7*I7</f>
        <v>0.034999999999999996</v>
      </c>
    </row>
    <row r="8" spans="1:10" ht="12.75">
      <c r="A8" s="108" t="s">
        <v>142</v>
      </c>
      <c r="B8" s="119"/>
      <c r="C8" s="109"/>
      <c r="D8" s="119"/>
      <c r="E8" s="109"/>
      <c r="F8" s="119"/>
      <c r="G8" s="109"/>
      <c r="H8" s="119"/>
      <c r="I8" s="109"/>
      <c r="J8" s="119"/>
    </row>
    <row r="9" spans="1:10" ht="12.75">
      <c r="A9" s="111" t="s">
        <v>143</v>
      </c>
      <c r="B9" s="120">
        <v>0.15</v>
      </c>
      <c r="C9" s="109">
        <v>1</v>
      </c>
      <c r="D9" s="119">
        <f>+$B$9*C9</f>
        <v>0.15</v>
      </c>
      <c r="E9" s="109">
        <v>1</v>
      </c>
      <c r="F9" s="119">
        <f>+$B$9*E9</f>
        <v>0.15</v>
      </c>
      <c r="G9" s="109">
        <v>1</v>
      </c>
      <c r="H9" s="119">
        <f>+$B$9*G9</f>
        <v>0.15</v>
      </c>
      <c r="I9" s="109">
        <v>1</v>
      </c>
      <c r="J9" s="119">
        <f>+$B$9*I9</f>
        <v>0.15</v>
      </c>
    </row>
    <row r="10" spans="1:10" ht="12.75">
      <c r="A10" s="111" t="s">
        <v>156</v>
      </c>
      <c r="B10" s="120">
        <v>0.4</v>
      </c>
      <c r="C10" s="109">
        <v>1</v>
      </c>
      <c r="D10" s="119">
        <f>+$B$10*C10</f>
        <v>0.4</v>
      </c>
      <c r="E10" s="109">
        <v>1</v>
      </c>
      <c r="F10" s="119">
        <f>+$B$10*E10</f>
        <v>0.4</v>
      </c>
      <c r="G10" s="109">
        <v>0.8</v>
      </c>
      <c r="H10" s="119">
        <f>+$B$10*G10</f>
        <v>0.32000000000000006</v>
      </c>
      <c r="I10" s="109">
        <v>0.5</v>
      </c>
      <c r="J10" s="119">
        <f>+$B$10*I10</f>
        <v>0.2</v>
      </c>
    </row>
    <row r="11" spans="1:10" ht="12.75">
      <c r="A11" s="113" t="s">
        <v>144</v>
      </c>
      <c r="B11" s="119"/>
      <c r="C11" s="109"/>
      <c r="D11" s="119"/>
      <c r="E11" s="109"/>
      <c r="F11" s="119"/>
      <c r="G11" s="109"/>
      <c r="H11" s="119"/>
      <c r="I11" s="109" t="s">
        <v>177</v>
      </c>
      <c r="J11" s="119"/>
    </row>
    <row r="12" spans="1:10" ht="13.5" thickBot="1">
      <c r="A12" s="114" t="s">
        <v>146</v>
      </c>
      <c r="B12" s="121">
        <v>0.1</v>
      </c>
      <c r="C12" s="109">
        <v>0.8</v>
      </c>
      <c r="D12" s="119">
        <f>+$B$12*C12</f>
        <v>0.08000000000000002</v>
      </c>
      <c r="E12" s="109">
        <v>0.8</v>
      </c>
      <c r="F12" s="119">
        <f>+$B$12*E12</f>
        <v>0.08000000000000002</v>
      </c>
      <c r="G12" s="109">
        <v>0.7</v>
      </c>
      <c r="H12" s="119">
        <f>+$B$12*G12</f>
        <v>0.06999999999999999</v>
      </c>
      <c r="I12" s="109">
        <v>0.8</v>
      </c>
      <c r="J12" s="119">
        <f>+$B$12*I12</f>
        <v>0.08000000000000002</v>
      </c>
    </row>
    <row r="13" spans="1:10" ht="13.5" thickBot="1">
      <c r="A13" s="115" t="s">
        <v>63</v>
      </c>
      <c r="B13" s="122">
        <v>1</v>
      </c>
      <c r="C13" s="116"/>
      <c r="D13" s="117">
        <f>SUM(D4:D12)</f>
        <v>0.885</v>
      </c>
      <c r="E13" s="116"/>
      <c r="F13" s="118">
        <f>SUM(F4:F12)</f>
        <v>0.8800000000000001</v>
      </c>
      <c r="G13" s="116"/>
      <c r="H13" s="118">
        <f>SUM(H4:H12)</f>
        <v>0.7200000000000001</v>
      </c>
      <c r="I13" s="116"/>
      <c r="J13" s="118">
        <f>SUM(J4:J12)</f>
        <v>0.615</v>
      </c>
    </row>
    <row r="14" spans="1:2" ht="12.75">
      <c r="A14" s="101"/>
      <c r="B14" s="103"/>
    </row>
    <row r="15" spans="1:2" ht="12.75">
      <c r="A15" s="102"/>
      <c r="B15" s="103"/>
    </row>
    <row r="17" spans="1:2" ht="12.75">
      <c r="A17" s="104"/>
      <c r="B17" s="103"/>
    </row>
  </sheetData>
  <sheetProtection/>
  <mergeCells count="6">
    <mergeCell ref="I2:J2"/>
    <mergeCell ref="E2:F2"/>
    <mergeCell ref="G2:H2"/>
    <mergeCell ref="A2:A3"/>
    <mergeCell ref="B2:B3"/>
    <mergeCell ref="C2:D2"/>
  </mergeCells>
  <printOptions/>
  <pageMargins left="0.75" right="0.75" top="1" bottom="1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C13">
      <selection activeCell="F26" sqref="F26"/>
    </sheetView>
  </sheetViews>
  <sheetFormatPr defaultColWidth="11.421875" defaultRowHeight="12.75"/>
  <cols>
    <col min="1" max="1" width="24.140625" style="0" bestFit="1" customWidth="1"/>
    <col min="2" max="2" width="15.421875" style="41" bestFit="1" customWidth="1"/>
    <col min="3" max="3" width="9.421875" style="41" bestFit="1" customWidth="1"/>
    <col min="4" max="4" width="6.8515625" style="0" customWidth="1"/>
    <col min="5" max="5" width="31.28125" style="0" bestFit="1" customWidth="1"/>
    <col min="6" max="6" width="10.140625" style="0" bestFit="1" customWidth="1"/>
    <col min="7" max="7" width="9.00390625" style="0" bestFit="1" customWidth="1"/>
    <col min="8" max="8" width="9.421875" style="0" bestFit="1" customWidth="1"/>
  </cols>
  <sheetData>
    <row r="1" spans="1:3" ht="14.25">
      <c r="A1" s="59"/>
      <c r="B1" s="60"/>
      <c r="C1" s="60"/>
    </row>
    <row r="2" spans="2:9" ht="12.75">
      <c r="B2"/>
      <c r="C2" s="41" t="s">
        <v>68</v>
      </c>
      <c r="D2" s="41" t="s">
        <v>69</v>
      </c>
      <c r="E2" s="41" t="s">
        <v>70</v>
      </c>
      <c r="F2" s="41" t="s">
        <v>71</v>
      </c>
      <c r="H2" t="s">
        <v>72</v>
      </c>
      <c r="I2" s="41" t="s">
        <v>73</v>
      </c>
    </row>
    <row r="3" spans="1:9" ht="12.75">
      <c r="A3" s="61" t="s">
        <v>74</v>
      </c>
      <c r="B3" s="62" t="s">
        <v>59</v>
      </c>
      <c r="C3" s="63">
        <v>3.49</v>
      </c>
      <c r="D3" s="64">
        <v>0.88</v>
      </c>
      <c r="E3">
        <f>+C3*D3</f>
        <v>3.0712</v>
      </c>
      <c r="F3" s="65">
        <v>15</v>
      </c>
      <c r="G3">
        <f>+E3*$F$3</f>
        <v>46.068000000000005</v>
      </c>
      <c r="H3">
        <f>100/3</f>
        <v>33.333333333333336</v>
      </c>
      <c r="I3">
        <f>+G3*$H$3</f>
        <v>1535.6000000000004</v>
      </c>
    </row>
    <row r="4" spans="1:9" ht="12.75">
      <c r="A4" s="61"/>
      <c r="B4" s="62" t="s">
        <v>60</v>
      </c>
      <c r="C4" s="63">
        <v>4.01</v>
      </c>
      <c r="D4" s="64"/>
      <c r="E4">
        <f>+C4*$D$3</f>
        <v>3.5288</v>
      </c>
      <c r="F4" s="64"/>
      <c r="G4">
        <f>+E4*$F$3</f>
        <v>52.932</v>
      </c>
      <c r="I4">
        <f>+G4*$H$3</f>
        <v>1764.4</v>
      </c>
    </row>
    <row r="5" spans="1:9" ht="12.75">
      <c r="A5" s="61"/>
      <c r="B5" s="62" t="s">
        <v>61</v>
      </c>
      <c r="C5" s="63">
        <v>8</v>
      </c>
      <c r="D5" s="64"/>
      <c r="E5">
        <f>+C5*$D$3</f>
        <v>7.04</v>
      </c>
      <c r="F5" s="64"/>
      <c r="G5">
        <f>+E5*$F$3</f>
        <v>105.6</v>
      </c>
      <c r="I5">
        <f>+G5*$H$3</f>
        <v>3520</v>
      </c>
    </row>
    <row r="6" spans="1:10" ht="12.75">
      <c r="A6" s="61"/>
      <c r="B6" s="62"/>
      <c r="C6" s="54"/>
      <c r="D6" s="64"/>
      <c r="F6" s="64"/>
      <c r="J6">
        <f>SUM(I3:I5)</f>
        <v>6820</v>
      </c>
    </row>
    <row r="7" spans="1:9" ht="12.75">
      <c r="A7" s="61" t="s">
        <v>62</v>
      </c>
      <c r="B7" s="62" t="s">
        <v>59</v>
      </c>
      <c r="C7" s="66">
        <v>3.99</v>
      </c>
      <c r="D7" s="64">
        <v>0.88</v>
      </c>
      <c r="E7">
        <f>+C7*$D$3</f>
        <v>3.5112</v>
      </c>
      <c r="F7" s="64"/>
      <c r="G7">
        <f>+E7*$F$3</f>
        <v>52.668</v>
      </c>
      <c r="H7">
        <f>100/3</f>
        <v>33.333333333333336</v>
      </c>
      <c r="I7">
        <f>+G7*$H$3</f>
        <v>1755.6000000000001</v>
      </c>
    </row>
    <row r="8" spans="1:9" ht="12.75">
      <c r="A8" s="61"/>
      <c r="B8" s="62" t="s">
        <v>60</v>
      </c>
      <c r="C8" s="66">
        <v>4.99</v>
      </c>
      <c r="D8" s="64"/>
      <c r="E8">
        <f>+C8*$D$3</f>
        <v>4.3912</v>
      </c>
      <c r="F8" s="64"/>
      <c r="G8">
        <f>+E8*$F$3</f>
        <v>65.86800000000001</v>
      </c>
      <c r="I8">
        <f>+G8*$H$3</f>
        <v>2195.6000000000004</v>
      </c>
    </row>
    <row r="9" spans="1:9" ht="13.5" thickBot="1">
      <c r="A9" s="67"/>
      <c r="B9" s="68" t="s">
        <v>61</v>
      </c>
      <c r="C9" s="69">
        <v>8.3</v>
      </c>
      <c r="D9" s="64"/>
      <c r="E9">
        <f>+C9*$D$3</f>
        <v>7.304</v>
      </c>
      <c r="F9" s="64"/>
      <c r="G9">
        <f>+E9*$F$3</f>
        <v>109.56</v>
      </c>
      <c r="I9">
        <f>+G9*$H$3</f>
        <v>3652.0000000000005</v>
      </c>
    </row>
    <row r="10" spans="10:11" ht="12.75">
      <c r="J10">
        <f>SUM(I7:I9)</f>
        <v>7603.200000000001</v>
      </c>
      <c r="K10">
        <f>+J6+J10</f>
        <v>14423.2</v>
      </c>
    </row>
    <row r="11" spans="1:9" ht="14.25">
      <c r="A11" s="59"/>
      <c r="B11" s="60"/>
      <c r="C11" s="70">
        <f>+AVERAGE(C3:C5)</f>
        <v>5.166666666666667</v>
      </c>
      <c r="E11">
        <f>+C11*$D$3</f>
        <v>4.546666666666667</v>
      </c>
      <c r="G11">
        <f>+E11*$F$3</f>
        <v>68.2</v>
      </c>
      <c r="I11">
        <f>+G11*$H$3</f>
        <v>2273.3333333333335</v>
      </c>
    </row>
    <row r="12" spans="1:9" ht="14.25">
      <c r="A12" s="59"/>
      <c r="B12" s="60"/>
      <c r="C12" s="71">
        <f>+AVERAGE(C7:C9)</f>
        <v>5.760000000000001</v>
      </c>
      <c r="E12">
        <f>+C12*$D$3</f>
        <v>5.0688</v>
      </c>
      <c r="G12">
        <f>+E12*$F$3</f>
        <v>76.03200000000001</v>
      </c>
      <c r="I12">
        <f>+G12*$H$3</f>
        <v>2534.4000000000005</v>
      </c>
    </row>
    <row r="13" spans="1:10" ht="14.25">
      <c r="A13" s="59"/>
      <c r="B13" s="60"/>
      <c r="C13" s="60"/>
      <c r="J13">
        <f>+I11+I12</f>
        <v>4807.733333333334</v>
      </c>
    </row>
    <row r="15" ht="12.75">
      <c r="F15">
        <v>400</v>
      </c>
    </row>
    <row r="16" spans="2:3" ht="14.25">
      <c r="B16" s="60"/>
      <c r="C16" s="60"/>
    </row>
    <row r="17" spans="2:8" ht="12.75">
      <c r="B17"/>
      <c r="C17" s="41" t="s">
        <v>68</v>
      </c>
      <c r="F17" t="s">
        <v>317</v>
      </c>
      <c r="G17" s="253">
        <v>29</v>
      </c>
      <c r="H17" s="382">
        <f>+G17/$F$15</f>
        <v>0.0725</v>
      </c>
    </row>
    <row r="18" spans="2:8" ht="12.75">
      <c r="B18" s="62" t="s">
        <v>59</v>
      </c>
      <c r="C18" s="54">
        <v>4.5</v>
      </c>
      <c r="F18" t="s">
        <v>318</v>
      </c>
      <c r="G18" s="253">
        <v>65</v>
      </c>
      <c r="H18" s="382">
        <f>+G18/$F$15</f>
        <v>0.1625</v>
      </c>
    </row>
    <row r="19" spans="2:8" ht="12.75">
      <c r="B19" s="62" t="s">
        <v>60</v>
      </c>
      <c r="C19" s="54">
        <v>6</v>
      </c>
      <c r="F19" t="s">
        <v>319</v>
      </c>
      <c r="G19" s="253">
        <v>107</v>
      </c>
      <c r="H19" s="382">
        <f>+G19/$F$15</f>
        <v>0.2675</v>
      </c>
    </row>
    <row r="20" spans="2:8" ht="12.75">
      <c r="B20" s="62" t="s">
        <v>61</v>
      </c>
      <c r="C20" s="54">
        <v>8</v>
      </c>
      <c r="F20" t="s">
        <v>320</v>
      </c>
      <c r="G20" s="253">
        <v>141</v>
      </c>
      <c r="H20" s="382">
        <f>+G20/$F$15</f>
        <v>0.3525</v>
      </c>
    </row>
    <row r="21" spans="2:8" ht="12.75">
      <c r="B21" s="62"/>
      <c r="C21" s="54"/>
      <c r="F21" t="s">
        <v>321</v>
      </c>
      <c r="G21" s="253">
        <v>58</v>
      </c>
      <c r="H21" s="382">
        <f>+G21/$F$15</f>
        <v>0.145</v>
      </c>
    </row>
    <row r="22" spans="2:3" ht="12.75">
      <c r="B22" s="62" t="s">
        <v>59</v>
      </c>
      <c r="C22" s="54">
        <v>5</v>
      </c>
    </row>
    <row r="23" spans="2:3" ht="12.75">
      <c r="B23" s="62" t="s">
        <v>60</v>
      </c>
      <c r="C23" s="54">
        <v>7</v>
      </c>
    </row>
    <row r="24" spans="2:11" ht="13.5" thickBot="1">
      <c r="B24" s="68" t="s">
        <v>61</v>
      </c>
      <c r="C24" s="55">
        <v>10</v>
      </c>
      <c r="G24" t="s">
        <v>317</v>
      </c>
      <c r="H24" t="s">
        <v>318</v>
      </c>
      <c r="I24" t="s">
        <v>319</v>
      </c>
      <c r="J24" t="s">
        <v>320</v>
      </c>
      <c r="K24" t="s">
        <v>321</v>
      </c>
    </row>
    <row r="25" spans="7:11" ht="12.75">
      <c r="G25" s="382">
        <v>0.0725</v>
      </c>
      <c r="H25" s="382">
        <v>0.1625</v>
      </c>
      <c r="I25" s="383">
        <v>0.2675</v>
      </c>
      <c r="J25" s="383">
        <v>0.3525</v>
      </c>
      <c r="K25" s="383">
        <v>0.145</v>
      </c>
    </row>
    <row r="26" spans="2:5" ht="14.25">
      <c r="B26" s="60"/>
      <c r="C26" s="70">
        <f>+AVERAGE(C18:C20)</f>
        <v>6.166666666666667</v>
      </c>
      <c r="E26" t="s">
        <v>323</v>
      </c>
    </row>
    <row r="27" spans="2:11" ht="14.25">
      <c r="B27" s="60"/>
      <c r="C27" s="71">
        <f>+AVERAGE(C22:C24)</f>
        <v>7.333333333333333</v>
      </c>
      <c r="E27" t="s">
        <v>322</v>
      </c>
      <c r="K27" s="384">
        <f>+I25+J25+K25</f>
        <v>0.765</v>
      </c>
    </row>
    <row r="30" spans="1:2" ht="14.25">
      <c r="A30" s="59" t="s">
        <v>75</v>
      </c>
      <c r="B30" s="60" t="s">
        <v>76</v>
      </c>
    </row>
    <row r="31" spans="1:3" ht="28.5">
      <c r="A31" s="72" t="s">
        <v>77</v>
      </c>
      <c r="B31" s="73">
        <v>380</v>
      </c>
      <c r="C31" s="41">
        <f aca="true" t="shared" si="0" ref="C31:C38">+B31*12</f>
        <v>4560</v>
      </c>
    </row>
    <row r="32" spans="1:3" ht="14.25">
      <c r="A32" s="72" t="s">
        <v>78</v>
      </c>
      <c r="B32" s="73">
        <v>150</v>
      </c>
      <c r="C32" s="41">
        <f t="shared" si="0"/>
        <v>1800</v>
      </c>
    </row>
    <row r="33" spans="1:3" ht="28.5">
      <c r="A33" s="72" t="s">
        <v>79</v>
      </c>
      <c r="B33" s="73">
        <v>800</v>
      </c>
      <c r="C33" s="41">
        <f t="shared" si="0"/>
        <v>9600</v>
      </c>
    </row>
    <row r="34" spans="1:3" ht="14.25">
      <c r="A34" s="59" t="s">
        <v>117</v>
      </c>
      <c r="B34" s="73">
        <v>30</v>
      </c>
      <c r="C34" s="41">
        <f t="shared" si="0"/>
        <v>360</v>
      </c>
    </row>
    <row r="35" spans="1:3" ht="14.25">
      <c r="A35" s="59" t="s">
        <v>80</v>
      </c>
      <c r="B35" s="73">
        <v>500</v>
      </c>
      <c r="C35" s="41">
        <f t="shared" si="0"/>
        <v>6000</v>
      </c>
    </row>
    <row r="36" spans="1:3" ht="14.25">
      <c r="A36" s="59" t="s">
        <v>81</v>
      </c>
      <c r="B36" s="73">
        <v>3</v>
      </c>
      <c r="C36" s="41">
        <f t="shared" si="0"/>
        <v>36</v>
      </c>
    </row>
    <row r="37" spans="1:3" ht="14.25">
      <c r="A37" s="59"/>
      <c r="B37" s="73"/>
      <c r="C37" s="41">
        <f t="shared" si="0"/>
        <v>0</v>
      </c>
    </row>
    <row r="38" spans="1:3" ht="14.25">
      <c r="A38" s="59" t="s">
        <v>82</v>
      </c>
      <c r="B38" s="73">
        <v>250</v>
      </c>
      <c r="C38" s="41">
        <f t="shared" si="0"/>
        <v>3000</v>
      </c>
    </row>
    <row r="39" spans="1:2" ht="14.25">
      <c r="A39" s="59"/>
      <c r="B39" s="73"/>
    </row>
    <row r="40" spans="1:2" ht="14.25">
      <c r="A40" s="59"/>
      <c r="B40" s="73"/>
    </row>
    <row r="41" spans="1:2" ht="14.25">
      <c r="A41" s="59" t="s">
        <v>83</v>
      </c>
      <c r="B41" s="73"/>
    </row>
  </sheetData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L32"/>
  <sheetViews>
    <sheetView zoomScalePageLayoutView="0" workbookViewId="0" topLeftCell="F13">
      <selection activeCell="G26" sqref="G26:L32"/>
    </sheetView>
  </sheetViews>
  <sheetFormatPr defaultColWidth="11.421875" defaultRowHeight="12.75"/>
  <cols>
    <col min="2" max="2" width="21.421875" style="0" bestFit="1" customWidth="1"/>
    <col min="6" max="6" width="32.57421875" style="0" bestFit="1" customWidth="1"/>
    <col min="7" max="7" width="27.8515625" style="0" customWidth="1"/>
    <col min="11" max="11" width="12.421875" style="0" customWidth="1"/>
  </cols>
  <sheetData>
    <row r="3" spans="2:6" ht="15.75" thickBot="1">
      <c r="B3" s="766" t="s">
        <v>209</v>
      </c>
      <c r="C3" s="765" t="s">
        <v>208</v>
      </c>
      <c r="D3" s="765"/>
      <c r="F3" s="225">
        <v>1985379</v>
      </c>
    </row>
    <row r="4" spans="2:4" ht="15">
      <c r="B4" s="766"/>
      <c r="C4" s="763" t="s">
        <v>207</v>
      </c>
      <c r="D4" s="764"/>
    </row>
    <row r="5" spans="2:4" ht="15.75" thickBot="1">
      <c r="B5" s="226" t="s">
        <v>206</v>
      </c>
      <c r="C5" s="227" t="s">
        <v>205</v>
      </c>
      <c r="D5" s="228" t="s">
        <v>204</v>
      </c>
    </row>
    <row r="6" spans="2:7" ht="15">
      <c r="B6" s="229" t="s">
        <v>203</v>
      </c>
      <c r="C6" s="230">
        <v>512739.9216022694</v>
      </c>
      <c r="D6" s="231">
        <f aca="true" t="shared" si="0" ref="D6:D11">+C6/$C$12</f>
        <v>0.25825795558544207</v>
      </c>
      <c r="F6" s="224">
        <f>+D7</f>
        <v>0.26200680679047944</v>
      </c>
      <c r="G6" s="236">
        <f>+C6+C7</f>
        <v>1032922.7336611447</v>
      </c>
    </row>
    <row r="7" spans="2:10" ht="15">
      <c r="B7" s="229" t="s">
        <v>202</v>
      </c>
      <c r="C7" s="230">
        <v>520182.8120588753</v>
      </c>
      <c r="D7" s="231">
        <f t="shared" si="0"/>
        <v>0.26200680679047944</v>
      </c>
      <c r="F7" s="85">
        <f>+D6+D7</f>
        <v>0.5202647623759216</v>
      </c>
      <c r="G7">
        <v>937099</v>
      </c>
      <c r="H7">
        <f>+G7*F6</f>
        <v>245526.3166365515</v>
      </c>
      <c r="I7" s="105">
        <f>+H7/2</f>
        <v>122763.15831827575</v>
      </c>
      <c r="J7">
        <f>+I7*0.2</f>
        <v>24552.63166365515</v>
      </c>
    </row>
    <row r="8" spans="2:10" ht="15">
      <c r="B8" s="229" t="s">
        <v>201</v>
      </c>
      <c r="C8" s="230">
        <v>661829.9153109699</v>
      </c>
      <c r="D8" s="231">
        <f t="shared" si="0"/>
        <v>0.33335192691721327</v>
      </c>
      <c r="F8" s="105"/>
      <c r="I8">
        <f>+I7*0.5</f>
        <v>61381.57915913787</v>
      </c>
      <c r="J8">
        <f>+I8*0.2</f>
        <v>12276.315831827575</v>
      </c>
    </row>
    <row r="9" spans="2:11" ht="15">
      <c r="B9" s="229" t="s">
        <v>200</v>
      </c>
      <c r="C9" s="230">
        <v>174674.59550607184</v>
      </c>
      <c r="D9" s="231">
        <f t="shared" si="0"/>
        <v>0.0879804790450951</v>
      </c>
      <c r="F9" s="105"/>
      <c r="G9">
        <f>+G7</f>
        <v>937099</v>
      </c>
      <c r="H9">
        <f>+G9*(57.4%)</f>
        <v>537894.826</v>
      </c>
      <c r="I9">
        <f>+H9*D7</f>
        <v>140932.10574938057</v>
      </c>
      <c r="J9">
        <f>+I9/2</f>
        <v>70466.05287469029</v>
      </c>
      <c r="K9">
        <f>+J9*0.5</f>
        <v>35233.02643734514</v>
      </c>
    </row>
    <row r="10" spans="2:11" ht="15">
      <c r="B10" s="229" t="s">
        <v>199</v>
      </c>
      <c r="C10" s="230">
        <v>21900.19917421406</v>
      </c>
      <c r="D10" s="231">
        <f t="shared" si="0"/>
        <v>0.011030739810491628</v>
      </c>
      <c r="F10" s="105"/>
      <c r="K10">
        <f>+K9*0.2</f>
        <v>7046.605287469029</v>
      </c>
    </row>
    <row r="11" spans="2:11" ht="15">
      <c r="B11" s="229" t="s">
        <v>198</v>
      </c>
      <c r="C11" s="230">
        <v>94051.55634759949</v>
      </c>
      <c r="D11" s="231">
        <f t="shared" si="0"/>
        <v>0.04737209185127851</v>
      </c>
      <c r="F11" s="105"/>
      <c r="K11">
        <f>+K10*0.2</f>
        <v>1409.3210574938057</v>
      </c>
    </row>
    <row r="12" spans="2:11" ht="15">
      <c r="B12" s="229" t="s">
        <v>197</v>
      </c>
      <c r="C12" s="235">
        <v>1985379</v>
      </c>
      <c r="D12" s="231">
        <f>SUM(D6:D11)</f>
        <v>1</v>
      </c>
      <c r="F12" s="105"/>
      <c r="K12">
        <f>+K11*0.5</f>
        <v>704.6605287469029</v>
      </c>
    </row>
    <row r="13" spans="2:12" ht="15">
      <c r="B13" s="229"/>
      <c r="C13" s="229"/>
      <c r="D13" s="229"/>
      <c r="H13" t="str">
        <f>+Hoja2!G24</f>
        <v>Entre $401 y $600</v>
      </c>
      <c r="I13" t="str">
        <f>+Hoja2!H24</f>
        <v>Entre $601 y $900 </v>
      </c>
      <c r="J13" t="str">
        <f>+Hoja2!I24</f>
        <v>Entre $901 y $1200 </v>
      </c>
      <c r="K13" t="str">
        <f>+Hoja2!J24</f>
        <v>Entre $1201 y $2000 </v>
      </c>
      <c r="L13" t="str">
        <f>+Hoja2!K24</f>
        <v>Entre $2000 en adelante </v>
      </c>
    </row>
    <row r="14" spans="2:12" ht="15">
      <c r="B14" s="226" t="s">
        <v>149</v>
      </c>
      <c r="C14" s="232"/>
      <c r="D14" s="232"/>
      <c r="H14">
        <f>+Hoja2!G25</f>
        <v>0.0725</v>
      </c>
      <c r="I14">
        <f>+Hoja2!H25</f>
        <v>0.1625</v>
      </c>
      <c r="J14">
        <f>+Hoja2!I25</f>
        <v>0.2675</v>
      </c>
      <c r="K14">
        <f>+Hoja2!J25</f>
        <v>0.3525</v>
      </c>
      <c r="L14">
        <f>+Hoja2!K25</f>
        <v>0.145</v>
      </c>
    </row>
    <row r="15" spans="2:7" ht="15">
      <c r="B15" s="229" t="s">
        <v>196</v>
      </c>
      <c r="C15" s="229">
        <v>275.64</v>
      </c>
      <c r="D15" s="231">
        <f>+C15/$C$21</f>
        <v>0.07822681348620728</v>
      </c>
      <c r="F15" t="s">
        <v>325</v>
      </c>
      <c r="G15">
        <f>+G7</f>
        <v>937099</v>
      </c>
    </row>
    <row r="16" spans="2:7" ht="15">
      <c r="B16" s="229" t="s">
        <v>192</v>
      </c>
      <c r="C16" s="229">
        <v>435.41</v>
      </c>
      <c r="D16" s="231">
        <f>+C16/$C$21</f>
        <v>0.12356964468157565</v>
      </c>
      <c r="F16" t="s">
        <v>328</v>
      </c>
      <c r="G16" s="384">
        <v>0.474</v>
      </c>
    </row>
    <row r="17" spans="2:12" ht="15">
      <c r="B17" s="229" t="s">
        <v>191</v>
      </c>
      <c r="C17" s="229">
        <v>559.91</v>
      </c>
      <c r="D17" s="231">
        <f>+C17/$C$21</f>
        <v>0.15890282665455782</v>
      </c>
      <c r="G17" s="105">
        <f>+G15*G16</f>
        <v>444184.926</v>
      </c>
      <c r="L17">
        <f>+Hoja2!K27</f>
        <v>0.765</v>
      </c>
    </row>
    <row r="18" spans="2:7" ht="15">
      <c r="B18" s="229" t="s">
        <v>195</v>
      </c>
      <c r="C18" s="229">
        <v>766.74</v>
      </c>
      <c r="D18" s="231">
        <f>+C18/$C$21</f>
        <v>0.21760131683505504</v>
      </c>
      <c r="F18" t="s">
        <v>326</v>
      </c>
      <c r="G18" s="384">
        <f>+D19</f>
        <v>0.4216993983426041</v>
      </c>
    </row>
    <row r="19" spans="2:7" ht="15">
      <c r="B19" s="229" t="s">
        <v>189</v>
      </c>
      <c r="C19" s="229">
        <v>1485.9</v>
      </c>
      <c r="D19" s="231">
        <f>+C19/$C$21</f>
        <v>0.4216993983426041</v>
      </c>
      <c r="G19" s="105">
        <f>+G17*G18</f>
        <v>187312.51604705412</v>
      </c>
    </row>
    <row r="20" spans="2:7" ht="15">
      <c r="B20" s="229" t="s">
        <v>57</v>
      </c>
      <c r="C20" s="229">
        <v>704.8</v>
      </c>
      <c r="D20" s="231"/>
      <c r="F20" t="s">
        <v>324</v>
      </c>
      <c r="G20" s="384">
        <f>+D7+D10+D9</f>
        <v>0.36101802564606617</v>
      </c>
    </row>
    <row r="21" spans="2:10" ht="15">
      <c r="B21" s="229"/>
      <c r="C21" s="230">
        <f>SUM(C15:C19)</f>
        <v>3523.6000000000004</v>
      </c>
      <c r="D21" s="231"/>
      <c r="G21" s="105">
        <f>+G19*G20</f>
        <v>67623.19472210456</v>
      </c>
      <c r="J21" s="384">
        <v>0.924</v>
      </c>
    </row>
    <row r="22" spans="2:7" ht="15">
      <c r="B22" s="226" t="s">
        <v>194</v>
      </c>
      <c r="C22" s="233"/>
      <c r="D22" s="229"/>
      <c r="F22" t="s">
        <v>327</v>
      </c>
      <c r="G22" s="86">
        <v>0.3</v>
      </c>
    </row>
    <row r="23" spans="2:7" ht="15">
      <c r="B23" s="229" t="s">
        <v>193</v>
      </c>
      <c r="C23" s="229">
        <v>208.4</v>
      </c>
      <c r="D23" s="385">
        <f>+C23/$C$29</f>
        <v>0.0746926633453998</v>
      </c>
      <c r="G23" s="105">
        <f>+G21*G22</f>
        <v>20286.958416631365</v>
      </c>
    </row>
    <row r="24" spans="2:7" ht="15">
      <c r="B24" s="229" t="s">
        <v>192</v>
      </c>
      <c r="C24" s="229">
        <v>347.4</v>
      </c>
      <c r="D24" s="385">
        <f>+C24/$C$29</f>
        <v>0.12451166624852153</v>
      </c>
      <c r="G24" s="105">
        <f>+G23*L17</f>
        <v>15519.523188722995</v>
      </c>
    </row>
    <row r="25" spans="2:4" ht="15.75" thickBot="1">
      <c r="B25" s="229" t="s">
        <v>191</v>
      </c>
      <c r="C25" s="229">
        <v>441.41</v>
      </c>
      <c r="D25" s="385">
        <f>+C25/$C$29</f>
        <v>0.15820579907530194</v>
      </c>
    </row>
    <row r="26" spans="2:12" ht="25.5">
      <c r="B26" s="229" t="s">
        <v>190</v>
      </c>
      <c r="C26" s="229">
        <v>596.97</v>
      </c>
      <c r="D26" s="385">
        <f>+C26/$C$29</f>
        <v>0.21396007311565893</v>
      </c>
      <c r="G26" s="758" t="s">
        <v>336</v>
      </c>
      <c r="H26" s="544" t="s">
        <v>329</v>
      </c>
      <c r="I26" s="544" t="s">
        <v>330</v>
      </c>
      <c r="J26" s="544" t="s">
        <v>331</v>
      </c>
      <c r="K26" s="544" t="s">
        <v>332</v>
      </c>
      <c r="L26" s="545" t="s">
        <v>333</v>
      </c>
    </row>
    <row r="27" spans="2:12" s="2" customFormat="1" ht="15">
      <c r="B27" s="386" t="s">
        <v>189</v>
      </c>
      <c r="C27" s="386">
        <v>1195.92</v>
      </c>
      <c r="D27" s="387">
        <f>+C27/$C$29</f>
        <v>0.4286297982151177</v>
      </c>
      <c r="G27" s="759"/>
      <c r="H27" s="546">
        <f>+H14</f>
        <v>0.0725</v>
      </c>
      <c r="I27" s="546">
        <f>+I14</f>
        <v>0.1625</v>
      </c>
      <c r="J27" s="547">
        <f>+J14</f>
        <v>0.2675</v>
      </c>
      <c r="K27" s="547">
        <f>+K14</f>
        <v>0.3525</v>
      </c>
      <c r="L27" s="548">
        <f>+L14</f>
        <v>0.145</v>
      </c>
    </row>
    <row r="28" spans="2:12" ht="25.5">
      <c r="B28" s="229" t="s">
        <v>57</v>
      </c>
      <c r="C28" s="229">
        <f>AVERAGE(C23:C27)</f>
        <v>558.0200000000001</v>
      </c>
      <c r="D28" s="229"/>
      <c r="G28" s="549" t="s">
        <v>338</v>
      </c>
      <c r="H28" s="550"/>
      <c r="I28" s="550"/>
      <c r="J28" s="550"/>
      <c r="K28" s="550"/>
      <c r="L28" s="551">
        <f>+G23</f>
        <v>20286.958416631365</v>
      </c>
    </row>
    <row r="29" spans="2:12" ht="25.5">
      <c r="B29" s="229"/>
      <c r="C29" s="229">
        <f>SUM(C23:C27)</f>
        <v>2790.1000000000004</v>
      </c>
      <c r="D29" s="229"/>
      <c r="G29" s="549" t="s">
        <v>334</v>
      </c>
      <c r="H29" s="550"/>
      <c r="I29" s="550"/>
      <c r="J29" s="550"/>
      <c r="K29" s="550"/>
      <c r="L29" s="552">
        <f>SUM(J27:L27)</f>
        <v>0.765</v>
      </c>
    </row>
    <row r="30" spans="2:12" ht="12.75">
      <c r="B30" s="234" t="s">
        <v>210</v>
      </c>
      <c r="G30" s="549" t="s">
        <v>197</v>
      </c>
      <c r="H30" s="550"/>
      <c r="I30" s="550"/>
      <c r="J30" s="550"/>
      <c r="K30" s="550"/>
      <c r="L30" s="553">
        <f>+L28*L29</f>
        <v>15519.523188722995</v>
      </c>
    </row>
    <row r="31" spans="7:12" ht="26.25" thickBot="1">
      <c r="G31" s="557" t="s">
        <v>335</v>
      </c>
      <c r="H31" s="554"/>
      <c r="I31" s="554"/>
      <c r="J31" s="554"/>
      <c r="K31" s="554"/>
      <c r="L31" s="555">
        <v>0.6825</v>
      </c>
    </row>
    <row r="32" spans="7:12" ht="13.5" thickBot="1">
      <c r="G32" s="760" t="s">
        <v>337</v>
      </c>
      <c r="H32" s="761"/>
      <c r="I32" s="761"/>
      <c r="J32" s="761"/>
      <c r="K32" s="762"/>
      <c r="L32" s="556">
        <f>+L30*L31</f>
        <v>10592.074576303445</v>
      </c>
    </row>
  </sheetData>
  <sheetProtection/>
  <mergeCells count="5">
    <mergeCell ref="B3:B4"/>
    <mergeCell ref="G26:G27"/>
    <mergeCell ref="G32:K32"/>
    <mergeCell ref="C4:D4"/>
    <mergeCell ref="C3:D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4">
      <selection activeCell="B36" sqref="B36"/>
    </sheetView>
  </sheetViews>
  <sheetFormatPr defaultColWidth="9.140625" defaultRowHeight="12.75"/>
  <cols>
    <col min="1" max="1" width="27.8515625" style="206" bestFit="1" customWidth="1"/>
    <col min="2" max="3" width="10.00390625" style="206" bestFit="1" customWidth="1"/>
    <col min="4" max="4" width="9.7109375" style="206" bestFit="1" customWidth="1"/>
    <col min="5" max="5" width="9.140625" style="206" bestFit="1" customWidth="1"/>
    <col min="6" max="11" width="10.00390625" style="206" bestFit="1" customWidth="1"/>
    <col min="12" max="12" width="11.28125" style="206" bestFit="1" customWidth="1"/>
    <col min="13" max="16384" width="9.140625" style="206" customWidth="1"/>
  </cols>
  <sheetData>
    <row r="1" spans="1:10" s="159" customFormat="1" ht="12.75">
      <c r="A1" s="647" t="s">
        <v>163</v>
      </c>
      <c r="B1" s="647"/>
      <c r="C1" s="647"/>
      <c r="D1" s="647"/>
      <c r="E1" s="647"/>
      <c r="F1" s="647"/>
      <c r="G1" s="647"/>
      <c r="H1" s="647"/>
      <c r="I1" s="647"/>
      <c r="J1" s="647"/>
    </row>
    <row r="2" s="159" customFormat="1" ht="12.75"/>
    <row r="3" spans="1:12" s="159" customFormat="1" ht="12.75">
      <c r="A3" s="646" t="s">
        <v>133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</row>
    <row r="4" ht="11.25">
      <c r="D4" s="170"/>
    </row>
    <row r="5" spans="1:12" s="168" customFormat="1" ht="11.25">
      <c r="A5" s="339" t="s">
        <v>187</v>
      </c>
      <c r="B5" s="340" t="s">
        <v>120</v>
      </c>
      <c r="C5" s="340" t="s">
        <v>119</v>
      </c>
      <c r="D5" s="340" t="s">
        <v>121</v>
      </c>
      <c r="E5" s="340" t="s">
        <v>122</v>
      </c>
      <c r="F5" s="340" t="s">
        <v>123</v>
      </c>
      <c r="G5" s="340" t="s">
        <v>124</v>
      </c>
      <c r="H5" s="340" t="s">
        <v>125</v>
      </c>
      <c r="I5" s="340" t="s">
        <v>126</v>
      </c>
      <c r="J5" s="340" t="s">
        <v>127</v>
      </c>
      <c r="K5" s="340" t="s">
        <v>128</v>
      </c>
      <c r="L5" s="340" t="s">
        <v>129</v>
      </c>
    </row>
    <row r="6" spans="1:15" s="168" customFormat="1" ht="11.25">
      <c r="A6" s="335" t="s">
        <v>94</v>
      </c>
      <c r="B6" s="335"/>
      <c r="C6" s="219">
        <f>+'Sal. Var'!I65</f>
        <v>46680</v>
      </c>
      <c r="D6" s="219">
        <f>+C6+(C6*0.25)</f>
        <v>58350</v>
      </c>
      <c r="E6" s="219">
        <f aca="true" t="shared" si="0" ref="E6:L6">+D6+(D6*0.25)</f>
        <v>72937.5</v>
      </c>
      <c r="F6" s="219">
        <f t="shared" si="0"/>
        <v>91171.875</v>
      </c>
      <c r="G6" s="219">
        <f t="shared" si="0"/>
        <v>113964.84375</v>
      </c>
      <c r="H6" s="219">
        <f t="shared" si="0"/>
        <v>142456.0546875</v>
      </c>
      <c r="I6" s="219">
        <f t="shared" si="0"/>
        <v>178070.068359375</v>
      </c>
      <c r="J6" s="219">
        <f t="shared" si="0"/>
        <v>222587.58544921875</v>
      </c>
      <c r="K6" s="219">
        <f t="shared" si="0"/>
        <v>278234.48181152344</v>
      </c>
      <c r="L6" s="219">
        <f t="shared" si="0"/>
        <v>347793.1022644043</v>
      </c>
      <c r="M6" s="170"/>
      <c r="N6" s="170"/>
      <c r="O6" s="170"/>
    </row>
    <row r="7" spans="1:15" s="168" customFormat="1" ht="11.25">
      <c r="A7" s="335" t="s">
        <v>314</v>
      </c>
      <c r="B7" s="335"/>
      <c r="C7" s="219">
        <f>+'Sal. Var'!F50</f>
        <v>6.75</v>
      </c>
      <c r="D7" s="219">
        <f>+C7</f>
        <v>6.75</v>
      </c>
      <c r="E7" s="219">
        <f aca="true" t="shared" si="1" ref="E7:L7">+D7</f>
        <v>6.75</v>
      </c>
      <c r="F7" s="219">
        <f t="shared" si="1"/>
        <v>6.75</v>
      </c>
      <c r="G7" s="219">
        <f t="shared" si="1"/>
        <v>6.75</v>
      </c>
      <c r="H7" s="219">
        <f t="shared" si="1"/>
        <v>6.75</v>
      </c>
      <c r="I7" s="219">
        <f t="shared" si="1"/>
        <v>6.75</v>
      </c>
      <c r="J7" s="219">
        <f t="shared" si="1"/>
        <v>6.75</v>
      </c>
      <c r="K7" s="219">
        <f t="shared" si="1"/>
        <v>6.75</v>
      </c>
      <c r="L7" s="219">
        <f t="shared" si="1"/>
        <v>6.75</v>
      </c>
      <c r="M7" s="170"/>
      <c r="N7" s="170"/>
      <c r="O7" s="170"/>
    </row>
    <row r="8" spans="1:15" s="168" customFormat="1" ht="11.25">
      <c r="A8" s="335" t="s">
        <v>316</v>
      </c>
      <c r="B8" s="335"/>
      <c r="C8" s="219">
        <f>+C6/C7</f>
        <v>6915.555555555556</v>
      </c>
      <c r="D8" s="219">
        <f aca="true" t="shared" si="2" ref="D8:L8">+D6/D7</f>
        <v>8644.444444444445</v>
      </c>
      <c r="E8" s="219">
        <f t="shared" si="2"/>
        <v>10805.555555555555</v>
      </c>
      <c r="F8" s="219">
        <f t="shared" si="2"/>
        <v>13506.944444444445</v>
      </c>
      <c r="G8" s="219">
        <f t="shared" si="2"/>
        <v>16883.680555555555</v>
      </c>
      <c r="H8" s="219">
        <f t="shared" si="2"/>
        <v>21104.600694444445</v>
      </c>
      <c r="I8" s="219">
        <f t="shared" si="2"/>
        <v>26380.750868055555</v>
      </c>
      <c r="J8" s="219">
        <f t="shared" si="2"/>
        <v>32975.938585069445</v>
      </c>
      <c r="K8" s="219">
        <f t="shared" si="2"/>
        <v>41219.923231336805</v>
      </c>
      <c r="L8" s="219">
        <f t="shared" si="2"/>
        <v>51524.90403917101</v>
      </c>
      <c r="M8" s="170"/>
      <c r="N8" s="170"/>
      <c r="O8" s="170"/>
    </row>
    <row r="9" spans="1:15" s="168" customFormat="1" ht="22.5">
      <c r="A9" s="341" t="s">
        <v>188</v>
      </c>
      <c r="B9" s="335"/>
      <c r="C9" s="342">
        <v>0</v>
      </c>
      <c r="D9" s="342">
        <v>0</v>
      </c>
      <c r="E9" s="342">
        <v>0</v>
      </c>
      <c r="F9" s="342">
        <v>0</v>
      </c>
      <c r="G9" s="342">
        <f>+'Bce reemp'!I22</f>
        <v>769.75</v>
      </c>
      <c r="H9" s="342">
        <v>0</v>
      </c>
      <c r="I9" s="342">
        <v>0</v>
      </c>
      <c r="J9" s="342">
        <v>0</v>
      </c>
      <c r="K9" s="342">
        <v>0</v>
      </c>
      <c r="L9" s="342">
        <f>+'Bce reemp'!J22</f>
        <v>808.2375</v>
      </c>
      <c r="M9" s="170"/>
      <c r="N9" s="170"/>
      <c r="O9" s="170"/>
    </row>
    <row r="10" spans="1:12" s="168" customFormat="1" ht="11.25">
      <c r="A10" s="343" t="s">
        <v>8</v>
      </c>
      <c r="B10" s="343"/>
      <c r="C10" s="344">
        <f>+C6+C9</f>
        <v>46680</v>
      </c>
      <c r="D10" s="344">
        <f aca="true" t="shared" si="3" ref="D10:L10">+D6+D9</f>
        <v>58350</v>
      </c>
      <c r="E10" s="344">
        <f t="shared" si="3"/>
        <v>72937.5</v>
      </c>
      <c r="F10" s="344">
        <f t="shared" si="3"/>
        <v>91171.875</v>
      </c>
      <c r="G10" s="344">
        <f t="shared" si="3"/>
        <v>114734.59375</v>
      </c>
      <c r="H10" s="344">
        <f t="shared" si="3"/>
        <v>142456.0546875</v>
      </c>
      <c r="I10" s="344">
        <f t="shared" si="3"/>
        <v>178070.068359375</v>
      </c>
      <c r="J10" s="344">
        <f t="shared" si="3"/>
        <v>222587.58544921875</v>
      </c>
      <c r="K10" s="344">
        <f t="shared" si="3"/>
        <v>278234.48181152344</v>
      </c>
      <c r="L10" s="344">
        <f t="shared" si="3"/>
        <v>348601.3397644043</v>
      </c>
    </row>
    <row r="11" spans="1:12" s="168" customFormat="1" ht="11.25">
      <c r="A11" s="335"/>
      <c r="B11" s="335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2" s="168" customFormat="1" ht="11.25">
      <c r="A12" s="339" t="s">
        <v>9</v>
      </c>
      <c r="B12" s="33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s="168" customFormat="1" ht="11.25">
      <c r="A13" s="339" t="s">
        <v>118</v>
      </c>
      <c r="B13" s="33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1:12" s="168" customFormat="1" ht="11.25">
      <c r="A14" s="335" t="s">
        <v>168</v>
      </c>
      <c r="B14" s="335"/>
      <c r="C14" s="219">
        <f>+'Bce Pers.'!B61</f>
        <v>29169.8064</v>
      </c>
      <c r="D14" s="219">
        <f>+C14</f>
        <v>29169.8064</v>
      </c>
      <c r="E14" s="219">
        <f>+C14</f>
        <v>29169.8064</v>
      </c>
      <c r="F14" s="219">
        <f>+E14+(E14*0.1)</f>
        <v>32086.787040000003</v>
      </c>
      <c r="G14" s="219">
        <f>+F14</f>
        <v>32086.787040000003</v>
      </c>
      <c r="H14" s="219">
        <f>+F14</f>
        <v>32086.787040000003</v>
      </c>
      <c r="I14" s="219">
        <f>+H14+(H14*0.1)</f>
        <v>35295.465744</v>
      </c>
      <c r="J14" s="219">
        <f>+I14</f>
        <v>35295.465744</v>
      </c>
      <c r="K14" s="219">
        <f>+J14</f>
        <v>35295.465744</v>
      </c>
      <c r="L14" s="219">
        <f>+K14</f>
        <v>35295.465744</v>
      </c>
    </row>
    <row r="15" spans="1:12" s="168" customFormat="1" ht="11.25">
      <c r="A15" s="335" t="s">
        <v>132</v>
      </c>
      <c r="B15" s="335"/>
      <c r="C15" s="219">
        <f>+'Sal. Var'!H48+200</f>
        <v>542</v>
      </c>
      <c r="D15" s="219">
        <f>+C15</f>
        <v>542</v>
      </c>
      <c r="E15" s="219">
        <f>+D15</f>
        <v>542</v>
      </c>
      <c r="F15" s="219">
        <f aca="true" t="shared" si="4" ref="F15:L15">+E15</f>
        <v>542</v>
      </c>
      <c r="G15" s="219">
        <f t="shared" si="4"/>
        <v>542</v>
      </c>
      <c r="H15" s="219">
        <f t="shared" si="4"/>
        <v>542</v>
      </c>
      <c r="I15" s="219">
        <f t="shared" si="4"/>
        <v>542</v>
      </c>
      <c r="J15" s="219">
        <f t="shared" si="4"/>
        <v>542</v>
      </c>
      <c r="K15" s="219">
        <f t="shared" si="4"/>
        <v>542</v>
      </c>
      <c r="L15" s="219">
        <f t="shared" si="4"/>
        <v>542</v>
      </c>
    </row>
    <row r="16" spans="1:12" s="168" customFormat="1" ht="11.25">
      <c r="A16" s="335" t="s">
        <v>116</v>
      </c>
      <c r="B16" s="335"/>
      <c r="C16" s="219">
        <f>(2*7*4*12)*15</f>
        <v>10080</v>
      </c>
      <c r="D16" s="219">
        <f aca="true" t="shared" si="5" ref="D16:L16">(2*7*4*12)*15</f>
        <v>10080</v>
      </c>
      <c r="E16" s="219">
        <f t="shared" si="5"/>
        <v>10080</v>
      </c>
      <c r="F16" s="219">
        <f t="shared" si="5"/>
        <v>10080</v>
      </c>
      <c r="G16" s="219">
        <f t="shared" si="5"/>
        <v>10080</v>
      </c>
      <c r="H16" s="219">
        <f t="shared" si="5"/>
        <v>10080</v>
      </c>
      <c r="I16" s="219">
        <f t="shared" si="5"/>
        <v>10080</v>
      </c>
      <c r="J16" s="219">
        <f t="shared" si="5"/>
        <v>10080</v>
      </c>
      <c r="K16" s="219">
        <f t="shared" si="5"/>
        <v>10080</v>
      </c>
      <c r="L16" s="219">
        <f t="shared" si="5"/>
        <v>10080</v>
      </c>
    </row>
    <row r="17" spans="1:12" s="168" customFormat="1" ht="11.25">
      <c r="A17" s="335" t="s">
        <v>249</v>
      </c>
      <c r="B17" s="335"/>
      <c r="C17" s="219">
        <f>Gtos!D21</f>
        <v>5595</v>
      </c>
      <c r="D17" s="219">
        <f>+C17</f>
        <v>5595</v>
      </c>
      <c r="E17" s="219">
        <f aca="true" t="shared" si="6" ref="E17:L17">+D17</f>
        <v>5595</v>
      </c>
      <c r="F17" s="219">
        <f t="shared" si="6"/>
        <v>5595</v>
      </c>
      <c r="G17" s="219">
        <f t="shared" si="6"/>
        <v>5595</v>
      </c>
      <c r="H17" s="219">
        <f t="shared" si="6"/>
        <v>5595</v>
      </c>
      <c r="I17" s="219">
        <f t="shared" si="6"/>
        <v>5595</v>
      </c>
      <c r="J17" s="219">
        <f t="shared" si="6"/>
        <v>5595</v>
      </c>
      <c r="K17" s="219">
        <f t="shared" si="6"/>
        <v>5595</v>
      </c>
      <c r="L17" s="219">
        <f t="shared" si="6"/>
        <v>5595</v>
      </c>
    </row>
    <row r="18" spans="1:12" s="168" customFormat="1" ht="11.25">
      <c r="A18" s="335" t="s">
        <v>10</v>
      </c>
      <c r="B18" s="335"/>
      <c r="C18" s="219">
        <f>+Gtos!B35+Gtos!B36+Gtos!B37+Gtos!B38</f>
        <v>936</v>
      </c>
      <c r="D18" s="219">
        <f>+C18</f>
        <v>936</v>
      </c>
      <c r="E18" s="219">
        <f aca="true" t="shared" si="7" ref="E18:L18">+D18+(D18*0.01)</f>
        <v>945.36</v>
      </c>
      <c r="F18" s="219">
        <f t="shared" si="7"/>
        <v>954.8136000000001</v>
      </c>
      <c r="G18" s="219">
        <f t="shared" si="7"/>
        <v>964.3617360000001</v>
      </c>
      <c r="H18" s="219">
        <f t="shared" si="7"/>
        <v>974.0053533600001</v>
      </c>
      <c r="I18" s="219">
        <f t="shared" si="7"/>
        <v>983.7454068936</v>
      </c>
      <c r="J18" s="219">
        <f t="shared" si="7"/>
        <v>993.5828609625361</v>
      </c>
      <c r="K18" s="219">
        <f t="shared" si="7"/>
        <v>1003.5186895721614</v>
      </c>
      <c r="L18" s="219">
        <f t="shared" si="7"/>
        <v>1013.553876467883</v>
      </c>
    </row>
    <row r="19" spans="1:12" s="168" customFormat="1" ht="11.25">
      <c r="A19" s="335" t="s">
        <v>6</v>
      </c>
      <c r="B19" s="335"/>
      <c r="C19" s="219">
        <f>+Hoja2!C35</f>
        <v>6000</v>
      </c>
      <c r="D19" s="219">
        <f>+C19</f>
        <v>6000</v>
      </c>
      <c r="E19" s="219">
        <f aca="true" t="shared" si="8" ref="E19:L19">+D19+(D19*0.01)</f>
        <v>6060</v>
      </c>
      <c r="F19" s="219">
        <f t="shared" si="8"/>
        <v>6120.6</v>
      </c>
      <c r="G19" s="219">
        <f t="shared" si="8"/>
        <v>6181.8060000000005</v>
      </c>
      <c r="H19" s="219">
        <f t="shared" si="8"/>
        <v>6243.62406</v>
      </c>
      <c r="I19" s="219">
        <f t="shared" si="8"/>
        <v>6306.0603006</v>
      </c>
      <c r="J19" s="219">
        <f t="shared" si="8"/>
        <v>6369.120903606</v>
      </c>
      <c r="K19" s="219">
        <f t="shared" si="8"/>
        <v>6432.81211264206</v>
      </c>
      <c r="L19" s="219">
        <f t="shared" si="8"/>
        <v>6497.14023376848</v>
      </c>
    </row>
    <row r="20" spans="1:12" s="168" customFormat="1" ht="11.25">
      <c r="A20" s="343" t="s">
        <v>12</v>
      </c>
      <c r="B20" s="343"/>
      <c r="C20" s="345">
        <f aca="true" t="shared" si="9" ref="C20:L20">SUM(C14:C19)</f>
        <v>52322.8064</v>
      </c>
      <c r="D20" s="345">
        <f t="shared" si="9"/>
        <v>52322.8064</v>
      </c>
      <c r="E20" s="345">
        <f t="shared" si="9"/>
        <v>52392.1664</v>
      </c>
      <c r="F20" s="345">
        <f t="shared" si="9"/>
        <v>55379.20064</v>
      </c>
      <c r="G20" s="345">
        <f t="shared" si="9"/>
        <v>55449.954776</v>
      </c>
      <c r="H20" s="345">
        <f t="shared" si="9"/>
        <v>55521.416453360005</v>
      </c>
      <c r="I20" s="345">
        <f t="shared" si="9"/>
        <v>58802.2714514936</v>
      </c>
      <c r="J20" s="345">
        <f t="shared" si="9"/>
        <v>58875.16950856854</v>
      </c>
      <c r="K20" s="345">
        <f t="shared" si="9"/>
        <v>58948.796546214224</v>
      </c>
      <c r="L20" s="345">
        <f t="shared" si="9"/>
        <v>59023.159854236364</v>
      </c>
    </row>
    <row r="21" spans="1:12" s="168" customFormat="1" ht="11.25">
      <c r="A21" s="216" t="s">
        <v>312</v>
      </c>
      <c r="B21" s="216"/>
      <c r="C21" s="219">
        <f>Equipos!I10</f>
        <v>1282.9166666666667</v>
      </c>
      <c r="D21" s="219">
        <f>C21</f>
        <v>1282.9166666666667</v>
      </c>
      <c r="E21" s="219">
        <f aca="true" t="shared" si="10" ref="E21:L21">D21</f>
        <v>1282.9166666666667</v>
      </c>
      <c r="F21" s="219">
        <f t="shared" si="10"/>
        <v>1282.9166666666667</v>
      </c>
      <c r="G21" s="219">
        <f t="shared" si="10"/>
        <v>1282.9166666666667</v>
      </c>
      <c r="H21" s="219">
        <f t="shared" si="10"/>
        <v>1282.9166666666667</v>
      </c>
      <c r="I21" s="219">
        <f t="shared" si="10"/>
        <v>1282.9166666666667</v>
      </c>
      <c r="J21" s="219">
        <f t="shared" si="10"/>
        <v>1282.9166666666667</v>
      </c>
      <c r="K21" s="219">
        <f t="shared" si="10"/>
        <v>1282.9166666666667</v>
      </c>
      <c r="L21" s="219">
        <f t="shared" si="10"/>
        <v>1282.9166666666667</v>
      </c>
    </row>
    <row r="22" spans="1:12" s="168" customFormat="1" ht="11.25">
      <c r="A22" s="343" t="s">
        <v>13</v>
      </c>
      <c r="B22" s="346"/>
      <c r="C22" s="345">
        <f aca="true" t="shared" si="11" ref="C22:L22">C10-C20-C21</f>
        <v>-6925.723066666668</v>
      </c>
      <c r="D22" s="345">
        <f t="shared" si="11"/>
        <v>4744.276933333332</v>
      </c>
      <c r="E22" s="345">
        <f t="shared" si="11"/>
        <v>19262.41693333333</v>
      </c>
      <c r="F22" s="345">
        <f t="shared" si="11"/>
        <v>34509.75769333333</v>
      </c>
      <c r="G22" s="345">
        <f t="shared" si="11"/>
        <v>58001.72230733334</v>
      </c>
      <c r="H22" s="345">
        <f t="shared" si="11"/>
        <v>85651.72156747333</v>
      </c>
      <c r="I22" s="345">
        <f t="shared" si="11"/>
        <v>117984.88024121472</v>
      </c>
      <c r="J22" s="345">
        <f t="shared" si="11"/>
        <v>162429.49927398356</v>
      </c>
      <c r="K22" s="345">
        <f t="shared" si="11"/>
        <v>218002.76859864255</v>
      </c>
      <c r="L22" s="345">
        <f t="shared" si="11"/>
        <v>288295.26324350125</v>
      </c>
    </row>
    <row r="23" spans="1:12" s="168" customFormat="1" ht="11.25">
      <c r="A23" s="216" t="s">
        <v>294</v>
      </c>
      <c r="B23" s="346"/>
      <c r="C23" s="190">
        <f>+C22*0.15</f>
        <v>-1038.8584600000002</v>
      </c>
      <c r="D23" s="190">
        <f aca="true" t="shared" si="12" ref="D23:L23">+D22*0.15</f>
        <v>711.6415399999997</v>
      </c>
      <c r="E23" s="190">
        <f t="shared" si="12"/>
        <v>2889.3625399999996</v>
      </c>
      <c r="F23" s="190">
        <f t="shared" si="12"/>
        <v>5176.463654</v>
      </c>
      <c r="G23" s="190">
        <f t="shared" si="12"/>
        <v>8700.2583461</v>
      </c>
      <c r="H23" s="190">
        <f t="shared" si="12"/>
        <v>12847.758235120999</v>
      </c>
      <c r="I23" s="190">
        <f t="shared" si="12"/>
        <v>17697.732036182206</v>
      </c>
      <c r="J23" s="190">
        <f t="shared" si="12"/>
        <v>24364.424891097533</v>
      </c>
      <c r="K23" s="190">
        <f t="shared" si="12"/>
        <v>32700.41528979638</v>
      </c>
      <c r="L23" s="190">
        <f t="shared" si="12"/>
        <v>43244.28948652519</v>
      </c>
    </row>
    <row r="24" spans="1:12" s="163" customFormat="1" ht="11.25">
      <c r="A24" s="343" t="s">
        <v>313</v>
      </c>
      <c r="B24" s="346"/>
      <c r="C24" s="380">
        <f>+C22-C23</f>
        <v>-5886.864606666668</v>
      </c>
      <c r="D24" s="380">
        <f aca="true" t="shared" si="13" ref="D24:L24">+D22-D23</f>
        <v>4032.635393333332</v>
      </c>
      <c r="E24" s="380">
        <f t="shared" si="13"/>
        <v>16373.05439333333</v>
      </c>
      <c r="F24" s="380">
        <f t="shared" si="13"/>
        <v>29333.294039333334</v>
      </c>
      <c r="G24" s="380">
        <f t="shared" si="13"/>
        <v>49301.46396123334</v>
      </c>
      <c r="H24" s="380">
        <f t="shared" si="13"/>
        <v>72803.96333235233</v>
      </c>
      <c r="I24" s="380">
        <f t="shared" si="13"/>
        <v>100287.14820503251</v>
      </c>
      <c r="J24" s="380">
        <f t="shared" si="13"/>
        <v>138065.07438288603</v>
      </c>
      <c r="K24" s="380">
        <f t="shared" si="13"/>
        <v>185302.35330884618</v>
      </c>
      <c r="L24" s="380">
        <f t="shared" si="13"/>
        <v>245050.97375697608</v>
      </c>
    </row>
    <row r="25" spans="1:12" s="168" customFormat="1" ht="11.25">
      <c r="A25" s="216" t="s">
        <v>104</v>
      </c>
      <c r="B25" s="216"/>
      <c r="C25" s="219"/>
      <c r="D25" s="219">
        <f>+D24*$D$33</f>
        <v>1008.158848333333</v>
      </c>
      <c r="E25" s="219">
        <f aca="true" t="shared" si="14" ref="E25:L25">+E24*$D$33</f>
        <v>4093.2635983333325</v>
      </c>
      <c r="F25" s="219">
        <f t="shared" si="14"/>
        <v>7333.323509833333</v>
      </c>
      <c r="G25" s="219">
        <f t="shared" si="14"/>
        <v>12325.365990308335</v>
      </c>
      <c r="H25" s="219">
        <f t="shared" si="14"/>
        <v>18200.990833088083</v>
      </c>
      <c r="I25" s="219">
        <f t="shared" si="14"/>
        <v>25071.78705125813</v>
      </c>
      <c r="J25" s="219">
        <f t="shared" si="14"/>
        <v>34516.26859572151</v>
      </c>
      <c r="K25" s="219">
        <f t="shared" si="14"/>
        <v>46325.588327211546</v>
      </c>
      <c r="L25" s="219">
        <f t="shared" si="14"/>
        <v>61262.74343924402</v>
      </c>
    </row>
    <row r="26" spans="1:12" s="168" customFormat="1" ht="11.25">
      <c r="A26" s="343" t="s">
        <v>214</v>
      </c>
      <c r="B26" s="343"/>
      <c r="C26" s="345">
        <f>C22-C25</f>
        <v>-6925.723066666668</v>
      </c>
      <c r="D26" s="345">
        <f>D24-D25</f>
        <v>3024.476544999999</v>
      </c>
      <c r="E26" s="345">
        <f aca="true" t="shared" si="15" ref="E26:L26">E24-E25</f>
        <v>12279.790794999997</v>
      </c>
      <c r="F26" s="345">
        <f t="shared" si="15"/>
        <v>21999.970529500002</v>
      </c>
      <c r="G26" s="345">
        <f t="shared" si="15"/>
        <v>36976.09797092501</v>
      </c>
      <c r="H26" s="345">
        <f t="shared" si="15"/>
        <v>54602.972499264244</v>
      </c>
      <c r="I26" s="345">
        <f t="shared" si="15"/>
        <v>75215.36115377439</v>
      </c>
      <c r="J26" s="345">
        <f t="shared" si="15"/>
        <v>103548.80578716451</v>
      </c>
      <c r="K26" s="345">
        <f t="shared" si="15"/>
        <v>138976.76498163462</v>
      </c>
      <c r="L26" s="345">
        <f t="shared" si="15"/>
        <v>183788.23031773206</v>
      </c>
    </row>
    <row r="27" spans="1:12" s="165" customFormat="1" ht="11.25">
      <c r="A27" s="216" t="s">
        <v>310</v>
      </c>
      <c r="B27" s="216"/>
      <c r="C27" s="219">
        <f>+C21</f>
        <v>1282.9166666666667</v>
      </c>
      <c r="D27" s="219">
        <f aca="true" t="shared" si="16" ref="D27:L27">+D21</f>
        <v>1282.9166666666667</v>
      </c>
      <c r="E27" s="219">
        <f t="shared" si="16"/>
        <v>1282.9166666666667</v>
      </c>
      <c r="F27" s="219">
        <f t="shared" si="16"/>
        <v>1282.9166666666667</v>
      </c>
      <c r="G27" s="219">
        <f t="shared" si="16"/>
        <v>1282.9166666666667</v>
      </c>
      <c r="H27" s="219">
        <f t="shared" si="16"/>
        <v>1282.9166666666667</v>
      </c>
      <c r="I27" s="219">
        <f t="shared" si="16"/>
        <v>1282.9166666666667</v>
      </c>
      <c r="J27" s="219">
        <f t="shared" si="16"/>
        <v>1282.9166666666667</v>
      </c>
      <c r="K27" s="219">
        <f t="shared" si="16"/>
        <v>1282.9166666666667</v>
      </c>
      <c r="L27" s="219">
        <f t="shared" si="16"/>
        <v>1282.9166666666667</v>
      </c>
    </row>
    <row r="28" spans="1:12" s="168" customFormat="1" ht="11.25">
      <c r="A28" s="343" t="s">
        <v>215</v>
      </c>
      <c r="B28" s="374">
        <f>-'Inv. Inic'!B12</f>
        <v>-13128.75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</row>
    <row r="29" spans="1:12" s="168" customFormat="1" ht="11.25">
      <c r="A29" s="343" t="s">
        <v>216</v>
      </c>
      <c r="B29" s="374">
        <f>+'Capital de Trabajo'!C20</f>
        <v>-4355.123199999998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</row>
    <row r="30" spans="1:12" s="168" customFormat="1" ht="11.25">
      <c r="A30" s="343" t="s">
        <v>217</v>
      </c>
      <c r="B30" s="343"/>
      <c r="C30" s="345"/>
      <c r="D30" s="345"/>
      <c r="E30" s="345"/>
      <c r="F30" s="345"/>
      <c r="G30" s="345"/>
      <c r="H30" s="345"/>
      <c r="I30" s="345"/>
      <c r="J30" s="345"/>
      <c r="K30" s="345"/>
      <c r="L30" s="345">
        <f>+'valor desecho'!D11</f>
        <v>836715.2658668316</v>
      </c>
    </row>
    <row r="31" spans="1:12" s="168" customFormat="1" ht="11.25">
      <c r="A31" s="343" t="s">
        <v>130</v>
      </c>
      <c r="B31" s="344">
        <f>SUM(B28:B30)</f>
        <v>-17483.873199999998</v>
      </c>
      <c r="C31" s="347">
        <f>+C26+C27</f>
        <v>-5642.806400000001</v>
      </c>
      <c r="D31" s="347">
        <f aca="true" t="shared" si="17" ref="D31:L31">+D26+D27</f>
        <v>4307.393211666666</v>
      </c>
      <c r="E31" s="347">
        <f t="shared" si="17"/>
        <v>13562.707461666663</v>
      </c>
      <c r="F31" s="347">
        <f t="shared" si="17"/>
        <v>23282.88719616667</v>
      </c>
      <c r="G31" s="347">
        <f t="shared" si="17"/>
        <v>38259.014637591674</v>
      </c>
      <c r="H31" s="347">
        <f t="shared" si="17"/>
        <v>55885.88916593091</v>
      </c>
      <c r="I31" s="347">
        <f t="shared" si="17"/>
        <v>76498.27782044106</v>
      </c>
      <c r="J31" s="347">
        <f t="shared" si="17"/>
        <v>104831.72245383119</v>
      </c>
      <c r="K31" s="347">
        <f t="shared" si="17"/>
        <v>140259.68164830128</v>
      </c>
      <c r="L31" s="347">
        <f t="shared" si="17"/>
        <v>185071.1469843987</v>
      </c>
    </row>
    <row r="32" spans="1:12" ht="11.25">
      <c r="A32" s="168"/>
      <c r="B32" s="168"/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1:12" ht="12" thickBot="1">
      <c r="A33" s="208"/>
      <c r="B33" s="209"/>
      <c r="C33" s="210"/>
      <c r="D33" s="87">
        <v>0.25</v>
      </c>
      <c r="E33" s="170"/>
      <c r="F33" s="170"/>
      <c r="G33" s="170"/>
      <c r="H33" s="170"/>
      <c r="I33" s="170"/>
      <c r="J33" s="170"/>
      <c r="K33" s="170"/>
      <c r="L33" s="170"/>
    </row>
    <row r="34" spans="1:12" ht="11.25">
      <c r="A34" s="367" t="s">
        <v>16</v>
      </c>
      <c r="B34" s="368"/>
      <c r="C34" s="212"/>
      <c r="D34" s="212"/>
      <c r="E34" s="212"/>
      <c r="F34" s="212"/>
      <c r="G34" s="212"/>
      <c r="H34" s="212"/>
      <c r="I34" s="212"/>
      <c r="J34" s="212"/>
      <c r="K34" s="212"/>
      <c r="L34" s="212"/>
    </row>
    <row r="35" spans="1:7" s="168" customFormat="1" ht="15" customHeight="1">
      <c r="A35" s="362" t="s">
        <v>17</v>
      </c>
      <c r="B35" s="363">
        <f>IRR(B31:L31)</f>
        <v>0.6459907338983919</v>
      </c>
      <c r="C35" s="361"/>
      <c r="D35" s="208"/>
      <c r="E35" s="213"/>
      <c r="G35" s="359"/>
    </row>
    <row r="36" spans="1:7" s="168" customFormat="1" ht="15" customHeight="1">
      <c r="A36" s="362" t="s">
        <v>18</v>
      </c>
      <c r="B36" s="364">
        <f>NPV(B37,C31:L31)+B31</f>
        <v>341314.5534834128</v>
      </c>
      <c r="C36" s="361"/>
      <c r="D36" s="214"/>
      <c r="E36" s="215"/>
      <c r="F36" s="214"/>
      <c r="G36" s="214"/>
    </row>
    <row r="37" spans="1:7" s="168" customFormat="1" ht="12.75" customHeight="1">
      <c r="A37" s="362" t="s">
        <v>233</v>
      </c>
      <c r="B37" s="363">
        <f>+TMAR!C11</f>
        <v>0.074516</v>
      </c>
      <c r="E37" s="217"/>
      <c r="F37" s="217"/>
      <c r="G37" s="217"/>
    </row>
    <row r="38" spans="1:5" s="168" customFormat="1" ht="12" thickBot="1">
      <c r="A38" s="365" t="s">
        <v>309</v>
      </c>
      <c r="B38" s="366">
        <v>0.25</v>
      </c>
      <c r="E38" s="218"/>
    </row>
    <row r="39" s="168" customFormat="1" ht="11.25"/>
    <row r="40" s="168" customFormat="1" ht="12.75" customHeight="1"/>
    <row r="42" ht="11.25">
      <c r="C42" s="211"/>
    </row>
    <row r="43" ht="11.25">
      <c r="C43" s="210"/>
    </row>
    <row r="44" spans="3:6" ht="11.25">
      <c r="C44" s="209"/>
      <c r="D44" s="209"/>
      <c r="E44" s="209"/>
      <c r="F44" s="209"/>
    </row>
    <row r="45" spans="1:7" ht="11.25">
      <c r="A45" s="220"/>
      <c r="B45" s="220"/>
      <c r="C45" s="221"/>
      <c r="D45" s="212"/>
      <c r="E45" s="212"/>
      <c r="F45" s="212"/>
      <c r="G45" s="212"/>
    </row>
    <row r="50" spans="1:7" ht="11.25">
      <c r="A50" s="220"/>
      <c r="B50" s="220"/>
      <c r="C50" s="220"/>
      <c r="D50" s="220"/>
      <c r="E50" s="220"/>
      <c r="F50" s="220"/>
      <c r="G50" s="220"/>
    </row>
    <row r="55" spans="1:2" ht="11.25">
      <c r="A55" s="220"/>
      <c r="B55" s="220"/>
    </row>
    <row r="56" spans="3:7" ht="11.25">
      <c r="C56" s="212"/>
      <c r="D56" s="212"/>
      <c r="E56" s="212"/>
      <c r="F56" s="212"/>
      <c r="G56" s="212"/>
    </row>
    <row r="57" spans="3:7" ht="11.25">
      <c r="C57" s="212"/>
      <c r="D57" s="212"/>
      <c r="E57" s="212"/>
      <c r="F57" s="212"/>
      <c r="G57" s="212"/>
    </row>
    <row r="58" spans="3:7" ht="11.25">
      <c r="C58" s="212"/>
      <c r="D58" s="212"/>
      <c r="E58" s="212"/>
      <c r="F58" s="212"/>
      <c r="G58" s="212"/>
    </row>
    <row r="60" spans="1:2" ht="11.25">
      <c r="A60" s="220"/>
      <c r="B60" s="220"/>
    </row>
    <row r="61" spans="3:7" ht="11.25">
      <c r="C61" s="209"/>
      <c r="D61" s="209"/>
      <c r="E61" s="209"/>
      <c r="F61" s="209"/>
      <c r="G61" s="209"/>
    </row>
    <row r="62" spans="3:7" ht="11.25">
      <c r="C62" s="209"/>
      <c r="D62" s="209"/>
      <c r="E62" s="209"/>
      <c r="F62" s="209"/>
      <c r="G62" s="209"/>
    </row>
    <row r="63" spans="3:7" ht="11.25">
      <c r="C63" s="209"/>
      <c r="D63" s="209"/>
      <c r="E63" s="209"/>
      <c r="F63" s="209"/>
      <c r="G63" s="209"/>
    </row>
    <row r="65" spans="1:2" ht="11.25">
      <c r="A65" s="220"/>
      <c r="B65" s="220"/>
    </row>
    <row r="66" spans="3:7" ht="11.25">
      <c r="C66" s="212"/>
      <c r="D66" s="212"/>
      <c r="E66" s="212"/>
      <c r="F66" s="212"/>
      <c r="G66" s="212"/>
    </row>
    <row r="67" spans="3:7" ht="11.25">
      <c r="C67" s="212"/>
      <c r="D67" s="212"/>
      <c r="E67" s="212"/>
      <c r="F67" s="212"/>
      <c r="G67" s="212"/>
    </row>
    <row r="68" spans="3:7" ht="11.25">
      <c r="C68" s="212"/>
      <c r="D68" s="212"/>
      <c r="E68" s="212"/>
      <c r="F68" s="212"/>
      <c r="G68" s="212"/>
    </row>
    <row r="70" spans="1:7" ht="11.25">
      <c r="A70" s="220"/>
      <c r="B70" s="220"/>
      <c r="C70" s="222"/>
      <c r="D70" s="222"/>
      <c r="E70" s="222"/>
      <c r="F70" s="222"/>
      <c r="G70" s="222"/>
    </row>
    <row r="71" spans="3:7" ht="11.25">
      <c r="C71" s="212"/>
      <c r="D71" s="212"/>
      <c r="E71" s="212"/>
      <c r="F71" s="212"/>
      <c r="G71" s="212"/>
    </row>
    <row r="72" spans="3:7" ht="11.25">
      <c r="C72" s="212"/>
      <c r="D72" s="212"/>
      <c r="E72" s="212"/>
      <c r="F72" s="212"/>
      <c r="G72" s="212"/>
    </row>
    <row r="73" spans="3:7" ht="11.25">
      <c r="C73" s="212"/>
      <c r="D73" s="212"/>
      <c r="E73" s="212"/>
      <c r="F73" s="212"/>
      <c r="G73" s="212"/>
    </row>
    <row r="75" spans="1:7" ht="11.25">
      <c r="A75" s="220"/>
      <c r="B75" s="220"/>
      <c r="C75" s="222"/>
      <c r="D75" s="222"/>
      <c r="E75" s="222"/>
      <c r="F75" s="222"/>
      <c r="G75" s="222"/>
    </row>
    <row r="76" spans="3:7" ht="11.25">
      <c r="C76" s="212"/>
      <c r="D76" s="212"/>
      <c r="E76" s="212"/>
      <c r="F76" s="212"/>
      <c r="G76" s="212"/>
    </row>
    <row r="77" spans="3:7" ht="11.25">
      <c r="C77" s="212"/>
      <c r="D77" s="212"/>
      <c r="E77" s="212"/>
      <c r="F77" s="212"/>
      <c r="G77" s="212"/>
    </row>
    <row r="78" spans="3:7" ht="11.25">
      <c r="C78" s="212"/>
      <c r="D78" s="212"/>
      <c r="E78" s="212"/>
      <c r="F78" s="212"/>
      <c r="G78" s="212"/>
    </row>
    <row r="80" spans="1:7" ht="11.25">
      <c r="A80" s="220"/>
      <c r="B80" s="220"/>
      <c r="C80" s="222"/>
      <c r="D80" s="222"/>
      <c r="E80" s="222"/>
      <c r="F80" s="222"/>
      <c r="G80" s="222"/>
    </row>
    <row r="81" spans="3:7" ht="11.25">
      <c r="C81" s="212"/>
      <c r="D81" s="212"/>
      <c r="E81" s="212"/>
      <c r="F81" s="212"/>
      <c r="G81" s="212"/>
    </row>
    <row r="82" spans="3:7" ht="11.25">
      <c r="C82" s="212"/>
      <c r="D82" s="212"/>
      <c r="E82" s="212"/>
      <c r="F82" s="212"/>
      <c r="G82" s="212"/>
    </row>
    <row r="83" spans="3:7" ht="11.25">
      <c r="C83" s="212"/>
      <c r="D83" s="212"/>
      <c r="E83" s="212"/>
      <c r="F83" s="212"/>
      <c r="G83" s="212"/>
    </row>
    <row r="85" spans="1:2" ht="11.25">
      <c r="A85" s="220"/>
      <c r="B85" s="220"/>
    </row>
    <row r="86" spans="3:7" ht="11.25">
      <c r="C86" s="209"/>
      <c r="D86" s="209"/>
      <c r="E86" s="209"/>
      <c r="F86" s="209"/>
      <c r="G86" s="209"/>
    </row>
    <row r="87" spans="3:7" ht="11.25">
      <c r="C87" s="212"/>
      <c r="D87" s="212"/>
      <c r="E87" s="212"/>
      <c r="F87" s="212"/>
      <c r="G87" s="212"/>
    </row>
    <row r="90" spans="3:7" ht="11.25">
      <c r="C90" s="212"/>
      <c r="D90" s="212"/>
      <c r="E90" s="212"/>
      <c r="F90" s="212"/>
      <c r="G90" s="212"/>
    </row>
    <row r="91" spans="3:7" ht="11.25">
      <c r="C91" s="209"/>
      <c r="D91" s="209"/>
      <c r="E91" s="209"/>
      <c r="F91" s="209"/>
      <c r="G91" s="209"/>
    </row>
    <row r="92" spans="3:7" ht="11.25">
      <c r="C92" s="212"/>
      <c r="D92" s="212"/>
      <c r="E92" s="212"/>
      <c r="F92" s="212"/>
      <c r="G92" s="212"/>
    </row>
    <row r="93" spans="3:7" ht="11.25">
      <c r="C93" s="212"/>
      <c r="D93" s="212"/>
      <c r="E93" s="212"/>
      <c r="F93" s="212"/>
      <c r="G93" s="212"/>
    </row>
    <row r="94" spans="3:7" ht="11.25">
      <c r="C94" s="212"/>
      <c r="D94" s="212"/>
      <c r="E94" s="212"/>
      <c r="F94" s="212"/>
      <c r="G94" s="212"/>
    </row>
    <row r="95" spans="3:7" ht="11.25">
      <c r="C95" s="209"/>
      <c r="D95" s="209"/>
      <c r="E95" s="209"/>
      <c r="F95" s="209"/>
      <c r="G95" s="209"/>
    </row>
    <row r="96" ht="11.25">
      <c r="C96" s="212"/>
    </row>
    <row r="97" spans="1:3" ht="11.25">
      <c r="A97" s="220"/>
      <c r="B97" s="220"/>
      <c r="C97" s="212"/>
    </row>
    <row r="98" spans="3:7" ht="11.25">
      <c r="C98" s="212"/>
      <c r="D98" s="212"/>
      <c r="E98" s="212"/>
      <c r="F98" s="212"/>
      <c r="G98" s="212"/>
    </row>
    <row r="99" spans="3:7" ht="11.25">
      <c r="C99" s="212"/>
      <c r="D99" s="212"/>
      <c r="E99" s="212"/>
      <c r="F99" s="212"/>
      <c r="G99" s="212"/>
    </row>
    <row r="100" spans="3:7" ht="11.25">
      <c r="C100" s="212"/>
      <c r="D100" s="212"/>
      <c r="E100" s="212"/>
      <c r="F100" s="212"/>
      <c r="G100" s="212"/>
    </row>
    <row r="101" spans="1:7" ht="11.25">
      <c r="A101" s="223"/>
      <c r="B101" s="223"/>
      <c r="C101" s="222"/>
      <c r="D101" s="222"/>
      <c r="E101" s="222"/>
      <c r="F101" s="222"/>
      <c r="G101" s="222"/>
    </row>
    <row r="103" spans="1:2" ht="11.25">
      <c r="A103" s="220"/>
      <c r="B103" s="220"/>
    </row>
    <row r="104" spans="3:7" ht="11.25">
      <c r="C104" s="212"/>
      <c r="D104" s="212"/>
      <c r="E104" s="212"/>
      <c r="F104" s="212"/>
      <c r="G104" s="212"/>
    </row>
    <row r="105" spans="3:7" ht="11.25">
      <c r="C105" s="212"/>
      <c r="D105" s="212"/>
      <c r="E105" s="212"/>
      <c r="F105" s="212"/>
      <c r="G105" s="212"/>
    </row>
    <row r="106" spans="3:7" ht="11.25">
      <c r="C106" s="212"/>
      <c r="D106" s="212"/>
      <c r="E106" s="212"/>
      <c r="F106" s="212"/>
      <c r="G106" s="212"/>
    </row>
    <row r="107" spans="3:7" ht="11.25">
      <c r="C107" s="212"/>
      <c r="D107" s="212"/>
      <c r="E107" s="212"/>
      <c r="F107" s="212"/>
      <c r="G107" s="212"/>
    </row>
    <row r="108" spans="3:7" ht="11.25">
      <c r="C108" s="212"/>
      <c r="D108" s="212"/>
      <c r="E108" s="212"/>
      <c r="F108" s="212"/>
      <c r="G108" s="212"/>
    </row>
    <row r="109" spans="3:7" ht="11.25">
      <c r="C109" s="212"/>
      <c r="D109" s="212"/>
      <c r="E109" s="212"/>
      <c r="F109" s="212"/>
      <c r="G109" s="212"/>
    </row>
    <row r="110" spans="3:7" ht="11.25">
      <c r="C110" s="212"/>
      <c r="D110" s="212"/>
      <c r="E110" s="212"/>
      <c r="F110" s="212"/>
      <c r="G110" s="212"/>
    </row>
    <row r="111" spans="3:7" ht="11.25">
      <c r="C111" s="212"/>
      <c r="D111" s="212"/>
      <c r="E111" s="212"/>
      <c r="F111" s="212"/>
      <c r="G111" s="212"/>
    </row>
    <row r="112" spans="3:7" ht="11.25">
      <c r="C112" s="212"/>
      <c r="D112" s="212"/>
      <c r="E112" s="212"/>
      <c r="F112" s="212"/>
      <c r="G112" s="212"/>
    </row>
    <row r="113" spans="3:7" ht="11.25">
      <c r="C113" s="212"/>
      <c r="D113" s="212"/>
      <c r="E113" s="212"/>
      <c r="F113" s="212"/>
      <c r="G113" s="212"/>
    </row>
    <row r="114" spans="3:7" ht="11.25">
      <c r="C114" s="212"/>
      <c r="D114" s="212"/>
      <c r="E114" s="212"/>
      <c r="F114" s="212"/>
      <c r="G114" s="212"/>
    </row>
    <row r="115" spans="3:7" ht="11.25">
      <c r="C115" s="212"/>
      <c r="D115" s="212"/>
      <c r="E115" s="212"/>
      <c r="F115" s="212"/>
      <c r="G115" s="212"/>
    </row>
    <row r="116" spans="1:7" ht="11.25">
      <c r="A116" s="223"/>
      <c r="B116" s="223"/>
      <c r="C116" s="222"/>
      <c r="D116" s="222"/>
      <c r="E116" s="222"/>
      <c r="F116" s="222"/>
      <c r="G116" s="222"/>
    </row>
    <row r="117" spans="1:7" ht="11.25">
      <c r="A117" s="223"/>
      <c r="B117" s="223"/>
      <c r="C117" s="222"/>
      <c r="D117" s="222"/>
      <c r="E117" s="222"/>
      <c r="F117" s="222"/>
      <c r="G117" s="222"/>
    </row>
    <row r="118" spans="1:7" ht="11.25">
      <c r="A118" s="208"/>
      <c r="B118" s="208"/>
      <c r="C118" s="212"/>
      <c r="D118" s="212"/>
      <c r="E118" s="212"/>
      <c r="F118" s="212"/>
      <c r="G118" s="212"/>
    </row>
  </sheetData>
  <sheetProtection/>
  <mergeCells count="2">
    <mergeCell ref="A3:L3"/>
    <mergeCell ref="A1:J1"/>
  </mergeCells>
  <printOptions horizontalCentered="1" verticalCentered="1"/>
  <pageMargins left="0.4330708661417323" right="0.5118110236220472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5">
      <selection activeCell="C32" sqref="C32"/>
    </sheetView>
  </sheetViews>
  <sheetFormatPr defaultColWidth="9.140625" defaultRowHeight="12.75"/>
  <cols>
    <col min="1" max="1" width="21.00390625" style="197" customWidth="1"/>
    <col min="2" max="2" width="9.7109375" style="197" bestFit="1" customWidth="1"/>
    <col min="3" max="3" width="10.7109375" style="197" customWidth="1"/>
    <col min="4" max="4" width="9.421875" style="197" customWidth="1"/>
    <col min="5" max="5" width="9.57421875" style="197" customWidth="1"/>
    <col min="6" max="6" width="9.7109375" style="197" customWidth="1"/>
    <col min="7" max="7" width="9.00390625" style="197" customWidth="1"/>
    <col min="8" max="8" width="9.7109375" style="197" customWidth="1"/>
    <col min="9" max="9" width="9.8515625" style="197" customWidth="1"/>
    <col min="10" max="10" width="10.00390625" style="197" bestFit="1" customWidth="1"/>
    <col min="11" max="11" width="10.140625" style="197" customWidth="1"/>
    <col min="12" max="12" width="11.28125" style="197" bestFit="1" customWidth="1"/>
    <col min="13" max="16384" width="9.140625" style="197" customWidth="1"/>
  </cols>
  <sheetData>
    <row r="1" spans="1:4" s="191" customFormat="1" ht="12.75">
      <c r="A1" s="159" t="s">
        <v>158</v>
      </c>
      <c r="B1" s="159"/>
      <c r="C1" s="159"/>
      <c r="D1" s="159"/>
    </row>
    <row r="2" spans="1:4" s="191" customFormat="1" ht="12.75">
      <c r="A2" s="647" t="s">
        <v>162</v>
      </c>
      <c r="B2" s="647"/>
      <c r="C2" s="647"/>
      <c r="D2" s="647"/>
    </row>
    <row r="3" s="191" customFormat="1" ht="12"/>
    <row r="4" spans="1:12" s="161" customFormat="1" ht="11.25">
      <c r="A4" s="769" t="s">
        <v>133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</row>
    <row r="5" s="161" customFormat="1" ht="11.25">
      <c r="D5" s="162"/>
    </row>
    <row r="6" spans="1:12" s="165" customFormat="1" ht="11.25">
      <c r="A6" s="163" t="s">
        <v>7</v>
      </c>
      <c r="B6" s="164"/>
      <c r="C6" s="164" t="s">
        <v>119</v>
      </c>
      <c r="D6" s="164" t="s">
        <v>121</v>
      </c>
      <c r="E6" s="164" t="s">
        <v>122</v>
      </c>
      <c r="F6" s="164" t="s">
        <v>123</v>
      </c>
      <c r="G6" s="164" t="s">
        <v>124</v>
      </c>
      <c r="H6" s="164" t="s">
        <v>125</v>
      </c>
      <c r="I6" s="164" t="s">
        <v>126</v>
      </c>
      <c r="J6" s="164" t="s">
        <v>127</v>
      </c>
      <c r="K6" s="164" t="s">
        <v>128</v>
      </c>
      <c r="L6" s="164" t="s">
        <v>129</v>
      </c>
    </row>
    <row r="7" spans="1:15" s="165" customFormat="1" ht="11.25">
      <c r="A7" s="165" t="s">
        <v>94</v>
      </c>
      <c r="D7" s="166">
        <f>+'Sal. Var'!I65</f>
        <v>46680</v>
      </c>
      <c r="E7" s="166">
        <f>+D7+(D7*0.25)</f>
        <v>58350</v>
      </c>
      <c r="F7" s="166">
        <f aca="true" t="shared" si="0" ref="F7:L7">+E7+(E7*0.25)</f>
        <v>72937.5</v>
      </c>
      <c r="G7" s="166">
        <f t="shared" si="0"/>
        <v>91171.875</v>
      </c>
      <c r="H7" s="166">
        <f t="shared" si="0"/>
        <v>113964.84375</v>
      </c>
      <c r="I7" s="166">
        <f t="shared" si="0"/>
        <v>142456.0546875</v>
      </c>
      <c r="J7" s="166">
        <f t="shared" si="0"/>
        <v>178070.068359375</v>
      </c>
      <c r="K7" s="166">
        <f t="shared" si="0"/>
        <v>222587.58544921875</v>
      </c>
      <c r="L7" s="166">
        <f t="shared" si="0"/>
        <v>278234.48181152344</v>
      </c>
      <c r="M7" s="162"/>
      <c r="N7" s="162"/>
      <c r="O7" s="162"/>
    </row>
    <row r="8" spans="1:15" s="168" customFormat="1" ht="33.75">
      <c r="A8" s="167" t="s">
        <v>188</v>
      </c>
      <c r="C8" s="192">
        <v>0</v>
      </c>
      <c r="D8" s="169">
        <v>0</v>
      </c>
      <c r="E8" s="169">
        <v>0</v>
      </c>
      <c r="F8" s="169">
        <v>0</v>
      </c>
      <c r="G8" s="169">
        <f>+'Bce reemp'!I22</f>
        <v>769.75</v>
      </c>
      <c r="H8" s="169">
        <v>0</v>
      </c>
      <c r="I8" s="169">
        <v>0</v>
      </c>
      <c r="J8" s="169">
        <v>0</v>
      </c>
      <c r="K8" s="169">
        <v>0</v>
      </c>
      <c r="L8" s="169">
        <f>+'Bce reemp'!J22</f>
        <v>808.2375</v>
      </c>
      <c r="M8" s="170"/>
      <c r="N8" s="170"/>
      <c r="O8" s="170"/>
    </row>
    <row r="9" spans="1:12" s="165" customFormat="1" ht="11.25">
      <c r="A9" s="171" t="s">
        <v>8</v>
      </c>
      <c r="B9" s="171"/>
      <c r="C9" s="172">
        <f>SUM(C7)</f>
        <v>0</v>
      </c>
      <c r="D9" s="172">
        <f>SUM(D7:D8)</f>
        <v>46680</v>
      </c>
      <c r="E9" s="172">
        <f aca="true" t="shared" si="1" ref="E9:L9">SUM(E7:E8)</f>
        <v>58350</v>
      </c>
      <c r="F9" s="172">
        <f t="shared" si="1"/>
        <v>72937.5</v>
      </c>
      <c r="G9" s="172">
        <f t="shared" si="1"/>
        <v>91941.625</v>
      </c>
      <c r="H9" s="172">
        <f t="shared" si="1"/>
        <v>113964.84375</v>
      </c>
      <c r="I9" s="172">
        <f t="shared" si="1"/>
        <v>142456.0546875</v>
      </c>
      <c r="J9" s="172">
        <f t="shared" si="1"/>
        <v>178070.068359375</v>
      </c>
      <c r="K9" s="172">
        <f t="shared" si="1"/>
        <v>222587.58544921875</v>
      </c>
      <c r="L9" s="172">
        <f t="shared" si="1"/>
        <v>279042.7193115234</v>
      </c>
    </row>
    <row r="10" spans="3:12" s="165" customFormat="1" ht="11.25"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2" s="165" customFormat="1" ht="11.25">
      <c r="A11" s="163" t="s">
        <v>9</v>
      </c>
      <c r="B11" s="163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s="165" customFormat="1" ht="11.25">
      <c r="A12" s="163" t="s">
        <v>118</v>
      </c>
      <c r="B12" s="163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s="165" customFormat="1" ht="11.25">
      <c r="A13" s="165" t="s">
        <v>168</v>
      </c>
      <c r="C13" s="162">
        <f>+'Bce Pers.'!B18</f>
        <v>32455.516799999998</v>
      </c>
      <c r="D13" s="162">
        <f>+C13</f>
        <v>32455.516799999998</v>
      </c>
      <c r="E13" s="162">
        <f>+C13</f>
        <v>32455.516799999998</v>
      </c>
      <c r="F13" s="162">
        <f>+E13+(E13*0.1)</f>
        <v>35701.068479999994</v>
      </c>
      <c r="G13" s="162">
        <f>+F13</f>
        <v>35701.068479999994</v>
      </c>
      <c r="H13" s="162">
        <f>+F13</f>
        <v>35701.068479999994</v>
      </c>
      <c r="I13" s="162">
        <f>+H13+(H13*0.1)</f>
        <v>39271.175328</v>
      </c>
      <c r="J13" s="162">
        <f>+I13</f>
        <v>39271.175328</v>
      </c>
      <c r="K13" s="162">
        <f>+J13</f>
        <v>39271.175328</v>
      </c>
      <c r="L13" s="162">
        <f>+K13</f>
        <v>39271.175328</v>
      </c>
    </row>
    <row r="14" spans="1:12" s="165" customFormat="1" ht="11.25">
      <c r="A14" s="165" t="s">
        <v>132</v>
      </c>
      <c r="C14" s="162">
        <v>0</v>
      </c>
      <c r="D14" s="162">
        <f>+'Sal. Var'!H14</f>
        <v>583.2</v>
      </c>
      <c r="E14" s="162">
        <f>+D14</f>
        <v>583.2</v>
      </c>
      <c r="F14" s="162">
        <f aca="true" t="shared" si="2" ref="F14:L14">+E14</f>
        <v>583.2</v>
      </c>
      <c r="G14" s="162">
        <f t="shared" si="2"/>
        <v>583.2</v>
      </c>
      <c r="H14" s="162">
        <f t="shared" si="2"/>
        <v>583.2</v>
      </c>
      <c r="I14" s="162">
        <f t="shared" si="2"/>
        <v>583.2</v>
      </c>
      <c r="J14" s="162">
        <f t="shared" si="2"/>
        <v>583.2</v>
      </c>
      <c r="K14" s="162">
        <f t="shared" si="2"/>
        <v>583.2</v>
      </c>
      <c r="L14" s="162">
        <f t="shared" si="2"/>
        <v>583.2</v>
      </c>
    </row>
    <row r="15" spans="1:12" s="165" customFormat="1" ht="11.25">
      <c r="A15" s="165" t="s">
        <v>116</v>
      </c>
      <c r="C15" s="162">
        <f>2*7*4*12</f>
        <v>672</v>
      </c>
      <c r="D15" s="162">
        <f>+C15+(C15*0.01)</f>
        <v>678.72</v>
      </c>
      <c r="E15" s="162">
        <f aca="true" t="shared" si="3" ref="E15:L15">+D15+(D15*0.01)</f>
        <v>685.5072</v>
      </c>
      <c r="F15" s="162">
        <f t="shared" si="3"/>
        <v>692.362272</v>
      </c>
      <c r="G15" s="162">
        <f t="shared" si="3"/>
        <v>699.28589472</v>
      </c>
      <c r="H15" s="162">
        <f t="shared" si="3"/>
        <v>706.2787536672</v>
      </c>
      <c r="I15" s="162">
        <f t="shared" si="3"/>
        <v>713.341541203872</v>
      </c>
      <c r="J15" s="162">
        <f t="shared" si="3"/>
        <v>720.4749566159107</v>
      </c>
      <c r="K15" s="162">
        <f t="shared" si="3"/>
        <v>727.6797061820698</v>
      </c>
      <c r="L15" s="162">
        <f t="shared" si="3"/>
        <v>734.9565032438906</v>
      </c>
    </row>
    <row r="16" spans="1:12" s="165" customFormat="1" ht="11.25">
      <c r="A16" s="165" t="s">
        <v>10</v>
      </c>
      <c r="C16" s="162">
        <f>+Hoja2!C34</f>
        <v>360</v>
      </c>
      <c r="D16" s="162">
        <f>+C16+(C16*0.01)</f>
        <v>363.6</v>
      </c>
      <c r="E16" s="162">
        <f aca="true" t="shared" si="4" ref="E16:L16">+D16+(D16*0.01)</f>
        <v>367.23600000000005</v>
      </c>
      <c r="F16" s="162">
        <f t="shared" si="4"/>
        <v>370.9083600000001</v>
      </c>
      <c r="G16" s="162">
        <f t="shared" si="4"/>
        <v>374.61744360000006</v>
      </c>
      <c r="H16" s="162">
        <f t="shared" si="4"/>
        <v>378.36361803600005</v>
      </c>
      <c r="I16" s="162">
        <f t="shared" si="4"/>
        <v>382.14725421636007</v>
      </c>
      <c r="J16" s="162">
        <f t="shared" si="4"/>
        <v>385.96872675852364</v>
      </c>
      <c r="K16" s="162">
        <f t="shared" si="4"/>
        <v>389.8284140261089</v>
      </c>
      <c r="L16" s="162">
        <f t="shared" si="4"/>
        <v>393.72669816636994</v>
      </c>
    </row>
    <row r="17" spans="1:12" s="165" customFormat="1" ht="11.25">
      <c r="A17" s="165" t="s">
        <v>6</v>
      </c>
      <c r="C17" s="162">
        <f>+Hoja2!C35</f>
        <v>6000</v>
      </c>
      <c r="D17" s="162">
        <f>+C17+(C17*0.01)</f>
        <v>6060</v>
      </c>
      <c r="E17" s="162">
        <f aca="true" t="shared" si="5" ref="E17:L17">+D17+(D17*0.01)</f>
        <v>6120.6</v>
      </c>
      <c r="F17" s="162">
        <f t="shared" si="5"/>
        <v>6181.8060000000005</v>
      </c>
      <c r="G17" s="162">
        <f t="shared" si="5"/>
        <v>6243.62406</v>
      </c>
      <c r="H17" s="162">
        <f t="shared" si="5"/>
        <v>6306.0603006</v>
      </c>
      <c r="I17" s="162">
        <f t="shared" si="5"/>
        <v>6369.120903606</v>
      </c>
      <c r="J17" s="162">
        <f t="shared" si="5"/>
        <v>6432.81211264206</v>
      </c>
      <c r="K17" s="162">
        <f t="shared" si="5"/>
        <v>6497.14023376848</v>
      </c>
      <c r="L17" s="162">
        <f t="shared" si="5"/>
        <v>6562.111636106165</v>
      </c>
    </row>
    <row r="18" spans="1:12" s="165" customFormat="1" ht="11.25" hidden="1">
      <c r="A18" s="165" t="s">
        <v>11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</row>
    <row r="19" spans="1:12" s="165" customFormat="1" ht="11.25">
      <c r="A19" s="171" t="s">
        <v>12</v>
      </c>
      <c r="B19" s="171"/>
      <c r="C19" s="173">
        <f aca="true" t="shared" si="6" ref="C19:L19">SUM(C13:C18)</f>
        <v>39487.5168</v>
      </c>
      <c r="D19" s="173">
        <f t="shared" si="6"/>
        <v>40141.036799999994</v>
      </c>
      <c r="E19" s="173">
        <f t="shared" si="6"/>
        <v>40212.05999999999</v>
      </c>
      <c r="F19" s="173">
        <f t="shared" si="6"/>
        <v>43529.345111999995</v>
      </c>
      <c r="G19" s="173">
        <f t="shared" si="6"/>
        <v>43601.795878319994</v>
      </c>
      <c r="H19" s="173">
        <f t="shared" si="6"/>
        <v>43674.97115230319</v>
      </c>
      <c r="I19" s="173">
        <f t="shared" si="6"/>
        <v>47318.98502702623</v>
      </c>
      <c r="J19" s="173">
        <f t="shared" si="6"/>
        <v>47393.63112401649</v>
      </c>
      <c r="K19" s="173">
        <f t="shared" si="6"/>
        <v>47469.02368197665</v>
      </c>
      <c r="L19" s="173">
        <f t="shared" si="6"/>
        <v>47545.17016551642</v>
      </c>
    </row>
    <row r="20" spans="1:12" s="165" customFormat="1" ht="11.25">
      <c r="A20" s="171" t="s">
        <v>109</v>
      </c>
      <c r="B20" s="171"/>
      <c r="C20" s="172">
        <f>+Equipos!$C$14</f>
        <v>1282.9166666666667</v>
      </c>
      <c r="D20" s="172">
        <f>+Equipos!$C$14</f>
        <v>1282.9166666666667</v>
      </c>
      <c r="E20" s="172">
        <f>+Equipos!$C$14</f>
        <v>1282.9166666666667</v>
      </c>
      <c r="F20" s="172">
        <f>+Equipos!$C$14</f>
        <v>1282.9166666666667</v>
      </c>
      <c r="G20" s="172">
        <f>+Equipos!$C$14</f>
        <v>1282.9166666666667</v>
      </c>
      <c r="H20" s="172">
        <f>+Equipos!$C$14</f>
        <v>1282.9166666666667</v>
      </c>
      <c r="I20" s="172">
        <f>+Equipos!$C$14</f>
        <v>1282.9166666666667</v>
      </c>
      <c r="J20" s="172">
        <f>+Equipos!$C$14</f>
        <v>1282.9166666666667</v>
      </c>
      <c r="K20" s="172">
        <f>+Equipos!$C$14</f>
        <v>1282.9166666666667</v>
      </c>
      <c r="L20" s="172">
        <f>+Equipos!$C$14</f>
        <v>1282.9166666666667</v>
      </c>
    </row>
    <row r="21" spans="1:12" s="165" customFormat="1" ht="11.25">
      <c r="A21" s="171" t="s">
        <v>110</v>
      </c>
      <c r="B21" s="171"/>
      <c r="C21" s="172">
        <f>+Equipos!$Q$28</f>
        <v>554.6875</v>
      </c>
      <c r="D21" s="172">
        <f>+Equipos!$Q$28</f>
        <v>554.6875</v>
      </c>
      <c r="E21" s="172">
        <f>+Equipos!$Q$28</f>
        <v>554.6875</v>
      </c>
      <c r="F21" s="172">
        <f>+Equipos!$Q$28</f>
        <v>554.6875</v>
      </c>
      <c r="G21" s="172">
        <f>+Equipos!$Q$28</f>
        <v>554.6875</v>
      </c>
      <c r="H21" s="172">
        <f>+Equipos!$Q$28</f>
        <v>554.6875</v>
      </c>
      <c r="I21" s="172">
        <f>+Equipos!$Q$28</f>
        <v>554.6875</v>
      </c>
      <c r="J21" s="172">
        <f>+Equipos!$Q$28</f>
        <v>554.6875</v>
      </c>
      <c r="K21" s="172">
        <f>+Equipos!$Q$28</f>
        <v>554.6875</v>
      </c>
      <c r="L21" s="172">
        <f>+Equipos!$Q$28</f>
        <v>554.6875</v>
      </c>
    </row>
    <row r="22" spans="1:12" s="165" customFormat="1" ht="11.25">
      <c r="A22" s="171" t="s">
        <v>13</v>
      </c>
      <c r="B22" s="174"/>
      <c r="C22" s="173">
        <f aca="true" t="shared" si="7" ref="C22:L22">C9-C19-C20-C21</f>
        <v>-41325.12096666666</v>
      </c>
      <c r="D22" s="173">
        <f t="shared" si="7"/>
        <v>4701.359033333339</v>
      </c>
      <c r="E22" s="173">
        <f t="shared" si="7"/>
        <v>16300.335833333342</v>
      </c>
      <c r="F22" s="173">
        <f t="shared" si="7"/>
        <v>27570.550721333337</v>
      </c>
      <c r="G22" s="173">
        <f t="shared" si="7"/>
        <v>46502.22495501334</v>
      </c>
      <c r="H22" s="173">
        <f t="shared" si="7"/>
        <v>68452.26843103014</v>
      </c>
      <c r="I22" s="173">
        <f t="shared" si="7"/>
        <v>93299.46549380709</v>
      </c>
      <c r="J22" s="173">
        <f t="shared" si="7"/>
        <v>128838.83306869185</v>
      </c>
      <c r="K22" s="173">
        <f t="shared" si="7"/>
        <v>173280.95760057544</v>
      </c>
      <c r="L22" s="173">
        <f t="shared" si="7"/>
        <v>229659.94497934033</v>
      </c>
    </row>
    <row r="23" spans="1:12" s="165" customFormat="1" ht="11.25">
      <c r="A23" s="175" t="s">
        <v>104</v>
      </c>
      <c r="B23" s="175"/>
      <c r="C23" s="162">
        <f aca="true" t="shared" si="8" ref="C23:L23">+C22*$D$27</f>
        <v>-10331.280241666665</v>
      </c>
      <c r="D23" s="162">
        <f t="shared" si="8"/>
        <v>1175.3397583333347</v>
      </c>
      <c r="E23" s="162">
        <f t="shared" si="8"/>
        <v>4075.0839583333354</v>
      </c>
      <c r="F23" s="162">
        <f t="shared" si="8"/>
        <v>6892.637680333334</v>
      </c>
      <c r="G23" s="162">
        <f t="shared" si="8"/>
        <v>11625.556238753335</v>
      </c>
      <c r="H23" s="162">
        <f t="shared" si="8"/>
        <v>17113.067107757535</v>
      </c>
      <c r="I23" s="162">
        <f t="shared" si="8"/>
        <v>23324.866373451772</v>
      </c>
      <c r="J23" s="162">
        <f t="shared" si="8"/>
        <v>32209.708267172962</v>
      </c>
      <c r="K23" s="162">
        <f t="shared" si="8"/>
        <v>43320.23940014386</v>
      </c>
      <c r="L23" s="162">
        <f t="shared" si="8"/>
        <v>57414.98624483508</v>
      </c>
    </row>
    <row r="24" spans="1:12" s="165" customFormat="1" ht="11.25">
      <c r="A24" s="171" t="s">
        <v>14</v>
      </c>
      <c r="B24" s="171"/>
      <c r="C24" s="173">
        <f>C22-C23</f>
        <v>-30993.840724999995</v>
      </c>
      <c r="D24" s="173">
        <f aca="true" t="shared" si="9" ref="D24:L24">D22</f>
        <v>4701.359033333339</v>
      </c>
      <c r="E24" s="173">
        <f t="shared" si="9"/>
        <v>16300.335833333342</v>
      </c>
      <c r="F24" s="173">
        <f t="shared" si="9"/>
        <v>27570.550721333337</v>
      </c>
      <c r="G24" s="173">
        <f t="shared" si="9"/>
        <v>46502.22495501334</v>
      </c>
      <c r="H24" s="173">
        <f t="shared" si="9"/>
        <v>68452.26843103014</v>
      </c>
      <c r="I24" s="173">
        <f t="shared" si="9"/>
        <v>93299.46549380709</v>
      </c>
      <c r="J24" s="173">
        <f t="shared" si="9"/>
        <v>128838.83306869185</v>
      </c>
      <c r="K24" s="173">
        <f t="shared" si="9"/>
        <v>173280.95760057544</v>
      </c>
      <c r="L24" s="173">
        <f t="shared" si="9"/>
        <v>229659.94497934033</v>
      </c>
    </row>
    <row r="25" spans="1:12" s="165" customFormat="1" ht="11.25">
      <c r="A25" s="171" t="s">
        <v>130</v>
      </c>
      <c r="B25" s="162">
        <v>-16694.1532</v>
      </c>
      <c r="C25" s="176">
        <f>+C24</f>
        <v>-30993.840724999995</v>
      </c>
      <c r="D25" s="176">
        <f aca="true" t="shared" si="10" ref="D25:L25">+D24</f>
        <v>4701.359033333339</v>
      </c>
      <c r="E25" s="176">
        <f t="shared" si="10"/>
        <v>16300.335833333342</v>
      </c>
      <c r="F25" s="176">
        <f t="shared" si="10"/>
        <v>27570.550721333337</v>
      </c>
      <c r="G25" s="176">
        <f t="shared" si="10"/>
        <v>46502.22495501334</v>
      </c>
      <c r="H25" s="176">
        <f t="shared" si="10"/>
        <v>68452.26843103014</v>
      </c>
      <c r="I25" s="176">
        <f t="shared" si="10"/>
        <v>93299.46549380709</v>
      </c>
      <c r="J25" s="176">
        <f t="shared" si="10"/>
        <v>128838.83306869185</v>
      </c>
      <c r="K25" s="176">
        <f t="shared" si="10"/>
        <v>173280.95760057544</v>
      </c>
      <c r="L25" s="176">
        <f t="shared" si="10"/>
        <v>229659.94497934033</v>
      </c>
    </row>
    <row r="26" spans="1:12" s="161" customFormat="1" ht="11.25">
      <c r="A26" s="165"/>
      <c r="B26" s="165"/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1:12" s="161" customFormat="1" ht="11.25">
      <c r="A27" s="643" t="s">
        <v>131</v>
      </c>
      <c r="B27" s="644">
        <v>0.18</v>
      </c>
      <c r="C27" s="645"/>
      <c r="D27" s="158">
        <v>0.25</v>
      </c>
      <c r="E27" s="162"/>
      <c r="F27" s="162"/>
      <c r="G27" s="162"/>
      <c r="H27" s="162"/>
      <c r="I27" s="162"/>
      <c r="J27" s="162"/>
      <c r="K27" s="162"/>
      <c r="L27" s="162"/>
    </row>
    <row r="28" spans="1:12" s="161" customFormat="1" ht="11.25">
      <c r="A28" s="180"/>
      <c r="B28" s="180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1:7" s="165" customFormat="1" ht="15" customHeight="1">
      <c r="A29" s="767" t="s">
        <v>15</v>
      </c>
      <c r="B29" s="767"/>
      <c r="C29" s="767"/>
      <c r="D29" s="177"/>
      <c r="E29" s="182"/>
      <c r="F29" s="177"/>
      <c r="G29" s="177"/>
    </row>
    <row r="30" spans="1:7" s="165" customFormat="1" ht="15" customHeight="1">
      <c r="A30" s="768"/>
      <c r="B30" s="767"/>
      <c r="C30" s="767"/>
      <c r="D30" s="183"/>
      <c r="E30" s="184"/>
      <c r="F30" s="183"/>
      <c r="G30" s="183"/>
    </row>
    <row r="31" spans="1:7" s="165" customFormat="1" ht="12.75" customHeight="1">
      <c r="A31" s="193" t="s">
        <v>16</v>
      </c>
      <c r="B31" s="193"/>
      <c r="C31" s="194"/>
      <c r="E31" s="187"/>
      <c r="F31" s="187"/>
      <c r="G31" s="187"/>
    </row>
    <row r="32" spans="1:5" s="165" customFormat="1" ht="11.25">
      <c r="A32" s="188" t="s">
        <v>17</v>
      </c>
      <c r="B32" s="195"/>
      <c r="C32" s="196">
        <f>IRR(B25:L25)</f>
        <v>0.5420000715874428</v>
      </c>
      <c r="E32" s="189"/>
    </row>
    <row r="33" spans="1:3" s="165" customFormat="1" ht="22.5">
      <c r="A33" s="188" t="s">
        <v>18</v>
      </c>
      <c r="B33" s="188"/>
      <c r="C33" s="190">
        <f>NPV(C34,C25:L25)+B25</f>
        <v>103439.32469104082</v>
      </c>
    </row>
    <row r="34" spans="1:3" s="165" customFormat="1" ht="12.75" customHeight="1">
      <c r="A34" s="188" t="s">
        <v>19</v>
      </c>
      <c r="B34" s="188"/>
      <c r="C34" s="186">
        <v>0.25</v>
      </c>
    </row>
    <row r="36" ht="12">
      <c r="C36" s="198"/>
    </row>
    <row r="37" ht="12">
      <c r="C37" s="199"/>
    </row>
    <row r="38" spans="3:6" ht="12">
      <c r="C38" s="200"/>
      <c r="D38" s="200"/>
      <c r="E38" s="200"/>
      <c r="F38" s="200"/>
    </row>
    <row r="39" spans="1:7" ht="12">
      <c r="A39" s="191"/>
      <c r="B39" s="191"/>
      <c r="C39" s="201"/>
      <c r="D39" s="202"/>
      <c r="E39" s="202"/>
      <c r="F39" s="202"/>
      <c r="G39" s="202"/>
    </row>
    <row r="44" spans="1:7" ht="12">
      <c r="A44" s="191"/>
      <c r="B44" s="191"/>
      <c r="C44" s="191"/>
      <c r="D44" s="191"/>
      <c r="E44" s="191"/>
      <c r="F44" s="191"/>
      <c r="G44" s="191"/>
    </row>
    <row r="49" spans="1:2" ht="12">
      <c r="A49" s="191"/>
      <c r="B49" s="191"/>
    </row>
    <row r="50" spans="3:7" ht="12">
      <c r="C50" s="202"/>
      <c r="D50" s="202"/>
      <c r="E50" s="202"/>
      <c r="F50" s="202"/>
      <c r="G50" s="202"/>
    </row>
    <row r="51" spans="3:7" ht="12">
      <c r="C51" s="202"/>
      <c r="D51" s="202"/>
      <c r="E51" s="202"/>
      <c r="F51" s="202"/>
      <c r="G51" s="202"/>
    </row>
    <row r="52" spans="3:7" ht="12">
      <c r="C52" s="202"/>
      <c r="D52" s="202"/>
      <c r="E52" s="202"/>
      <c r="F52" s="202"/>
      <c r="G52" s="202"/>
    </row>
    <row r="54" spans="1:2" ht="12">
      <c r="A54" s="191"/>
      <c r="B54" s="191"/>
    </row>
    <row r="55" spans="3:7" ht="12">
      <c r="C55" s="200"/>
      <c r="D55" s="200"/>
      <c r="E55" s="200"/>
      <c r="F55" s="200"/>
      <c r="G55" s="200"/>
    </row>
    <row r="56" spans="3:7" ht="12">
      <c r="C56" s="200"/>
      <c r="D56" s="200"/>
      <c r="E56" s="200"/>
      <c r="F56" s="200"/>
      <c r="G56" s="200"/>
    </row>
    <row r="57" spans="3:7" ht="12">
      <c r="C57" s="200"/>
      <c r="D57" s="200"/>
      <c r="E57" s="200"/>
      <c r="F57" s="200"/>
      <c r="G57" s="200"/>
    </row>
    <row r="59" spans="1:2" ht="12">
      <c r="A59" s="191"/>
      <c r="B59" s="191"/>
    </row>
    <row r="60" spans="3:7" ht="12">
      <c r="C60" s="202"/>
      <c r="D60" s="202"/>
      <c r="E60" s="202"/>
      <c r="F60" s="202"/>
      <c r="G60" s="202"/>
    </row>
    <row r="61" spans="3:7" ht="12">
      <c r="C61" s="202"/>
      <c r="D61" s="202"/>
      <c r="E61" s="202"/>
      <c r="F61" s="202"/>
      <c r="G61" s="202"/>
    </row>
    <row r="62" spans="3:7" ht="12">
      <c r="C62" s="202"/>
      <c r="D62" s="202"/>
      <c r="E62" s="202"/>
      <c r="F62" s="202"/>
      <c r="G62" s="202"/>
    </row>
    <row r="64" spans="1:7" ht="12">
      <c r="A64" s="191"/>
      <c r="B64" s="191"/>
      <c r="C64" s="203"/>
      <c r="D64" s="203"/>
      <c r="E64" s="203"/>
      <c r="F64" s="203"/>
      <c r="G64" s="203"/>
    </row>
    <row r="65" spans="3:7" ht="12">
      <c r="C65" s="202"/>
      <c r="D65" s="202"/>
      <c r="E65" s="202"/>
      <c r="F65" s="202"/>
      <c r="G65" s="202"/>
    </row>
    <row r="66" spans="3:7" ht="12">
      <c r="C66" s="202"/>
      <c r="D66" s="202"/>
      <c r="E66" s="202"/>
      <c r="F66" s="202"/>
      <c r="G66" s="202"/>
    </row>
    <row r="67" spans="3:7" ht="12">
      <c r="C67" s="202"/>
      <c r="D67" s="202"/>
      <c r="E67" s="202"/>
      <c r="F67" s="202"/>
      <c r="G67" s="202"/>
    </row>
    <row r="69" spans="1:7" ht="12">
      <c r="A69" s="191"/>
      <c r="B69" s="191"/>
      <c r="C69" s="203"/>
      <c r="D69" s="203"/>
      <c r="E69" s="203"/>
      <c r="F69" s="203"/>
      <c r="G69" s="203"/>
    </row>
    <row r="70" spans="3:7" ht="12">
      <c r="C70" s="202"/>
      <c r="D70" s="202"/>
      <c r="E70" s="202"/>
      <c r="F70" s="202"/>
      <c r="G70" s="202"/>
    </row>
    <row r="71" spans="3:7" ht="12">
      <c r="C71" s="202"/>
      <c r="D71" s="202"/>
      <c r="E71" s="202"/>
      <c r="F71" s="202"/>
      <c r="G71" s="202"/>
    </row>
    <row r="72" spans="3:7" ht="12">
      <c r="C72" s="202"/>
      <c r="D72" s="202"/>
      <c r="E72" s="202"/>
      <c r="F72" s="202"/>
      <c r="G72" s="202"/>
    </row>
    <row r="74" spans="1:7" ht="12">
      <c r="A74" s="191"/>
      <c r="B74" s="191"/>
      <c r="C74" s="203"/>
      <c r="D74" s="203"/>
      <c r="E74" s="203"/>
      <c r="F74" s="203"/>
      <c r="G74" s="203"/>
    </row>
    <row r="75" spans="3:7" ht="12">
      <c r="C75" s="202"/>
      <c r="D75" s="202"/>
      <c r="E75" s="202"/>
      <c r="F75" s="202"/>
      <c r="G75" s="202"/>
    </row>
    <row r="76" spans="3:7" ht="12">
      <c r="C76" s="202"/>
      <c r="D76" s="202"/>
      <c r="E76" s="202"/>
      <c r="F76" s="202"/>
      <c r="G76" s="202"/>
    </row>
    <row r="77" spans="3:7" ht="12">
      <c r="C77" s="202"/>
      <c r="D77" s="202"/>
      <c r="E77" s="202"/>
      <c r="F77" s="202"/>
      <c r="G77" s="202"/>
    </row>
    <row r="79" spans="1:2" ht="12">
      <c r="A79" s="191"/>
      <c r="B79" s="191"/>
    </row>
    <row r="80" spans="3:7" ht="12">
      <c r="C80" s="200"/>
      <c r="D80" s="200"/>
      <c r="E80" s="200"/>
      <c r="F80" s="200"/>
      <c r="G80" s="200"/>
    </row>
    <row r="81" spans="3:7" ht="12">
      <c r="C81" s="202"/>
      <c r="D81" s="202"/>
      <c r="E81" s="202"/>
      <c r="F81" s="202"/>
      <c r="G81" s="202"/>
    </row>
    <row r="84" spans="3:7" ht="12">
      <c r="C84" s="202"/>
      <c r="D84" s="202"/>
      <c r="E84" s="202"/>
      <c r="F84" s="202"/>
      <c r="G84" s="202"/>
    </row>
    <row r="85" spans="3:7" ht="12">
      <c r="C85" s="200"/>
      <c r="D85" s="200"/>
      <c r="E85" s="200"/>
      <c r="F85" s="200"/>
      <c r="G85" s="200"/>
    </row>
    <row r="86" spans="3:7" ht="12">
      <c r="C86" s="202"/>
      <c r="D86" s="202"/>
      <c r="E86" s="202"/>
      <c r="F86" s="202"/>
      <c r="G86" s="202"/>
    </row>
    <row r="87" spans="3:7" ht="12">
      <c r="C87" s="202"/>
      <c r="D87" s="202"/>
      <c r="E87" s="202"/>
      <c r="F87" s="202"/>
      <c r="G87" s="202"/>
    </row>
    <row r="88" spans="3:7" ht="12">
      <c r="C88" s="202"/>
      <c r="D88" s="202"/>
      <c r="E88" s="202"/>
      <c r="F88" s="202"/>
      <c r="G88" s="202"/>
    </row>
    <row r="89" spans="3:7" ht="12">
      <c r="C89" s="200"/>
      <c r="D89" s="200"/>
      <c r="E89" s="200"/>
      <c r="F89" s="200"/>
      <c r="G89" s="200"/>
    </row>
    <row r="90" ht="12">
      <c r="C90" s="202"/>
    </row>
    <row r="91" spans="1:3" ht="12">
      <c r="A91" s="191"/>
      <c r="B91" s="191"/>
      <c r="C91" s="202"/>
    </row>
    <row r="92" spans="3:7" ht="12">
      <c r="C92" s="202"/>
      <c r="D92" s="202"/>
      <c r="E92" s="202"/>
      <c r="F92" s="202"/>
      <c r="G92" s="202"/>
    </row>
    <row r="93" spans="3:7" ht="12">
      <c r="C93" s="202"/>
      <c r="D93" s="202"/>
      <c r="E93" s="202"/>
      <c r="F93" s="202"/>
      <c r="G93" s="202"/>
    </row>
    <row r="94" spans="3:7" ht="12">
      <c r="C94" s="202"/>
      <c r="D94" s="202"/>
      <c r="E94" s="202"/>
      <c r="F94" s="202"/>
      <c r="G94" s="202"/>
    </row>
    <row r="95" spans="1:7" ht="12">
      <c r="A95" s="204"/>
      <c r="B95" s="204"/>
      <c r="C95" s="203"/>
      <c r="D95" s="203"/>
      <c r="E95" s="203"/>
      <c r="F95" s="203"/>
      <c r="G95" s="203"/>
    </row>
    <row r="97" spans="1:2" ht="12">
      <c r="A97" s="191"/>
      <c r="B97" s="191"/>
    </row>
    <row r="98" spans="3:7" ht="12">
      <c r="C98" s="202"/>
      <c r="D98" s="202"/>
      <c r="E98" s="202"/>
      <c r="F98" s="202"/>
      <c r="G98" s="202"/>
    </row>
    <row r="99" spans="3:7" ht="12">
      <c r="C99" s="202"/>
      <c r="D99" s="202"/>
      <c r="E99" s="202"/>
      <c r="F99" s="202"/>
      <c r="G99" s="202"/>
    </row>
    <row r="100" spans="3:7" ht="12">
      <c r="C100" s="202"/>
      <c r="D100" s="202"/>
      <c r="E100" s="202"/>
      <c r="F100" s="202"/>
      <c r="G100" s="202"/>
    </row>
    <row r="101" spans="3:7" ht="12">
      <c r="C101" s="202"/>
      <c r="D101" s="202"/>
      <c r="E101" s="202"/>
      <c r="F101" s="202"/>
      <c r="G101" s="202"/>
    </row>
    <row r="102" spans="3:7" ht="12">
      <c r="C102" s="202"/>
      <c r="D102" s="202"/>
      <c r="E102" s="202"/>
      <c r="F102" s="202"/>
      <c r="G102" s="202"/>
    </row>
    <row r="103" spans="3:7" ht="12">
      <c r="C103" s="202"/>
      <c r="D103" s="202"/>
      <c r="E103" s="202"/>
      <c r="F103" s="202"/>
      <c r="G103" s="202"/>
    </row>
    <row r="104" spans="3:7" ht="12">
      <c r="C104" s="202"/>
      <c r="D104" s="202"/>
      <c r="E104" s="202"/>
      <c r="F104" s="202"/>
      <c r="G104" s="202"/>
    </row>
    <row r="105" spans="3:7" ht="12">
      <c r="C105" s="202"/>
      <c r="D105" s="202"/>
      <c r="E105" s="202"/>
      <c r="F105" s="202"/>
      <c r="G105" s="202"/>
    </row>
    <row r="106" spans="3:7" ht="12">
      <c r="C106" s="202"/>
      <c r="D106" s="202"/>
      <c r="E106" s="202"/>
      <c r="F106" s="202"/>
      <c r="G106" s="202"/>
    </row>
    <row r="107" spans="3:7" ht="12">
      <c r="C107" s="202"/>
      <c r="D107" s="202"/>
      <c r="E107" s="202"/>
      <c r="F107" s="202"/>
      <c r="G107" s="202"/>
    </row>
    <row r="108" spans="3:7" ht="12">
      <c r="C108" s="202"/>
      <c r="D108" s="202"/>
      <c r="E108" s="202"/>
      <c r="F108" s="202"/>
      <c r="G108" s="202"/>
    </row>
    <row r="109" spans="3:7" ht="12">
      <c r="C109" s="202"/>
      <c r="D109" s="202"/>
      <c r="E109" s="202"/>
      <c r="F109" s="202"/>
      <c r="G109" s="202"/>
    </row>
    <row r="110" spans="1:7" ht="12">
      <c r="A110" s="204"/>
      <c r="B110" s="204"/>
      <c r="C110" s="203"/>
      <c r="D110" s="203"/>
      <c r="E110" s="203"/>
      <c r="F110" s="203"/>
      <c r="G110" s="203"/>
    </row>
    <row r="111" spans="1:7" ht="12">
      <c r="A111" s="204"/>
      <c r="B111" s="204"/>
      <c r="C111" s="203"/>
      <c r="D111" s="203"/>
      <c r="E111" s="203"/>
      <c r="F111" s="203"/>
      <c r="G111" s="203"/>
    </row>
    <row r="112" spans="1:7" ht="12">
      <c r="A112" s="205"/>
      <c r="B112" s="205"/>
      <c r="C112" s="202"/>
      <c r="D112" s="202"/>
      <c r="E112" s="202"/>
      <c r="F112" s="202"/>
      <c r="G112" s="202"/>
    </row>
  </sheetData>
  <sheetProtection/>
  <mergeCells count="3">
    <mergeCell ref="A29:C30"/>
    <mergeCell ref="A4:L4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7">
      <selection activeCell="C35" sqref="C35"/>
    </sheetView>
  </sheetViews>
  <sheetFormatPr defaultColWidth="9.140625" defaultRowHeight="12.75"/>
  <cols>
    <col min="1" max="1" width="23.28125" style="147" customWidth="1"/>
    <col min="2" max="2" width="9.7109375" style="147" bestFit="1" customWidth="1"/>
    <col min="3" max="3" width="10.00390625" style="147" customWidth="1"/>
    <col min="4" max="4" width="9.140625" style="147" customWidth="1"/>
    <col min="5" max="5" width="9.8515625" style="147" customWidth="1"/>
    <col min="6" max="6" width="9.140625" style="147" customWidth="1"/>
    <col min="7" max="7" width="9.421875" style="147" customWidth="1"/>
    <col min="8" max="8" width="10.28125" style="147" customWidth="1"/>
    <col min="9" max="9" width="10.00390625" style="147" bestFit="1" customWidth="1"/>
    <col min="10" max="10" width="9.7109375" style="147" customWidth="1"/>
    <col min="11" max="11" width="10.00390625" style="147" customWidth="1"/>
    <col min="12" max="12" width="10.00390625" style="147" bestFit="1" customWidth="1"/>
    <col min="13" max="16384" width="9.140625" style="147" customWidth="1"/>
  </cols>
  <sheetData>
    <row r="1" s="159" customFormat="1" ht="12.75">
      <c r="A1" s="159" t="s">
        <v>165</v>
      </c>
    </row>
    <row r="2" spans="1:4" s="159" customFormat="1" ht="12.75">
      <c r="A2" s="647" t="s">
        <v>161</v>
      </c>
      <c r="B2" s="647"/>
      <c r="C2" s="647"/>
      <c r="D2" s="647"/>
    </row>
    <row r="3" s="159" customFormat="1" ht="12.75"/>
    <row r="4" spans="1:12" s="160" customFormat="1" ht="11.25">
      <c r="A4" s="769" t="s">
        <v>133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</row>
    <row r="5" s="161" customFormat="1" ht="11.25">
      <c r="D5" s="162"/>
    </row>
    <row r="6" spans="1:12" s="165" customFormat="1" ht="11.25">
      <c r="A6" s="163" t="s">
        <v>7</v>
      </c>
      <c r="B6" s="164"/>
      <c r="C6" s="164" t="s">
        <v>119</v>
      </c>
      <c r="D6" s="164" t="s">
        <v>121</v>
      </c>
      <c r="E6" s="164" t="s">
        <v>122</v>
      </c>
      <c r="F6" s="164" t="s">
        <v>123</v>
      </c>
      <c r="G6" s="164" t="s">
        <v>124</v>
      </c>
      <c r="H6" s="164" t="s">
        <v>125</v>
      </c>
      <c r="I6" s="164" t="s">
        <v>126</v>
      </c>
      <c r="J6" s="164" t="s">
        <v>127</v>
      </c>
      <c r="K6" s="164" t="s">
        <v>128</v>
      </c>
      <c r="L6" s="164" t="s">
        <v>129</v>
      </c>
    </row>
    <row r="7" spans="1:15" s="165" customFormat="1" ht="11.25">
      <c r="A7" s="165" t="s">
        <v>94</v>
      </c>
      <c r="D7" s="166">
        <f>+'Sal. Var'!I65</f>
        <v>46680</v>
      </c>
      <c r="E7" s="166">
        <f aca="true" t="shared" si="0" ref="E7:L7">+D7+(D7*0.25)</f>
        <v>58350</v>
      </c>
      <c r="F7" s="166">
        <f t="shared" si="0"/>
        <v>72937.5</v>
      </c>
      <c r="G7" s="166">
        <f t="shared" si="0"/>
        <v>91171.875</v>
      </c>
      <c r="H7" s="166">
        <f t="shared" si="0"/>
        <v>113964.84375</v>
      </c>
      <c r="I7" s="166">
        <f t="shared" si="0"/>
        <v>142456.0546875</v>
      </c>
      <c r="J7" s="166">
        <f t="shared" si="0"/>
        <v>178070.068359375</v>
      </c>
      <c r="K7" s="166">
        <f t="shared" si="0"/>
        <v>222587.58544921875</v>
      </c>
      <c r="L7" s="166">
        <f t="shared" si="0"/>
        <v>278234.48181152344</v>
      </c>
      <c r="M7" s="162"/>
      <c r="N7" s="162"/>
      <c r="O7" s="162"/>
    </row>
    <row r="8" spans="1:15" s="168" customFormat="1" ht="33.75">
      <c r="A8" s="167" t="s">
        <v>188</v>
      </c>
      <c r="C8" s="168">
        <v>0</v>
      </c>
      <c r="D8" s="169">
        <v>0</v>
      </c>
      <c r="E8" s="169">
        <v>0</v>
      </c>
      <c r="F8" s="169">
        <v>0</v>
      </c>
      <c r="G8" s="169">
        <f>+'Bce reemp'!I22</f>
        <v>769.75</v>
      </c>
      <c r="H8" s="169">
        <v>0</v>
      </c>
      <c r="I8" s="169">
        <v>0</v>
      </c>
      <c r="J8" s="169">
        <v>0</v>
      </c>
      <c r="K8" s="169">
        <v>0</v>
      </c>
      <c r="L8" s="169">
        <f>+'Bce reemp'!J22</f>
        <v>808.2375</v>
      </c>
      <c r="M8" s="170"/>
      <c r="N8" s="170"/>
      <c r="O8" s="170"/>
    </row>
    <row r="9" spans="1:12" s="165" customFormat="1" ht="11.25">
      <c r="A9" s="171" t="s">
        <v>8</v>
      </c>
      <c r="B9" s="171"/>
      <c r="C9" s="172">
        <f>SUM(C7)</f>
        <v>0</v>
      </c>
      <c r="D9" s="172">
        <f>SUM(D7:D8)</f>
        <v>46680</v>
      </c>
      <c r="E9" s="172">
        <f aca="true" t="shared" si="1" ref="E9:L9">SUM(E7:E8)</f>
        <v>58350</v>
      </c>
      <c r="F9" s="172">
        <f t="shared" si="1"/>
        <v>72937.5</v>
      </c>
      <c r="G9" s="172">
        <f t="shared" si="1"/>
        <v>91941.625</v>
      </c>
      <c r="H9" s="172">
        <f t="shared" si="1"/>
        <v>113964.84375</v>
      </c>
      <c r="I9" s="172">
        <f t="shared" si="1"/>
        <v>142456.0546875</v>
      </c>
      <c r="J9" s="172">
        <f t="shared" si="1"/>
        <v>178070.068359375</v>
      </c>
      <c r="K9" s="172">
        <f t="shared" si="1"/>
        <v>222587.58544921875</v>
      </c>
      <c r="L9" s="172">
        <f t="shared" si="1"/>
        <v>279042.7193115234</v>
      </c>
    </row>
    <row r="10" spans="3:12" s="165" customFormat="1" ht="11.25"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2" s="165" customFormat="1" ht="11.25">
      <c r="A11" s="163" t="s">
        <v>9</v>
      </c>
      <c r="B11" s="163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s="165" customFormat="1" ht="11.25">
      <c r="A12" s="163" t="s">
        <v>118</v>
      </c>
      <c r="B12" s="163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s="165" customFormat="1" ht="11.25">
      <c r="A13" s="165" t="s">
        <v>168</v>
      </c>
      <c r="C13" s="162">
        <f>+'Bce Pers.'!B41</f>
        <v>33106.08</v>
      </c>
      <c r="D13" s="162">
        <f>+C13</f>
        <v>33106.08</v>
      </c>
      <c r="E13" s="162">
        <f>+C13</f>
        <v>33106.08</v>
      </c>
      <c r="F13" s="162">
        <f>+E13+(E13*0.1)</f>
        <v>36416.688</v>
      </c>
      <c r="G13" s="162">
        <f>+F13</f>
        <v>36416.688</v>
      </c>
      <c r="H13" s="162">
        <f>+F13</f>
        <v>36416.688</v>
      </c>
      <c r="I13" s="162">
        <f>+H13+(H13*0.1)</f>
        <v>40058.3568</v>
      </c>
      <c r="J13" s="162">
        <f>+I13</f>
        <v>40058.3568</v>
      </c>
      <c r="K13" s="162">
        <f>+J13</f>
        <v>40058.3568</v>
      </c>
      <c r="L13" s="162">
        <f>+K13</f>
        <v>40058.3568</v>
      </c>
    </row>
    <row r="14" spans="1:12" s="165" customFormat="1" ht="11.25">
      <c r="A14" s="165" t="s">
        <v>132</v>
      </c>
      <c r="C14" s="162">
        <v>0</v>
      </c>
      <c r="D14" s="162">
        <f>+'Sal. Var'!H25</f>
        <v>462.6</v>
      </c>
      <c r="E14" s="162">
        <f>+D14</f>
        <v>462.6</v>
      </c>
      <c r="F14" s="162">
        <f aca="true" t="shared" si="2" ref="F14:L14">+E14</f>
        <v>462.6</v>
      </c>
      <c r="G14" s="162">
        <f t="shared" si="2"/>
        <v>462.6</v>
      </c>
      <c r="H14" s="162">
        <f t="shared" si="2"/>
        <v>462.6</v>
      </c>
      <c r="I14" s="162">
        <f t="shared" si="2"/>
        <v>462.6</v>
      </c>
      <c r="J14" s="162">
        <f t="shared" si="2"/>
        <v>462.6</v>
      </c>
      <c r="K14" s="162">
        <f t="shared" si="2"/>
        <v>462.6</v>
      </c>
      <c r="L14" s="162">
        <f t="shared" si="2"/>
        <v>462.6</v>
      </c>
    </row>
    <row r="15" spans="1:12" s="165" customFormat="1" ht="11.25">
      <c r="A15" s="165" t="s">
        <v>116</v>
      </c>
      <c r="C15" s="162">
        <f>2*7*4*12</f>
        <v>672</v>
      </c>
      <c r="D15" s="162">
        <f aca="true" t="shared" si="3" ref="D15:L15">+C15+(C15*0.01)</f>
        <v>678.72</v>
      </c>
      <c r="E15" s="162">
        <f t="shared" si="3"/>
        <v>685.5072</v>
      </c>
      <c r="F15" s="162">
        <f t="shared" si="3"/>
        <v>692.362272</v>
      </c>
      <c r="G15" s="162">
        <f t="shared" si="3"/>
        <v>699.28589472</v>
      </c>
      <c r="H15" s="162">
        <f t="shared" si="3"/>
        <v>706.2787536672</v>
      </c>
      <c r="I15" s="162">
        <f t="shared" si="3"/>
        <v>713.341541203872</v>
      </c>
      <c r="J15" s="162">
        <f t="shared" si="3"/>
        <v>720.4749566159107</v>
      </c>
      <c r="K15" s="162">
        <f t="shared" si="3"/>
        <v>727.6797061820698</v>
      </c>
      <c r="L15" s="162">
        <f t="shared" si="3"/>
        <v>734.9565032438906</v>
      </c>
    </row>
    <row r="16" spans="1:12" s="165" customFormat="1" ht="11.25">
      <c r="A16" s="165" t="s">
        <v>10</v>
      </c>
      <c r="C16" s="162">
        <f>+Hoja2!C34</f>
        <v>360</v>
      </c>
      <c r="D16" s="162">
        <f aca="true" t="shared" si="4" ref="D16:L16">+C16+(C16*0.01)</f>
        <v>363.6</v>
      </c>
      <c r="E16" s="162">
        <f t="shared" si="4"/>
        <v>367.23600000000005</v>
      </c>
      <c r="F16" s="162">
        <f t="shared" si="4"/>
        <v>370.9083600000001</v>
      </c>
      <c r="G16" s="162">
        <f t="shared" si="4"/>
        <v>374.61744360000006</v>
      </c>
      <c r="H16" s="162">
        <f t="shared" si="4"/>
        <v>378.36361803600005</v>
      </c>
      <c r="I16" s="162">
        <f t="shared" si="4"/>
        <v>382.14725421636007</v>
      </c>
      <c r="J16" s="162">
        <f t="shared" si="4"/>
        <v>385.96872675852364</v>
      </c>
      <c r="K16" s="162">
        <f t="shared" si="4"/>
        <v>389.8284140261089</v>
      </c>
      <c r="L16" s="162">
        <f t="shared" si="4"/>
        <v>393.72669816636994</v>
      </c>
    </row>
    <row r="17" spans="1:12" s="165" customFormat="1" ht="11.25">
      <c r="A17" s="165" t="s">
        <v>6</v>
      </c>
      <c r="C17" s="162">
        <f>+Hoja2!C35</f>
        <v>6000</v>
      </c>
      <c r="D17" s="162">
        <f aca="true" t="shared" si="5" ref="D17:L17">+C17+(C17*0.01)</f>
        <v>6060</v>
      </c>
      <c r="E17" s="162">
        <f t="shared" si="5"/>
        <v>6120.6</v>
      </c>
      <c r="F17" s="162">
        <f t="shared" si="5"/>
        <v>6181.8060000000005</v>
      </c>
      <c r="G17" s="162">
        <f t="shared" si="5"/>
        <v>6243.62406</v>
      </c>
      <c r="H17" s="162">
        <f t="shared" si="5"/>
        <v>6306.0603006</v>
      </c>
      <c r="I17" s="162">
        <f t="shared" si="5"/>
        <v>6369.120903606</v>
      </c>
      <c r="J17" s="162">
        <f t="shared" si="5"/>
        <v>6432.81211264206</v>
      </c>
      <c r="K17" s="162">
        <f t="shared" si="5"/>
        <v>6497.14023376848</v>
      </c>
      <c r="L17" s="162">
        <f t="shared" si="5"/>
        <v>6562.111636106165</v>
      </c>
    </row>
    <row r="18" spans="1:12" s="165" customFormat="1" ht="11.25" hidden="1">
      <c r="A18" s="165" t="s">
        <v>11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</row>
    <row r="19" spans="1:12" s="165" customFormat="1" ht="11.25">
      <c r="A19" s="171" t="s">
        <v>12</v>
      </c>
      <c r="B19" s="171"/>
      <c r="C19" s="173">
        <f aca="true" t="shared" si="6" ref="C19:L19">SUM(C13:C18)</f>
        <v>40138.08</v>
      </c>
      <c r="D19" s="173">
        <f t="shared" si="6"/>
        <v>40671</v>
      </c>
      <c r="E19" s="173">
        <f t="shared" si="6"/>
        <v>40742.023199999996</v>
      </c>
      <c r="F19" s="173">
        <f t="shared" si="6"/>
        <v>44124.364632</v>
      </c>
      <c r="G19" s="173">
        <f t="shared" si="6"/>
        <v>44196.81539832</v>
      </c>
      <c r="H19" s="173">
        <f t="shared" si="6"/>
        <v>44269.990672303196</v>
      </c>
      <c r="I19" s="173">
        <f t="shared" si="6"/>
        <v>47985.56649902624</v>
      </c>
      <c r="J19" s="173">
        <f t="shared" si="6"/>
        <v>48060.21259601649</v>
      </c>
      <c r="K19" s="173">
        <f t="shared" si="6"/>
        <v>48135.605153976656</v>
      </c>
      <c r="L19" s="173">
        <f t="shared" si="6"/>
        <v>48211.75163751643</v>
      </c>
    </row>
    <row r="20" spans="1:12" s="165" customFormat="1" ht="11.25">
      <c r="A20" s="171" t="s">
        <v>109</v>
      </c>
      <c r="B20" s="171"/>
      <c r="C20" s="172">
        <f>+Equipos!$C$14</f>
        <v>1282.9166666666667</v>
      </c>
      <c r="D20" s="172">
        <f>+Equipos!$C$14</f>
        <v>1282.9166666666667</v>
      </c>
      <c r="E20" s="172">
        <f>+Equipos!$C$14</f>
        <v>1282.9166666666667</v>
      </c>
      <c r="F20" s="172">
        <f>+Equipos!$C$14</f>
        <v>1282.9166666666667</v>
      </c>
      <c r="G20" s="172">
        <f>+Equipos!$C$14</f>
        <v>1282.9166666666667</v>
      </c>
      <c r="H20" s="172">
        <f>+Equipos!$C$14</f>
        <v>1282.9166666666667</v>
      </c>
      <c r="I20" s="172">
        <f>+Equipos!$C$14</f>
        <v>1282.9166666666667</v>
      </c>
      <c r="J20" s="172">
        <f>+Equipos!$C$14</f>
        <v>1282.9166666666667</v>
      </c>
      <c r="K20" s="172">
        <f>+Equipos!$C$14</f>
        <v>1282.9166666666667</v>
      </c>
      <c r="L20" s="172">
        <f>+Equipos!$C$14</f>
        <v>1282.9166666666667</v>
      </c>
    </row>
    <row r="21" spans="1:12" s="165" customFormat="1" ht="11.25">
      <c r="A21" s="171" t="s">
        <v>110</v>
      </c>
      <c r="B21" s="171"/>
      <c r="C21" s="172">
        <f>+Equipos!$Q$28</f>
        <v>554.6875</v>
      </c>
      <c r="D21" s="172">
        <f>+Equipos!$Q$28</f>
        <v>554.6875</v>
      </c>
      <c r="E21" s="172">
        <f>+Equipos!$Q$28</f>
        <v>554.6875</v>
      </c>
      <c r="F21" s="172">
        <f>+Equipos!$Q$28</f>
        <v>554.6875</v>
      </c>
      <c r="G21" s="172">
        <f>+Equipos!$Q$28</f>
        <v>554.6875</v>
      </c>
      <c r="H21" s="172">
        <f>+Equipos!$Q$28</f>
        <v>554.6875</v>
      </c>
      <c r="I21" s="172">
        <f>+Equipos!$Q$28</f>
        <v>554.6875</v>
      </c>
      <c r="J21" s="172">
        <f>+Equipos!$Q$28</f>
        <v>554.6875</v>
      </c>
      <c r="K21" s="172">
        <f>+Equipos!$Q$28</f>
        <v>554.6875</v>
      </c>
      <c r="L21" s="172">
        <f>+Equipos!$Q$28</f>
        <v>554.6875</v>
      </c>
    </row>
    <row r="22" spans="1:12" s="165" customFormat="1" ht="11.25">
      <c r="A22" s="171" t="s">
        <v>13</v>
      </c>
      <c r="B22" s="174"/>
      <c r="C22" s="173">
        <f aca="true" t="shared" si="7" ref="C22:L22">C9-C19-C20-C21</f>
        <v>-41975.684166666666</v>
      </c>
      <c r="D22" s="173">
        <f t="shared" si="7"/>
        <v>4171.395833333333</v>
      </c>
      <c r="E22" s="173">
        <f t="shared" si="7"/>
        <v>15770.372633333338</v>
      </c>
      <c r="F22" s="173">
        <f t="shared" si="7"/>
        <v>26975.531201333335</v>
      </c>
      <c r="G22" s="173">
        <f t="shared" si="7"/>
        <v>45907.20543501333</v>
      </c>
      <c r="H22" s="173">
        <f t="shared" si="7"/>
        <v>67857.24891103014</v>
      </c>
      <c r="I22" s="173">
        <f t="shared" si="7"/>
        <v>92632.8840218071</v>
      </c>
      <c r="J22" s="173">
        <f t="shared" si="7"/>
        <v>128172.25159669183</v>
      </c>
      <c r="K22" s="173">
        <f t="shared" si="7"/>
        <v>172614.37612857544</v>
      </c>
      <c r="L22" s="173">
        <f t="shared" si="7"/>
        <v>228993.36350734034</v>
      </c>
    </row>
    <row r="23" spans="1:12" s="165" customFormat="1" ht="11.25">
      <c r="A23" s="175" t="s">
        <v>104</v>
      </c>
      <c r="B23" s="175"/>
      <c r="C23" s="162">
        <f aca="true" t="shared" si="8" ref="C23:L23">+C22*$D$27</f>
        <v>-10493.921041666666</v>
      </c>
      <c r="D23" s="162">
        <f t="shared" si="8"/>
        <v>1042.8489583333333</v>
      </c>
      <c r="E23" s="162">
        <f t="shared" si="8"/>
        <v>3942.5931583333345</v>
      </c>
      <c r="F23" s="162">
        <f t="shared" si="8"/>
        <v>6743.882800333334</v>
      </c>
      <c r="G23" s="162">
        <f t="shared" si="8"/>
        <v>11476.801358753333</v>
      </c>
      <c r="H23" s="162">
        <f t="shared" si="8"/>
        <v>16964.312227757535</v>
      </c>
      <c r="I23" s="162">
        <f t="shared" si="8"/>
        <v>23158.221005451775</v>
      </c>
      <c r="J23" s="162">
        <f t="shared" si="8"/>
        <v>32043.062899172957</v>
      </c>
      <c r="K23" s="162">
        <f t="shared" si="8"/>
        <v>43153.59403214386</v>
      </c>
      <c r="L23" s="162">
        <f t="shared" si="8"/>
        <v>57248.340876835086</v>
      </c>
    </row>
    <row r="24" spans="1:12" s="165" customFormat="1" ht="11.25">
      <c r="A24" s="171" t="s">
        <v>14</v>
      </c>
      <c r="B24" s="171"/>
      <c r="C24" s="173">
        <f>C22-C23</f>
        <v>-31481.763124999998</v>
      </c>
      <c r="D24" s="173">
        <f aca="true" t="shared" si="9" ref="D24:L24">D22</f>
        <v>4171.395833333333</v>
      </c>
      <c r="E24" s="173">
        <f t="shared" si="9"/>
        <v>15770.372633333338</v>
      </c>
      <c r="F24" s="173">
        <f t="shared" si="9"/>
        <v>26975.531201333335</v>
      </c>
      <c r="G24" s="173">
        <f t="shared" si="9"/>
        <v>45907.20543501333</v>
      </c>
      <c r="H24" s="173">
        <f t="shared" si="9"/>
        <v>67857.24891103014</v>
      </c>
      <c r="I24" s="173">
        <f t="shared" si="9"/>
        <v>92632.8840218071</v>
      </c>
      <c r="J24" s="173">
        <f t="shared" si="9"/>
        <v>128172.25159669183</v>
      </c>
      <c r="K24" s="173">
        <f t="shared" si="9"/>
        <v>172614.37612857544</v>
      </c>
      <c r="L24" s="173">
        <f t="shared" si="9"/>
        <v>228993.36350734034</v>
      </c>
    </row>
    <row r="25" spans="1:12" s="165" customFormat="1" ht="11.25">
      <c r="A25" s="171" t="s">
        <v>130</v>
      </c>
      <c r="B25" s="162">
        <f>+'FC 1 '!B25</f>
        <v>-16694.1532</v>
      </c>
      <c r="C25" s="176">
        <f aca="true" t="shared" si="10" ref="C25:L25">+C24</f>
        <v>-31481.763124999998</v>
      </c>
      <c r="D25" s="176">
        <f t="shared" si="10"/>
        <v>4171.395833333333</v>
      </c>
      <c r="E25" s="176">
        <f t="shared" si="10"/>
        <v>15770.372633333338</v>
      </c>
      <c r="F25" s="176">
        <f t="shared" si="10"/>
        <v>26975.531201333335</v>
      </c>
      <c r="G25" s="176">
        <f t="shared" si="10"/>
        <v>45907.20543501333</v>
      </c>
      <c r="H25" s="176">
        <f t="shared" si="10"/>
        <v>67857.24891103014</v>
      </c>
      <c r="I25" s="176">
        <f t="shared" si="10"/>
        <v>92632.8840218071</v>
      </c>
      <c r="J25" s="176">
        <f t="shared" si="10"/>
        <v>128172.25159669183</v>
      </c>
      <c r="K25" s="176">
        <f t="shared" si="10"/>
        <v>172614.37612857544</v>
      </c>
      <c r="L25" s="176">
        <f t="shared" si="10"/>
        <v>228993.36350734034</v>
      </c>
    </row>
    <row r="26" spans="1:12" s="161" customFormat="1" ht="11.25">
      <c r="A26" s="165"/>
      <c r="B26" s="165"/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1:12" s="161" customFormat="1" ht="11.25">
      <c r="A27" s="177" t="s">
        <v>131</v>
      </c>
      <c r="B27" s="178">
        <v>0.18</v>
      </c>
      <c r="C27" s="179"/>
      <c r="D27" s="158">
        <v>0.25</v>
      </c>
      <c r="E27" s="162"/>
      <c r="F27" s="162"/>
      <c r="G27" s="162"/>
      <c r="H27" s="162"/>
      <c r="I27" s="162"/>
      <c r="J27" s="162"/>
      <c r="K27" s="162"/>
      <c r="L27" s="162"/>
    </row>
    <row r="28" spans="1:12" s="161" customFormat="1" ht="11.25">
      <c r="A28" s="180"/>
      <c r="B28" s="180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1:7" s="165" customFormat="1" ht="15" customHeight="1">
      <c r="A29" s="767" t="s">
        <v>15</v>
      </c>
      <c r="B29" s="767"/>
      <c r="C29" s="767"/>
      <c r="D29" s="177"/>
      <c r="E29" s="182"/>
      <c r="F29" s="177"/>
      <c r="G29" s="177"/>
    </row>
    <row r="30" spans="1:7" s="165" customFormat="1" ht="15" customHeight="1">
      <c r="A30" s="768"/>
      <c r="B30" s="768"/>
      <c r="C30" s="768"/>
      <c r="D30" s="183"/>
      <c r="E30" s="184"/>
      <c r="F30" s="183"/>
      <c r="G30" s="183"/>
    </row>
    <row r="31" spans="1:7" s="165" customFormat="1" ht="12.75" customHeight="1">
      <c r="A31" s="185" t="s">
        <v>16</v>
      </c>
      <c r="B31" s="185"/>
      <c r="C31" s="186"/>
      <c r="E31" s="187"/>
      <c r="F31" s="187"/>
      <c r="G31" s="187"/>
    </row>
    <row r="32" spans="1:5" s="165" customFormat="1" ht="11.25">
      <c r="A32" s="188" t="s">
        <v>17</v>
      </c>
      <c r="B32" s="188"/>
      <c r="C32" s="186">
        <f>IRR(B25:L25)</f>
        <v>0.5344993558805625</v>
      </c>
      <c r="E32" s="189"/>
    </row>
    <row r="33" spans="1:3" s="165" customFormat="1" ht="22.5">
      <c r="A33" s="188" t="s">
        <v>18</v>
      </c>
      <c r="B33" s="188"/>
      <c r="C33" s="190">
        <f>NPV(C34+C34,C25,D25,E25,F25,G25+H25+I25+J25+K25+L25)</f>
        <v>87812.47735896568</v>
      </c>
    </row>
    <row r="34" spans="1:3" s="165" customFormat="1" ht="12.75" customHeight="1">
      <c r="A34" s="188" t="s">
        <v>19</v>
      </c>
      <c r="B34" s="188"/>
      <c r="C34" s="186">
        <v>0.25</v>
      </c>
    </row>
  </sheetData>
  <sheetProtection/>
  <mergeCells count="3">
    <mergeCell ref="A29:C30"/>
    <mergeCell ref="A4:L4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2">
      <selection activeCell="A1" sqref="A1:L40"/>
    </sheetView>
  </sheetViews>
  <sheetFormatPr defaultColWidth="9.140625" defaultRowHeight="12.75"/>
  <cols>
    <col min="1" max="1" width="27.8515625" style="206" bestFit="1" customWidth="1"/>
    <col min="2" max="3" width="10.00390625" style="206" bestFit="1" customWidth="1"/>
    <col min="4" max="4" width="9.7109375" style="206" bestFit="1" customWidth="1"/>
    <col min="5" max="11" width="10.00390625" style="206" bestFit="1" customWidth="1"/>
    <col min="12" max="12" width="11.28125" style="206" bestFit="1" customWidth="1"/>
    <col min="13" max="16384" width="9.140625" style="206" customWidth="1"/>
  </cols>
  <sheetData>
    <row r="1" spans="1:12" s="159" customFormat="1" ht="16.5">
      <c r="A1" s="840" t="s">
        <v>355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</row>
    <row r="2" s="159" customFormat="1" ht="16.5">
      <c r="A2" s="839"/>
    </row>
    <row r="3" spans="1:12" s="159" customFormat="1" ht="12.75">
      <c r="A3" s="841" t="s">
        <v>356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</row>
    <row r="4" s="159" customFormat="1" ht="12.75"/>
    <row r="5" spans="1:12" s="159" customFormat="1" ht="12.75">
      <c r="A5" s="646" t="s">
        <v>133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</row>
    <row r="6" ht="11.25">
      <c r="D6" s="170"/>
    </row>
    <row r="7" spans="2:12" s="168" customFormat="1" ht="11.25">
      <c r="B7" s="843" t="s">
        <v>120</v>
      </c>
      <c r="C7" s="843" t="s">
        <v>119</v>
      </c>
      <c r="D7" s="843" t="s">
        <v>121</v>
      </c>
      <c r="E7" s="843" t="s">
        <v>122</v>
      </c>
      <c r="F7" s="843" t="s">
        <v>123</v>
      </c>
      <c r="G7" s="843" t="s">
        <v>124</v>
      </c>
      <c r="H7" s="843" t="s">
        <v>125</v>
      </c>
      <c r="I7" s="843" t="s">
        <v>126</v>
      </c>
      <c r="J7" s="843" t="s">
        <v>127</v>
      </c>
      <c r="K7" s="843" t="s">
        <v>128</v>
      </c>
      <c r="L7" s="843" t="s">
        <v>129</v>
      </c>
    </row>
    <row r="8" spans="1:12" s="168" customFormat="1" ht="11.25">
      <c r="A8" s="842" t="s">
        <v>187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</row>
    <row r="9" spans="1:15" s="168" customFormat="1" ht="11.25">
      <c r="A9" s="335" t="s">
        <v>94</v>
      </c>
      <c r="B9" s="335"/>
      <c r="C9" s="219">
        <f aca="true" t="shared" si="0" ref="C9:L9">+C10*C11</f>
        <v>71496</v>
      </c>
      <c r="D9" s="219">
        <f t="shared" si="0"/>
        <v>89370</v>
      </c>
      <c r="E9" s="219">
        <f t="shared" si="0"/>
        <v>111712.5</v>
      </c>
      <c r="F9" s="219">
        <f t="shared" si="0"/>
        <v>139640.625</v>
      </c>
      <c r="G9" s="219">
        <f t="shared" si="0"/>
        <v>174550.78125</v>
      </c>
      <c r="H9" s="219">
        <f t="shared" si="0"/>
        <v>218188.4765625</v>
      </c>
      <c r="I9" s="219">
        <f t="shared" si="0"/>
        <v>272735.595703125</v>
      </c>
      <c r="J9" s="219">
        <f t="shared" si="0"/>
        <v>340919.49462890625</v>
      </c>
      <c r="K9" s="219">
        <f t="shared" si="0"/>
        <v>426149.3682861328</v>
      </c>
      <c r="L9" s="219">
        <f t="shared" si="0"/>
        <v>532686.710357666</v>
      </c>
      <c r="M9" s="170"/>
      <c r="N9" s="170"/>
      <c r="O9" s="170"/>
    </row>
    <row r="10" spans="1:15" s="168" customFormat="1" ht="11.25">
      <c r="A10" s="335" t="s">
        <v>315</v>
      </c>
      <c r="B10" s="335"/>
      <c r="C10" s="381">
        <v>10592</v>
      </c>
      <c r="D10" s="381">
        <f aca="true" t="shared" si="1" ref="D10:L10">+C10*1.25</f>
        <v>13240</v>
      </c>
      <c r="E10" s="381">
        <f t="shared" si="1"/>
        <v>16550</v>
      </c>
      <c r="F10" s="381">
        <f t="shared" si="1"/>
        <v>20687.5</v>
      </c>
      <c r="G10" s="381">
        <f t="shared" si="1"/>
        <v>25859.375</v>
      </c>
      <c r="H10" s="381">
        <f t="shared" si="1"/>
        <v>32324.21875</v>
      </c>
      <c r="I10" s="381">
        <f t="shared" si="1"/>
        <v>40405.2734375</v>
      </c>
      <c r="J10" s="381">
        <f t="shared" si="1"/>
        <v>50506.591796875</v>
      </c>
      <c r="K10" s="381">
        <f t="shared" si="1"/>
        <v>63133.23974609375</v>
      </c>
      <c r="L10" s="381">
        <f t="shared" si="1"/>
        <v>78916.54968261719</v>
      </c>
      <c r="M10" s="170"/>
      <c r="N10" s="170"/>
      <c r="O10" s="170"/>
    </row>
    <row r="11" spans="1:15" s="168" customFormat="1" ht="11.25">
      <c r="A11" s="335" t="s">
        <v>314</v>
      </c>
      <c r="B11" s="335"/>
      <c r="C11" s="219">
        <f>+'Sal. Var'!F50</f>
        <v>6.75</v>
      </c>
      <c r="D11" s="219">
        <f aca="true" t="shared" si="2" ref="D11:L11">+C11</f>
        <v>6.75</v>
      </c>
      <c r="E11" s="219">
        <f t="shared" si="2"/>
        <v>6.75</v>
      </c>
      <c r="F11" s="219">
        <f t="shared" si="2"/>
        <v>6.75</v>
      </c>
      <c r="G11" s="219">
        <f t="shared" si="2"/>
        <v>6.75</v>
      </c>
      <c r="H11" s="219">
        <f t="shared" si="2"/>
        <v>6.75</v>
      </c>
      <c r="I11" s="219">
        <f t="shared" si="2"/>
        <v>6.75</v>
      </c>
      <c r="J11" s="219">
        <f t="shared" si="2"/>
        <v>6.75</v>
      </c>
      <c r="K11" s="219">
        <f t="shared" si="2"/>
        <v>6.75</v>
      </c>
      <c r="L11" s="219">
        <f t="shared" si="2"/>
        <v>6.75</v>
      </c>
      <c r="M11" s="170"/>
      <c r="N11" s="170"/>
      <c r="O11" s="170"/>
    </row>
    <row r="12" spans="1:15" s="168" customFormat="1" ht="22.5">
      <c r="A12" s="341" t="s">
        <v>188</v>
      </c>
      <c r="B12" s="335"/>
      <c r="C12" s="342">
        <v>0</v>
      </c>
      <c r="D12" s="342">
        <v>0</v>
      </c>
      <c r="E12" s="342">
        <v>0</v>
      </c>
      <c r="F12" s="342">
        <v>0</v>
      </c>
      <c r="G12" s="342">
        <f>+'Bce reemp'!I22</f>
        <v>769.75</v>
      </c>
      <c r="H12" s="342">
        <v>0</v>
      </c>
      <c r="I12" s="342">
        <v>0</v>
      </c>
      <c r="J12" s="342">
        <v>0</v>
      </c>
      <c r="K12" s="342">
        <v>0</v>
      </c>
      <c r="L12" s="342">
        <f>+'Bce reemp'!J22</f>
        <v>808.2375</v>
      </c>
      <c r="M12" s="170"/>
      <c r="N12" s="170"/>
      <c r="O12" s="170"/>
    </row>
    <row r="13" spans="1:12" s="168" customFormat="1" ht="11.25">
      <c r="A13" s="343" t="s">
        <v>8</v>
      </c>
      <c r="B13" s="343"/>
      <c r="C13" s="344">
        <f aca="true" t="shared" si="3" ref="C13:L13">+C9</f>
        <v>71496</v>
      </c>
      <c r="D13" s="344">
        <f t="shared" si="3"/>
        <v>89370</v>
      </c>
      <c r="E13" s="344">
        <f t="shared" si="3"/>
        <v>111712.5</v>
      </c>
      <c r="F13" s="344">
        <f t="shared" si="3"/>
        <v>139640.625</v>
      </c>
      <c r="G13" s="344">
        <f t="shared" si="3"/>
        <v>174550.78125</v>
      </c>
      <c r="H13" s="344">
        <f t="shared" si="3"/>
        <v>218188.4765625</v>
      </c>
      <c r="I13" s="344">
        <f t="shared" si="3"/>
        <v>272735.595703125</v>
      </c>
      <c r="J13" s="344">
        <f t="shared" si="3"/>
        <v>340919.49462890625</v>
      </c>
      <c r="K13" s="344">
        <f t="shared" si="3"/>
        <v>426149.3682861328</v>
      </c>
      <c r="L13" s="344">
        <f t="shared" si="3"/>
        <v>532686.710357666</v>
      </c>
    </row>
    <row r="14" spans="1:12" s="168" customFormat="1" ht="11.25">
      <c r="A14" s="335"/>
      <c r="B14" s="335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s="168" customFormat="1" ht="11.25">
      <c r="A15" s="842" t="s">
        <v>9</v>
      </c>
      <c r="B15" s="33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1:12" s="168" customFormat="1" ht="11.25">
      <c r="A16" s="339" t="s">
        <v>118</v>
      </c>
      <c r="B16" s="33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1:12" s="168" customFormat="1" ht="11.25">
      <c r="A17" s="335" t="s">
        <v>168</v>
      </c>
      <c r="B17" s="335"/>
      <c r="C17" s="219">
        <f>+'Bce Pers.'!B61*1.25</f>
        <v>36462.258</v>
      </c>
      <c r="D17" s="219">
        <f>+C17</f>
        <v>36462.258</v>
      </c>
      <c r="E17" s="219">
        <f>+C17</f>
        <v>36462.258</v>
      </c>
      <c r="F17" s="219">
        <f>+E17+(E17*0.1)</f>
        <v>40108.4838</v>
      </c>
      <c r="G17" s="219">
        <f>+F17</f>
        <v>40108.4838</v>
      </c>
      <c r="H17" s="219">
        <f>+F17</f>
        <v>40108.4838</v>
      </c>
      <c r="I17" s="219">
        <f>+H17+(H17*0.1)</f>
        <v>44119.332180000005</v>
      </c>
      <c r="J17" s="219">
        <f aca="true" t="shared" si="4" ref="J17:L18">+I17</f>
        <v>44119.332180000005</v>
      </c>
      <c r="K17" s="219">
        <f t="shared" si="4"/>
        <v>44119.332180000005</v>
      </c>
      <c r="L17" s="219">
        <f t="shared" si="4"/>
        <v>44119.332180000005</v>
      </c>
    </row>
    <row r="18" spans="1:12" s="168" customFormat="1" ht="11.25">
      <c r="A18" s="335" t="s">
        <v>132</v>
      </c>
      <c r="B18" s="335"/>
      <c r="C18" s="219">
        <f>+'Sal. Var'!H48+400</f>
        <v>742</v>
      </c>
      <c r="D18" s="219">
        <f>+C18</f>
        <v>742</v>
      </c>
      <c r="E18" s="219">
        <f>+D18</f>
        <v>742</v>
      </c>
      <c r="F18" s="219">
        <f>+E18</f>
        <v>742</v>
      </c>
      <c r="G18" s="219">
        <f>+F18</f>
        <v>742</v>
      </c>
      <c r="H18" s="219">
        <f>+G18</f>
        <v>742</v>
      </c>
      <c r="I18" s="219">
        <f>+H18</f>
        <v>742</v>
      </c>
      <c r="J18" s="219">
        <f t="shared" si="4"/>
        <v>742</v>
      </c>
      <c r="K18" s="219">
        <f t="shared" si="4"/>
        <v>742</v>
      </c>
      <c r="L18" s="219">
        <f t="shared" si="4"/>
        <v>742</v>
      </c>
    </row>
    <row r="19" spans="1:12" s="168" customFormat="1" ht="11.25">
      <c r="A19" s="335" t="s">
        <v>116</v>
      </c>
      <c r="B19" s="335"/>
      <c r="C19" s="219">
        <f aca="true" t="shared" si="5" ref="C19:L19">(2*7*4*12)*15</f>
        <v>10080</v>
      </c>
      <c r="D19" s="219">
        <f t="shared" si="5"/>
        <v>10080</v>
      </c>
      <c r="E19" s="219">
        <f t="shared" si="5"/>
        <v>10080</v>
      </c>
      <c r="F19" s="219">
        <f t="shared" si="5"/>
        <v>10080</v>
      </c>
      <c r="G19" s="219">
        <f t="shared" si="5"/>
        <v>10080</v>
      </c>
      <c r="H19" s="219">
        <f t="shared" si="5"/>
        <v>10080</v>
      </c>
      <c r="I19" s="219">
        <f t="shared" si="5"/>
        <v>10080</v>
      </c>
      <c r="J19" s="219">
        <f t="shared" si="5"/>
        <v>10080</v>
      </c>
      <c r="K19" s="219">
        <f t="shared" si="5"/>
        <v>10080</v>
      </c>
      <c r="L19" s="219">
        <f t="shared" si="5"/>
        <v>10080</v>
      </c>
    </row>
    <row r="20" spans="1:12" s="168" customFormat="1" ht="11.25">
      <c r="A20" s="335" t="s">
        <v>249</v>
      </c>
      <c r="B20" s="335"/>
      <c r="C20" s="219">
        <f>Gtos!D21</f>
        <v>5595</v>
      </c>
      <c r="D20" s="219">
        <f aca="true" t="shared" si="6" ref="D20:L20">+C20</f>
        <v>5595</v>
      </c>
      <c r="E20" s="219">
        <f t="shared" si="6"/>
        <v>5595</v>
      </c>
      <c r="F20" s="219">
        <f t="shared" si="6"/>
        <v>5595</v>
      </c>
      <c r="G20" s="219">
        <f t="shared" si="6"/>
        <v>5595</v>
      </c>
      <c r="H20" s="219">
        <f t="shared" si="6"/>
        <v>5595</v>
      </c>
      <c r="I20" s="219">
        <f t="shared" si="6"/>
        <v>5595</v>
      </c>
      <c r="J20" s="219">
        <f t="shared" si="6"/>
        <v>5595</v>
      </c>
      <c r="K20" s="219">
        <f t="shared" si="6"/>
        <v>5595</v>
      </c>
      <c r="L20" s="219">
        <f t="shared" si="6"/>
        <v>5595</v>
      </c>
    </row>
    <row r="21" spans="1:12" s="168" customFormat="1" ht="11.25">
      <c r="A21" s="335" t="s">
        <v>10</v>
      </c>
      <c r="B21" s="335"/>
      <c r="C21" s="219">
        <f>+Gtos!B35+Gtos!B36+Gtos!B37+Gtos!B38</f>
        <v>936</v>
      </c>
      <c r="D21" s="219">
        <f>+C21</f>
        <v>936</v>
      </c>
      <c r="E21" s="219">
        <f aca="true" t="shared" si="7" ref="E21:L22">+D21+(D21*0.01)</f>
        <v>945.36</v>
      </c>
      <c r="F21" s="219">
        <f t="shared" si="7"/>
        <v>954.8136000000001</v>
      </c>
      <c r="G21" s="219">
        <f t="shared" si="7"/>
        <v>964.3617360000001</v>
      </c>
      <c r="H21" s="219">
        <f t="shared" si="7"/>
        <v>974.0053533600001</v>
      </c>
      <c r="I21" s="219">
        <f t="shared" si="7"/>
        <v>983.7454068936</v>
      </c>
      <c r="J21" s="219">
        <f t="shared" si="7"/>
        <v>993.5828609625361</v>
      </c>
      <c r="K21" s="219">
        <f t="shared" si="7"/>
        <v>1003.5186895721614</v>
      </c>
      <c r="L21" s="219">
        <f t="shared" si="7"/>
        <v>1013.553876467883</v>
      </c>
    </row>
    <row r="22" spans="1:12" s="168" customFormat="1" ht="11.25">
      <c r="A22" s="335" t="s">
        <v>6</v>
      </c>
      <c r="B22" s="335"/>
      <c r="C22" s="219">
        <f>+Hoja2!C35</f>
        <v>6000</v>
      </c>
      <c r="D22" s="219">
        <f>+C22</f>
        <v>6000</v>
      </c>
      <c r="E22" s="219">
        <f t="shared" si="7"/>
        <v>6060</v>
      </c>
      <c r="F22" s="219">
        <f t="shared" si="7"/>
        <v>6120.6</v>
      </c>
      <c r="G22" s="219">
        <f t="shared" si="7"/>
        <v>6181.8060000000005</v>
      </c>
      <c r="H22" s="219">
        <f t="shared" si="7"/>
        <v>6243.62406</v>
      </c>
      <c r="I22" s="219">
        <f t="shared" si="7"/>
        <v>6306.0603006</v>
      </c>
      <c r="J22" s="219">
        <f t="shared" si="7"/>
        <v>6369.120903606</v>
      </c>
      <c r="K22" s="219">
        <f t="shared" si="7"/>
        <v>6432.81211264206</v>
      </c>
      <c r="L22" s="219">
        <f t="shared" si="7"/>
        <v>6497.14023376848</v>
      </c>
    </row>
    <row r="23" spans="1:12" s="168" customFormat="1" ht="11.25">
      <c r="A23" s="343" t="s">
        <v>12</v>
      </c>
      <c r="B23" s="343"/>
      <c r="C23" s="345">
        <f aca="true" t="shared" si="8" ref="C23:L23">SUM(C17:C22)</f>
        <v>59815.258</v>
      </c>
      <c r="D23" s="345">
        <f t="shared" si="8"/>
        <v>59815.258</v>
      </c>
      <c r="E23" s="345">
        <f t="shared" si="8"/>
        <v>59884.618</v>
      </c>
      <c r="F23" s="345">
        <f t="shared" si="8"/>
        <v>63600.8974</v>
      </c>
      <c r="G23" s="345">
        <f t="shared" si="8"/>
        <v>63671.651536000005</v>
      </c>
      <c r="H23" s="345">
        <f t="shared" si="8"/>
        <v>63743.113213360004</v>
      </c>
      <c r="I23" s="345">
        <f t="shared" si="8"/>
        <v>67826.1378874936</v>
      </c>
      <c r="J23" s="345">
        <f t="shared" si="8"/>
        <v>67899.03594456855</v>
      </c>
      <c r="K23" s="345">
        <f t="shared" si="8"/>
        <v>67972.66298221423</v>
      </c>
      <c r="L23" s="345">
        <f t="shared" si="8"/>
        <v>68047.02629023638</v>
      </c>
    </row>
    <row r="24" spans="1:12" s="168" customFormat="1" ht="11.25">
      <c r="A24" s="216" t="s">
        <v>312</v>
      </c>
      <c r="B24" s="216"/>
      <c r="C24" s="219">
        <f>Equipos!I10</f>
        <v>1282.9166666666667</v>
      </c>
      <c r="D24" s="219">
        <f aca="true" t="shared" si="9" ref="D24:L24">C24</f>
        <v>1282.9166666666667</v>
      </c>
      <c r="E24" s="219">
        <f t="shared" si="9"/>
        <v>1282.9166666666667</v>
      </c>
      <c r="F24" s="219">
        <f t="shared" si="9"/>
        <v>1282.9166666666667</v>
      </c>
      <c r="G24" s="219">
        <f t="shared" si="9"/>
        <v>1282.9166666666667</v>
      </c>
      <c r="H24" s="219">
        <f t="shared" si="9"/>
        <v>1282.9166666666667</v>
      </c>
      <c r="I24" s="219">
        <f t="shared" si="9"/>
        <v>1282.9166666666667</v>
      </c>
      <c r="J24" s="219">
        <f t="shared" si="9"/>
        <v>1282.9166666666667</v>
      </c>
      <c r="K24" s="219">
        <f t="shared" si="9"/>
        <v>1282.9166666666667</v>
      </c>
      <c r="L24" s="219">
        <f t="shared" si="9"/>
        <v>1282.9166666666667</v>
      </c>
    </row>
    <row r="25" spans="1:12" s="168" customFormat="1" ht="11.25">
      <c r="A25" s="343" t="s">
        <v>13</v>
      </c>
      <c r="B25" s="346"/>
      <c r="C25" s="345">
        <f aca="true" t="shared" si="10" ref="C25:L25">C13-C23-C24</f>
        <v>10397.825333333332</v>
      </c>
      <c r="D25" s="345">
        <f t="shared" si="10"/>
        <v>28271.82533333333</v>
      </c>
      <c r="E25" s="345">
        <f t="shared" si="10"/>
        <v>50544.96533333333</v>
      </c>
      <c r="F25" s="345">
        <f t="shared" si="10"/>
        <v>74756.81093333333</v>
      </c>
      <c r="G25" s="345">
        <f t="shared" si="10"/>
        <v>109596.21304733332</v>
      </c>
      <c r="H25" s="345">
        <f t="shared" si="10"/>
        <v>153162.44668247332</v>
      </c>
      <c r="I25" s="345">
        <f t="shared" si="10"/>
        <v>203626.54114896475</v>
      </c>
      <c r="J25" s="345">
        <f t="shared" si="10"/>
        <v>271737.542017671</v>
      </c>
      <c r="K25" s="345">
        <f t="shared" si="10"/>
        <v>356893.7886372519</v>
      </c>
      <c r="L25" s="345">
        <f t="shared" si="10"/>
        <v>463356.76740076294</v>
      </c>
    </row>
    <row r="26" spans="1:12" s="168" customFormat="1" ht="11.25">
      <c r="A26" s="216" t="s">
        <v>294</v>
      </c>
      <c r="B26" s="346"/>
      <c r="C26" s="219">
        <f aca="true" t="shared" si="11" ref="C26:L26">+C25*0.15</f>
        <v>1559.6737999999998</v>
      </c>
      <c r="D26" s="219">
        <f t="shared" si="11"/>
        <v>4240.773799999999</v>
      </c>
      <c r="E26" s="219">
        <f t="shared" si="11"/>
        <v>7581.7447999999995</v>
      </c>
      <c r="F26" s="219">
        <f t="shared" si="11"/>
        <v>11213.521639999999</v>
      </c>
      <c r="G26" s="219">
        <f t="shared" si="11"/>
        <v>16439.431957099998</v>
      </c>
      <c r="H26" s="219">
        <f t="shared" si="11"/>
        <v>22974.367002370996</v>
      </c>
      <c r="I26" s="219">
        <f t="shared" si="11"/>
        <v>30543.981172344713</v>
      </c>
      <c r="J26" s="219">
        <f t="shared" si="11"/>
        <v>40760.63130265065</v>
      </c>
      <c r="K26" s="219">
        <f t="shared" si="11"/>
        <v>53534.06829558778</v>
      </c>
      <c r="L26" s="219">
        <f t="shared" si="11"/>
        <v>69503.51511011444</v>
      </c>
    </row>
    <row r="27" spans="1:12" s="207" customFormat="1" ht="11.25">
      <c r="A27" s="343" t="s">
        <v>313</v>
      </c>
      <c r="B27" s="346"/>
      <c r="C27" s="344">
        <f aca="true" t="shared" si="12" ref="C27:L27">+C25-C26</f>
        <v>8838.151533333332</v>
      </c>
      <c r="D27" s="344">
        <f t="shared" si="12"/>
        <v>24031.05153333333</v>
      </c>
      <c r="E27" s="344">
        <f t="shared" si="12"/>
        <v>42963.22053333333</v>
      </c>
      <c r="F27" s="344">
        <f t="shared" si="12"/>
        <v>63543.28929333333</v>
      </c>
      <c r="G27" s="344">
        <f t="shared" si="12"/>
        <v>93156.78109023333</v>
      </c>
      <c r="H27" s="344">
        <f t="shared" si="12"/>
        <v>130188.07968010232</v>
      </c>
      <c r="I27" s="344">
        <f t="shared" si="12"/>
        <v>173082.55997662005</v>
      </c>
      <c r="J27" s="344">
        <f t="shared" si="12"/>
        <v>230976.91071502035</v>
      </c>
      <c r="K27" s="344">
        <f t="shared" si="12"/>
        <v>303359.7203416641</v>
      </c>
      <c r="L27" s="344">
        <f t="shared" si="12"/>
        <v>393853.2522906485</v>
      </c>
    </row>
    <row r="28" spans="1:12" s="168" customFormat="1" ht="11.25">
      <c r="A28" s="216" t="s">
        <v>104</v>
      </c>
      <c r="B28" s="216"/>
      <c r="C28" s="219">
        <f aca="true" t="shared" si="13" ref="C28:L28">+C27*0.25</f>
        <v>2209.537883333333</v>
      </c>
      <c r="D28" s="219">
        <f t="shared" si="13"/>
        <v>6007.762883333333</v>
      </c>
      <c r="E28" s="219">
        <f t="shared" si="13"/>
        <v>10740.805133333333</v>
      </c>
      <c r="F28" s="219">
        <f t="shared" si="13"/>
        <v>15885.822323333332</v>
      </c>
      <c r="G28" s="219">
        <f t="shared" si="13"/>
        <v>23289.195272558332</v>
      </c>
      <c r="H28" s="219">
        <f t="shared" si="13"/>
        <v>32547.01992002558</v>
      </c>
      <c r="I28" s="219">
        <f t="shared" si="13"/>
        <v>43270.63999415501</v>
      </c>
      <c r="J28" s="219">
        <f t="shared" si="13"/>
        <v>57744.22767875509</v>
      </c>
      <c r="K28" s="219">
        <f t="shared" si="13"/>
        <v>75839.93008541602</v>
      </c>
      <c r="L28" s="219">
        <f t="shared" si="13"/>
        <v>98463.31307266213</v>
      </c>
    </row>
    <row r="29" spans="1:12" s="168" customFormat="1" ht="11.25">
      <c r="A29" s="343" t="s">
        <v>214</v>
      </c>
      <c r="B29" s="343"/>
      <c r="C29" s="345">
        <f aca="true" t="shared" si="14" ref="C29:L29">C27-C28</f>
        <v>6628.613649999999</v>
      </c>
      <c r="D29" s="345">
        <f t="shared" si="14"/>
        <v>18023.28865</v>
      </c>
      <c r="E29" s="345">
        <f t="shared" si="14"/>
        <v>32222.415399999998</v>
      </c>
      <c r="F29" s="345">
        <f t="shared" si="14"/>
        <v>47657.466969999994</v>
      </c>
      <c r="G29" s="345">
        <f t="shared" si="14"/>
        <v>69867.58581767499</v>
      </c>
      <c r="H29" s="345">
        <f t="shared" si="14"/>
        <v>97641.05976007675</v>
      </c>
      <c r="I29" s="345">
        <f t="shared" si="14"/>
        <v>129811.91998246504</v>
      </c>
      <c r="J29" s="345">
        <f t="shared" si="14"/>
        <v>173232.68303626525</v>
      </c>
      <c r="K29" s="345">
        <f t="shared" si="14"/>
        <v>227519.7902562481</v>
      </c>
      <c r="L29" s="345">
        <f t="shared" si="14"/>
        <v>295389.9392179864</v>
      </c>
    </row>
    <row r="30" spans="1:12" s="168" customFormat="1" ht="11.25">
      <c r="A30" s="216" t="s">
        <v>310</v>
      </c>
      <c r="B30" s="216"/>
      <c r="C30" s="219">
        <f aca="true" t="shared" si="15" ref="C30:L30">+C24</f>
        <v>1282.9166666666667</v>
      </c>
      <c r="D30" s="219">
        <f t="shared" si="15"/>
        <v>1282.9166666666667</v>
      </c>
      <c r="E30" s="219">
        <f t="shared" si="15"/>
        <v>1282.9166666666667</v>
      </c>
      <c r="F30" s="219">
        <f t="shared" si="15"/>
        <v>1282.9166666666667</v>
      </c>
      <c r="G30" s="219">
        <f t="shared" si="15"/>
        <v>1282.9166666666667</v>
      </c>
      <c r="H30" s="219">
        <f t="shared" si="15"/>
        <v>1282.9166666666667</v>
      </c>
      <c r="I30" s="219">
        <f t="shared" si="15"/>
        <v>1282.9166666666667</v>
      </c>
      <c r="J30" s="219">
        <f t="shared" si="15"/>
        <v>1282.9166666666667</v>
      </c>
      <c r="K30" s="219">
        <f t="shared" si="15"/>
        <v>1282.9166666666667</v>
      </c>
      <c r="L30" s="219">
        <f t="shared" si="15"/>
        <v>1282.9166666666667</v>
      </c>
    </row>
    <row r="31" spans="1:12" s="168" customFormat="1" ht="11.25">
      <c r="A31" s="343" t="s">
        <v>215</v>
      </c>
      <c r="B31" s="374">
        <f>-'Inv. Inic'!B12</f>
        <v>-13128.75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/>
    </row>
    <row r="32" spans="1:12" s="168" customFormat="1" ht="11.25">
      <c r="A32" s="343" t="s">
        <v>216</v>
      </c>
      <c r="B32" s="374">
        <f>+'Capital de Trabajo'!C20</f>
        <v>-4355.123199999998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</row>
    <row r="33" spans="1:12" s="168" customFormat="1" ht="11.25">
      <c r="A33" s="343" t="s">
        <v>217</v>
      </c>
      <c r="B33" s="343"/>
      <c r="C33" s="345"/>
      <c r="D33" s="345"/>
      <c r="E33" s="345"/>
      <c r="F33" s="345"/>
      <c r="G33" s="345"/>
      <c r="H33" s="345"/>
      <c r="I33" s="345"/>
      <c r="J33" s="345"/>
      <c r="K33" s="345"/>
      <c r="L33" s="345">
        <f>+'valor desecho'!D11</f>
        <v>836715.2658668316</v>
      </c>
    </row>
    <row r="34" spans="1:12" s="168" customFormat="1" ht="11.25">
      <c r="A34" s="343" t="s">
        <v>130</v>
      </c>
      <c r="B34" s="344">
        <f>SUM(B31:B33)</f>
        <v>-17483.873199999998</v>
      </c>
      <c r="C34" s="347">
        <f aca="true" t="shared" si="16" ref="C34:L34">+C29+C30</f>
        <v>7911.530316666666</v>
      </c>
      <c r="D34" s="347">
        <f t="shared" si="16"/>
        <v>19306.205316666666</v>
      </c>
      <c r="E34" s="347">
        <f t="shared" si="16"/>
        <v>33505.33206666666</v>
      </c>
      <c r="F34" s="347">
        <f t="shared" si="16"/>
        <v>48940.38363666666</v>
      </c>
      <c r="G34" s="347">
        <f t="shared" si="16"/>
        <v>71150.50248434166</v>
      </c>
      <c r="H34" s="347">
        <f t="shared" si="16"/>
        <v>98923.97642674342</v>
      </c>
      <c r="I34" s="347">
        <f t="shared" si="16"/>
        <v>131094.8366491317</v>
      </c>
      <c r="J34" s="347">
        <f t="shared" si="16"/>
        <v>174515.5997029319</v>
      </c>
      <c r="K34" s="347">
        <f t="shared" si="16"/>
        <v>228802.70692291475</v>
      </c>
      <c r="L34" s="347">
        <f t="shared" si="16"/>
        <v>296672.8558846531</v>
      </c>
    </row>
    <row r="35" spans="1:12" ht="11.25" customHeight="1">
      <c r="A35" s="208"/>
      <c r="B35" s="209"/>
      <c r="C35" s="210"/>
      <c r="D35" s="87">
        <v>0.25</v>
      </c>
      <c r="E35" s="170"/>
      <c r="F35" s="170"/>
      <c r="G35" s="170"/>
      <c r="H35" s="170"/>
      <c r="I35" s="170"/>
      <c r="J35" s="170"/>
      <c r="K35" s="170"/>
      <c r="L35" s="170"/>
    </row>
    <row r="36" spans="1:7" s="168" customFormat="1" ht="11.25" customHeight="1">
      <c r="A36" s="361"/>
      <c r="B36" s="361"/>
      <c r="C36" s="361"/>
      <c r="D36" s="214"/>
      <c r="E36" s="215"/>
      <c r="F36" s="214"/>
      <c r="G36" s="214"/>
    </row>
    <row r="37" spans="1:5" s="168" customFormat="1" ht="11.25">
      <c r="A37" s="362" t="s">
        <v>17</v>
      </c>
      <c r="B37" s="363">
        <f>IRR(B34:L34)</f>
        <v>1.1483787892025332</v>
      </c>
      <c r="E37" s="218"/>
    </row>
    <row r="38" spans="1:2" s="168" customFormat="1" ht="22.5">
      <c r="A38" s="362" t="s">
        <v>18</v>
      </c>
      <c r="B38" s="364">
        <f>NPV(B40,C34:L34)+B34</f>
        <v>206984.78096922065</v>
      </c>
    </row>
    <row r="39" spans="1:2" s="168" customFormat="1" ht="12.75" customHeight="1">
      <c r="A39" s="362" t="s">
        <v>233</v>
      </c>
      <c r="B39" s="363">
        <f>+TMAR!C12</f>
        <v>0.47031599999999996</v>
      </c>
    </row>
    <row r="40" spans="1:2" ht="12" thickBot="1">
      <c r="A40" s="365" t="s">
        <v>309</v>
      </c>
      <c r="B40" s="366">
        <v>0.25</v>
      </c>
    </row>
    <row r="41" ht="11.25">
      <c r="C41" s="211"/>
    </row>
    <row r="42" ht="11.25">
      <c r="C42" s="210"/>
    </row>
    <row r="43" spans="3:6" ht="11.25">
      <c r="C43" s="209"/>
      <c r="D43" s="209"/>
      <c r="E43" s="209"/>
      <c r="F43" s="209"/>
    </row>
    <row r="44" spans="1:7" ht="11.25">
      <c r="A44" s="220"/>
      <c r="B44" s="220"/>
      <c r="C44" s="221"/>
      <c r="D44" s="212"/>
      <c r="E44" s="212"/>
      <c r="F44" s="212"/>
      <c r="G44" s="212"/>
    </row>
    <row r="49" spans="1:7" ht="11.25">
      <c r="A49" s="220"/>
      <c r="B49" s="220"/>
      <c r="C49" s="220"/>
      <c r="D49" s="220"/>
      <c r="E49" s="220"/>
      <c r="F49" s="220"/>
      <c r="G49" s="220"/>
    </row>
    <row r="54" spans="1:2" ht="11.25">
      <c r="A54" s="220"/>
      <c r="B54" s="220"/>
    </row>
    <row r="55" spans="3:7" ht="11.25">
      <c r="C55" s="212"/>
      <c r="D55" s="212"/>
      <c r="E55" s="212"/>
      <c r="F55" s="212"/>
      <c r="G55" s="212"/>
    </row>
    <row r="56" spans="3:7" ht="11.25">
      <c r="C56" s="212"/>
      <c r="D56" s="212"/>
      <c r="E56" s="212"/>
      <c r="F56" s="212"/>
      <c r="G56" s="212"/>
    </row>
    <row r="57" spans="3:7" ht="11.25">
      <c r="C57" s="212"/>
      <c r="D57" s="212"/>
      <c r="E57" s="212"/>
      <c r="F57" s="212"/>
      <c r="G57" s="212"/>
    </row>
    <row r="59" spans="1:2" ht="11.25">
      <c r="A59" s="220"/>
      <c r="B59" s="220"/>
    </row>
    <row r="60" spans="3:7" ht="11.25">
      <c r="C60" s="209"/>
      <c r="D60" s="209"/>
      <c r="E60" s="209"/>
      <c r="F60" s="209"/>
      <c r="G60" s="209"/>
    </row>
    <row r="61" spans="3:7" ht="11.25">
      <c r="C61" s="209"/>
      <c r="D61" s="209"/>
      <c r="E61" s="209"/>
      <c r="F61" s="209"/>
      <c r="G61" s="209"/>
    </row>
    <row r="62" spans="3:7" ht="11.25">
      <c r="C62" s="209"/>
      <c r="D62" s="209"/>
      <c r="E62" s="209"/>
      <c r="F62" s="209"/>
      <c r="G62" s="209"/>
    </row>
    <row r="64" spans="1:2" ht="11.25">
      <c r="A64" s="220"/>
      <c r="B64" s="220"/>
    </row>
    <row r="65" spans="3:7" ht="11.25">
      <c r="C65" s="212"/>
      <c r="D65" s="212"/>
      <c r="E65" s="212"/>
      <c r="F65" s="212"/>
      <c r="G65" s="212"/>
    </row>
    <row r="66" spans="3:7" ht="11.25">
      <c r="C66" s="212"/>
      <c r="D66" s="212"/>
      <c r="E66" s="212"/>
      <c r="F66" s="212"/>
      <c r="G66" s="212"/>
    </row>
    <row r="67" spans="3:7" ht="11.25">
      <c r="C67" s="212"/>
      <c r="D67" s="212"/>
      <c r="E67" s="212"/>
      <c r="F67" s="212"/>
      <c r="G67" s="212"/>
    </row>
    <row r="69" spans="1:7" ht="11.25">
      <c r="A69" s="220"/>
      <c r="B69" s="220"/>
      <c r="C69" s="222"/>
      <c r="D69" s="222"/>
      <c r="E69" s="222"/>
      <c r="F69" s="222"/>
      <c r="G69" s="222"/>
    </row>
    <row r="70" spans="3:7" ht="11.25">
      <c r="C70" s="212"/>
      <c r="D70" s="212"/>
      <c r="E70" s="212"/>
      <c r="F70" s="212"/>
      <c r="G70" s="212"/>
    </row>
    <row r="71" spans="3:7" ht="11.25">
      <c r="C71" s="212"/>
      <c r="D71" s="212"/>
      <c r="E71" s="212"/>
      <c r="F71" s="212"/>
      <c r="G71" s="212"/>
    </row>
    <row r="72" spans="3:7" ht="11.25">
      <c r="C72" s="212"/>
      <c r="D72" s="212"/>
      <c r="E72" s="212"/>
      <c r="F72" s="212"/>
      <c r="G72" s="212"/>
    </row>
    <row r="74" spans="1:7" ht="11.25">
      <c r="A74" s="220"/>
      <c r="B74" s="220"/>
      <c r="C74" s="222"/>
      <c r="D74" s="222"/>
      <c r="E74" s="222"/>
      <c r="F74" s="222"/>
      <c r="G74" s="222"/>
    </row>
    <row r="75" spans="3:7" ht="11.25">
      <c r="C75" s="212"/>
      <c r="D75" s="212"/>
      <c r="E75" s="212"/>
      <c r="F75" s="212"/>
      <c r="G75" s="212"/>
    </row>
    <row r="76" spans="3:7" ht="11.25">
      <c r="C76" s="212"/>
      <c r="D76" s="212"/>
      <c r="E76" s="212"/>
      <c r="F76" s="212"/>
      <c r="G76" s="212"/>
    </row>
    <row r="77" spans="3:7" ht="11.25">
      <c r="C77" s="212"/>
      <c r="D77" s="212"/>
      <c r="E77" s="212"/>
      <c r="F77" s="212"/>
      <c r="G77" s="212"/>
    </row>
    <row r="79" spans="1:7" ht="11.25">
      <c r="A79" s="220"/>
      <c r="B79" s="220"/>
      <c r="C79" s="222"/>
      <c r="D79" s="222"/>
      <c r="E79" s="222"/>
      <c r="F79" s="222"/>
      <c r="G79" s="222"/>
    </row>
    <row r="80" spans="3:7" ht="11.25">
      <c r="C80" s="212"/>
      <c r="D80" s="212"/>
      <c r="E80" s="212"/>
      <c r="F80" s="212"/>
      <c r="G80" s="212"/>
    </row>
    <row r="81" spans="3:7" ht="11.25">
      <c r="C81" s="212"/>
      <c r="D81" s="212"/>
      <c r="E81" s="212"/>
      <c r="F81" s="212"/>
      <c r="G81" s="212"/>
    </row>
    <row r="82" spans="3:7" ht="11.25">
      <c r="C82" s="212"/>
      <c r="D82" s="212"/>
      <c r="E82" s="212"/>
      <c r="F82" s="212"/>
      <c r="G82" s="212"/>
    </row>
    <row r="84" spans="1:2" ht="11.25">
      <c r="A84" s="220"/>
      <c r="B84" s="220"/>
    </row>
    <row r="85" spans="3:7" ht="11.25">
      <c r="C85" s="209"/>
      <c r="D85" s="209"/>
      <c r="E85" s="209"/>
      <c r="F85" s="209"/>
      <c r="G85" s="209"/>
    </row>
    <row r="86" spans="3:7" ht="11.25">
      <c r="C86" s="212"/>
      <c r="D86" s="212"/>
      <c r="E86" s="212"/>
      <c r="F86" s="212"/>
      <c r="G86" s="212"/>
    </row>
    <row r="89" spans="3:7" ht="11.25">
      <c r="C89" s="212"/>
      <c r="D89" s="212"/>
      <c r="E89" s="212"/>
      <c r="F89" s="212"/>
      <c r="G89" s="212"/>
    </row>
    <row r="90" spans="3:7" ht="11.25">
      <c r="C90" s="209"/>
      <c r="D90" s="209"/>
      <c r="E90" s="209"/>
      <c r="F90" s="209"/>
      <c r="G90" s="209"/>
    </row>
    <row r="91" spans="3:7" ht="11.25">
      <c r="C91" s="212"/>
      <c r="D91" s="212"/>
      <c r="E91" s="212"/>
      <c r="F91" s="212"/>
      <c r="G91" s="212"/>
    </row>
    <row r="92" spans="3:7" ht="11.25">
      <c r="C92" s="212"/>
      <c r="D92" s="212"/>
      <c r="E92" s="212"/>
      <c r="F92" s="212"/>
      <c r="G92" s="212"/>
    </row>
    <row r="93" spans="3:7" ht="11.25">
      <c r="C93" s="212"/>
      <c r="D93" s="212"/>
      <c r="E93" s="212"/>
      <c r="F93" s="212"/>
      <c r="G93" s="212"/>
    </row>
    <row r="94" spans="3:7" ht="11.25">
      <c r="C94" s="209"/>
      <c r="D94" s="209"/>
      <c r="E94" s="209"/>
      <c r="F94" s="209"/>
      <c r="G94" s="209"/>
    </row>
    <row r="95" ht="11.25">
      <c r="C95" s="212"/>
    </row>
    <row r="96" spans="1:3" ht="11.25">
      <c r="A96" s="220"/>
      <c r="B96" s="220"/>
      <c r="C96" s="212"/>
    </row>
    <row r="97" spans="3:7" ht="11.25">
      <c r="C97" s="212"/>
      <c r="D97" s="212"/>
      <c r="E97" s="212"/>
      <c r="F97" s="212"/>
      <c r="G97" s="212"/>
    </row>
    <row r="98" spans="3:7" ht="11.25">
      <c r="C98" s="212"/>
      <c r="D98" s="212"/>
      <c r="E98" s="212"/>
      <c r="F98" s="212"/>
      <c r="G98" s="212"/>
    </row>
    <row r="99" spans="3:7" ht="11.25">
      <c r="C99" s="212"/>
      <c r="D99" s="212"/>
      <c r="E99" s="212"/>
      <c r="F99" s="212"/>
      <c r="G99" s="212"/>
    </row>
    <row r="100" spans="1:7" ht="11.25">
      <c r="A100" s="223"/>
      <c r="B100" s="223"/>
      <c r="C100" s="222"/>
      <c r="D100" s="222"/>
      <c r="E100" s="222"/>
      <c r="F100" s="222"/>
      <c r="G100" s="222"/>
    </row>
    <row r="102" spans="1:2" ht="11.25">
      <c r="A102" s="220"/>
      <c r="B102" s="220"/>
    </row>
    <row r="103" spans="3:7" ht="11.25">
      <c r="C103" s="212"/>
      <c r="D103" s="212"/>
      <c r="E103" s="212"/>
      <c r="F103" s="212"/>
      <c r="G103" s="212"/>
    </row>
    <row r="104" spans="3:7" ht="11.25">
      <c r="C104" s="212"/>
      <c r="D104" s="212"/>
      <c r="E104" s="212"/>
      <c r="F104" s="212"/>
      <c r="G104" s="212"/>
    </row>
    <row r="105" spans="3:7" ht="11.25">
      <c r="C105" s="212"/>
      <c r="D105" s="212"/>
      <c r="E105" s="212"/>
      <c r="F105" s="212"/>
      <c r="G105" s="212"/>
    </row>
    <row r="106" spans="3:7" ht="11.25">
      <c r="C106" s="212"/>
      <c r="D106" s="212"/>
      <c r="E106" s="212"/>
      <c r="F106" s="212"/>
      <c r="G106" s="212"/>
    </row>
    <row r="107" spans="3:7" ht="11.25">
      <c r="C107" s="212"/>
      <c r="D107" s="212"/>
      <c r="E107" s="212"/>
      <c r="F107" s="212"/>
      <c r="G107" s="212"/>
    </row>
    <row r="108" spans="3:7" ht="11.25">
      <c r="C108" s="212"/>
      <c r="D108" s="212"/>
      <c r="E108" s="212"/>
      <c r="F108" s="212"/>
      <c r="G108" s="212"/>
    </row>
    <row r="109" spans="3:7" ht="11.25">
      <c r="C109" s="212"/>
      <c r="D109" s="212"/>
      <c r="E109" s="212"/>
      <c r="F109" s="212"/>
      <c r="G109" s="212"/>
    </row>
    <row r="110" spans="3:7" ht="11.25">
      <c r="C110" s="212"/>
      <c r="D110" s="212"/>
      <c r="E110" s="212"/>
      <c r="F110" s="212"/>
      <c r="G110" s="212"/>
    </row>
    <row r="111" spans="3:7" ht="11.25">
      <c r="C111" s="212"/>
      <c r="D111" s="212"/>
      <c r="E111" s="212"/>
      <c r="F111" s="212"/>
      <c r="G111" s="212"/>
    </row>
    <row r="112" spans="3:7" ht="11.25">
      <c r="C112" s="212"/>
      <c r="D112" s="212"/>
      <c r="E112" s="212"/>
      <c r="F112" s="212"/>
      <c r="G112" s="212"/>
    </row>
    <row r="113" spans="3:7" ht="11.25">
      <c r="C113" s="212"/>
      <c r="D113" s="212"/>
      <c r="E113" s="212"/>
      <c r="F113" s="212"/>
      <c r="G113" s="212"/>
    </row>
    <row r="114" spans="3:7" ht="11.25">
      <c r="C114" s="212"/>
      <c r="D114" s="212"/>
      <c r="E114" s="212"/>
      <c r="F114" s="212"/>
      <c r="G114" s="212"/>
    </row>
    <row r="115" spans="1:7" ht="11.25">
      <c r="A115" s="223"/>
      <c r="B115" s="223"/>
      <c r="C115" s="222"/>
      <c r="D115" s="222"/>
      <c r="E115" s="222"/>
      <c r="F115" s="222"/>
      <c r="G115" s="222"/>
    </row>
    <row r="116" spans="1:7" ht="11.25">
      <c r="A116" s="223"/>
      <c r="B116" s="223"/>
      <c r="C116" s="222"/>
      <c r="D116" s="222"/>
      <c r="E116" s="222"/>
      <c r="F116" s="222"/>
      <c r="G116" s="222"/>
    </row>
    <row r="117" spans="1:7" ht="11.25">
      <c r="A117" s="208"/>
      <c r="B117" s="208"/>
      <c r="C117" s="212"/>
      <c r="D117" s="212"/>
      <c r="E117" s="212"/>
      <c r="F117" s="212"/>
      <c r="G117" s="212"/>
    </row>
  </sheetData>
  <sheetProtection/>
  <mergeCells count="3">
    <mergeCell ref="A5:L5"/>
    <mergeCell ref="A1:L1"/>
    <mergeCell ref="A3:L3"/>
  </mergeCells>
  <printOptions horizontalCentered="1" verticalCentered="1"/>
  <pageMargins left="0.4330708661417323" right="0.5118110236220472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0">
      <selection activeCell="B39" sqref="B39"/>
    </sheetView>
  </sheetViews>
  <sheetFormatPr defaultColWidth="9.140625" defaultRowHeight="12.75"/>
  <cols>
    <col min="1" max="1" width="27.8515625" style="206" bestFit="1" customWidth="1"/>
    <col min="2" max="3" width="10.00390625" style="206" bestFit="1" customWidth="1"/>
    <col min="4" max="4" width="9.7109375" style="206" bestFit="1" customWidth="1"/>
    <col min="5" max="6" width="9.140625" style="206" bestFit="1" customWidth="1"/>
    <col min="7" max="11" width="10.00390625" style="206" bestFit="1" customWidth="1"/>
    <col min="12" max="12" width="11.28125" style="206" bestFit="1" customWidth="1"/>
    <col min="13" max="16384" width="9.140625" style="206" customWidth="1"/>
  </cols>
  <sheetData>
    <row r="1" s="159" customFormat="1" ht="12.75">
      <c r="A1" s="159" t="s">
        <v>160</v>
      </c>
    </row>
    <row r="2" spans="1:10" s="159" customFormat="1" ht="12.75">
      <c r="A2" s="647" t="s">
        <v>163</v>
      </c>
      <c r="B2" s="647"/>
      <c r="C2" s="647"/>
      <c r="D2" s="647"/>
      <c r="E2" s="647"/>
      <c r="F2" s="647"/>
      <c r="G2" s="647"/>
      <c r="H2" s="647"/>
      <c r="I2" s="647"/>
      <c r="J2" s="647"/>
    </row>
    <row r="3" s="159" customFormat="1" ht="12.75"/>
    <row r="4" spans="1:12" s="159" customFormat="1" ht="12.75">
      <c r="A4" s="646" t="s">
        <v>133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</row>
    <row r="5" ht="11.25">
      <c r="D5" s="170"/>
    </row>
    <row r="6" spans="1:12" s="168" customFormat="1" ht="11.25">
      <c r="A6" s="339" t="s">
        <v>187</v>
      </c>
      <c r="B6" s="340" t="s">
        <v>120</v>
      </c>
      <c r="C6" s="340" t="s">
        <v>119</v>
      </c>
      <c r="D6" s="340" t="s">
        <v>121</v>
      </c>
      <c r="E6" s="340" t="s">
        <v>122</v>
      </c>
      <c r="F6" s="340" t="s">
        <v>123</v>
      </c>
      <c r="G6" s="340" t="s">
        <v>124</v>
      </c>
      <c r="H6" s="340" t="s">
        <v>125</v>
      </c>
      <c r="I6" s="340" t="s">
        <v>126</v>
      </c>
      <c r="J6" s="340" t="s">
        <v>127</v>
      </c>
      <c r="K6" s="340" t="s">
        <v>128</v>
      </c>
      <c r="L6" s="340" t="s">
        <v>129</v>
      </c>
    </row>
    <row r="7" spans="1:15" s="168" customFormat="1" ht="11.25">
      <c r="A7" s="335" t="s">
        <v>94</v>
      </c>
      <c r="B7" s="335"/>
      <c r="C7" s="219">
        <f>+'Sal. Var'!I65</f>
        <v>46680</v>
      </c>
      <c r="D7" s="219">
        <f aca="true" t="shared" si="0" ref="D7:L7">+C7+(C7*0.25)</f>
        <v>58350</v>
      </c>
      <c r="E7" s="219">
        <f t="shared" si="0"/>
        <v>72937.5</v>
      </c>
      <c r="F7" s="219">
        <f t="shared" si="0"/>
        <v>91171.875</v>
      </c>
      <c r="G7" s="219">
        <f t="shared" si="0"/>
        <v>113964.84375</v>
      </c>
      <c r="H7" s="219">
        <f t="shared" si="0"/>
        <v>142456.0546875</v>
      </c>
      <c r="I7" s="219">
        <f t="shared" si="0"/>
        <v>178070.068359375</v>
      </c>
      <c r="J7" s="219">
        <f t="shared" si="0"/>
        <v>222587.58544921875</v>
      </c>
      <c r="K7" s="219">
        <f t="shared" si="0"/>
        <v>278234.48181152344</v>
      </c>
      <c r="L7" s="219">
        <f t="shared" si="0"/>
        <v>347793.1022644043</v>
      </c>
      <c r="M7" s="170"/>
      <c r="N7" s="170"/>
      <c r="O7" s="170"/>
    </row>
    <row r="8" spans="1:15" s="168" customFormat="1" ht="22.5">
      <c r="A8" s="341" t="s">
        <v>188</v>
      </c>
      <c r="B8" s="335"/>
      <c r="C8" s="342">
        <v>0</v>
      </c>
      <c r="D8" s="342">
        <v>0</v>
      </c>
      <c r="E8" s="342">
        <v>0</v>
      </c>
      <c r="F8" s="342">
        <v>0</v>
      </c>
      <c r="G8" s="342">
        <f>+'Bce reemp'!I22</f>
        <v>769.75</v>
      </c>
      <c r="H8" s="342">
        <v>0</v>
      </c>
      <c r="I8" s="342">
        <v>0</v>
      </c>
      <c r="J8" s="342">
        <v>0</v>
      </c>
      <c r="K8" s="342">
        <v>0</v>
      </c>
      <c r="L8" s="342">
        <f>+'Bce reemp'!J22</f>
        <v>808.2375</v>
      </c>
      <c r="M8" s="170"/>
      <c r="N8" s="170"/>
      <c r="O8" s="170"/>
    </row>
    <row r="9" spans="1:12" s="168" customFormat="1" ht="11.25">
      <c r="A9" s="343" t="s">
        <v>8</v>
      </c>
      <c r="B9" s="343"/>
      <c r="C9" s="344">
        <f>SUM(C7)</f>
        <v>46680</v>
      </c>
      <c r="D9" s="344">
        <f aca="true" t="shared" si="1" ref="D9:L9">SUM(D7:D8)</f>
        <v>58350</v>
      </c>
      <c r="E9" s="344">
        <f t="shared" si="1"/>
        <v>72937.5</v>
      </c>
      <c r="F9" s="344">
        <f t="shared" si="1"/>
        <v>91171.875</v>
      </c>
      <c r="G9" s="344">
        <f t="shared" si="1"/>
        <v>114734.59375</v>
      </c>
      <c r="H9" s="344">
        <f t="shared" si="1"/>
        <v>142456.0546875</v>
      </c>
      <c r="I9" s="344">
        <f t="shared" si="1"/>
        <v>178070.068359375</v>
      </c>
      <c r="J9" s="344">
        <f t="shared" si="1"/>
        <v>222587.58544921875</v>
      </c>
      <c r="K9" s="344">
        <f t="shared" si="1"/>
        <v>278234.48181152344</v>
      </c>
      <c r="L9" s="344">
        <f t="shared" si="1"/>
        <v>348601.3397644043</v>
      </c>
    </row>
    <row r="10" spans="1:12" s="168" customFormat="1" ht="11.25">
      <c r="A10" s="335"/>
      <c r="B10" s="335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1:12" s="168" customFormat="1" ht="11.25">
      <c r="A11" s="339" t="s">
        <v>9</v>
      </c>
      <c r="B11" s="33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2" s="168" customFormat="1" ht="11.25">
      <c r="A12" s="339" t="s">
        <v>118</v>
      </c>
      <c r="B12" s="33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2" s="168" customFormat="1" ht="11.25">
      <c r="A13" s="335" t="s">
        <v>168</v>
      </c>
      <c r="B13" s="335"/>
      <c r="C13" s="219">
        <f>+'Bce Pers.'!B61</f>
        <v>29169.8064</v>
      </c>
      <c r="D13" s="219">
        <f>+C13</f>
        <v>29169.8064</v>
      </c>
      <c r="E13" s="219">
        <f>+C13</f>
        <v>29169.8064</v>
      </c>
      <c r="F13" s="219">
        <f>+E13+(E13*0.1)</f>
        <v>32086.787040000003</v>
      </c>
      <c r="G13" s="219">
        <f>+F13</f>
        <v>32086.787040000003</v>
      </c>
      <c r="H13" s="219">
        <f>+F13</f>
        <v>32086.787040000003</v>
      </c>
      <c r="I13" s="219">
        <f>+H13+(H13*0.1)</f>
        <v>35295.465744</v>
      </c>
      <c r="J13" s="219">
        <f aca="true" t="shared" si="2" ref="J13:L14">+I13</f>
        <v>35295.465744</v>
      </c>
      <c r="K13" s="219">
        <f t="shared" si="2"/>
        <v>35295.465744</v>
      </c>
      <c r="L13" s="219">
        <f t="shared" si="2"/>
        <v>35295.465744</v>
      </c>
    </row>
    <row r="14" spans="1:12" s="168" customFormat="1" ht="11.25">
      <c r="A14" s="335" t="s">
        <v>132</v>
      </c>
      <c r="B14" s="335"/>
      <c r="C14" s="219">
        <f>+'Sal. Var'!H48+200</f>
        <v>542</v>
      </c>
      <c r="D14" s="219">
        <f>+C14</f>
        <v>542</v>
      </c>
      <c r="E14" s="219">
        <f>+D14</f>
        <v>542</v>
      </c>
      <c r="F14" s="219">
        <f>+E14</f>
        <v>542</v>
      </c>
      <c r="G14" s="219">
        <f>+F14</f>
        <v>542</v>
      </c>
      <c r="H14" s="219">
        <f>+G14</f>
        <v>542</v>
      </c>
      <c r="I14" s="219">
        <f>+H14</f>
        <v>542</v>
      </c>
      <c r="J14" s="219">
        <f t="shared" si="2"/>
        <v>542</v>
      </c>
      <c r="K14" s="219">
        <f t="shared" si="2"/>
        <v>542</v>
      </c>
      <c r="L14" s="219">
        <f t="shared" si="2"/>
        <v>542</v>
      </c>
    </row>
    <row r="15" spans="1:12" s="168" customFormat="1" ht="11.25">
      <c r="A15" s="335" t="s">
        <v>116</v>
      </c>
      <c r="B15" s="335"/>
      <c r="C15" s="219">
        <f aca="true" t="shared" si="3" ref="C15:L15">(2*7*4*12)*15</f>
        <v>10080</v>
      </c>
      <c r="D15" s="219">
        <f t="shared" si="3"/>
        <v>10080</v>
      </c>
      <c r="E15" s="219">
        <f t="shared" si="3"/>
        <v>10080</v>
      </c>
      <c r="F15" s="219">
        <f t="shared" si="3"/>
        <v>10080</v>
      </c>
      <c r="G15" s="219">
        <f t="shared" si="3"/>
        <v>10080</v>
      </c>
      <c r="H15" s="219">
        <f t="shared" si="3"/>
        <v>10080</v>
      </c>
      <c r="I15" s="219">
        <f t="shared" si="3"/>
        <v>10080</v>
      </c>
      <c r="J15" s="219">
        <f t="shared" si="3"/>
        <v>10080</v>
      </c>
      <c r="K15" s="219">
        <f t="shared" si="3"/>
        <v>10080</v>
      </c>
      <c r="L15" s="219">
        <f t="shared" si="3"/>
        <v>10080</v>
      </c>
    </row>
    <row r="16" spans="1:12" s="168" customFormat="1" ht="11.25">
      <c r="A16" s="335" t="s">
        <v>249</v>
      </c>
      <c r="B16" s="335"/>
      <c r="C16" s="219">
        <f>Gtos!D21</f>
        <v>5595</v>
      </c>
      <c r="D16" s="219">
        <f aca="true" t="shared" si="4" ref="D16:L16">+C16</f>
        <v>5595</v>
      </c>
      <c r="E16" s="219">
        <f t="shared" si="4"/>
        <v>5595</v>
      </c>
      <c r="F16" s="219">
        <f t="shared" si="4"/>
        <v>5595</v>
      </c>
      <c r="G16" s="219">
        <f t="shared" si="4"/>
        <v>5595</v>
      </c>
      <c r="H16" s="219">
        <f t="shared" si="4"/>
        <v>5595</v>
      </c>
      <c r="I16" s="219">
        <f t="shared" si="4"/>
        <v>5595</v>
      </c>
      <c r="J16" s="219">
        <f t="shared" si="4"/>
        <v>5595</v>
      </c>
      <c r="K16" s="219">
        <f t="shared" si="4"/>
        <v>5595</v>
      </c>
      <c r="L16" s="219">
        <f t="shared" si="4"/>
        <v>5595</v>
      </c>
    </row>
    <row r="17" spans="1:12" s="168" customFormat="1" ht="11.25">
      <c r="A17" s="335" t="s">
        <v>10</v>
      </c>
      <c r="B17" s="335"/>
      <c r="C17" s="219">
        <f>+Gtos!B35+Gtos!B36+Gtos!B37+Gtos!B38</f>
        <v>936</v>
      </c>
      <c r="D17" s="219">
        <f>+C17</f>
        <v>936</v>
      </c>
      <c r="E17" s="219">
        <f aca="true" t="shared" si="5" ref="E17:L18">+D17+(D17*0.01)</f>
        <v>945.36</v>
      </c>
      <c r="F17" s="219">
        <f t="shared" si="5"/>
        <v>954.8136000000001</v>
      </c>
      <c r="G17" s="219">
        <f t="shared" si="5"/>
        <v>964.3617360000001</v>
      </c>
      <c r="H17" s="219">
        <f t="shared" si="5"/>
        <v>974.0053533600001</v>
      </c>
      <c r="I17" s="219">
        <f t="shared" si="5"/>
        <v>983.7454068936</v>
      </c>
      <c r="J17" s="219">
        <f t="shared" si="5"/>
        <v>993.5828609625361</v>
      </c>
      <c r="K17" s="219">
        <f t="shared" si="5"/>
        <v>1003.5186895721614</v>
      </c>
      <c r="L17" s="219">
        <f t="shared" si="5"/>
        <v>1013.553876467883</v>
      </c>
    </row>
    <row r="18" spans="1:12" s="168" customFormat="1" ht="11.25">
      <c r="A18" s="335" t="s">
        <v>6</v>
      </c>
      <c r="B18" s="335"/>
      <c r="C18" s="219">
        <f>+Hoja2!C35</f>
        <v>6000</v>
      </c>
      <c r="D18" s="219">
        <f>+C18</f>
        <v>6000</v>
      </c>
      <c r="E18" s="219">
        <f t="shared" si="5"/>
        <v>6060</v>
      </c>
      <c r="F18" s="219">
        <f t="shared" si="5"/>
        <v>6120.6</v>
      </c>
      <c r="G18" s="219">
        <f t="shared" si="5"/>
        <v>6181.8060000000005</v>
      </c>
      <c r="H18" s="219">
        <f t="shared" si="5"/>
        <v>6243.62406</v>
      </c>
      <c r="I18" s="219">
        <f t="shared" si="5"/>
        <v>6306.0603006</v>
      </c>
      <c r="J18" s="219">
        <f t="shared" si="5"/>
        <v>6369.120903606</v>
      </c>
      <c r="K18" s="219">
        <f t="shared" si="5"/>
        <v>6432.81211264206</v>
      </c>
      <c r="L18" s="219">
        <f t="shared" si="5"/>
        <v>6497.14023376848</v>
      </c>
    </row>
    <row r="19" spans="1:12" s="168" customFormat="1" ht="11.25">
      <c r="A19" s="343" t="s">
        <v>12</v>
      </c>
      <c r="B19" s="343"/>
      <c r="C19" s="345">
        <f aca="true" t="shared" si="6" ref="C19:L19">SUM(C13:C18)</f>
        <v>52322.8064</v>
      </c>
      <c r="D19" s="345">
        <f t="shared" si="6"/>
        <v>52322.8064</v>
      </c>
      <c r="E19" s="345">
        <f t="shared" si="6"/>
        <v>52392.1664</v>
      </c>
      <c r="F19" s="345">
        <f t="shared" si="6"/>
        <v>55379.20064</v>
      </c>
      <c r="G19" s="345">
        <f t="shared" si="6"/>
        <v>55449.954776</v>
      </c>
      <c r="H19" s="345">
        <f t="shared" si="6"/>
        <v>55521.416453360005</v>
      </c>
      <c r="I19" s="345">
        <f t="shared" si="6"/>
        <v>58802.2714514936</v>
      </c>
      <c r="J19" s="345">
        <f t="shared" si="6"/>
        <v>58875.16950856854</v>
      </c>
      <c r="K19" s="345">
        <f t="shared" si="6"/>
        <v>58948.796546214224</v>
      </c>
      <c r="L19" s="345">
        <f t="shared" si="6"/>
        <v>59023.159854236364</v>
      </c>
    </row>
    <row r="20" spans="1:12" s="168" customFormat="1" ht="11.25">
      <c r="A20" s="216" t="s">
        <v>312</v>
      </c>
      <c r="B20" s="216"/>
      <c r="C20" s="219">
        <f>Equipos!I10</f>
        <v>1282.9166666666667</v>
      </c>
      <c r="D20" s="219">
        <f aca="true" t="shared" si="7" ref="D20:L20">C20</f>
        <v>1282.9166666666667</v>
      </c>
      <c r="E20" s="219">
        <f t="shared" si="7"/>
        <v>1282.9166666666667</v>
      </c>
      <c r="F20" s="219">
        <f t="shared" si="7"/>
        <v>1282.9166666666667</v>
      </c>
      <c r="G20" s="219">
        <f t="shared" si="7"/>
        <v>1282.9166666666667</v>
      </c>
      <c r="H20" s="219">
        <f t="shared" si="7"/>
        <v>1282.9166666666667</v>
      </c>
      <c r="I20" s="219">
        <f t="shared" si="7"/>
        <v>1282.9166666666667</v>
      </c>
      <c r="J20" s="219">
        <f t="shared" si="7"/>
        <v>1282.9166666666667</v>
      </c>
      <c r="K20" s="219">
        <f t="shared" si="7"/>
        <v>1282.9166666666667</v>
      </c>
      <c r="L20" s="219">
        <f t="shared" si="7"/>
        <v>1282.9166666666667</v>
      </c>
    </row>
    <row r="21" spans="1:12" s="168" customFormat="1" ht="11.25">
      <c r="A21" s="343" t="s">
        <v>13</v>
      </c>
      <c r="B21" s="346"/>
      <c r="C21" s="345">
        <f aca="true" t="shared" si="8" ref="C21:L21">C9-C19-C20</f>
        <v>-6925.723066666668</v>
      </c>
      <c r="D21" s="345">
        <f t="shared" si="8"/>
        <v>4744.276933333332</v>
      </c>
      <c r="E21" s="345">
        <f t="shared" si="8"/>
        <v>19262.41693333333</v>
      </c>
      <c r="F21" s="345">
        <f t="shared" si="8"/>
        <v>34509.75769333333</v>
      </c>
      <c r="G21" s="345">
        <f t="shared" si="8"/>
        <v>58001.72230733334</v>
      </c>
      <c r="H21" s="345">
        <f t="shared" si="8"/>
        <v>85651.72156747333</v>
      </c>
      <c r="I21" s="345">
        <f t="shared" si="8"/>
        <v>117984.88024121472</v>
      </c>
      <c r="J21" s="345">
        <f t="shared" si="8"/>
        <v>162429.49927398356</v>
      </c>
      <c r="K21" s="345">
        <f t="shared" si="8"/>
        <v>218002.76859864255</v>
      </c>
      <c r="L21" s="345">
        <f t="shared" si="8"/>
        <v>288295.26324350125</v>
      </c>
    </row>
    <row r="22" spans="1:12" s="168" customFormat="1" ht="11.25">
      <c r="A22" s="216" t="s">
        <v>294</v>
      </c>
      <c r="B22" s="346"/>
      <c r="C22" s="219">
        <f aca="true" t="shared" si="9" ref="C22:L22">+C21*0.15</f>
        <v>-1038.8584600000002</v>
      </c>
      <c r="D22" s="219">
        <f t="shared" si="9"/>
        <v>711.6415399999997</v>
      </c>
      <c r="E22" s="219">
        <f t="shared" si="9"/>
        <v>2889.3625399999996</v>
      </c>
      <c r="F22" s="219">
        <f t="shared" si="9"/>
        <v>5176.463654</v>
      </c>
      <c r="G22" s="219">
        <f t="shared" si="9"/>
        <v>8700.2583461</v>
      </c>
      <c r="H22" s="219">
        <f t="shared" si="9"/>
        <v>12847.758235120999</v>
      </c>
      <c r="I22" s="219">
        <f t="shared" si="9"/>
        <v>17697.732036182206</v>
      </c>
      <c r="J22" s="219">
        <f t="shared" si="9"/>
        <v>24364.424891097533</v>
      </c>
      <c r="K22" s="219">
        <f t="shared" si="9"/>
        <v>32700.41528979638</v>
      </c>
      <c r="L22" s="219">
        <f t="shared" si="9"/>
        <v>43244.28948652519</v>
      </c>
    </row>
    <row r="23" spans="1:12" s="207" customFormat="1" ht="11.25">
      <c r="A23" s="343" t="s">
        <v>313</v>
      </c>
      <c r="B23" s="346"/>
      <c r="C23" s="344">
        <f aca="true" t="shared" si="10" ref="C23:L23">+C21-C22</f>
        <v>-5886.864606666668</v>
      </c>
      <c r="D23" s="344">
        <f t="shared" si="10"/>
        <v>4032.635393333332</v>
      </c>
      <c r="E23" s="344">
        <f t="shared" si="10"/>
        <v>16373.05439333333</v>
      </c>
      <c r="F23" s="344">
        <f t="shared" si="10"/>
        <v>29333.294039333334</v>
      </c>
      <c r="G23" s="344">
        <f t="shared" si="10"/>
        <v>49301.46396123334</v>
      </c>
      <c r="H23" s="344">
        <f t="shared" si="10"/>
        <v>72803.96333235233</v>
      </c>
      <c r="I23" s="344">
        <f t="shared" si="10"/>
        <v>100287.14820503251</v>
      </c>
      <c r="J23" s="344">
        <f t="shared" si="10"/>
        <v>138065.07438288603</v>
      </c>
      <c r="K23" s="344">
        <f t="shared" si="10"/>
        <v>185302.35330884618</v>
      </c>
      <c r="L23" s="344">
        <f t="shared" si="10"/>
        <v>245050.97375697608</v>
      </c>
    </row>
    <row r="24" spans="1:12" s="168" customFormat="1" ht="11.25">
      <c r="A24" s="216" t="s">
        <v>104</v>
      </c>
      <c r="B24" s="216"/>
      <c r="C24" s="219"/>
      <c r="D24" s="219">
        <f aca="true" t="shared" si="11" ref="D24:L24">+D23*$D$32</f>
        <v>1008.158848333333</v>
      </c>
      <c r="E24" s="219">
        <f t="shared" si="11"/>
        <v>4093.2635983333325</v>
      </c>
      <c r="F24" s="219">
        <f t="shared" si="11"/>
        <v>7333.323509833333</v>
      </c>
      <c r="G24" s="219">
        <f t="shared" si="11"/>
        <v>12325.365990308335</v>
      </c>
      <c r="H24" s="219">
        <f t="shared" si="11"/>
        <v>18200.990833088083</v>
      </c>
      <c r="I24" s="219">
        <f t="shared" si="11"/>
        <v>25071.78705125813</v>
      </c>
      <c r="J24" s="219">
        <f t="shared" si="11"/>
        <v>34516.26859572151</v>
      </c>
      <c r="K24" s="219">
        <f t="shared" si="11"/>
        <v>46325.588327211546</v>
      </c>
      <c r="L24" s="219">
        <f t="shared" si="11"/>
        <v>61262.74343924402</v>
      </c>
    </row>
    <row r="25" spans="1:12" s="168" customFormat="1" ht="11.25">
      <c r="A25" s="343" t="s">
        <v>214</v>
      </c>
      <c r="B25" s="343"/>
      <c r="C25" s="345">
        <f>C21-C24</f>
        <v>-6925.723066666668</v>
      </c>
      <c r="D25" s="345">
        <f aca="true" t="shared" si="12" ref="D25:L25">D23-D24</f>
        <v>3024.476544999999</v>
      </c>
      <c r="E25" s="345">
        <f t="shared" si="12"/>
        <v>12279.790794999997</v>
      </c>
      <c r="F25" s="345">
        <f t="shared" si="12"/>
        <v>21999.970529500002</v>
      </c>
      <c r="G25" s="345">
        <f t="shared" si="12"/>
        <v>36976.09797092501</v>
      </c>
      <c r="H25" s="345">
        <f t="shared" si="12"/>
        <v>54602.972499264244</v>
      </c>
      <c r="I25" s="345">
        <f t="shared" si="12"/>
        <v>75215.36115377439</v>
      </c>
      <c r="J25" s="345">
        <f t="shared" si="12"/>
        <v>103548.80578716451</v>
      </c>
      <c r="K25" s="345">
        <f t="shared" si="12"/>
        <v>138976.76498163462</v>
      </c>
      <c r="L25" s="345">
        <f t="shared" si="12"/>
        <v>183788.23031773206</v>
      </c>
    </row>
    <row r="26" spans="1:12" s="168" customFormat="1" ht="11.25">
      <c r="A26" s="216" t="s">
        <v>310</v>
      </c>
      <c r="B26" s="216"/>
      <c r="C26" s="219">
        <f aca="true" t="shared" si="13" ref="C26:L26">+C20</f>
        <v>1282.9166666666667</v>
      </c>
      <c r="D26" s="219">
        <f t="shared" si="13"/>
        <v>1282.9166666666667</v>
      </c>
      <c r="E26" s="219">
        <f t="shared" si="13"/>
        <v>1282.9166666666667</v>
      </c>
      <c r="F26" s="219">
        <f t="shared" si="13"/>
        <v>1282.9166666666667</v>
      </c>
      <c r="G26" s="219">
        <f t="shared" si="13"/>
        <v>1282.9166666666667</v>
      </c>
      <c r="H26" s="219">
        <f t="shared" si="13"/>
        <v>1282.9166666666667</v>
      </c>
      <c r="I26" s="219">
        <f t="shared" si="13"/>
        <v>1282.9166666666667</v>
      </c>
      <c r="J26" s="219">
        <f t="shared" si="13"/>
        <v>1282.9166666666667</v>
      </c>
      <c r="K26" s="219">
        <f t="shared" si="13"/>
        <v>1282.9166666666667</v>
      </c>
      <c r="L26" s="219">
        <f t="shared" si="13"/>
        <v>1282.9166666666667</v>
      </c>
    </row>
    <row r="27" spans="1:12" s="168" customFormat="1" ht="11.25">
      <c r="A27" s="343" t="s">
        <v>215</v>
      </c>
      <c r="B27" s="374">
        <f>-'Inv. Inic'!B12</f>
        <v>-13128.75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</row>
    <row r="28" spans="1:12" s="168" customFormat="1" ht="11.25">
      <c r="A28" s="343" t="s">
        <v>216</v>
      </c>
      <c r="B28" s="374">
        <f>+'Capital de Trabajo'!C20</f>
        <v>-4355.123199999998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</row>
    <row r="29" spans="1:12" s="168" customFormat="1" ht="11.25">
      <c r="A29" s="343" t="s">
        <v>217</v>
      </c>
      <c r="B29" s="343"/>
      <c r="C29" s="345"/>
      <c r="D29" s="345"/>
      <c r="E29" s="345"/>
      <c r="F29" s="345"/>
      <c r="G29" s="345"/>
      <c r="H29" s="345"/>
      <c r="I29" s="345"/>
      <c r="J29" s="345"/>
      <c r="K29" s="345"/>
      <c r="L29" s="345">
        <f>+'valor desecho'!D11</f>
        <v>836715.2658668316</v>
      </c>
    </row>
    <row r="30" spans="1:12" s="168" customFormat="1" ht="11.25">
      <c r="A30" s="343" t="s">
        <v>130</v>
      </c>
      <c r="B30" s="344">
        <f>SUM(B27:B29)</f>
        <v>-17483.873199999998</v>
      </c>
      <c r="C30" s="347">
        <f aca="true" t="shared" si="14" ref="C30:L30">+C25+C26</f>
        <v>-5642.806400000001</v>
      </c>
      <c r="D30" s="347">
        <f t="shared" si="14"/>
        <v>4307.393211666666</v>
      </c>
      <c r="E30" s="347">
        <f t="shared" si="14"/>
        <v>13562.707461666663</v>
      </c>
      <c r="F30" s="347">
        <f t="shared" si="14"/>
        <v>23282.88719616667</v>
      </c>
      <c r="G30" s="347">
        <f t="shared" si="14"/>
        <v>38259.014637591674</v>
      </c>
      <c r="H30" s="347">
        <f t="shared" si="14"/>
        <v>55885.88916593091</v>
      </c>
      <c r="I30" s="347">
        <f t="shared" si="14"/>
        <v>76498.27782044106</v>
      </c>
      <c r="J30" s="347">
        <f t="shared" si="14"/>
        <v>104831.72245383119</v>
      </c>
      <c r="K30" s="347">
        <f t="shared" si="14"/>
        <v>140259.68164830128</v>
      </c>
      <c r="L30" s="347">
        <f t="shared" si="14"/>
        <v>185071.1469843987</v>
      </c>
    </row>
    <row r="31" spans="1:12" ht="11.25">
      <c r="A31" s="168"/>
      <c r="B31" s="168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12" ht="11.25">
      <c r="A32" s="208"/>
      <c r="B32" s="209"/>
      <c r="C32" s="210"/>
      <c r="D32" s="87">
        <v>0.25</v>
      </c>
      <c r="E32" s="170"/>
      <c r="F32" s="170"/>
      <c r="G32" s="170"/>
      <c r="H32" s="170"/>
      <c r="I32" s="170"/>
      <c r="J32" s="170"/>
      <c r="K32" s="170"/>
      <c r="L32" s="170"/>
    </row>
    <row r="33" spans="1:12" ht="11.25">
      <c r="A33" s="211"/>
      <c r="B33" s="211"/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1:7" s="168" customFormat="1" ht="15" customHeight="1">
      <c r="A34" s="361"/>
      <c r="B34" s="361"/>
      <c r="C34" s="361"/>
      <c r="D34" s="208"/>
      <c r="E34" s="213"/>
      <c r="G34" s="359"/>
    </row>
    <row r="35" spans="1:7" s="168" customFormat="1" ht="15" customHeight="1" thickBot="1">
      <c r="A35" s="361"/>
      <c r="B35" s="361"/>
      <c r="C35" s="361"/>
      <c r="D35" s="214"/>
      <c r="E35" s="215"/>
      <c r="F35" s="214"/>
      <c r="G35" s="214"/>
    </row>
    <row r="36" spans="1:7" s="168" customFormat="1" ht="12.75" customHeight="1">
      <c r="A36" s="367" t="s">
        <v>16</v>
      </c>
      <c r="B36" s="368"/>
      <c r="E36" s="217"/>
      <c r="F36" s="217"/>
      <c r="G36" s="217"/>
    </row>
    <row r="37" spans="1:5" s="168" customFormat="1" ht="11.25">
      <c r="A37" s="362" t="s">
        <v>17</v>
      </c>
      <c r="B37" s="363">
        <f>IRR(B30:L30)</f>
        <v>0.6459907338983919</v>
      </c>
      <c r="E37" s="218"/>
    </row>
    <row r="38" spans="1:2" s="168" customFormat="1" ht="22.5">
      <c r="A38" s="362" t="s">
        <v>18</v>
      </c>
      <c r="B38" s="364">
        <f>NPV(B39,C30:L30)+B30</f>
        <v>19255.10225846813</v>
      </c>
    </row>
    <row r="39" spans="1:2" s="168" customFormat="1" ht="12.75" customHeight="1">
      <c r="A39" s="362" t="s">
        <v>233</v>
      </c>
      <c r="B39" s="363">
        <f>TMAR!C12</f>
        <v>0.47031599999999996</v>
      </c>
    </row>
    <row r="40" spans="1:2" ht="12" thickBot="1">
      <c r="A40" s="365" t="s">
        <v>309</v>
      </c>
      <c r="B40" s="366">
        <v>0.25</v>
      </c>
    </row>
    <row r="41" ht="11.25">
      <c r="C41" s="211"/>
    </row>
    <row r="42" ht="11.25">
      <c r="C42" s="210"/>
    </row>
    <row r="43" spans="3:6" ht="11.25">
      <c r="C43" s="209"/>
      <c r="D43" s="209"/>
      <c r="E43" s="209"/>
      <c r="F43" s="209"/>
    </row>
    <row r="44" spans="1:7" ht="11.25">
      <c r="A44" s="220"/>
      <c r="B44" s="220"/>
      <c r="C44" s="221"/>
      <c r="D44" s="212"/>
      <c r="E44" s="212"/>
      <c r="F44" s="212"/>
      <c r="G44" s="212"/>
    </row>
    <row r="49" spans="1:7" ht="11.25">
      <c r="A49" s="220"/>
      <c r="B49" s="220"/>
      <c r="C49" s="220"/>
      <c r="D49" s="220"/>
      <c r="E49" s="220"/>
      <c r="F49" s="220"/>
      <c r="G49" s="220"/>
    </row>
    <row r="54" spans="1:2" ht="11.25">
      <c r="A54" s="220"/>
      <c r="B54" s="220"/>
    </row>
    <row r="55" spans="3:7" ht="11.25">
      <c r="C55" s="212"/>
      <c r="D55" s="212"/>
      <c r="E55" s="212"/>
      <c r="F55" s="212"/>
      <c r="G55" s="212"/>
    </row>
    <row r="56" spans="3:7" ht="11.25">
      <c r="C56" s="212"/>
      <c r="D56" s="212"/>
      <c r="E56" s="212"/>
      <c r="F56" s="212"/>
      <c r="G56" s="212"/>
    </row>
    <row r="57" spans="3:7" ht="11.25">
      <c r="C57" s="212"/>
      <c r="D57" s="212"/>
      <c r="E57" s="212"/>
      <c r="F57" s="212"/>
      <c r="G57" s="212"/>
    </row>
    <row r="59" spans="1:2" ht="11.25">
      <c r="A59" s="220"/>
      <c r="B59" s="220"/>
    </row>
    <row r="60" spans="3:7" ht="11.25">
      <c r="C60" s="209"/>
      <c r="D60" s="209"/>
      <c r="E60" s="209"/>
      <c r="F60" s="209"/>
      <c r="G60" s="209"/>
    </row>
    <row r="61" spans="3:7" ht="11.25">
      <c r="C61" s="209"/>
      <c r="D61" s="209"/>
      <c r="E61" s="209"/>
      <c r="F61" s="209"/>
      <c r="G61" s="209"/>
    </row>
    <row r="62" spans="3:7" ht="11.25">
      <c r="C62" s="209"/>
      <c r="D62" s="209"/>
      <c r="E62" s="209"/>
      <c r="F62" s="209"/>
      <c r="G62" s="209"/>
    </row>
    <row r="64" spans="1:2" ht="11.25">
      <c r="A64" s="220"/>
      <c r="B64" s="220"/>
    </row>
    <row r="65" spans="3:7" ht="11.25">
      <c r="C65" s="212"/>
      <c r="D65" s="212"/>
      <c r="E65" s="212"/>
      <c r="F65" s="212"/>
      <c r="G65" s="212"/>
    </row>
    <row r="66" spans="3:7" ht="11.25">
      <c r="C66" s="212"/>
      <c r="D66" s="212"/>
      <c r="E66" s="212"/>
      <c r="F66" s="212"/>
      <c r="G66" s="212"/>
    </row>
    <row r="67" spans="3:7" ht="11.25">
      <c r="C67" s="212"/>
      <c r="D67" s="212"/>
      <c r="E67" s="212"/>
      <c r="F67" s="212"/>
      <c r="G67" s="212"/>
    </row>
    <row r="69" spans="1:7" ht="11.25">
      <c r="A69" s="220"/>
      <c r="B69" s="220"/>
      <c r="C69" s="222"/>
      <c r="D69" s="222"/>
      <c r="E69" s="222"/>
      <c r="F69" s="222"/>
      <c r="G69" s="222"/>
    </row>
    <row r="70" spans="3:7" ht="11.25">
      <c r="C70" s="212"/>
      <c r="D70" s="212"/>
      <c r="E70" s="212"/>
      <c r="F70" s="212"/>
      <c r="G70" s="212"/>
    </row>
    <row r="71" spans="3:7" ht="11.25">
      <c r="C71" s="212"/>
      <c r="D71" s="212"/>
      <c r="E71" s="212"/>
      <c r="F71" s="212"/>
      <c r="G71" s="212"/>
    </row>
    <row r="72" spans="3:7" ht="11.25">
      <c r="C72" s="212"/>
      <c r="D72" s="212"/>
      <c r="E72" s="212"/>
      <c r="F72" s="212"/>
      <c r="G72" s="212"/>
    </row>
    <row r="74" spans="1:7" ht="11.25">
      <c r="A74" s="220"/>
      <c r="B74" s="220"/>
      <c r="C74" s="222"/>
      <c r="D74" s="222"/>
      <c r="E74" s="222"/>
      <c r="F74" s="222"/>
      <c r="G74" s="222"/>
    </row>
    <row r="75" spans="3:7" ht="11.25">
      <c r="C75" s="212"/>
      <c r="D75" s="212"/>
      <c r="E75" s="212"/>
      <c r="F75" s="212"/>
      <c r="G75" s="212"/>
    </row>
    <row r="76" spans="3:7" ht="11.25">
      <c r="C76" s="212"/>
      <c r="D76" s="212"/>
      <c r="E76" s="212"/>
      <c r="F76" s="212"/>
      <c r="G76" s="212"/>
    </row>
    <row r="77" spans="3:7" ht="11.25">
      <c r="C77" s="212"/>
      <c r="D77" s="212"/>
      <c r="E77" s="212"/>
      <c r="F77" s="212"/>
      <c r="G77" s="212"/>
    </row>
    <row r="79" spans="1:7" ht="11.25">
      <c r="A79" s="220"/>
      <c r="B79" s="220"/>
      <c r="C79" s="222"/>
      <c r="D79" s="222"/>
      <c r="E79" s="222"/>
      <c r="F79" s="222"/>
      <c r="G79" s="222"/>
    </row>
    <row r="80" spans="3:7" ht="11.25">
      <c r="C80" s="212"/>
      <c r="D80" s="212"/>
      <c r="E80" s="212"/>
      <c r="F80" s="212"/>
      <c r="G80" s="212"/>
    </row>
    <row r="81" spans="3:7" ht="11.25">
      <c r="C81" s="212"/>
      <c r="D81" s="212"/>
      <c r="E81" s="212"/>
      <c r="F81" s="212"/>
      <c r="G81" s="212"/>
    </row>
    <row r="82" spans="3:7" ht="11.25">
      <c r="C82" s="212"/>
      <c r="D82" s="212"/>
      <c r="E82" s="212"/>
      <c r="F82" s="212"/>
      <c r="G82" s="212"/>
    </row>
    <row r="84" spans="1:2" ht="11.25">
      <c r="A84" s="220"/>
      <c r="B84" s="220"/>
    </row>
    <row r="85" spans="3:7" ht="11.25">
      <c r="C85" s="209"/>
      <c r="D85" s="209"/>
      <c r="E85" s="209"/>
      <c r="F85" s="209"/>
      <c r="G85" s="209"/>
    </row>
    <row r="86" spans="3:7" ht="11.25">
      <c r="C86" s="212"/>
      <c r="D86" s="212"/>
      <c r="E86" s="212"/>
      <c r="F86" s="212"/>
      <c r="G86" s="212"/>
    </row>
    <row r="89" spans="3:7" ht="11.25">
      <c r="C89" s="212"/>
      <c r="D89" s="212"/>
      <c r="E89" s="212"/>
      <c r="F89" s="212"/>
      <c r="G89" s="212"/>
    </row>
    <row r="90" spans="3:7" ht="11.25">
      <c r="C90" s="209"/>
      <c r="D90" s="209"/>
      <c r="E90" s="209"/>
      <c r="F90" s="209"/>
      <c r="G90" s="209"/>
    </row>
    <row r="91" spans="3:7" ht="11.25">
      <c r="C91" s="212"/>
      <c r="D91" s="212"/>
      <c r="E91" s="212"/>
      <c r="F91" s="212"/>
      <c r="G91" s="212"/>
    </row>
    <row r="92" spans="3:7" ht="11.25">
      <c r="C92" s="212"/>
      <c r="D92" s="212"/>
      <c r="E92" s="212"/>
      <c r="F92" s="212"/>
      <c r="G92" s="212"/>
    </row>
    <row r="93" spans="3:7" ht="11.25">
      <c r="C93" s="212"/>
      <c r="D93" s="212"/>
      <c r="E93" s="212"/>
      <c r="F93" s="212"/>
      <c r="G93" s="212"/>
    </row>
    <row r="94" spans="3:7" ht="11.25">
      <c r="C94" s="209"/>
      <c r="D94" s="209"/>
      <c r="E94" s="209"/>
      <c r="F94" s="209"/>
      <c r="G94" s="209"/>
    </row>
    <row r="95" ht="11.25">
      <c r="C95" s="212"/>
    </row>
    <row r="96" spans="1:3" ht="11.25">
      <c r="A96" s="220"/>
      <c r="B96" s="220"/>
      <c r="C96" s="212"/>
    </row>
    <row r="97" spans="3:7" ht="11.25">
      <c r="C97" s="212"/>
      <c r="D97" s="212"/>
      <c r="E97" s="212"/>
      <c r="F97" s="212"/>
      <c r="G97" s="212"/>
    </row>
    <row r="98" spans="3:7" ht="11.25">
      <c r="C98" s="212"/>
      <c r="D98" s="212"/>
      <c r="E98" s="212"/>
      <c r="F98" s="212"/>
      <c r="G98" s="212"/>
    </row>
    <row r="99" spans="3:7" ht="11.25">
      <c r="C99" s="212"/>
      <c r="D99" s="212"/>
      <c r="E99" s="212"/>
      <c r="F99" s="212"/>
      <c r="G99" s="212"/>
    </row>
    <row r="100" spans="1:7" ht="11.25">
      <c r="A100" s="223"/>
      <c r="B100" s="223"/>
      <c r="C100" s="222"/>
      <c r="D100" s="222"/>
      <c r="E100" s="222"/>
      <c r="F100" s="222"/>
      <c r="G100" s="222"/>
    </row>
    <row r="102" spans="1:2" ht="11.25">
      <c r="A102" s="220"/>
      <c r="B102" s="220"/>
    </row>
    <row r="103" spans="3:7" ht="11.25">
      <c r="C103" s="212"/>
      <c r="D103" s="212"/>
      <c r="E103" s="212"/>
      <c r="F103" s="212"/>
      <c r="G103" s="212"/>
    </row>
    <row r="104" spans="3:7" ht="11.25">
      <c r="C104" s="212"/>
      <c r="D104" s="212"/>
      <c r="E104" s="212"/>
      <c r="F104" s="212"/>
      <c r="G104" s="212"/>
    </row>
    <row r="105" spans="3:7" ht="11.25">
      <c r="C105" s="212"/>
      <c r="D105" s="212"/>
      <c r="E105" s="212"/>
      <c r="F105" s="212"/>
      <c r="G105" s="212"/>
    </row>
    <row r="106" spans="3:7" ht="11.25">
      <c r="C106" s="212"/>
      <c r="D106" s="212"/>
      <c r="E106" s="212"/>
      <c r="F106" s="212"/>
      <c r="G106" s="212"/>
    </row>
    <row r="107" spans="3:7" ht="11.25">
      <c r="C107" s="212"/>
      <c r="D107" s="212"/>
      <c r="E107" s="212"/>
      <c r="F107" s="212"/>
      <c r="G107" s="212"/>
    </row>
    <row r="108" spans="3:7" ht="11.25">
      <c r="C108" s="212"/>
      <c r="D108" s="212"/>
      <c r="E108" s="212"/>
      <c r="F108" s="212"/>
      <c r="G108" s="212"/>
    </row>
    <row r="109" spans="3:7" ht="11.25">
      <c r="C109" s="212"/>
      <c r="D109" s="212"/>
      <c r="E109" s="212"/>
      <c r="F109" s="212"/>
      <c r="G109" s="212"/>
    </row>
    <row r="110" spans="3:7" ht="11.25">
      <c r="C110" s="212"/>
      <c r="D110" s="212"/>
      <c r="E110" s="212"/>
      <c r="F110" s="212"/>
      <c r="G110" s="212"/>
    </row>
    <row r="111" spans="3:7" ht="11.25">
      <c r="C111" s="212"/>
      <c r="D111" s="212"/>
      <c r="E111" s="212"/>
      <c r="F111" s="212"/>
      <c r="G111" s="212"/>
    </row>
    <row r="112" spans="3:7" ht="11.25">
      <c r="C112" s="212"/>
      <c r="D112" s="212"/>
      <c r="E112" s="212"/>
      <c r="F112" s="212"/>
      <c r="G112" s="212"/>
    </row>
    <row r="113" spans="3:7" ht="11.25">
      <c r="C113" s="212"/>
      <c r="D113" s="212"/>
      <c r="E113" s="212"/>
      <c r="F113" s="212"/>
      <c r="G113" s="212"/>
    </row>
    <row r="114" spans="3:7" ht="11.25">
      <c r="C114" s="212"/>
      <c r="D114" s="212"/>
      <c r="E114" s="212"/>
      <c r="F114" s="212"/>
      <c r="G114" s="212"/>
    </row>
    <row r="115" spans="1:7" ht="11.25">
      <c r="A115" s="223"/>
      <c r="B115" s="223"/>
      <c r="C115" s="222"/>
      <c r="D115" s="222"/>
      <c r="E115" s="222"/>
      <c r="F115" s="222"/>
      <c r="G115" s="222"/>
    </row>
    <row r="116" spans="1:7" ht="11.25">
      <c r="A116" s="223"/>
      <c r="B116" s="223"/>
      <c r="C116" s="222"/>
      <c r="D116" s="222"/>
      <c r="E116" s="222"/>
      <c r="F116" s="222"/>
      <c r="G116" s="222"/>
    </row>
    <row r="117" spans="1:7" ht="11.25">
      <c r="A117" s="208"/>
      <c r="B117" s="208"/>
      <c r="C117" s="212"/>
      <c r="D117" s="212"/>
      <c r="E117" s="212"/>
      <c r="F117" s="212"/>
      <c r="G117" s="212"/>
    </row>
  </sheetData>
  <sheetProtection/>
  <mergeCells count="2">
    <mergeCell ref="A4:L4"/>
    <mergeCell ref="A2:J2"/>
  </mergeCells>
  <printOptions horizontalCentered="1" verticalCentered="1"/>
  <pageMargins left="0.4330708661417323" right="0.5118110236220472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7.8515625" style="206" bestFit="1" customWidth="1"/>
    <col min="2" max="2" width="10.8515625" style="206" bestFit="1" customWidth="1"/>
    <col min="3" max="3" width="10.00390625" style="206" bestFit="1" customWidth="1"/>
    <col min="4" max="4" width="10.28125" style="206" bestFit="1" customWidth="1"/>
    <col min="5" max="12" width="11.28125" style="206" bestFit="1" customWidth="1"/>
    <col min="13" max="16384" width="9.140625" style="206" customWidth="1"/>
  </cols>
  <sheetData>
    <row r="1" s="159" customFormat="1" ht="12.75">
      <c r="A1" s="159" t="s">
        <v>160</v>
      </c>
    </row>
    <row r="2" spans="1:12" s="159" customFormat="1" ht="16.5">
      <c r="A2" s="840" t="s">
        <v>357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</row>
    <row r="3" s="159" customFormat="1" ht="12.75"/>
    <row r="4" spans="1:12" s="159" customFormat="1" ht="12.75">
      <c r="A4" s="841" t="s">
        <v>359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</row>
    <row r="5" s="159" customFormat="1" ht="12.75"/>
    <row r="6" spans="1:12" s="159" customFormat="1" ht="12.75">
      <c r="A6" s="646" t="s">
        <v>133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</row>
    <row r="7" ht="11.25">
      <c r="D7" s="170"/>
    </row>
    <row r="8" spans="2:15" s="848" customFormat="1" ht="12">
      <c r="B8" s="865" t="s">
        <v>120</v>
      </c>
      <c r="C8" s="865" t="s">
        <v>119</v>
      </c>
      <c r="D8" s="865" t="s">
        <v>121</v>
      </c>
      <c r="E8" s="865" t="s">
        <v>122</v>
      </c>
      <c r="F8" s="865" t="s">
        <v>123</v>
      </c>
      <c r="G8" s="865" t="s">
        <v>124</v>
      </c>
      <c r="H8" s="865" t="s">
        <v>125</v>
      </c>
      <c r="I8" s="865" t="s">
        <v>126</v>
      </c>
      <c r="J8" s="865" t="s">
        <v>127</v>
      </c>
      <c r="K8" s="865" t="s">
        <v>128</v>
      </c>
      <c r="L8" s="865" t="s">
        <v>129</v>
      </c>
      <c r="M8" s="866"/>
      <c r="N8" s="866"/>
      <c r="O8" s="866"/>
    </row>
    <row r="9" spans="1:12" s="848" customFormat="1" ht="12">
      <c r="A9" s="867" t="s">
        <v>187</v>
      </c>
      <c r="B9" s="847"/>
      <c r="C9" s="847"/>
      <c r="D9" s="847"/>
      <c r="E9" s="847"/>
      <c r="F9" s="847"/>
      <c r="G9" s="847"/>
      <c r="H9" s="847"/>
      <c r="I9" s="847"/>
      <c r="J9" s="847"/>
      <c r="K9" s="847"/>
      <c r="L9" s="847"/>
    </row>
    <row r="10" spans="1:15" s="848" customFormat="1" ht="12">
      <c r="A10" s="849" t="s">
        <v>94</v>
      </c>
      <c r="B10" s="849"/>
      <c r="C10" s="850">
        <f>+C11*C12</f>
        <v>71496</v>
      </c>
      <c r="D10" s="850">
        <f aca="true" t="shared" si="0" ref="D10:L10">+D11*D12</f>
        <v>89370</v>
      </c>
      <c r="E10" s="850">
        <f t="shared" si="0"/>
        <v>111712.5</v>
      </c>
      <c r="F10" s="850">
        <f t="shared" si="0"/>
        <v>139640.625</v>
      </c>
      <c r="G10" s="850">
        <f t="shared" si="0"/>
        <v>174550.78125</v>
      </c>
      <c r="H10" s="850">
        <f t="shared" si="0"/>
        <v>218188.4765625</v>
      </c>
      <c r="I10" s="850">
        <f t="shared" si="0"/>
        <v>272735.595703125</v>
      </c>
      <c r="J10" s="850">
        <f t="shared" si="0"/>
        <v>340919.49462890625</v>
      </c>
      <c r="K10" s="850">
        <f t="shared" si="0"/>
        <v>426149.3682861328</v>
      </c>
      <c r="L10" s="850">
        <f t="shared" si="0"/>
        <v>532686.710357666</v>
      </c>
      <c r="M10" s="851"/>
      <c r="N10" s="851"/>
      <c r="O10" s="851"/>
    </row>
    <row r="11" spans="1:15" s="848" customFormat="1" ht="12">
      <c r="A11" s="849" t="s">
        <v>315</v>
      </c>
      <c r="B11" s="849"/>
      <c r="C11" s="852">
        <v>10592</v>
      </c>
      <c r="D11" s="852">
        <f>+C11*1.25</f>
        <v>13240</v>
      </c>
      <c r="E11" s="852">
        <f aca="true" t="shared" si="1" ref="E11:L11">+D11*1.25</f>
        <v>16550</v>
      </c>
      <c r="F11" s="852">
        <f t="shared" si="1"/>
        <v>20687.5</v>
      </c>
      <c r="G11" s="852">
        <f t="shared" si="1"/>
        <v>25859.375</v>
      </c>
      <c r="H11" s="852">
        <f t="shared" si="1"/>
        <v>32324.21875</v>
      </c>
      <c r="I11" s="852">
        <f t="shared" si="1"/>
        <v>40405.2734375</v>
      </c>
      <c r="J11" s="852">
        <f t="shared" si="1"/>
        <v>50506.591796875</v>
      </c>
      <c r="K11" s="852">
        <f t="shared" si="1"/>
        <v>63133.23974609375</v>
      </c>
      <c r="L11" s="852">
        <f t="shared" si="1"/>
        <v>78916.54968261719</v>
      </c>
      <c r="M11" s="851"/>
      <c r="N11" s="851"/>
      <c r="O11" s="851"/>
    </row>
    <row r="12" spans="1:15" s="848" customFormat="1" ht="12">
      <c r="A12" s="849" t="s">
        <v>314</v>
      </c>
      <c r="B12" s="849"/>
      <c r="C12" s="850">
        <f>+'Sal. Var'!F50</f>
        <v>6.75</v>
      </c>
      <c r="D12" s="850">
        <f>+C12</f>
        <v>6.75</v>
      </c>
      <c r="E12" s="850">
        <f aca="true" t="shared" si="2" ref="E12:L12">+D12</f>
        <v>6.75</v>
      </c>
      <c r="F12" s="850">
        <f t="shared" si="2"/>
        <v>6.75</v>
      </c>
      <c r="G12" s="850">
        <f t="shared" si="2"/>
        <v>6.75</v>
      </c>
      <c r="H12" s="850">
        <f t="shared" si="2"/>
        <v>6.75</v>
      </c>
      <c r="I12" s="850">
        <f t="shared" si="2"/>
        <v>6.75</v>
      </c>
      <c r="J12" s="850">
        <f t="shared" si="2"/>
        <v>6.75</v>
      </c>
      <c r="K12" s="850">
        <f t="shared" si="2"/>
        <v>6.75</v>
      </c>
      <c r="L12" s="850">
        <f t="shared" si="2"/>
        <v>6.75</v>
      </c>
      <c r="M12" s="851"/>
      <c r="N12" s="851"/>
      <c r="O12" s="851"/>
    </row>
    <row r="13" spans="1:15" s="848" customFormat="1" ht="36">
      <c r="A13" s="853" t="s">
        <v>188</v>
      </c>
      <c r="B13" s="849"/>
      <c r="C13" s="854">
        <v>0</v>
      </c>
      <c r="D13" s="854">
        <v>0</v>
      </c>
      <c r="E13" s="854">
        <v>0</v>
      </c>
      <c r="F13" s="854">
        <v>0</v>
      </c>
      <c r="G13" s="854">
        <f>+'Bce reemp'!I22</f>
        <v>769.75</v>
      </c>
      <c r="H13" s="854">
        <v>0</v>
      </c>
      <c r="I13" s="854">
        <v>0</v>
      </c>
      <c r="J13" s="854">
        <v>0</v>
      </c>
      <c r="K13" s="854">
        <v>0</v>
      </c>
      <c r="L13" s="854">
        <f>+'Bce reemp'!J22</f>
        <v>808.2375</v>
      </c>
      <c r="M13" s="851"/>
      <c r="N13" s="851"/>
      <c r="O13" s="851"/>
    </row>
    <row r="14" spans="1:12" s="848" customFormat="1" ht="12">
      <c r="A14" s="855" t="s">
        <v>8</v>
      </c>
      <c r="B14" s="855"/>
      <c r="C14" s="856">
        <f>+C10</f>
        <v>71496</v>
      </c>
      <c r="D14" s="856">
        <f aca="true" t="shared" si="3" ref="D14:L14">+D10</f>
        <v>89370</v>
      </c>
      <c r="E14" s="856">
        <f t="shared" si="3"/>
        <v>111712.5</v>
      </c>
      <c r="F14" s="856">
        <f t="shared" si="3"/>
        <v>139640.625</v>
      </c>
      <c r="G14" s="856">
        <f t="shared" si="3"/>
        <v>174550.78125</v>
      </c>
      <c r="H14" s="856">
        <f t="shared" si="3"/>
        <v>218188.4765625</v>
      </c>
      <c r="I14" s="856">
        <f t="shared" si="3"/>
        <v>272735.595703125</v>
      </c>
      <c r="J14" s="856">
        <f t="shared" si="3"/>
        <v>340919.49462890625</v>
      </c>
      <c r="K14" s="856">
        <f t="shared" si="3"/>
        <v>426149.3682861328</v>
      </c>
      <c r="L14" s="856">
        <f t="shared" si="3"/>
        <v>532686.710357666</v>
      </c>
    </row>
    <row r="15" spans="1:12" s="848" customFormat="1" ht="12">
      <c r="A15" s="849"/>
      <c r="B15" s="849"/>
      <c r="C15" s="850"/>
      <c r="D15" s="850"/>
      <c r="E15" s="850"/>
      <c r="F15" s="850"/>
      <c r="G15" s="850"/>
      <c r="H15" s="850"/>
      <c r="I15" s="850"/>
      <c r="J15" s="850"/>
      <c r="K15" s="850"/>
      <c r="L15" s="850"/>
    </row>
    <row r="16" spans="1:12" s="848" customFormat="1" ht="12">
      <c r="A16" s="867" t="s">
        <v>9</v>
      </c>
      <c r="B16" s="846"/>
      <c r="C16" s="850"/>
      <c r="D16" s="850"/>
      <c r="E16" s="850"/>
      <c r="F16" s="850"/>
      <c r="G16" s="850"/>
      <c r="H16" s="850"/>
      <c r="I16" s="850"/>
      <c r="J16" s="850"/>
      <c r="K16" s="850"/>
      <c r="L16" s="850"/>
    </row>
    <row r="17" spans="1:12" s="848" customFormat="1" ht="12">
      <c r="A17" s="846" t="s">
        <v>118</v>
      </c>
      <c r="B17" s="846"/>
      <c r="C17" s="850"/>
      <c r="D17" s="850"/>
      <c r="E17" s="850"/>
      <c r="F17" s="850"/>
      <c r="G17" s="850"/>
      <c r="H17" s="850"/>
      <c r="I17" s="850"/>
      <c r="J17" s="850"/>
      <c r="K17" s="850"/>
      <c r="L17" s="850"/>
    </row>
    <row r="18" spans="1:12" s="848" customFormat="1" ht="12">
      <c r="A18" s="849" t="s">
        <v>168</v>
      </c>
      <c r="B18" s="849"/>
      <c r="C18" s="850">
        <f>+'Bce Pers.'!B61</f>
        <v>29169.8064</v>
      </c>
      <c r="D18" s="850">
        <f>+C18</f>
        <v>29169.8064</v>
      </c>
      <c r="E18" s="850">
        <f>+C18</f>
        <v>29169.8064</v>
      </c>
      <c r="F18" s="850">
        <f>+E18+(E18*0.1)</f>
        <v>32086.787040000003</v>
      </c>
      <c r="G18" s="850">
        <f>+F18</f>
        <v>32086.787040000003</v>
      </c>
      <c r="H18" s="850">
        <f>+F18</f>
        <v>32086.787040000003</v>
      </c>
      <c r="I18" s="850">
        <f>+H18+(H18*0.1)</f>
        <v>35295.465744</v>
      </c>
      <c r="J18" s="850">
        <f aca="true" t="shared" si="4" ref="J18:L19">+I18</f>
        <v>35295.465744</v>
      </c>
      <c r="K18" s="850">
        <f t="shared" si="4"/>
        <v>35295.465744</v>
      </c>
      <c r="L18" s="850">
        <f t="shared" si="4"/>
        <v>35295.465744</v>
      </c>
    </row>
    <row r="19" spans="1:12" s="848" customFormat="1" ht="12">
      <c r="A19" s="849" t="s">
        <v>132</v>
      </c>
      <c r="B19" s="849"/>
      <c r="C19" s="850">
        <f>+'Sal. Var'!H48+400</f>
        <v>742</v>
      </c>
      <c r="D19" s="850">
        <f>+C19</f>
        <v>742</v>
      </c>
      <c r="E19" s="850">
        <f>+D19</f>
        <v>742</v>
      </c>
      <c r="F19" s="850">
        <f>+E19</f>
        <v>742</v>
      </c>
      <c r="G19" s="850">
        <f>+F19</f>
        <v>742</v>
      </c>
      <c r="H19" s="850">
        <f>+G19</f>
        <v>742</v>
      </c>
      <c r="I19" s="850">
        <f>+H19</f>
        <v>742</v>
      </c>
      <c r="J19" s="850">
        <f t="shared" si="4"/>
        <v>742</v>
      </c>
      <c r="K19" s="850">
        <f t="shared" si="4"/>
        <v>742</v>
      </c>
      <c r="L19" s="850">
        <f t="shared" si="4"/>
        <v>742</v>
      </c>
    </row>
    <row r="20" spans="1:12" s="848" customFormat="1" ht="12">
      <c r="A20" s="849" t="s">
        <v>116</v>
      </c>
      <c r="B20" s="849"/>
      <c r="C20" s="850">
        <f aca="true" t="shared" si="5" ref="C20:L20">(2*7*4*12)*15</f>
        <v>10080</v>
      </c>
      <c r="D20" s="850">
        <f t="shared" si="5"/>
        <v>10080</v>
      </c>
      <c r="E20" s="850">
        <f t="shared" si="5"/>
        <v>10080</v>
      </c>
      <c r="F20" s="850">
        <f t="shared" si="5"/>
        <v>10080</v>
      </c>
      <c r="G20" s="850">
        <f t="shared" si="5"/>
        <v>10080</v>
      </c>
      <c r="H20" s="850">
        <f t="shared" si="5"/>
        <v>10080</v>
      </c>
      <c r="I20" s="850">
        <f t="shared" si="5"/>
        <v>10080</v>
      </c>
      <c r="J20" s="850">
        <f t="shared" si="5"/>
        <v>10080</v>
      </c>
      <c r="K20" s="850">
        <f t="shared" si="5"/>
        <v>10080</v>
      </c>
      <c r="L20" s="850">
        <f t="shared" si="5"/>
        <v>10080</v>
      </c>
    </row>
    <row r="21" spans="1:12" s="848" customFormat="1" ht="12">
      <c r="A21" s="849" t="s">
        <v>249</v>
      </c>
      <c r="B21" s="849"/>
      <c r="C21" s="850">
        <f>Gtos!D21</f>
        <v>5595</v>
      </c>
      <c r="D21" s="850">
        <f aca="true" t="shared" si="6" ref="D21:L21">+C21</f>
        <v>5595</v>
      </c>
      <c r="E21" s="850">
        <f t="shared" si="6"/>
        <v>5595</v>
      </c>
      <c r="F21" s="850">
        <f t="shared" si="6"/>
        <v>5595</v>
      </c>
      <c r="G21" s="850">
        <f t="shared" si="6"/>
        <v>5595</v>
      </c>
      <c r="H21" s="850">
        <f t="shared" si="6"/>
        <v>5595</v>
      </c>
      <c r="I21" s="850">
        <f t="shared" si="6"/>
        <v>5595</v>
      </c>
      <c r="J21" s="850">
        <f t="shared" si="6"/>
        <v>5595</v>
      </c>
      <c r="K21" s="850">
        <f t="shared" si="6"/>
        <v>5595</v>
      </c>
      <c r="L21" s="850">
        <f t="shared" si="6"/>
        <v>5595</v>
      </c>
    </row>
    <row r="22" spans="1:12" s="848" customFormat="1" ht="12">
      <c r="A22" s="849" t="s">
        <v>10</v>
      </c>
      <c r="B22" s="849"/>
      <c r="C22" s="850">
        <f>+Gtos!B35+Gtos!B36+Gtos!B37+Gtos!B38</f>
        <v>936</v>
      </c>
      <c r="D22" s="850">
        <f>+C22</f>
        <v>936</v>
      </c>
      <c r="E22" s="850">
        <f aca="true" t="shared" si="7" ref="E22:L23">+D22+(D22*0.01)</f>
        <v>945.36</v>
      </c>
      <c r="F22" s="850">
        <f t="shared" si="7"/>
        <v>954.8136000000001</v>
      </c>
      <c r="G22" s="850">
        <f t="shared" si="7"/>
        <v>964.3617360000001</v>
      </c>
      <c r="H22" s="850">
        <f t="shared" si="7"/>
        <v>974.0053533600001</v>
      </c>
      <c r="I22" s="850">
        <f t="shared" si="7"/>
        <v>983.7454068936</v>
      </c>
      <c r="J22" s="850">
        <f t="shared" si="7"/>
        <v>993.5828609625361</v>
      </c>
      <c r="K22" s="850">
        <f t="shared" si="7"/>
        <v>1003.5186895721614</v>
      </c>
      <c r="L22" s="850">
        <f t="shared" si="7"/>
        <v>1013.553876467883</v>
      </c>
    </row>
    <row r="23" spans="1:12" s="848" customFormat="1" ht="12">
      <c r="A23" s="849" t="s">
        <v>6</v>
      </c>
      <c r="B23" s="849"/>
      <c r="C23" s="850">
        <f>+Hoja2!C35</f>
        <v>6000</v>
      </c>
      <c r="D23" s="850">
        <f>+C23</f>
        <v>6000</v>
      </c>
      <c r="E23" s="850">
        <f t="shared" si="7"/>
        <v>6060</v>
      </c>
      <c r="F23" s="850">
        <f t="shared" si="7"/>
        <v>6120.6</v>
      </c>
      <c r="G23" s="850">
        <f t="shared" si="7"/>
        <v>6181.8060000000005</v>
      </c>
      <c r="H23" s="850">
        <f t="shared" si="7"/>
        <v>6243.62406</v>
      </c>
      <c r="I23" s="850">
        <f t="shared" si="7"/>
        <v>6306.0603006</v>
      </c>
      <c r="J23" s="850">
        <f t="shared" si="7"/>
        <v>6369.120903606</v>
      </c>
      <c r="K23" s="850">
        <f t="shared" si="7"/>
        <v>6432.81211264206</v>
      </c>
      <c r="L23" s="850">
        <f t="shared" si="7"/>
        <v>6497.14023376848</v>
      </c>
    </row>
    <row r="24" spans="1:12" s="848" customFormat="1" ht="12">
      <c r="A24" s="855" t="s">
        <v>12</v>
      </c>
      <c r="B24" s="855"/>
      <c r="C24" s="857">
        <f aca="true" t="shared" si="8" ref="C24:L24">SUM(C18:C23)</f>
        <v>52522.8064</v>
      </c>
      <c r="D24" s="857">
        <f t="shared" si="8"/>
        <v>52522.8064</v>
      </c>
      <c r="E24" s="857">
        <f t="shared" si="8"/>
        <v>52592.1664</v>
      </c>
      <c r="F24" s="857">
        <f t="shared" si="8"/>
        <v>55579.20064</v>
      </c>
      <c r="G24" s="857">
        <f t="shared" si="8"/>
        <v>55649.954776</v>
      </c>
      <c r="H24" s="857">
        <f t="shared" si="8"/>
        <v>55721.416453360005</v>
      </c>
      <c r="I24" s="857">
        <f t="shared" si="8"/>
        <v>59002.2714514936</v>
      </c>
      <c r="J24" s="857">
        <f t="shared" si="8"/>
        <v>59075.16950856854</v>
      </c>
      <c r="K24" s="857">
        <f t="shared" si="8"/>
        <v>59148.796546214224</v>
      </c>
      <c r="L24" s="857">
        <f t="shared" si="8"/>
        <v>59223.159854236364</v>
      </c>
    </row>
    <row r="25" spans="1:12" s="848" customFormat="1" ht="12">
      <c r="A25" s="858" t="s">
        <v>312</v>
      </c>
      <c r="B25" s="858"/>
      <c r="C25" s="850">
        <f>Equipos!I10</f>
        <v>1282.9166666666667</v>
      </c>
      <c r="D25" s="850">
        <f aca="true" t="shared" si="9" ref="D25:L25">C25</f>
        <v>1282.9166666666667</v>
      </c>
      <c r="E25" s="850">
        <f t="shared" si="9"/>
        <v>1282.9166666666667</v>
      </c>
      <c r="F25" s="850">
        <f t="shared" si="9"/>
        <v>1282.9166666666667</v>
      </c>
      <c r="G25" s="850">
        <f t="shared" si="9"/>
        <v>1282.9166666666667</v>
      </c>
      <c r="H25" s="850">
        <f t="shared" si="9"/>
        <v>1282.9166666666667</v>
      </c>
      <c r="I25" s="850">
        <f t="shared" si="9"/>
        <v>1282.9166666666667</v>
      </c>
      <c r="J25" s="850">
        <f t="shared" si="9"/>
        <v>1282.9166666666667</v>
      </c>
      <c r="K25" s="850">
        <f t="shared" si="9"/>
        <v>1282.9166666666667</v>
      </c>
      <c r="L25" s="850">
        <f t="shared" si="9"/>
        <v>1282.9166666666667</v>
      </c>
    </row>
    <row r="26" spans="1:12" s="848" customFormat="1" ht="12">
      <c r="A26" s="855" t="s">
        <v>13</v>
      </c>
      <c r="B26" s="859"/>
      <c r="C26" s="857">
        <f aca="true" t="shared" si="10" ref="C26:L26">C14-C24-C25</f>
        <v>17690.27693333333</v>
      </c>
      <c r="D26" s="857">
        <f t="shared" si="10"/>
        <v>35564.276933333334</v>
      </c>
      <c r="E26" s="857">
        <f t="shared" si="10"/>
        <v>57837.416933333334</v>
      </c>
      <c r="F26" s="857">
        <f t="shared" si="10"/>
        <v>82778.50769333333</v>
      </c>
      <c r="G26" s="857">
        <f t="shared" si="10"/>
        <v>117617.90980733333</v>
      </c>
      <c r="H26" s="857">
        <f t="shared" si="10"/>
        <v>161184.14344247335</v>
      </c>
      <c r="I26" s="857">
        <f t="shared" si="10"/>
        <v>212450.40758496473</v>
      </c>
      <c r="J26" s="857">
        <f t="shared" si="10"/>
        <v>280561.408453671</v>
      </c>
      <c r="K26" s="857">
        <f t="shared" si="10"/>
        <v>365717.6550732519</v>
      </c>
      <c r="L26" s="857">
        <f t="shared" si="10"/>
        <v>472180.633836763</v>
      </c>
    </row>
    <row r="27" spans="1:12" s="848" customFormat="1" ht="12">
      <c r="A27" s="858" t="s">
        <v>294</v>
      </c>
      <c r="B27" s="859"/>
      <c r="C27" s="850">
        <f aca="true" t="shared" si="11" ref="C27:L27">+C26*0.15</f>
        <v>2653.5415399999997</v>
      </c>
      <c r="D27" s="850">
        <f t="shared" si="11"/>
        <v>5334.64154</v>
      </c>
      <c r="E27" s="850">
        <f t="shared" si="11"/>
        <v>8675.61254</v>
      </c>
      <c r="F27" s="850">
        <f t="shared" si="11"/>
        <v>12416.776154</v>
      </c>
      <c r="G27" s="850">
        <f t="shared" si="11"/>
        <v>17642.686471099998</v>
      </c>
      <c r="H27" s="850">
        <f t="shared" si="11"/>
        <v>24177.621516371</v>
      </c>
      <c r="I27" s="850">
        <f t="shared" si="11"/>
        <v>31867.56113774471</v>
      </c>
      <c r="J27" s="850">
        <f t="shared" si="11"/>
        <v>42084.211268050654</v>
      </c>
      <c r="K27" s="850">
        <f t="shared" si="11"/>
        <v>54857.648260987786</v>
      </c>
      <c r="L27" s="850">
        <f t="shared" si="11"/>
        <v>70827.09507551444</v>
      </c>
    </row>
    <row r="28" spans="1:12" s="860" customFormat="1" ht="12">
      <c r="A28" s="855" t="s">
        <v>313</v>
      </c>
      <c r="B28" s="859"/>
      <c r="C28" s="856">
        <f aca="true" t="shared" si="12" ref="C28:L28">+C26-C27</f>
        <v>15036.73539333333</v>
      </c>
      <c r="D28" s="856">
        <f t="shared" si="12"/>
        <v>30229.635393333334</v>
      </c>
      <c r="E28" s="856">
        <f t="shared" si="12"/>
        <v>49161.80439333333</v>
      </c>
      <c r="F28" s="856">
        <f t="shared" si="12"/>
        <v>70361.73153933333</v>
      </c>
      <c r="G28" s="856">
        <f t="shared" si="12"/>
        <v>99975.22333623334</v>
      </c>
      <c r="H28" s="856">
        <f t="shared" si="12"/>
        <v>137006.52192610234</v>
      </c>
      <c r="I28" s="856">
        <f t="shared" si="12"/>
        <v>180582.84644722</v>
      </c>
      <c r="J28" s="856">
        <f t="shared" si="12"/>
        <v>238477.19718562037</v>
      </c>
      <c r="K28" s="856">
        <f t="shared" si="12"/>
        <v>310860.00681226415</v>
      </c>
      <c r="L28" s="856">
        <f t="shared" si="12"/>
        <v>401353.5387612485</v>
      </c>
    </row>
    <row r="29" spans="1:12" s="848" customFormat="1" ht="12">
      <c r="A29" s="858" t="s">
        <v>104</v>
      </c>
      <c r="B29" s="858"/>
      <c r="C29" s="850">
        <f>+C28*0.25</f>
        <v>3759.1838483333327</v>
      </c>
      <c r="D29" s="850">
        <f aca="true" t="shared" si="13" ref="D29:L29">+D28*0.25</f>
        <v>7557.4088483333335</v>
      </c>
      <c r="E29" s="850">
        <f t="shared" si="13"/>
        <v>12290.451098333333</v>
      </c>
      <c r="F29" s="850">
        <f t="shared" si="13"/>
        <v>17590.43288483333</v>
      </c>
      <c r="G29" s="850">
        <f t="shared" si="13"/>
        <v>24993.805834058334</v>
      </c>
      <c r="H29" s="850">
        <f t="shared" si="13"/>
        <v>34251.630481525586</v>
      </c>
      <c r="I29" s="850">
        <f t="shared" si="13"/>
        <v>45145.711611805</v>
      </c>
      <c r="J29" s="850">
        <f t="shared" si="13"/>
        <v>59619.29929640509</v>
      </c>
      <c r="K29" s="850">
        <f t="shared" si="13"/>
        <v>77715.00170306604</v>
      </c>
      <c r="L29" s="850">
        <f t="shared" si="13"/>
        <v>100338.38469031213</v>
      </c>
    </row>
    <row r="30" spans="1:12" s="848" customFormat="1" ht="12">
      <c r="A30" s="855" t="s">
        <v>214</v>
      </c>
      <c r="B30" s="855"/>
      <c r="C30" s="857">
        <f>C28-C29</f>
        <v>11277.551544999998</v>
      </c>
      <c r="D30" s="857">
        <f aca="true" t="shared" si="14" ref="D30:L30">D28-D29</f>
        <v>22672.226545</v>
      </c>
      <c r="E30" s="857">
        <f t="shared" si="14"/>
        <v>36871.353295</v>
      </c>
      <c r="F30" s="857">
        <f t="shared" si="14"/>
        <v>52771.298654499995</v>
      </c>
      <c r="G30" s="857">
        <f t="shared" si="14"/>
        <v>74981.417502175</v>
      </c>
      <c r="H30" s="857">
        <f t="shared" si="14"/>
        <v>102754.89144457676</v>
      </c>
      <c r="I30" s="857">
        <f t="shared" si="14"/>
        <v>135437.134835415</v>
      </c>
      <c r="J30" s="857">
        <f t="shared" si="14"/>
        <v>178857.89788921527</v>
      </c>
      <c r="K30" s="857">
        <f t="shared" si="14"/>
        <v>233145.0051091981</v>
      </c>
      <c r="L30" s="857">
        <f t="shared" si="14"/>
        <v>301015.1540709364</v>
      </c>
    </row>
    <row r="31" spans="1:12" s="848" customFormat="1" ht="12">
      <c r="A31" s="858" t="s">
        <v>310</v>
      </c>
      <c r="B31" s="858"/>
      <c r="C31" s="850">
        <f aca="true" t="shared" si="15" ref="C31:L31">+C25</f>
        <v>1282.9166666666667</v>
      </c>
      <c r="D31" s="850">
        <f t="shared" si="15"/>
        <v>1282.9166666666667</v>
      </c>
      <c r="E31" s="850">
        <f t="shared" si="15"/>
        <v>1282.9166666666667</v>
      </c>
      <c r="F31" s="850">
        <f t="shared" si="15"/>
        <v>1282.9166666666667</v>
      </c>
      <c r="G31" s="850">
        <f t="shared" si="15"/>
        <v>1282.9166666666667</v>
      </c>
      <c r="H31" s="850">
        <f t="shared" si="15"/>
        <v>1282.9166666666667</v>
      </c>
      <c r="I31" s="850">
        <f t="shared" si="15"/>
        <v>1282.9166666666667</v>
      </c>
      <c r="J31" s="850">
        <f t="shared" si="15"/>
        <v>1282.9166666666667</v>
      </c>
      <c r="K31" s="850">
        <f t="shared" si="15"/>
        <v>1282.9166666666667</v>
      </c>
      <c r="L31" s="850">
        <f t="shared" si="15"/>
        <v>1282.9166666666667</v>
      </c>
    </row>
    <row r="32" spans="1:12" s="848" customFormat="1" ht="12">
      <c r="A32" s="855" t="s">
        <v>215</v>
      </c>
      <c r="B32" s="861">
        <f>-'Inv. Inic'!B12</f>
        <v>-13128.75</v>
      </c>
      <c r="C32" s="857"/>
      <c r="D32" s="857"/>
      <c r="E32" s="857"/>
      <c r="F32" s="857"/>
      <c r="G32" s="857"/>
      <c r="H32" s="857"/>
      <c r="I32" s="857"/>
      <c r="J32" s="857"/>
      <c r="K32" s="857"/>
      <c r="L32" s="857"/>
    </row>
    <row r="33" spans="1:12" s="848" customFormat="1" ht="12">
      <c r="A33" s="855" t="s">
        <v>216</v>
      </c>
      <c r="B33" s="861">
        <f>+'Capital de Trabajo'!C20</f>
        <v>-4355.123199999998</v>
      </c>
      <c r="C33" s="857"/>
      <c r="D33" s="857"/>
      <c r="E33" s="857"/>
      <c r="F33" s="857"/>
      <c r="G33" s="857"/>
      <c r="H33" s="857"/>
      <c r="I33" s="857"/>
      <c r="J33" s="857"/>
      <c r="K33" s="857"/>
      <c r="L33" s="857"/>
    </row>
    <row r="34" spans="1:12" s="848" customFormat="1" ht="12">
      <c r="A34" s="855" t="s">
        <v>217</v>
      </c>
      <c r="B34" s="855"/>
      <c r="C34" s="857"/>
      <c r="D34" s="857"/>
      <c r="E34" s="857"/>
      <c r="F34" s="857"/>
      <c r="G34" s="857"/>
      <c r="H34" s="857"/>
      <c r="I34" s="857"/>
      <c r="J34" s="857"/>
      <c r="K34" s="857"/>
      <c r="L34" s="857">
        <f>+'valor desecho'!D11</f>
        <v>836715.2658668316</v>
      </c>
    </row>
    <row r="35" spans="1:12" s="848" customFormat="1" ht="12">
      <c r="A35" s="855" t="s">
        <v>130</v>
      </c>
      <c r="B35" s="856">
        <f>SUM(B32:B34)</f>
        <v>-17483.873199999998</v>
      </c>
      <c r="C35" s="862">
        <f aca="true" t="shared" si="16" ref="C35:L35">+C30+C31</f>
        <v>12560.468211666665</v>
      </c>
      <c r="D35" s="862">
        <f t="shared" si="16"/>
        <v>23955.14321166667</v>
      </c>
      <c r="E35" s="862">
        <f t="shared" si="16"/>
        <v>38154.269961666665</v>
      </c>
      <c r="F35" s="862">
        <f t="shared" si="16"/>
        <v>54054.21532116666</v>
      </c>
      <c r="G35" s="862">
        <f t="shared" si="16"/>
        <v>76264.33416884167</v>
      </c>
      <c r="H35" s="862">
        <f t="shared" si="16"/>
        <v>104037.80811124343</v>
      </c>
      <c r="I35" s="862">
        <f t="shared" si="16"/>
        <v>136720.05150208165</v>
      </c>
      <c r="J35" s="862">
        <f t="shared" si="16"/>
        <v>180140.81455588192</v>
      </c>
      <c r="K35" s="862">
        <f t="shared" si="16"/>
        <v>234427.92177586476</v>
      </c>
      <c r="L35" s="862">
        <f t="shared" si="16"/>
        <v>302298.07073760306</v>
      </c>
    </row>
    <row r="36" spans="1:12" s="197" customFormat="1" ht="12">
      <c r="A36" s="848"/>
      <c r="B36" s="848"/>
      <c r="C36" s="851"/>
      <c r="D36" s="851"/>
      <c r="E36" s="851"/>
      <c r="F36" s="851"/>
      <c r="G36" s="851"/>
      <c r="H36" s="851"/>
      <c r="I36" s="851"/>
      <c r="J36" s="851"/>
      <c r="K36" s="851"/>
      <c r="L36" s="851"/>
    </row>
    <row r="37" spans="1:12" ht="12" thickBot="1">
      <c r="A37" s="208"/>
      <c r="B37" s="209"/>
      <c r="C37" s="210"/>
      <c r="D37" s="87">
        <v>0.25</v>
      </c>
      <c r="E37" s="170"/>
      <c r="F37" s="170"/>
      <c r="G37" s="170"/>
      <c r="H37" s="170"/>
      <c r="I37" s="170"/>
      <c r="J37" s="170"/>
      <c r="K37" s="170"/>
      <c r="L37" s="170"/>
    </row>
    <row r="38" spans="1:5" s="168" customFormat="1" ht="12.75">
      <c r="A38" s="863" t="s">
        <v>17</v>
      </c>
      <c r="B38" s="864">
        <f>IRR(B35:L35)</f>
        <v>1.314271665263102</v>
      </c>
      <c r="E38" s="218"/>
    </row>
    <row r="39" spans="1:2" s="168" customFormat="1" ht="16.5" customHeight="1">
      <c r="A39" s="844" t="s">
        <v>358</v>
      </c>
      <c r="B39" s="364">
        <f>NPV(B41,C35:L35)+B35</f>
        <v>224652.8477647179</v>
      </c>
    </row>
    <row r="40" spans="1:2" s="168" customFormat="1" ht="12.75" customHeight="1">
      <c r="A40" s="844" t="s">
        <v>233</v>
      </c>
      <c r="B40" s="363">
        <f>+TMAR!C12</f>
        <v>0.47031599999999996</v>
      </c>
    </row>
    <row r="41" spans="1:2" ht="13.5" thickBot="1">
      <c r="A41" s="845" t="s">
        <v>309</v>
      </c>
      <c r="B41" s="366">
        <v>0.25</v>
      </c>
    </row>
    <row r="42" ht="11.25">
      <c r="C42" s="211"/>
    </row>
    <row r="43" ht="11.25">
      <c r="C43" s="210"/>
    </row>
    <row r="44" spans="3:6" ht="11.25">
      <c r="C44" s="209"/>
      <c r="D44" s="209"/>
      <c r="E44" s="209"/>
      <c r="F44" s="209"/>
    </row>
    <row r="45" spans="1:7" ht="11.25">
      <c r="A45" s="220"/>
      <c r="B45" s="220"/>
      <c r="C45" s="221"/>
      <c r="D45" s="212"/>
      <c r="E45" s="212"/>
      <c r="F45" s="212"/>
      <c r="G45" s="212"/>
    </row>
    <row r="50" spans="1:7" ht="11.25">
      <c r="A50" s="220"/>
      <c r="B50" s="220"/>
      <c r="C50" s="220"/>
      <c r="D50" s="220"/>
      <c r="E50" s="220"/>
      <c r="F50" s="220"/>
      <c r="G50" s="220"/>
    </row>
    <row r="55" spans="1:2" ht="11.25">
      <c r="A55" s="220"/>
      <c r="B55" s="220"/>
    </row>
    <row r="56" spans="3:7" ht="11.25">
      <c r="C56" s="212"/>
      <c r="D56" s="212"/>
      <c r="E56" s="212"/>
      <c r="F56" s="212"/>
      <c r="G56" s="212"/>
    </row>
    <row r="57" spans="3:7" ht="11.25">
      <c r="C57" s="212"/>
      <c r="D57" s="212"/>
      <c r="E57" s="212"/>
      <c r="F57" s="212"/>
      <c r="G57" s="212"/>
    </row>
    <row r="58" spans="3:7" ht="11.25">
      <c r="C58" s="212"/>
      <c r="D58" s="212"/>
      <c r="E58" s="212"/>
      <c r="F58" s="212"/>
      <c r="G58" s="212"/>
    </row>
    <row r="60" spans="1:2" ht="11.25">
      <c r="A60" s="220"/>
      <c r="B60" s="220"/>
    </row>
    <row r="61" spans="3:7" ht="11.25">
      <c r="C61" s="209"/>
      <c r="D61" s="209"/>
      <c r="E61" s="209"/>
      <c r="F61" s="209"/>
      <c r="G61" s="209"/>
    </row>
    <row r="62" spans="3:7" ht="11.25">
      <c r="C62" s="209"/>
      <c r="D62" s="209"/>
      <c r="E62" s="209"/>
      <c r="F62" s="209"/>
      <c r="G62" s="209"/>
    </row>
    <row r="63" spans="3:7" ht="11.25">
      <c r="C63" s="209"/>
      <c r="D63" s="209"/>
      <c r="E63" s="209"/>
      <c r="F63" s="209"/>
      <c r="G63" s="209"/>
    </row>
    <row r="65" spans="1:2" ht="11.25">
      <c r="A65" s="220"/>
      <c r="B65" s="220"/>
    </row>
    <row r="66" spans="3:7" ht="11.25">
      <c r="C66" s="212"/>
      <c r="D66" s="212"/>
      <c r="E66" s="212"/>
      <c r="F66" s="212"/>
      <c r="G66" s="212"/>
    </row>
    <row r="67" spans="3:7" ht="11.25">
      <c r="C67" s="212"/>
      <c r="D67" s="212"/>
      <c r="E67" s="212"/>
      <c r="F67" s="212"/>
      <c r="G67" s="212"/>
    </row>
    <row r="68" spans="3:7" ht="11.25">
      <c r="C68" s="212"/>
      <c r="D68" s="212"/>
      <c r="E68" s="212"/>
      <c r="F68" s="212"/>
      <c r="G68" s="212"/>
    </row>
    <row r="70" spans="1:7" ht="11.25">
      <c r="A70" s="220"/>
      <c r="B70" s="220"/>
      <c r="C70" s="222"/>
      <c r="D70" s="222"/>
      <c r="E70" s="222"/>
      <c r="F70" s="222"/>
      <c r="G70" s="222"/>
    </row>
    <row r="71" spans="3:7" ht="11.25">
      <c r="C71" s="212"/>
      <c r="D71" s="212"/>
      <c r="E71" s="212"/>
      <c r="F71" s="212"/>
      <c r="G71" s="212"/>
    </row>
    <row r="72" spans="3:7" ht="11.25">
      <c r="C72" s="212"/>
      <c r="D72" s="212"/>
      <c r="E72" s="212"/>
      <c r="F72" s="212"/>
      <c r="G72" s="212"/>
    </row>
    <row r="73" spans="3:7" ht="11.25">
      <c r="C73" s="212"/>
      <c r="D73" s="212"/>
      <c r="E73" s="212"/>
      <c r="F73" s="212"/>
      <c r="G73" s="212"/>
    </row>
    <row r="75" spans="1:7" ht="11.25">
      <c r="A75" s="220"/>
      <c r="B75" s="220"/>
      <c r="C75" s="222"/>
      <c r="D75" s="222"/>
      <c r="E75" s="222"/>
      <c r="F75" s="222"/>
      <c r="G75" s="222"/>
    </row>
    <row r="76" spans="3:7" ht="11.25">
      <c r="C76" s="212"/>
      <c r="D76" s="212"/>
      <c r="E76" s="212"/>
      <c r="F76" s="212"/>
      <c r="G76" s="212"/>
    </row>
    <row r="77" spans="3:7" ht="11.25">
      <c r="C77" s="212"/>
      <c r="D77" s="212"/>
      <c r="E77" s="212"/>
      <c r="F77" s="212"/>
      <c r="G77" s="212"/>
    </row>
    <row r="78" spans="3:7" ht="11.25">
      <c r="C78" s="212"/>
      <c r="D78" s="212"/>
      <c r="E78" s="212"/>
      <c r="F78" s="212"/>
      <c r="G78" s="212"/>
    </row>
    <row r="80" spans="1:7" ht="11.25">
      <c r="A80" s="220"/>
      <c r="B80" s="220"/>
      <c r="C80" s="222"/>
      <c r="D80" s="222"/>
      <c r="E80" s="222"/>
      <c r="F80" s="222"/>
      <c r="G80" s="222"/>
    </row>
    <row r="81" spans="3:7" ht="11.25">
      <c r="C81" s="212"/>
      <c r="D81" s="212"/>
      <c r="E81" s="212"/>
      <c r="F81" s="212"/>
      <c r="G81" s="212"/>
    </row>
    <row r="82" spans="3:7" ht="11.25">
      <c r="C82" s="212"/>
      <c r="D82" s="212"/>
      <c r="E82" s="212"/>
      <c r="F82" s="212"/>
      <c r="G82" s="212"/>
    </row>
    <row r="83" spans="3:7" ht="11.25">
      <c r="C83" s="212"/>
      <c r="D83" s="212"/>
      <c r="E83" s="212"/>
      <c r="F83" s="212"/>
      <c r="G83" s="212"/>
    </row>
    <row r="85" spans="1:2" ht="11.25">
      <c r="A85" s="220"/>
      <c r="B85" s="220"/>
    </row>
    <row r="86" spans="3:7" ht="11.25">
      <c r="C86" s="209"/>
      <c r="D86" s="209"/>
      <c r="E86" s="209"/>
      <c r="F86" s="209"/>
      <c r="G86" s="209"/>
    </row>
    <row r="87" spans="3:7" ht="11.25">
      <c r="C87" s="212"/>
      <c r="D87" s="212"/>
      <c r="E87" s="212"/>
      <c r="F87" s="212"/>
      <c r="G87" s="212"/>
    </row>
    <row r="90" spans="3:7" ht="11.25">
      <c r="C90" s="212"/>
      <c r="D90" s="212"/>
      <c r="E90" s="212"/>
      <c r="F90" s="212"/>
      <c r="G90" s="212"/>
    </row>
    <row r="91" spans="3:7" ht="11.25">
      <c r="C91" s="209"/>
      <c r="D91" s="209"/>
      <c r="E91" s="209"/>
      <c r="F91" s="209"/>
      <c r="G91" s="209"/>
    </row>
    <row r="92" spans="3:7" ht="11.25">
      <c r="C92" s="212"/>
      <c r="D92" s="212"/>
      <c r="E92" s="212"/>
      <c r="F92" s="212"/>
      <c r="G92" s="212"/>
    </row>
    <row r="93" spans="3:7" ht="11.25">
      <c r="C93" s="212"/>
      <c r="D93" s="212"/>
      <c r="E93" s="212"/>
      <c r="F93" s="212"/>
      <c r="G93" s="212"/>
    </row>
    <row r="94" spans="3:7" ht="11.25">
      <c r="C94" s="212"/>
      <c r="D94" s="212"/>
      <c r="E94" s="212"/>
      <c r="F94" s="212"/>
      <c r="G94" s="212"/>
    </row>
    <row r="95" spans="3:7" ht="11.25">
      <c r="C95" s="209"/>
      <c r="D95" s="209"/>
      <c r="E95" s="209"/>
      <c r="F95" s="209"/>
      <c r="G95" s="209"/>
    </row>
    <row r="96" ht="11.25">
      <c r="C96" s="212"/>
    </row>
    <row r="97" spans="1:3" ht="11.25">
      <c r="A97" s="220"/>
      <c r="B97" s="220"/>
      <c r="C97" s="212"/>
    </row>
    <row r="98" spans="3:7" ht="11.25">
      <c r="C98" s="212"/>
      <c r="D98" s="212"/>
      <c r="E98" s="212"/>
      <c r="F98" s="212"/>
      <c r="G98" s="212"/>
    </row>
    <row r="99" spans="3:7" ht="11.25">
      <c r="C99" s="212"/>
      <c r="D99" s="212"/>
      <c r="E99" s="212"/>
      <c r="F99" s="212"/>
      <c r="G99" s="212"/>
    </row>
    <row r="100" spans="3:7" ht="11.25">
      <c r="C100" s="212"/>
      <c r="D100" s="212"/>
      <c r="E100" s="212"/>
      <c r="F100" s="212"/>
      <c r="G100" s="212"/>
    </row>
    <row r="101" spans="1:7" ht="11.25">
      <c r="A101" s="223"/>
      <c r="B101" s="223"/>
      <c r="C101" s="222"/>
      <c r="D101" s="222"/>
      <c r="E101" s="222"/>
      <c r="F101" s="222"/>
      <c r="G101" s="222"/>
    </row>
    <row r="103" spans="1:2" ht="11.25">
      <c r="A103" s="220"/>
      <c r="B103" s="220"/>
    </row>
    <row r="104" spans="3:7" ht="11.25">
      <c r="C104" s="212"/>
      <c r="D104" s="212"/>
      <c r="E104" s="212"/>
      <c r="F104" s="212"/>
      <c r="G104" s="212"/>
    </row>
    <row r="105" spans="3:7" ht="11.25">
      <c r="C105" s="212"/>
      <c r="D105" s="212"/>
      <c r="E105" s="212"/>
      <c r="F105" s="212"/>
      <c r="G105" s="212"/>
    </row>
    <row r="106" spans="3:7" ht="11.25">
      <c r="C106" s="212"/>
      <c r="D106" s="212"/>
      <c r="E106" s="212"/>
      <c r="F106" s="212"/>
      <c r="G106" s="212"/>
    </row>
    <row r="107" spans="3:7" ht="11.25">
      <c r="C107" s="212"/>
      <c r="D107" s="212"/>
      <c r="E107" s="212"/>
      <c r="F107" s="212"/>
      <c r="G107" s="212"/>
    </row>
    <row r="108" spans="3:7" ht="11.25">
      <c r="C108" s="212"/>
      <c r="D108" s="212"/>
      <c r="E108" s="212"/>
      <c r="F108" s="212"/>
      <c r="G108" s="212"/>
    </row>
    <row r="109" spans="3:7" ht="11.25">
      <c r="C109" s="212"/>
      <c r="D109" s="212"/>
      <c r="E109" s="212"/>
      <c r="F109" s="212"/>
      <c r="G109" s="212"/>
    </row>
    <row r="110" spans="3:7" ht="11.25">
      <c r="C110" s="212"/>
      <c r="D110" s="212"/>
      <c r="E110" s="212"/>
      <c r="F110" s="212"/>
      <c r="G110" s="212"/>
    </row>
    <row r="111" spans="3:7" ht="11.25">
      <c r="C111" s="212"/>
      <c r="D111" s="212"/>
      <c r="E111" s="212"/>
      <c r="F111" s="212"/>
      <c r="G111" s="212"/>
    </row>
    <row r="112" spans="3:7" ht="11.25">
      <c r="C112" s="212"/>
      <c r="D112" s="212"/>
      <c r="E112" s="212"/>
      <c r="F112" s="212"/>
      <c r="G112" s="212"/>
    </row>
    <row r="113" spans="3:7" ht="11.25">
      <c r="C113" s="212"/>
      <c r="D113" s="212"/>
      <c r="E113" s="212"/>
      <c r="F113" s="212"/>
      <c r="G113" s="212"/>
    </row>
    <row r="114" spans="3:7" ht="11.25">
      <c r="C114" s="212"/>
      <c r="D114" s="212"/>
      <c r="E114" s="212"/>
      <c r="F114" s="212"/>
      <c r="G114" s="212"/>
    </row>
    <row r="115" spans="3:7" ht="11.25">
      <c r="C115" s="212"/>
      <c r="D115" s="212"/>
      <c r="E115" s="212"/>
      <c r="F115" s="212"/>
      <c r="G115" s="212"/>
    </row>
    <row r="116" spans="1:7" ht="11.25">
      <c r="A116" s="223"/>
      <c r="B116" s="223"/>
      <c r="C116" s="222"/>
      <c r="D116" s="222"/>
      <c r="E116" s="222"/>
      <c r="F116" s="222"/>
      <c r="G116" s="222"/>
    </row>
    <row r="117" spans="1:7" ht="11.25">
      <c r="A117" s="223"/>
      <c r="B117" s="223"/>
      <c r="C117" s="222"/>
      <c r="D117" s="222"/>
      <c r="E117" s="222"/>
      <c r="F117" s="222"/>
      <c r="G117" s="222"/>
    </row>
    <row r="118" spans="1:7" ht="11.25">
      <c r="A118" s="208"/>
      <c r="B118" s="208"/>
      <c r="C118" s="212"/>
      <c r="D118" s="212"/>
      <c r="E118" s="212"/>
      <c r="F118" s="212"/>
      <c r="G118" s="212"/>
    </row>
  </sheetData>
  <sheetProtection/>
  <mergeCells count="3">
    <mergeCell ref="A6:L6"/>
    <mergeCell ref="A2:L2"/>
    <mergeCell ref="A4:L4"/>
  </mergeCells>
  <printOptions horizontalCentered="1" verticalCentered="1"/>
  <pageMargins left="0.4330708661417323" right="0.5118110236220472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7"/>
  <sheetViews>
    <sheetView zoomScalePageLayoutView="0" workbookViewId="0" topLeftCell="A1">
      <selection activeCell="B7" sqref="B7:C12"/>
    </sheetView>
  </sheetViews>
  <sheetFormatPr defaultColWidth="11.421875" defaultRowHeight="12.75"/>
  <cols>
    <col min="2" max="2" width="17.8515625" style="0" customWidth="1"/>
  </cols>
  <sheetData>
    <row r="4" ht="12.75">
      <c r="C4" t="s">
        <v>279</v>
      </c>
    </row>
    <row r="5" ht="12.75">
      <c r="C5" t="s">
        <v>280</v>
      </c>
    </row>
    <row r="6" spans="4:8" ht="13.5" thickBot="1">
      <c r="D6" s="74"/>
      <c r="E6" s="74"/>
      <c r="F6" s="74"/>
      <c r="G6" s="74"/>
      <c r="H6" s="375"/>
    </row>
    <row r="7" spans="2:8" ht="12.75">
      <c r="B7" s="540" t="s">
        <v>281</v>
      </c>
      <c r="C7" s="562">
        <v>0.028</v>
      </c>
      <c r="D7" s="74"/>
      <c r="E7" s="74"/>
      <c r="F7" s="74"/>
      <c r="G7" s="74"/>
      <c r="H7" s="376"/>
    </row>
    <row r="8" spans="2:8" ht="12.75">
      <c r="B8" s="541" t="s">
        <v>284</v>
      </c>
      <c r="C8" s="563">
        <v>1.16</v>
      </c>
      <c r="D8" s="74"/>
      <c r="E8" s="74"/>
      <c r="F8" s="74"/>
      <c r="G8" s="74"/>
      <c r="H8" s="376"/>
    </row>
    <row r="9" spans="2:8" ht="12.75">
      <c r="B9" s="541" t="s">
        <v>282</v>
      </c>
      <c r="C9" s="564">
        <v>0.0681</v>
      </c>
      <c r="D9" s="74"/>
      <c r="E9" s="74"/>
      <c r="F9" s="74"/>
      <c r="G9" s="74"/>
      <c r="H9" s="376"/>
    </row>
    <row r="10" spans="2:8" ht="12.75">
      <c r="B10" s="541" t="s">
        <v>283</v>
      </c>
      <c r="C10" s="564">
        <v>0.3958</v>
      </c>
      <c r="D10" s="74"/>
      <c r="E10" s="74"/>
      <c r="F10" s="74"/>
      <c r="G10" s="377"/>
      <c r="H10" s="378"/>
    </row>
    <row r="11" spans="2:8" ht="12.75">
      <c r="B11" s="565" t="s">
        <v>233</v>
      </c>
      <c r="C11" s="566">
        <f>+C7+(C8*(C9-C7))</f>
        <v>0.074516</v>
      </c>
      <c r="D11" s="74"/>
      <c r="E11" s="74"/>
      <c r="F11" s="74"/>
      <c r="G11" s="244"/>
      <c r="H11" s="379"/>
    </row>
    <row r="12" spans="2:8" ht="13.5" thickBot="1">
      <c r="B12" s="567" t="s">
        <v>308</v>
      </c>
      <c r="C12" s="568">
        <f>+C11+C10</f>
        <v>0.47031599999999996</v>
      </c>
      <c r="D12" s="74"/>
      <c r="E12" s="74"/>
      <c r="F12" s="74"/>
      <c r="G12" s="74"/>
      <c r="H12" s="74"/>
    </row>
    <row r="13" ht="15">
      <c r="F13" s="360"/>
    </row>
    <row r="14" ht="15">
      <c r="F14" s="360"/>
    </row>
    <row r="15" spans="2:6" ht="15">
      <c r="B15" t="s">
        <v>285</v>
      </c>
      <c r="F15" s="360"/>
    </row>
    <row r="16" ht="15">
      <c r="F16" s="360"/>
    </row>
    <row r="17" ht="15">
      <c r="F17" s="360"/>
    </row>
  </sheetData>
  <sheetProtection/>
  <printOptions/>
  <pageMargins left="0.75" right="0.75" top="1" bottom="1" header="0" footer="0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6:D11"/>
  <sheetViews>
    <sheetView zoomScalePageLayoutView="0" workbookViewId="0" topLeftCell="A7">
      <selection activeCell="D11" sqref="D11"/>
    </sheetView>
  </sheetViews>
  <sheetFormatPr defaultColWidth="11.421875" defaultRowHeight="12.75"/>
  <cols>
    <col min="3" max="3" width="24.7109375" style="0" customWidth="1"/>
    <col min="4" max="4" width="14.140625" style="0" bestFit="1" customWidth="1"/>
  </cols>
  <sheetData>
    <row r="5" ht="13.5" thickBot="1"/>
    <row r="6" spans="3:4" ht="12.75">
      <c r="C6" s="648" t="s">
        <v>278</v>
      </c>
      <c r="D6" s="649"/>
    </row>
    <row r="7" spans="3:4" ht="13.5" thickBot="1">
      <c r="C7" s="650" t="s">
        <v>339</v>
      </c>
      <c r="D7" s="651"/>
    </row>
    <row r="8" spans="3:4" ht="12.75">
      <c r="C8" s="540" t="s">
        <v>340</v>
      </c>
      <c r="D8" s="559">
        <f>+AVERAGE('FLUJO(Tmar)'!C31:L31)</f>
        <v>63631.59141799949</v>
      </c>
    </row>
    <row r="9" spans="3:4" ht="12.75">
      <c r="C9" s="541" t="s">
        <v>252</v>
      </c>
      <c r="D9" s="558">
        <f>+AVERAGE('FLUJO(Tmar)'!C21:L21)</f>
        <v>1282.9166666666665</v>
      </c>
    </row>
    <row r="10" spans="3:4" ht="13.5" thickBot="1">
      <c r="C10" s="542" t="s">
        <v>233</v>
      </c>
      <c r="D10" s="560">
        <f>+TMAR!C11</f>
        <v>0.074516</v>
      </c>
    </row>
    <row r="11" spans="3:4" ht="13.5" thickBot="1">
      <c r="C11" s="543" t="s">
        <v>278</v>
      </c>
      <c r="D11" s="561">
        <f>+(D8-D9)/D10</f>
        <v>836715.2658668316</v>
      </c>
    </row>
  </sheetData>
  <sheetProtection/>
  <mergeCells count="2">
    <mergeCell ref="C6:D6"/>
    <mergeCell ref="C7:D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1"/>
  <sheetViews>
    <sheetView zoomScale="85" zoomScaleNormal="85" zoomScalePageLayoutView="0" workbookViewId="0" topLeftCell="A1">
      <selection activeCell="G32" sqref="G32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4" width="10.7109375" style="0" bestFit="1" customWidth="1"/>
    <col min="5" max="5" width="10.57421875" style="0" customWidth="1"/>
    <col min="6" max="10" width="10.421875" style="0" bestFit="1" customWidth="1"/>
    <col min="11" max="11" width="12.140625" style="0" bestFit="1" customWidth="1"/>
    <col min="12" max="12" width="10.421875" style="0" bestFit="1" customWidth="1"/>
    <col min="13" max="13" width="11.28125" style="0" bestFit="1" customWidth="1"/>
    <col min="14" max="14" width="10.57421875" style="0" bestFit="1" customWidth="1"/>
    <col min="15" max="15" width="12.8515625" style="0" bestFit="1" customWidth="1"/>
    <col min="16" max="16" width="11.8515625" style="0" bestFit="1" customWidth="1"/>
  </cols>
  <sheetData>
    <row r="1" spans="2:14" ht="16.5">
      <c r="B1" s="774" t="s">
        <v>348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</row>
    <row r="3" spans="2:14" ht="16.5">
      <c r="B3" s="774" t="s">
        <v>349</v>
      </c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</row>
    <row r="4" spans="2:14" ht="16.5"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</row>
    <row r="5" spans="2:14" ht="12.75">
      <c r="B5" s="773" t="s">
        <v>253</v>
      </c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</row>
    <row r="7" spans="2:14" ht="12.75">
      <c r="B7" s="324"/>
      <c r="C7" s="334" t="s">
        <v>254</v>
      </c>
      <c r="D7" s="334" t="s">
        <v>255</v>
      </c>
      <c r="E7" s="334" t="s">
        <v>256</v>
      </c>
      <c r="F7" s="334" t="s">
        <v>257</v>
      </c>
      <c r="G7" s="334" t="s">
        <v>258</v>
      </c>
      <c r="H7" s="334" t="s">
        <v>259</v>
      </c>
      <c r="I7" s="334" t="s">
        <v>260</v>
      </c>
      <c r="J7" s="334" t="s">
        <v>261</v>
      </c>
      <c r="K7" s="334" t="s">
        <v>262</v>
      </c>
      <c r="L7" s="334" t="s">
        <v>263</v>
      </c>
      <c r="M7" s="334" t="s">
        <v>264</v>
      </c>
      <c r="N7" s="334" t="s">
        <v>265</v>
      </c>
    </row>
    <row r="8" spans="2:17" ht="12.75">
      <c r="B8" s="324" t="s">
        <v>271</v>
      </c>
      <c r="C8" s="369">
        <f>+'FLUJO (def)'!$C$10*0.07</f>
        <v>5004.72</v>
      </c>
      <c r="D8" s="369">
        <f>+'FLUJO (def)'!$C$10*0.1</f>
        <v>7149.6</v>
      </c>
      <c r="E8" s="369">
        <f>+'FLUJO (def)'!$C$10*0.12</f>
        <v>8579.52</v>
      </c>
      <c r="F8" s="369">
        <f>+'FLUJO (def)'!$C$10*0.005</f>
        <v>357.48</v>
      </c>
      <c r="G8" s="369">
        <f>+'FLUJO (def)'!$C$10*0.005</f>
        <v>357.48</v>
      </c>
      <c r="H8" s="369">
        <f>+'FLUJO (def)'!$C$10*0.005</f>
        <v>357.48</v>
      </c>
      <c r="I8" s="369">
        <f>+'FLUJO (def)'!$C$10*0.095</f>
        <v>6792.12</v>
      </c>
      <c r="J8" s="369">
        <f>+'FLUJO (def)'!$C$10*0.095</f>
        <v>6792.12</v>
      </c>
      <c r="K8" s="369">
        <f>+'FLUJO (def)'!$C$10*0.095</f>
        <v>6792.12</v>
      </c>
      <c r="L8" s="369">
        <f>+'FLUJO (def)'!$C$10*0.095</f>
        <v>6792.12</v>
      </c>
      <c r="M8" s="369">
        <f>+'FLUJO (def)'!$C$10*0.095</f>
        <v>6792.12</v>
      </c>
      <c r="N8" s="369">
        <f>+'FLUJO (def)'!$C$10*0.095</f>
        <v>6792.12</v>
      </c>
      <c r="O8" s="52">
        <f>SUM(C8:N8)</f>
        <v>62559.00000000001</v>
      </c>
      <c r="P8" s="52">
        <f>+'Sal. Var'!I65</f>
        <v>46680</v>
      </c>
      <c r="Q8">
        <f>+P8/12</f>
        <v>3890</v>
      </c>
    </row>
    <row r="9" spans="2:17" ht="12.75">
      <c r="B9" s="337" t="s">
        <v>311</v>
      </c>
      <c r="C9" s="370">
        <f>+C8</f>
        <v>5004.72</v>
      </c>
      <c r="D9" s="370">
        <f aca="true" t="shared" si="0" ref="D9:L9">+D8</f>
        <v>7149.6</v>
      </c>
      <c r="E9" s="370">
        <f t="shared" si="0"/>
        <v>8579.52</v>
      </c>
      <c r="F9" s="370">
        <f t="shared" si="0"/>
        <v>357.48</v>
      </c>
      <c r="G9" s="370">
        <f t="shared" si="0"/>
        <v>357.48</v>
      </c>
      <c r="H9" s="370">
        <f t="shared" si="0"/>
        <v>357.48</v>
      </c>
      <c r="I9" s="370">
        <f t="shared" si="0"/>
        <v>6792.12</v>
      </c>
      <c r="J9" s="370">
        <f t="shared" si="0"/>
        <v>6792.12</v>
      </c>
      <c r="K9" s="370">
        <f t="shared" si="0"/>
        <v>6792.12</v>
      </c>
      <c r="L9" s="370">
        <f t="shared" si="0"/>
        <v>6792.12</v>
      </c>
      <c r="M9" s="370">
        <f>+M8</f>
        <v>6792.12</v>
      </c>
      <c r="N9" s="370">
        <f>+N8</f>
        <v>6792.12</v>
      </c>
      <c r="P9" t="s">
        <v>295</v>
      </c>
      <c r="Q9">
        <f>+$Q$8+($Q$8*0.2)</f>
        <v>4668</v>
      </c>
    </row>
    <row r="10" spans="2:17" ht="12.75">
      <c r="B10" s="335" t="s">
        <v>168</v>
      </c>
      <c r="C10" s="371">
        <f>('FLUJO(Tmar)'!C14)/12</f>
        <v>2430.8172</v>
      </c>
      <c r="D10" s="371">
        <f aca="true" t="shared" si="1" ref="D10:D15">C10</f>
        <v>2430.8172</v>
      </c>
      <c r="E10" s="371">
        <f aca="true" t="shared" si="2" ref="E10:N10">D10</f>
        <v>2430.8172</v>
      </c>
      <c r="F10" s="371">
        <f t="shared" si="2"/>
        <v>2430.8172</v>
      </c>
      <c r="G10" s="371">
        <f t="shared" si="2"/>
        <v>2430.8172</v>
      </c>
      <c r="H10" s="371">
        <f t="shared" si="2"/>
        <v>2430.8172</v>
      </c>
      <c r="I10" s="371">
        <f t="shared" si="2"/>
        <v>2430.8172</v>
      </c>
      <c r="J10" s="371">
        <f t="shared" si="2"/>
        <v>2430.8172</v>
      </c>
      <c r="K10" s="371">
        <f t="shared" si="2"/>
        <v>2430.8172</v>
      </c>
      <c r="L10" s="371">
        <f t="shared" si="2"/>
        <v>2430.8172</v>
      </c>
      <c r="M10" s="371">
        <f t="shared" si="2"/>
        <v>2430.8172</v>
      </c>
      <c r="N10" s="371">
        <f t="shared" si="2"/>
        <v>2430.8172</v>
      </c>
      <c r="O10">
        <v>71496</v>
      </c>
      <c r="P10" t="s">
        <v>296</v>
      </c>
      <c r="Q10">
        <f>+$Q$8+($Q$8*0.2)</f>
        <v>4668</v>
      </c>
    </row>
    <row r="11" spans="2:17" ht="12.75">
      <c r="B11" s="335" t="s">
        <v>132</v>
      </c>
      <c r="C11" s="371">
        <f>('FLUJO(Tmar)'!D15)/12</f>
        <v>45.166666666666664</v>
      </c>
      <c r="D11" s="371">
        <f t="shared" si="1"/>
        <v>45.166666666666664</v>
      </c>
      <c r="E11" s="371">
        <f aca="true" t="shared" si="3" ref="E11:N11">D11</f>
        <v>45.166666666666664</v>
      </c>
      <c r="F11" s="371">
        <f t="shared" si="3"/>
        <v>45.166666666666664</v>
      </c>
      <c r="G11" s="371">
        <f t="shared" si="3"/>
        <v>45.166666666666664</v>
      </c>
      <c r="H11" s="371">
        <f t="shared" si="3"/>
        <v>45.166666666666664</v>
      </c>
      <c r="I11" s="371">
        <f t="shared" si="3"/>
        <v>45.166666666666664</v>
      </c>
      <c r="J11" s="371">
        <f t="shared" si="3"/>
        <v>45.166666666666664</v>
      </c>
      <c r="K11" s="371">
        <f t="shared" si="3"/>
        <v>45.166666666666664</v>
      </c>
      <c r="L11" s="371">
        <f t="shared" si="3"/>
        <v>45.166666666666664</v>
      </c>
      <c r="M11" s="371">
        <f t="shared" si="3"/>
        <v>45.166666666666664</v>
      </c>
      <c r="N11" s="371">
        <f t="shared" si="3"/>
        <v>45.166666666666664</v>
      </c>
      <c r="O11" s="770">
        <f>+O10/12</f>
        <v>5958</v>
      </c>
      <c r="P11" t="s">
        <v>297</v>
      </c>
      <c r="Q11">
        <f>+$Q$8+($Q$8*0.2)</f>
        <v>4668</v>
      </c>
    </row>
    <row r="12" spans="2:17" ht="12.75">
      <c r="B12" s="335" t="s">
        <v>116</v>
      </c>
      <c r="C12" s="371">
        <f>('FLUJO(Tmar)'!C16)/12</f>
        <v>840</v>
      </c>
      <c r="D12" s="371">
        <f t="shared" si="1"/>
        <v>840</v>
      </c>
      <c r="E12" s="371">
        <f aca="true" t="shared" si="4" ref="E12:M12">D12</f>
        <v>840</v>
      </c>
      <c r="F12" s="371">
        <f t="shared" si="4"/>
        <v>840</v>
      </c>
      <c r="G12" s="371">
        <f t="shared" si="4"/>
        <v>840</v>
      </c>
      <c r="H12" s="371">
        <f t="shared" si="4"/>
        <v>840</v>
      </c>
      <c r="I12" s="371">
        <f t="shared" si="4"/>
        <v>840</v>
      </c>
      <c r="J12" s="371">
        <f t="shared" si="4"/>
        <v>840</v>
      </c>
      <c r="K12" s="371">
        <f t="shared" si="4"/>
        <v>840</v>
      </c>
      <c r="L12" s="371">
        <f t="shared" si="4"/>
        <v>840</v>
      </c>
      <c r="M12" s="371">
        <f t="shared" si="4"/>
        <v>840</v>
      </c>
      <c r="N12" s="371">
        <f>M12</f>
        <v>840</v>
      </c>
      <c r="O12" s="771"/>
      <c r="P12" t="s">
        <v>298</v>
      </c>
      <c r="Q12">
        <f>+$Q$8-($Q$8*0.2)</f>
        <v>3112</v>
      </c>
    </row>
    <row r="13" spans="2:17" ht="12.75">
      <c r="B13" s="335" t="s">
        <v>249</v>
      </c>
      <c r="C13" s="371">
        <f>('FLUJO(Tmar)'!C17)/12</f>
        <v>466.25</v>
      </c>
      <c r="D13" s="371">
        <f t="shared" si="1"/>
        <v>466.25</v>
      </c>
      <c r="E13" s="371">
        <f aca="true" t="shared" si="5" ref="E13:N15">D13</f>
        <v>466.25</v>
      </c>
      <c r="F13" s="371">
        <f t="shared" si="5"/>
        <v>466.25</v>
      </c>
      <c r="G13" s="371">
        <f t="shared" si="5"/>
        <v>466.25</v>
      </c>
      <c r="H13" s="371">
        <f t="shared" si="5"/>
        <v>466.25</v>
      </c>
      <c r="I13" s="371">
        <f t="shared" si="5"/>
        <v>466.25</v>
      </c>
      <c r="J13" s="371">
        <f t="shared" si="5"/>
        <v>466.25</v>
      </c>
      <c r="K13" s="371">
        <f t="shared" si="5"/>
        <v>466.25</v>
      </c>
      <c r="L13" s="371">
        <f t="shared" si="5"/>
        <v>466.25</v>
      </c>
      <c r="M13" s="371">
        <f t="shared" si="5"/>
        <v>466.25</v>
      </c>
      <c r="N13" s="371">
        <f t="shared" si="5"/>
        <v>466.25</v>
      </c>
      <c r="P13" t="s">
        <v>299</v>
      </c>
      <c r="Q13">
        <f>+$Q$8-($Q$8*0.2)</f>
        <v>3112</v>
      </c>
    </row>
    <row r="14" spans="2:17" ht="12.75">
      <c r="B14" s="335" t="s">
        <v>10</v>
      </c>
      <c r="C14" s="371">
        <f>('FLUJO(Tmar)'!C18)/12</f>
        <v>78</v>
      </c>
      <c r="D14" s="371">
        <f t="shared" si="1"/>
        <v>78</v>
      </c>
      <c r="E14" s="371">
        <f t="shared" si="5"/>
        <v>78</v>
      </c>
      <c r="F14" s="371">
        <f t="shared" si="5"/>
        <v>78</v>
      </c>
      <c r="G14" s="371">
        <f t="shared" si="5"/>
        <v>78</v>
      </c>
      <c r="H14" s="371">
        <f t="shared" si="5"/>
        <v>78</v>
      </c>
      <c r="I14" s="371">
        <f t="shared" si="5"/>
        <v>78</v>
      </c>
      <c r="J14" s="371">
        <f t="shared" si="5"/>
        <v>78</v>
      </c>
      <c r="K14" s="371">
        <f t="shared" si="5"/>
        <v>78</v>
      </c>
      <c r="L14" s="371">
        <f t="shared" si="5"/>
        <v>78</v>
      </c>
      <c r="M14" s="371">
        <f t="shared" si="5"/>
        <v>78</v>
      </c>
      <c r="N14" s="371">
        <f t="shared" si="5"/>
        <v>78</v>
      </c>
      <c r="P14" t="s">
        <v>300</v>
      </c>
      <c r="Q14">
        <f>+$Q$8-($Q$8*0.2)</f>
        <v>3112</v>
      </c>
    </row>
    <row r="15" spans="2:17" ht="12.75">
      <c r="B15" s="335" t="s">
        <v>6</v>
      </c>
      <c r="C15" s="371">
        <f>('FLUJO(Tmar)'!C19)/12</f>
        <v>500</v>
      </c>
      <c r="D15" s="371">
        <f t="shared" si="1"/>
        <v>500</v>
      </c>
      <c r="E15" s="371">
        <f t="shared" si="5"/>
        <v>500</v>
      </c>
      <c r="F15" s="371">
        <f t="shared" si="5"/>
        <v>500</v>
      </c>
      <c r="G15" s="371">
        <f t="shared" si="5"/>
        <v>500</v>
      </c>
      <c r="H15" s="371">
        <f t="shared" si="5"/>
        <v>500</v>
      </c>
      <c r="I15" s="371">
        <f t="shared" si="5"/>
        <v>500</v>
      </c>
      <c r="J15" s="371">
        <f t="shared" si="5"/>
        <v>500</v>
      </c>
      <c r="K15" s="371">
        <f t="shared" si="5"/>
        <v>500</v>
      </c>
      <c r="L15" s="371">
        <f t="shared" si="5"/>
        <v>500</v>
      </c>
      <c r="M15" s="371">
        <f t="shared" si="5"/>
        <v>500</v>
      </c>
      <c r="N15" s="371">
        <f t="shared" si="5"/>
        <v>500</v>
      </c>
      <c r="P15" t="s">
        <v>301</v>
      </c>
      <c r="Q15">
        <f aca="true" t="shared" si="6" ref="Q15:Q20">+$Q$8</f>
        <v>3890</v>
      </c>
    </row>
    <row r="16" spans="2:17" ht="12.75">
      <c r="B16" s="338" t="s">
        <v>272</v>
      </c>
      <c r="C16" s="372">
        <f>SUM(C10:C15)</f>
        <v>4360.2338666666665</v>
      </c>
      <c r="D16" s="372">
        <f aca="true" t="shared" si="7" ref="D16:N16">SUM(D10:D15)</f>
        <v>4360.2338666666665</v>
      </c>
      <c r="E16" s="372">
        <f t="shared" si="7"/>
        <v>4360.2338666666665</v>
      </c>
      <c r="F16" s="372">
        <f t="shared" si="7"/>
        <v>4360.2338666666665</v>
      </c>
      <c r="G16" s="372">
        <f t="shared" si="7"/>
        <v>4360.2338666666665</v>
      </c>
      <c r="H16" s="372">
        <f t="shared" si="7"/>
        <v>4360.2338666666665</v>
      </c>
      <c r="I16" s="372">
        <f t="shared" si="7"/>
        <v>4360.2338666666665</v>
      </c>
      <c r="J16" s="372">
        <f t="shared" si="7"/>
        <v>4360.2338666666665</v>
      </c>
      <c r="K16" s="372">
        <f t="shared" si="7"/>
        <v>4360.2338666666665</v>
      </c>
      <c r="L16" s="372">
        <f t="shared" si="7"/>
        <v>4360.2338666666665</v>
      </c>
      <c r="M16" s="372">
        <f t="shared" si="7"/>
        <v>4360.2338666666665</v>
      </c>
      <c r="N16" s="372">
        <f t="shared" si="7"/>
        <v>4360.2338666666665</v>
      </c>
      <c r="P16" t="s">
        <v>302</v>
      </c>
      <c r="Q16">
        <f t="shared" si="6"/>
        <v>3890</v>
      </c>
    </row>
    <row r="17" spans="2:17" ht="12.75">
      <c r="B17" s="336" t="s">
        <v>273</v>
      </c>
      <c r="C17" s="371">
        <f>+C9-C16</f>
        <v>644.4861333333338</v>
      </c>
      <c r="D17" s="371">
        <f>+D9-D16</f>
        <v>2789.366133333334</v>
      </c>
      <c r="E17" s="371">
        <f aca="true" t="shared" si="8" ref="E17:N17">+E9-E16</f>
        <v>4219.286133333334</v>
      </c>
      <c r="F17" s="371">
        <f t="shared" si="8"/>
        <v>-4002.7538666666665</v>
      </c>
      <c r="G17" s="371">
        <f t="shared" si="8"/>
        <v>-4002.7538666666665</v>
      </c>
      <c r="H17" s="371">
        <f t="shared" si="8"/>
        <v>-4002.7538666666665</v>
      </c>
      <c r="I17" s="371">
        <f t="shared" si="8"/>
        <v>2431.8861333333334</v>
      </c>
      <c r="J17" s="371">
        <f t="shared" si="8"/>
        <v>2431.8861333333334</v>
      </c>
      <c r="K17" s="371">
        <f t="shared" si="8"/>
        <v>2431.8861333333334</v>
      </c>
      <c r="L17" s="371">
        <f t="shared" si="8"/>
        <v>2431.8861333333334</v>
      </c>
      <c r="M17" s="371">
        <f t="shared" si="8"/>
        <v>2431.8861333333334</v>
      </c>
      <c r="N17" s="371">
        <f t="shared" si="8"/>
        <v>2431.8861333333334</v>
      </c>
      <c r="P17" t="s">
        <v>303</v>
      </c>
      <c r="Q17">
        <f t="shared" si="6"/>
        <v>3890</v>
      </c>
    </row>
    <row r="18" spans="2:17" ht="12.75">
      <c r="B18" s="336" t="s">
        <v>274</v>
      </c>
      <c r="C18" s="371">
        <f>+C17</f>
        <v>644.4861333333338</v>
      </c>
      <c r="D18" s="371">
        <f>+D17+C18</f>
        <v>3433.8522666666677</v>
      </c>
      <c r="E18" s="371">
        <f>+E17+D18</f>
        <v>7653.138400000002</v>
      </c>
      <c r="F18" s="371">
        <f aca="true" t="shared" si="9" ref="F18:N18">+F17+E18</f>
        <v>3650.384533333335</v>
      </c>
      <c r="G18" s="369">
        <f t="shared" si="9"/>
        <v>-352.36933333333127</v>
      </c>
      <c r="H18" s="772">
        <f t="shared" si="9"/>
        <v>-4355.123199999998</v>
      </c>
      <c r="I18" s="371">
        <f t="shared" si="9"/>
        <v>-1923.2370666666648</v>
      </c>
      <c r="J18" s="371">
        <f t="shared" si="9"/>
        <v>508.64906666666866</v>
      </c>
      <c r="K18" s="371">
        <f t="shared" si="9"/>
        <v>2940.535200000002</v>
      </c>
      <c r="L18" s="371">
        <f t="shared" si="9"/>
        <v>5372.4213333333355</v>
      </c>
      <c r="M18" s="371">
        <f t="shared" si="9"/>
        <v>7804.307466666669</v>
      </c>
      <c r="N18" s="371">
        <f t="shared" si="9"/>
        <v>10236.193600000002</v>
      </c>
      <c r="P18" t="s">
        <v>304</v>
      </c>
      <c r="Q18">
        <f t="shared" si="6"/>
        <v>3890</v>
      </c>
    </row>
    <row r="19" spans="16:17" ht="12.75">
      <c r="P19" t="s">
        <v>305</v>
      </c>
      <c r="Q19">
        <f t="shared" si="6"/>
        <v>3890</v>
      </c>
    </row>
    <row r="20" spans="2:17" ht="12.75">
      <c r="B20" s="32" t="s">
        <v>307</v>
      </c>
      <c r="C20" s="373">
        <f>+MIN(C18:N18)</f>
        <v>-4355.123199999998</v>
      </c>
      <c r="P20" t="s">
        <v>306</v>
      </c>
      <c r="Q20">
        <f t="shared" si="6"/>
        <v>3890</v>
      </c>
    </row>
    <row r="21" spans="17:18" ht="12.75">
      <c r="Q21">
        <f>SUM(Q9:Q20)</f>
        <v>46680</v>
      </c>
      <c r="R21">
        <f>SUM(R9:R20)</f>
        <v>0</v>
      </c>
    </row>
    <row r="22" ht="12.75">
      <c r="B22" t="s">
        <v>275</v>
      </c>
    </row>
    <row r="23" ht="12.75">
      <c r="B23" t="s">
        <v>276</v>
      </c>
    </row>
    <row r="25" ht="12.75">
      <c r="B25" t="s">
        <v>277</v>
      </c>
    </row>
    <row r="29" ht="12.75">
      <c r="E29" s="52"/>
    </row>
    <row r="31" ht="12.75">
      <c r="J31" s="52"/>
    </row>
  </sheetData>
  <sheetProtection/>
  <mergeCells count="3">
    <mergeCell ref="B5:N5"/>
    <mergeCell ref="B1:N1"/>
    <mergeCell ref="B3:N3"/>
  </mergeCells>
  <printOptions/>
  <pageMargins left="0.75" right="0.75" top="1" bottom="1" header="0" footer="0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25">
      <selection activeCell="A3" sqref="A3:D21"/>
    </sheetView>
  </sheetViews>
  <sheetFormatPr defaultColWidth="11.140625" defaultRowHeight="12.75"/>
  <cols>
    <col min="1" max="1" width="29.7109375" style="0" bestFit="1" customWidth="1"/>
    <col min="2" max="2" width="11.8515625" style="0" bestFit="1" customWidth="1"/>
    <col min="3" max="3" width="10.8515625" style="0" bestFit="1" customWidth="1"/>
    <col min="4" max="4" width="11.8515625" style="0" bestFit="1" customWidth="1"/>
    <col min="5" max="5" width="13.00390625" style="0" customWidth="1"/>
    <col min="6" max="6" width="11.28125" style="0" customWidth="1"/>
    <col min="7" max="7" width="11.7109375" style="0" customWidth="1"/>
    <col min="8" max="8" width="14.7109375" style="0" customWidth="1"/>
    <col min="9" max="9" width="9.28125" style="0" bestFit="1" customWidth="1"/>
    <col min="10" max="10" width="13.28125" style="0" customWidth="1"/>
    <col min="11" max="12" width="9.00390625" style="0" bestFit="1" customWidth="1"/>
    <col min="13" max="13" width="10.00390625" style="0" bestFit="1" customWidth="1"/>
    <col min="14" max="14" width="11.00390625" style="0" bestFit="1" customWidth="1"/>
  </cols>
  <sheetData>
    <row r="2" s="326" customFormat="1" ht="13.5" thickBot="1">
      <c r="A2" s="325" t="s">
        <v>250</v>
      </c>
    </row>
    <row r="3" spans="1:4" ht="12.75">
      <c r="A3" s="652" t="s">
        <v>234</v>
      </c>
      <c r="B3" s="653"/>
      <c r="C3" s="653"/>
      <c r="D3" s="654"/>
    </row>
    <row r="4" spans="1:4" ht="12.75">
      <c r="A4" s="637"/>
      <c r="B4" s="632" t="s">
        <v>237</v>
      </c>
      <c r="C4" s="632" t="s">
        <v>242</v>
      </c>
      <c r="D4" s="632" t="s">
        <v>197</v>
      </c>
    </row>
    <row r="5" spans="1:4" ht="12.75">
      <c r="A5" s="638" t="s">
        <v>235</v>
      </c>
      <c r="B5" s="633"/>
      <c r="C5" s="633"/>
      <c r="D5" s="633"/>
    </row>
    <row r="6" spans="1:4" ht="12.75">
      <c r="A6" s="638" t="s">
        <v>236</v>
      </c>
      <c r="B6" s="634">
        <v>250</v>
      </c>
      <c r="C6" s="634">
        <v>12</v>
      </c>
      <c r="D6" s="641">
        <f>B6*C6</f>
        <v>3000</v>
      </c>
    </row>
    <row r="7" spans="1:4" ht="12.75">
      <c r="A7" s="633"/>
      <c r="B7" s="634"/>
      <c r="C7" s="634"/>
      <c r="D7" s="634"/>
    </row>
    <row r="8" spans="1:4" ht="12.75">
      <c r="A8" s="638" t="s">
        <v>238</v>
      </c>
      <c r="B8" s="634"/>
      <c r="C8" s="634"/>
      <c r="D8" s="634"/>
    </row>
    <row r="9" spans="1:4" ht="12.75">
      <c r="A9" s="638" t="s">
        <v>239</v>
      </c>
      <c r="B9" s="634">
        <f>100</f>
        <v>100</v>
      </c>
      <c r="C9" s="634">
        <v>3</v>
      </c>
      <c r="D9" s="634">
        <f>B9*C9</f>
        <v>300</v>
      </c>
    </row>
    <row r="10" spans="1:4" ht="12.75">
      <c r="A10" s="638" t="s">
        <v>240</v>
      </c>
      <c r="B10" s="634">
        <v>150</v>
      </c>
      <c r="C10" s="634">
        <v>3</v>
      </c>
      <c r="D10" s="634">
        <f>B10*C10</f>
        <v>450</v>
      </c>
    </row>
    <row r="11" spans="1:4" ht="12.75">
      <c r="A11" s="638" t="s">
        <v>241</v>
      </c>
      <c r="B11" s="634">
        <v>150</v>
      </c>
      <c r="C11" s="634">
        <v>3</v>
      </c>
      <c r="D11" s="641">
        <f>B11*C11</f>
        <v>450</v>
      </c>
    </row>
    <row r="12" spans="1:4" ht="12.75">
      <c r="A12" s="633"/>
      <c r="B12" s="634"/>
      <c r="C12" s="634"/>
      <c r="D12" s="634"/>
    </row>
    <row r="13" spans="1:4" ht="12.75">
      <c r="A13" s="638" t="s">
        <v>243</v>
      </c>
      <c r="B13" s="634"/>
      <c r="C13" s="634"/>
      <c r="D13" s="634"/>
    </row>
    <row r="14" spans="1:4" ht="12.75">
      <c r="A14" s="638" t="s">
        <v>244</v>
      </c>
      <c r="B14" s="635">
        <v>80</v>
      </c>
      <c r="C14" s="635">
        <v>3</v>
      </c>
      <c r="D14" s="634">
        <f>B14*C14</f>
        <v>240</v>
      </c>
    </row>
    <row r="15" spans="1:4" ht="12.75">
      <c r="A15" s="638" t="s">
        <v>245</v>
      </c>
      <c r="B15" s="635">
        <v>80</v>
      </c>
      <c r="C15" s="635">
        <v>3</v>
      </c>
      <c r="D15" s="641">
        <f>B15*C15</f>
        <v>240</v>
      </c>
    </row>
    <row r="16" spans="1:4" ht="12.75">
      <c r="A16" s="633"/>
      <c r="B16" s="635"/>
      <c r="C16" s="635"/>
      <c r="D16" s="634"/>
    </row>
    <row r="17" spans="1:4" ht="12.75">
      <c r="A17" s="638" t="s">
        <v>246</v>
      </c>
      <c r="B17" s="635"/>
      <c r="C17" s="635"/>
      <c r="D17" s="641">
        <v>315</v>
      </c>
    </row>
    <row r="18" spans="1:4" ht="12.75">
      <c r="A18" s="633"/>
      <c r="B18" s="635"/>
      <c r="C18" s="635"/>
      <c r="D18" s="634"/>
    </row>
    <row r="19" spans="1:4" ht="25.5">
      <c r="A19" s="639" t="s">
        <v>247</v>
      </c>
      <c r="B19" s="635">
        <v>200</v>
      </c>
      <c r="C19" s="635">
        <v>3</v>
      </c>
      <c r="D19" s="641">
        <f>B19*C19</f>
        <v>600</v>
      </c>
    </row>
    <row r="20" spans="1:4" ht="12.75">
      <c r="A20" s="640"/>
      <c r="B20" s="636"/>
      <c r="C20" s="636"/>
      <c r="D20" s="636"/>
    </row>
    <row r="21" spans="1:4" ht="13.5" thickBot="1">
      <c r="A21" s="630" t="s">
        <v>248</v>
      </c>
      <c r="B21" s="631"/>
      <c r="C21" s="631"/>
      <c r="D21" s="642">
        <f>SUM(D6:D19)</f>
        <v>5595</v>
      </c>
    </row>
    <row r="24" ht="12.75">
      <c r="A24" t="s">
        <v>251</v>
      </c>
    </row>
    <row r="27" spans="1:2" ht="15">
      <c r="A27" s="578" t="s">
        <v>345</v>
      </c>
      <c r="B27" s="579"/>
    </row>
    <row r="28" spans="1:2" ht="28.5">
      <c r="A28" s="573" t="s">
        <v>341</v>
      </c>
      <c r="B28" s="574">
        <f>+'Bce Pers.'!B52</f>
        <v>4560</v>
      </c>
    </row>
    <row r="29" spans="1:2" ht="28.5">
      <c r="A29" s="573" t="s">
        <v>342</v>
      </c>
      <c r="B29" s="574">
        <f>+'Bce Pers.'!B53</f>
        <v>9600</v>
      </c>
    </row>
    <row r="30" spans="1:2" ht="28.5">
      <c r="A30" s="573" t="s">
        <v>343</v>
      </c>
      <c r="B30" s="574">
        <f>+'Bce Pers.'!B54</f>
        <v>1800</v>
      </c>
    </row>
    <row r="31" spans="1:2" ht="0.75" customHeight="1">
      <c r="A31" s="573"/>
      <c r="B31" s="574"/>
    </row>
    <row r="32" spans="1:2" ht="14.25">
      <c r="A32" s="575" t="s">
        <v>83</v>
      </c>
      <c r="B32" s="574">
        <f>+'Bce Pers.'!B59</f>
        <v>13209.806400000001</v>
      </c>
    </row>
    <row r="33" spans="1:2" ht="12.75">
      <c r="A33" s="572" t="s">
        <v>197</v>
      </c>
      <c r="B33" s="574">
        <f>+B28+B30+B29+B32</f>
        <v>29169.8064</v>
      </c>
    </row>
    <row r="34" spans="1:3" ht="30">
      <c r="A34" s="580" t="s">
        <v>10</v>
      </c>
      <c r="B34" s="581"/>
      <c r="C34" s="577"/>
    </row>
    <row r="35" spans="1:4" ht="14.25">
      <c r="A35" s="575" t="s">
        <v>344</v>
      </c>
      <c r="B35" s="574">
        <f>+D35*12</f>
        <v>360</v>
      </c>
      <c r="D35" s="73">
        <v>30</v>
      </c>
    </row>
    <row r="36" spans="1:4" ht="14.25">
      <c r="A36" s="575" t="s">
        <v>346</v>
      </c>
      <c r="B36" s="574">
        <f aca="true" t="shared" si="0" ref="B36:B41">+D36*12</f>
        <v>36</v>
      </c>
      <c r="D36" s="73">
        <v>3</v>
      </c>
    </row>
    <row r="37" spans="1:4" ht="14.25">
      <c r="A37" s="575" t="s">
        <v>287</v>
      </c>
      <c r="B37" s="574">
        <f t="shared" si="0"/>
        <v>180</v>
      </c>
      <c r="D37">
        <v>15</v>
      </c>
    </row>
    <row r="38" spans="1:4" ht="13.5" customHeight="1">
      <c r="A38" s="575" t="s">
        <v>286</v>
      </c>
      <c r="B38" s="574">
        <f t="shared" si="0"/>
        <v>360</v>
      </c>
      <c r="D38">
        <v>30</v>
      </c>
    </row>
    <row r="39" spans="1:2" ht="14.25" hidden="1">
      <c r="A39" s="575"/>
      <c r="B39" s="574"/>
    </row>
    <row r="40" spans="1:2" ht="15" hidden="1">
      <c r="A40" s="571" t="s">
        <v>289</v>
      </c>
      <c r="B40" s="574"/>
    </row>
    <row r="41" spans="1:4" ht="13.5" customHeight="1">
      <c r="A41" s="575" t="s">
        <v>347</v>
      </c>
      <c r="B41" s="574">
        <f t="shared" si="0"/>
        <v>3000</v>
      </c>
      <c r="D41" s="73">
        <v>250</v>
      </c>
    </row>
    <row r="42" spans="1:4" ht="14.25" hidden="1">
      <c r="A42" s="575"/>
      <c r="B42" s="574"/>
      <c r="D42" s="73"/>
    </row>
    <row r="43" spans="1:2" ht="14.25" hidden="1">
      <c r="A43" s="575" t="s">
        <v>288</v>
      </c>
      <c r="B43" s="574"/>
    </row>
    <row r="44" spans="1:4" ht="14.25">
      <c r="A44" s="575" t="s">
        <v>288</v>
      </c>
      <c r="B44" s="574">
        <f>+D44*12</f>
        <v>6000</v>
      </c>
      <c r="D44" s="73">
        <v>500</v>
      </c>
    </row>
    <row r="45" spans="1:4" ht="14.25">
      <c r="A45" s="582" t="s">
        <v>57</v>
      </c>
      <c r="B45" s="583">
        <f>+B35+B36</f>
        <v>396</v>
      </c>
      <c r="D45" s="73"/>
    </row>
    <row r="46" spans="1:4" ht="15">
      <c r="A46" s="578" t="s">
        <v>234</v>
      </c>
      <c r="B46" s="581">
        <f>+B35+B36+B37+B38+B41+B44+B45</f>
        <v>10332</v>
      </c>
      <c r="D46" s="73"/>
    </row>
    <row r="47" spans="1:4" ht="14.25">
      <c r="A47" s="358"/>
      <c r="B47" s="569"/>
      <c r="D47" s="73"/>
    </row>
    <row r="48" spans="1:2" ht="15">
      <c r="A48" s="571" t="s">
        <v>290</v>
      </c>
      <c r="B48" s="576">
        <f>+B33+B45+B46</f>
        <v>39897.8064</v>
      </c>
    </row>
    <row r="49" ht="12.75">
      <c r="B49" s="570"/>
    </row>
  </sheetData>
  <sheetProtection/>
  <mergeCells count="1">
    <mergeCell ref="A3:D3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A4" sqref="A4:B12"/>
    </sheetView>
  </sheetViews>
  <sheetFormatPr defaultColWidth="11.421875" defaultRowHeight="12.75"/>
  <cols>
    <col min="1" max="1" width="32.00390625" style="0" bestFit="1" customWidth="1"/>
  </cols>
  <sheetData>
    <row r="2" ht="12.75">
      <c r="A2" s="32" t="s">
        <v>215</v>
      </c>
    </row>
    <row r="3" ht="13.5" thickBot="1"/>
    <row r="4" spans="1:2" ht="13.5" thickBot="1">
      <c r="A4" s="778" t="s">
        <v>292</v>
      </c>
      <c r="B4" s="779" t="s">
        <v>293</v>
      </c>
    </row>
    <row r="5" spans="1:2" ht="12.75">
      <c r="A5" s="777" t="s">
        <v>184</v>
      </c>
      <c r="B5" s="786">
        <f>+'Bce. maq'!D3</f>
        <v>3600</v>
      </c>
    </row>
    <row r="6" spans="1:2" ht="12.75">
      <c r="A6" s="541" t="s">
        <v>87</v>
      </c>
      <c r="B6" s="787">
        <f>+'Bce. maq'!D4</f>
        <v>300</v>
      </c>
    </row>
    <row r="7" spans="1:2" ht="12.75">
      <c r="A7" s="541" t="s">
        <v>91</v>
      </c>
      <c r="B7" s="787">
        <f>+'Bce. maq'!D5</f>
        <v>98.75</v>
      </c>
    </row>
    <row r="8" spans="1:2" ht="12.75">
      <c r="A8" s="776" t="s">
        <v>224</v>
      </c>
      <c r="B8" s="788">
        <v>70</v>
      </c>
    </row>
    <row r="9" spans="1:2" ht="12.75">
      <c r="A9" s="541" t="s">
        <v>225</v>
      </c>
      <c r="B9" s="787">
        <v>60</v>
      </c>
    </row>
    <row r="10" spans="1:2" ht="12.75">
      <c r="A10" s="541" t="s">
        <v>228</v>
      </c>
      <c r="B10" s="787">
        <f>+'BG'!C12</f>
        <v>3000</v>
      </c>
    </row>
    <row r="11" spans="1:2" ht="12.75">
      <c r="A11" s="541" t="s">
        <v>291</v>
      </c>
      <c r="B11" s="787">
        <v>6000</v>
      </c>
    </row>
    <row r="12" spans="1:2" ht="13.5" thickBot="1">
      <c r="A12" s="567" t="s">
        <v>197</v>
      </c>
      <c r="B12" s="789">
        <f>SUM(B5:B11)</f>
        <v>13128.75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JurisComp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Dayana P. Sánchez Yulán</dc:creator>
  <cp:keywords/>
  <dc:description/>
  <cp:lastModifiedBy>NUEVA HUMANIDAD</cp:lastModifiedBy>
  <cp:lastPrinted>2009-02-07T10:23:30Z</cp:lastPrinted>
  <dcterms:created xsi:type="dcterms:W3CDTF">2006-07-13T12:28:39Z</dcterms:created>
  <dcterms:modified xsi:type="dcterms:W3CDTF">2009-02-18T21:19:33Z</dcterms:modified>
  <cp:category/>
  <cp:version/>
  <cp:contentType/>
  <cp:contentStatus/>
</cp:coreProperties>
</file>