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worksheets/sheet12.xml" ContentType="application/vnd.openxmlformats-officedocument.spreadsheetml.worksheet+xml"/>
  <Override PartName="/xl/drawings/drawing5.xml" ContentType="application/vnd.openxmlformats-officedocument.drawing+xml"/>
  <Override PartName="/xl/worksheets/sheet13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" yWindow="30" windowWidth="15120" windowHeight="7890" tabRatio="678" firstSheet="2" activeTab="7"/>
  </bookViews>
  <sheets>
    <sheet name="DATOS" sheetId="1" r:id="rId1"/>
    <sheet name="ACT. F." sheetId="2" r:id="rId2"/>
    <sheet name="GASTO DE PUB." sheetId="3" r:id="rId3"/>
    <sheet name="C. OP." sheetId="4" r:id="rId4"/>
    <sheet name="C. F&amp;V." sheetId="5" r:id="rId5"/>
    <sheet name="P&amp;G" sheetId="6" r:id="rId6"/>
    <sheet name="INVER.IN." sheetId="7" r:id="rId7"/>
    <sheet name="AMORT." sheetId="8" r:id="rId8"/>
    <sheet name="CB_DATA_" sheetId="9" state="veryHidden" r:id="rId9"/>
    <sheet name="P. EQ." sheetId="10" r:id="rId10"/>
    <sheet name="AD.&amp;D." sheetId="11" r:id="rId11"/>
    <sheet name="F.C" sheetId="12" r:id="rId12"/>
    <sheet name="In. R." sheetId="13" r:id="rId13"/>
  </sheets>
  <definedNames>
    <definedName name="_xlfn.AVERAGEIF" hidden="1">#NAME?</definedName>
    <definedName name="CB_0e848450827f4d76aa2617531920028d" localSheetId="10" hidden="1">'AD.&amp;D.'!$I$15</definedName>
    <definedName name="CB_0ed76227d3334d87ba10a26e89c9b359" localSheetId="8" hidden="1">#N/A</definedName>
    <definedName name="CB_335c2c69e03f4df49b868e8824f7d319" localSheetId="3" hidden="1">'C. OP.'!$L$33</definedName>
    <definedName name="CB_440634ee035a4504b129c4b7f8c6d198" localSheetId="11" hidden="1">'F.C'!$C$28</definedName>
    <definedName name="CB_88de08f52e4b4fd9b0766aa6345908bb" localSheetId="3" hidden="1">'C. OP.'!$M$33</definedName>
    <definedName name="CB_9b49a2a6265b4e418d727c7721153074" localSheetId="10" hidden="1">'AD.&amp;D.'!$I$14</definedName>
    <definedName name="CB_a5b5568bda3f44faa869526464dc8fb3" localSheetId="10" hidden="1">'AD.&amp;D.'!$H$15</definedName>
    <definedName name="CB_c78fba4318fb425695f50fdd49519a48" localSheetId="8" hidden="1">#N/A</definedName>
    <definedName name="CB_cbcb14ed41f04670bdcd2dad001b505c" localSheetId="10" hidden="1">'AD.&amp;D.'!$H$14</definedName>
    <definedName name="CB_fe94d6d851654a3680c1a7a0f793f689" localSheetId="8" hidden="1">#N/A</definedName>
    <definedName name="CB_fea86fb3789b40cd86ab0919089841cc" localSheetId="8" hidden="1">#N/A</definedName>
    <definedName name="CBWorkbookPriority" localSheetId="8" hidden="1">-686275209</definedName>
    <definedName name="CBWorkbookPriority" hidden="1">-1525810056</definedName>
    <definedName name="CBx_01e464e9f2524da5ac6dd07eb7da3427" localSheetId="8" hidden="1">"'C. OP.'!$A$1"</definedName>
    <definedName name="CBx_1b3a796e8e894cf18986be463c0695dc" localSheetId="8" hidden="1">"'CB_DATA_'!$A$1"</definedName>
    <definedName name="CBx_69dabc8ee53241118700e074ba04610d" localSheetId="8" hidden="1">"'AD.&amp;D.'!$A$1"</definedName>
    <definedName name="CBx_850a8e49f4894b0e9aee2fdb7a0d45cf" localSheetId="8" hidden="1">"'DATOS'!$A$1"</definedName>
    <definedName name="CBx_ce4b4fbb8849467ea144a0671c8e2805" localSheetId="8" hidden="1">"'F.C'!$A$1"</definedName>
    <definedName name="CBx_Sheet_Guid" localSheetId="10" hidden="1">"'69dabc8e-e532-4111-8700-e074ba04610d"</definedName>
    <definedName name="CBx_Sheet_Guid" localSheetId="3" hidden="1">"'01e464e9-f252-4da5-ac6d-d07eb7da3427"</definedName>
    <definedName name="CBx_Sheet_Guid" localSheetId="8" hidden="1">"'1b3a796e-8e89-4cf1-8986-be463c0695dc"</definedName>
    <definedName name="CBx_Sheet_Guid" localSheetId="0" hidden="1">"'850a8e49-f489-4b0e-9aee-2fdb7a0d45cf"</definedName>
    <definedName name="CBx_Sheet_Guid" localSheetId="11" hidden="1">"'ce4b4fbb-8849-467e-a144-a0671c8e2805"</definedName>
    <definedName name="CBx_StorageType" localSheetId="10" hidden="1">1</definedName>
    <definedName name="CBx_StorageType" localSheetId="3" hidden="1">1</definedName>
    <definedName name="CBx_StorageType" localSheetId="8" hidden="1">1</definedName>
    <definedName name="CBx_StorageType" localSheetId="0" hidden="1">1</definedName>
    <definedName name="CBx_StorageType" localSheetId="11" hidden="1">1</definedName>
  </definedNames>
  <calcPr fullCalcOnLoad="1"/>
</workbook>
</file>

<file path=xl/sharedStrings.xml><?xml version="1.0" encoding="utf-8"?>
<sst xmlns="http://schemas.openxmlformats.org/spreadsheetml/2006/main" count="394" uniqueCount="233">
  <si>
    <t>UNIDAD</t>
  </si>
  <si>
    <t>SUB-TOTAL</t>
  </si>
  <si>
    <t>COSTOS INDIRECTOS</t>
  </si>
  <si>
    <t>RUBROS</t>
  </si>
  <si>
    <t>Luz  Eléctrica</t>
  </si>
  <si>
    <t>Telefonía  Celular</t>
  </si>
  <si>
    <t>COSTO UNIT.</t>
  </si>
  <si>
    <t>kw.</t>
  </si>
  <si>
    <t>Minutos</t>
  </si>
  <si>
    <t>BOMBA  C.P.3</t>
  </si>
  <si>
    <t>HERRAMIENTAS</t>
  </si>
  <si>
    <t>STOCK INICIAL  DE PLANTAS</t>
  </si>
  <si>
    <t>Tierra de  Sembrado</t>
  </si>
  <si>
    <t>Sacos</t>
  </si>
  <si>
    <t>CANTIDAD</t>
  </si>
  <si>
    <t>Fundas</t>
  </si>
  <si>
    <t>TOTAL</t>
  </si>
  <si>
    <t>SISTEMA  DE  RIEGO</t>
  </si>
  <si>
    <t>VARIEDAD</t>
  </si>
  <si>
    <t>VENTAS</t>
  </si>
  <si>
    <t>Jornalero</t>
  </si>
  <si>
    <t>Mes</t>
  </si>
  <si>
    <t>Fucsia</t>
  </si>
  <si>
    <t>Gold Mound</t>
  </si>
  <si>
    <t>CANTIDAD  TOTAL PLANTAS  PARA DESARROLLO</t>
  </si>
  <si>
    <t>PROYECTO  SIEMBRA  DE PLANTAS</t>
  </si>
  <si>
    <t>PRECIO DE PLANTAS</t>
  </si>
  <si>
    <t>ADQUISICION  DE  PLANTAS</t>
  </si>
  <si>
    <t>CANTIDADES DESARROLLO  Y  VENTAS  1ER AÑO</t>
  </si>
  <si>
    <t>CANTIDADES DESARROLLO  Y  VENTAS  2DO AÑO</t>
  </si>
  <si>
    <t>CANTIDADES DESARROLLO  Y  VENTAS  3ER AÑO</t>
  </si>
  <si>
    <t>CANTIDADES DESARROLLO  Y  VENTAS  4TO AÑO</t>
  </si>
  <si>
    <t>CANTIDADES DESARROLLO  Y  VENTAS  5TO AÑO</t>
  </si>
  <si>
    <t>Diaria</t>
  </si>
  <si>
    <t xml:space="preserve">Produccion </t>
  </si>
  <si>
    <t>Semanal</t>
  </si>
  <si>
    <t>Anual</t>
  </si>
  <si>
    <t>#</t>
  </si>
  <si>
    <t>Capacidad</t>
  </si>
  <si>
    <t>Mensual</t>
  </si>
  <si>
    <t>STOCK</t>
  </si>
  <si>
    <t>BOMBA DE MOCHILA</t>
  </si>
  <si>
    <t>PIEDRA  CHISPA</t>
  </si>
  <si>
    <t>COSTO UNIT. $</t>
  </si>
  <si>
    <t xml:space="preserve">Arena      </t>
  </si>
  <si>
    <t>PRECIO UNIT.</t>
  </si>
  <si>
    <t>Arriendo</t>
  </si>
  <si>
    <t>Herbicidas y Fertiliz</t>
  </si>
  <si>
    <t>Tasa Impuesto</t>
  </si>
  <si>
    <t>Participac</t>
  </si>
  <si>
    <t>DEPRECIACION</t>
  </si>
  <si>
    <t>PARTICIPACION TRABAJADORES (15%)</t>
  </si>
  <si>
    <t>TIR =</t>
  </si>
  <si>
    <t xml:space="preserve">Gold Mound </t>
  </si>
  <si>
    <t xml:space="preserve">Fucsia </t>
  </si>
  <si>
    <t>Depreciacion</t>
  </si>
  <si>
    <t>MUEBLES DE OFICINA</t>
  </si>
  <si>
    <t>CONSTRUCCION DE OFICINA</t>
  </si>
  <si>
    <t>Internet</t>
  </si>
  <si>
    <t>IMPUESTOS (25%)</t>
  </si>
  <si>
    <t>FLUJO NETO</t>
  </si>
  <si>
    <t>E(Q) VENDIDO</t>
  </si>
  <si>
    <t>Unidades</t>
  </si>
  <si>
    <t xml:space="preserve">VALOR </t>
  </si>
  <si>
    <t>UTILIDAD ANTES DE IMPUESTOS</t>
  </si>
  <si>
    <t>UTILIDAD BRUTA</t>
  </si>
  <si>
    <t>VALOR DE DESECHO</t>
  </si>
  <si>
    <t>INVERSION INICIAL</t>
  </si>
  <si>
    <t>CAPITAL DE TRABAJO</t>
  </si>
  <si>
    <t>GASTOS DE EXPORTACION</t>
  </si>
  <si>
    <t>Salario mens.</t>
  </si>
  <si>
    <t>ARRIENDO DEL LOCAL</t>
  </si>
  <si>
    <t xml:space="preserve"> </t>
  </si>
  <si>
    <t>Agente de Aduana</t>
  </si>
  <si>
    <t>Tramite de Aduana</t>
  </si>
  <si>
    <t>Gasto Aforo</t>
  </si>
  <si>
    <t>Gastos Locales Export.</t>
  </si>
  <si>
    <t>TOTAL COSTOS DIRECTOS</t>
  </si>
  <si>
    <t>TOTAL  COSTOS  INDIRECTOS</t>
  </si>
  <si>
    <t>TOTAL COSTOS OPERATIVOS ANUALES</t>
  </si>
  <si>
    <t>GASTOS  GENERALES</t>
  </si>
  <si>
    <t>Suministros de Oficina</t>
  </si>
  <si>
    <t xml:space="preserve">MATERIALES </t>
  </si>
  <si>
    <t xml:space="preserve">Arcilla Compostada      </t>
  </si>
  <si>
    <t xml:space="preserve">Valor de Adquisicion </t>
  </si>
  <si>
    <t>Vida Util</t>
  </si>
  <si>
    <t xml:space="preserve">Depreciacion Anual </t>
  </si>
  <si>
    <t>Valor Residual</t>
  </si>
  <si>
    <t xml:space="preserve">Indice de Desecho </t>
  </si>
  <si>
    <t>Desecho Anual</t>
  </si>
  <si>
    <t xml:space="preserve">Desecho por Plantas </t>
  </si>
  <si>
    <t>UTILIDAD NETA</t>
  </si>
  <si>
    <t>FLUJO DE CAJA</t>
  </si>
  <si>
    <t xml:space="preserve">   INVERSION INICIAL</t>
  </si>
  <si>
    <t>PAGO</t>
  </si>
  <si>
    <t>INTERES</t>
  </si>
  <si>
    <t>SALDO</t>
  </si>
  <si>
    <t>TABLA DE AMORTIZACION</t>
  </si>
  <si>
    <t>COSTO DE VENTA</t>
  </si>
  <si>
    <t>INTERES DE LA DEUDA</t>
  </si>
  <si>
    <t>PRESTAMO</t>
  </si>
  <si>
    <t>DESCRIPCION</t>
  </si>
  <si>
    <t xml:space="preserve">COSTO UNITARIO </t>
  </si>
  <si>
    <t>COSTO TOTAL</t>
  </si>
  <si>
    <t xml:space="preserve">ESCRITORIO </t>
  </si>
  <si>
    <t xml:space="preserve">SILLAS </t>
  </si>
  <si>
    <t>ARCHIVADORES</t>
  </si>
  <si>
    <t>EXTINTORES</t>
  </si>
  <si>
    <t xml:space="preserve">EQUIPOS DE OFICINA </t>
  </si>
  <si>
    <t xml:space="preserve">TELEFONO </t>
  </si>
  <si>
    <t>TELEFONO CELULAR</t>
  </si>
  <si>
    <t>FAX</t>
  </si>
  <si>
    <t>SUMADORAS</t>
  </si>
  <si>
    <t>AIRE ACONDICIONADO</t>
  </si>
  <si>
    <t>EQUPOS DE COMPUTACION</t>
  </si>
  <si>
    <t>COMPUTADORA DOBLE DUAL CORE</t>
  </si>
  <si>
    <t>LAPTOP</t>
  </si>
  <si>
    <t>EQUIPO DE COMPUTACION</t>
  </si>
  <si>
    <t>VEHICULO</t>
  </si>
  <si>
    <t>CAMIONETA</t>
  </si>
  <si>
    <t>MAQUINARIA</t>
  </si>
  <si>
    <t>INSTALACION ELECTRICA</t>
  </si>
  <si>
    <t>EQUIPO DE OFICINA</t>
  </si>
  <si>
    <t>ACTIVOS FIJOS</t>
  </si>
  <si>
    <t>ACTIVO DIFERIDO</t>
  </si>
  <si>
    <t>CAPITAL DE OPERACIÓN</t>
  </si>
  <si>
    <t>MANO DE OBRA DIRECTA</t>
  </si>
  <si>
    <t>MATERIAL INDIRECTO (COMBUSTIBLE)</t>
  </si>
  <si>
    <t>GASTOS GENERALES</t>
  </si>
  <si>
    <t>Administrador</t>
  </si>
  <si>
    <t>COSTOS DE MANO DE OBRA INDIRECTA</t>
  </si>
  <si>
    <t xml:space="preserve"># DE PUESTOS </t>
  </si>
  <si>
    <t>SUELDO</t>
  </si>
  <si>
    <t>TOTAL MENSUAL</t>
  </si>
  <si>
    <t>TOTAL ANUAL</t>
  </si>
  <si>
    <t>SUMINISTROS DE OFICINA</t>
  </si>
  <si>
    <t>COSTOS  DIRECTOS</t>
  </si>
  <si>
    <t>COSTO DE MANO DE OBRA DIRECTA</t>
  </si>
  <si>
    <t>Coordinador de Operaciones</t>
  </si>
  <si>
    <t>Chofer</t>
  </si>
  <si>
    <t>Vendedor</t>
  </si>
  <si>
    <t>Guardia</t>
  </si>
  <si>
    <t>TOTAL COSTO DE MANO DE OBRA DIRECTA</t>
  </si>
  <si>
    <t>TOTAL COSTOS DE MANO DE OBRA INDIRECTA</t>
  </si>
  <si>
    <t>CARGOS</t>
  </si>
  <si>
    <t>MANO DE OBRA INDIRECTA</t>
  </si>
  <si>
    <t>Combustible</t>
  </si>
  <si>
    <t>CAPITAL ARMORTIZADO</t>
  </si>
  <si>
    <t>AÑOS</t>
  </si>
  <si>
    <t>Plantas Progenitoras</t>
  </si>
  <si>
    <t>COSTO IDA Y VUELTA</t>
  </si>
  <si>
    <t>COSTOS FIJOS Y VARIABLES</t>
  </si>
  <si>
    <t>AÑO 1</t>
  </si>
  <si>
    <t>COSTOS FIJOS</t>
  </si>
  <si>
    <t>AÑO 2</t>
  </si>
  <si>
    <t>AÑO 3</t>
  </si>
  <si>
    <t>AÑO 4</t>
  </si>
  <si>
    <t>AÑO 5</t>
  </si>
  <si>
    <t>TOTAL DE COSTOS FIJOS</t>
  </si>
  <si>
    <t>COSTOS VARIABLES</t>
  </si>
  <si>
    <t>MATERIA PRIMA</t>
  </si>
  <si>
    <t>COMBUSTIBLE</t>
  </si>
  <si>
    <t>TOTAL DE COSTOS VARIABLES</t>
  </si>
  <si>
    <t>Depreciacion de Activos Fijos</t>
  </si>
  <si>
    <t>DEPRECIACION DE ACTIVOS FIJOS</t>
  </si>
  <si>
    <t>CF</t>
  </si>
  <si>
    <t>CV</t>
  </si>
  <si>
    <t>PU</t>
  </si>
  <si>
    <t>PE=</t>
  </si>
  <si>
    <t>Precio</t>
  </si>
  <si>
    <t>Costo Planta</t>
  </si>
  <si>
    <t>Precio Planta</t>
  </si>
  <si>
    <t>VALOR DESECHO</t>
  </si>
  <si>
    <t>ESTADO DE RESULTADO (P&amp;G)</t>
  </si>
  <si>
    <t>INGRESO POR VENTA</t>
  </si>
  <si>
    <t>GASTOS</t>
  </si>
  <si>
    <t>UTILIDAD OPERACIONAL</t>
  </si>
  <si>
    <t>UTILIDAD ANTES DE PARTICIPACION</t>
  </si>
  <si>
    <t>PARTICIPACION DE EMPLEADOS (15%)</t>
  </si>
  <si>
    <t>UTILIDAD ANTES IMPUESTO A LA RENTA</t>
  </si>
  <si>
    <t>IMPUESTO (25%)</t>
  </si>
  <si>
    <t>TOTAL ACTIVO DIFERIDO</t>
  </si>
  <si>
    <t>TOTAL ACTIVOS FIJOS</t>
  </si>
  <si>
    <t>TOTAL CAPITAL DE OPERACIÓN</t>
  </si>
  <si>
    <t>EGRESOS NO OPERACIONALES</t>
  </si>
  <si>
    <t xml:space="preserve">TOTAL DE INGRESOS OPERACIONALES </t>
  </si>
  <si>
    <t>EGRESOS OPERACIONALES</t>
  </si>
  <si>
    <t xml:space="preserve">TOTAL DE EGRESOS OPERACIONALES </t>
  </si>
  <si>
    <t>Gerente General</t>
  </si>
  <si>
    <t xml:space="preserve">INVERSION  TOTAL </t>
  </si>
  <si>
    <t>INDICES SOBRE LA INVERSION - SOBRE LAS VENTAS %</t>
  </si>
  <si>
    <t>RENTABILIDAD SOBRE LA INVERSION  %</t>
  </si>
  <si>
    <t>RENTABILIDAD SOBRE LAS VENTAS %</t>
  </si>
  <si>
    <t>kd=</t>
  </si>
  <si>
    <t>INGRESOS OPERACIONALES</t>
  </si>
  <si>
    <t>INGRESOS NO OPERACIONALES</t>
  </si>
  <si>
    <t>TOTAL DE INGRESOS NO OPERACIONALES</t>
  </si>
  <si>
    <t>K PROPIO</t>
  </si>
  <si>
    <t>E(GASTO)=</t>
  </si>
  <si>
    <t>VALOR REAL GASTADO</t>
  </si>
  <si>
    <t>proporcion a gastar</t>
  </si>
  <si>
    <t>k propio</t>
  </si>
  <si>
    <t>Re=</t>
  </si>
  <si>
    <t>Rf=</t>
  </si>
  <si>
    <t>CPPC=</t>
  </si>
  <si>
    <t>Re(prom)=</t>
  </si>
  <si>
    <t>B=</t>
  </si>
  <si>
    <t>Rm=</t>
  </si>
  <si>
    <t xml:space="preserve">COSTOS  OPERATIVOS  </t>
  </si>
  <si>
    <t>Materia Prima</t>
  </si>
  <si>
    <t>M.O Directa</t>
  </si>
  <si>
    <t>M.O Indirecta</t>
  </si>
  <si>
    <t>Total</t>
  </si>
  <si>
    <t>Costos Indirectos</t>
  </si>
  <si>
    <t>Cantidad</t>
  </si>
  <si>
    <t>Gasto de Publicidad ( Ferias Internacionales)</t>
  </si>
  <si>
    <t>DETALLE</t>
  </si>
  <si>
    <t>COSTOS</t>
  </si>
  <si>
    <t>SUBTOTAL</t>
  </si>
  <si>
    <t xml:space="preserve">TOTAL </t>
  </si>
  <si>
    <t>Alquiler del Stand (incluye pases para la feria)</t>
  </si>
  <si>
    <t>Pasajes</t>
  </si>
  <si>
    <t xml:space="preserve">   Encargado en Ventas</t>
  </si>
  <si>
    <t>Banners   5 Unidades</t>
  </si>
  <si>
    <t xml:space="preserve">   Diseño</t>
  </si>
  <si>
    <t xml:space="preserve">   Impresión</t>
  </si>
  <si>
    <t xml:space="preserve">   IVA</t>
  </si>
  <si>
    <t>Folletos   2000 Unidades</t>
  </si>
  <si>
    <t xml:space="preserve">   Diseño e Impresión</t>
  </si>
  <si>
    <t>Flyer   2000 Unidades</t>
  </si>
  <si>
    <t>PRESUPUESTO DE FERIA INTERNACIONAL A DUBAI</t>
  </si>
  <si>
    <t xml:space="preserve">Enivo de Folletos (DHL) </t>
  </si>
  <si>
    <t>VAN (12%)=</t>
  </si>
</sst>
</file>

<file path=xl/styles.xml><?xml version="1.0" encoding="utf-8"?>
<styleSheet xmlns="http://schemas.openxmlformats.org/spreadsheetml/2006/main">
  <numFmts count="5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\ #,##0.00_);[Red]\(&quot;$&quot;\ #,##0.00\)"/>
    <numFmt numFmtId="181" formatCode="_-&quot;$&quot;* #,##0_-;\-&quot;$&quot;* #,##0_-;_-&quot;$&quot;* &quot;-&quot;_-;_-@_-"/>
    <numFmt numFmtId="182" formatCode="_-* #,##0_-;\-* #,##0_-;_-* &quot;-&quot;_-;_-@_-"/>
    <numFmt numFmtId="183" formatCode="_-&quot;$&quot;* #,##0.00_-;\-&quot;$&quot;* #,##0.00_-;_-&quot;$&quot;* &quot;-&quot;??_-;_-@_-"/>
    <numFmt numFmtId="184" formatCode="_-* #,##0.00_-;\-* #,##0.00_-;_-* &quot;-&quot;??_-;_-@_-"/>
    <numFmt numFmtId="185" formatCode="[$$-409]#,##0.00"/>
    <numFmt numFmtId="186" formatCode="#,##0.00\ _€"/>
    <numFmt numFmtId="187" formatCode="_ [$$-300A]\ * #,##0.00_ ;_ [$$-300A]\ * \-#,##0.00_ ;_ [$$-300A]\ * &quot;-&quot;??_ ;_ @_ "/>
    <numFmt numFmtId="188" formatCode="_-&quot;$&quot;* #,##0.00_-;\-&quot;$&quot;* #,##0.00_-;_-&quot;$&quot;* &quot;-&quot;_-;_-@_-"/>
    <numFmt numFmtId="189" formatCode="0.0%"/>
    <numFmt numFmtId="190" formatCode="_ * #,##0_ ;_ * \-#,##0_ ;_ * &quot;-&quot;??_ ;_ @_ "/>
    <numFmt numFmtId="191" formatCode="_ [$€-2]\ * #,##0.00_ ;_ [$€-2]\ * \-#,##0.00_ ;_ [$€-2]\ * &quot;-&quot;??_ "/>
    <numFmt numFmtId="192" formatCode="#,##0.00_ ;\-#,##0.00\ "/>
    <numFmt numFmtId="193" formatCode="&quot;$&quot;\ #,##0.00"/>
    <numFmt numFmtId="194" formatCode="0.000%"/>
    <numFmt numFmtId="195" formatCode="_-[$$-409]* #,##0.00_ ;_-[$$-409]* \-#,##0.00\ ;_-[$$-409]* &quot;-&quot;??_ ;_-@_ "/>
    <numFmt numFmtId="196" formatCode="0.0000"/>
    <numFmt numFmtId="197" formatCode="0.00000"/>
    <numFmt numFmtId="198" formatCode="0.000"/>
    <numFmt numFmtId="199" formatCode="_-[$$-300A]\ * #,##0.00_ ;_-[$$-300A]\ * \-#,##0.00\ ;_-[$$-300A]\ * &quot;-&quot;??_ ;_-@_ "/>
    <numFmt numFmtId="200" formatCode="#,##0.00\ &quot;€&quot;"/>
    <numFmt numFmtId="201" formatCode="[$$-300A]\ #,##0.00"/>
    <numFmt numFmtId="202" formatCode="0.0"/>
    <numFmt numFmtId="203" formatCode="&quot;$&quot;\ #,##0.0"/>
    <numFmt numFmtId="204" formatCode="&quot;$&quot;\ #,##0"/>
    <numFmt numFmtId="205" formatCode="&quot;Sí&quot;;&quot;Sí&quot;;&quot;No&quot;"/>
    <numFmt numFmtId="206" formatCode="&quot;Verdadero&quot;;&quot;Verdadero&quot;;&quot;Falso&quot;"/>
    <numFmt numFmtId="207" formatCode="&quot;Activado&quot;;&quot;Activado&quot;;&quot;Desactivado&quot;"/>
    <numFmt numFmtId="208" formatCode="[$€-2]\ #,##0.00_);[Red]\([$€-2]\ #,##0.00\)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color indexed="10"/>
      <name val="Arial"/>
      <family val="2"/>
    </font>
    <font>
      <sz val="14"/>
      <color indexed="10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.5"/>
      <color indexed="16"/>
      <name val="Verdana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0"/>
    </font>
    <font>
      <sz val="7.75"/>
      <color indexed="8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1" fillId="4" borderId="0" applyNumberFormat="0" applyBorder="0" applyAlignment="0" applyProtection="0"/>
    <xf numFmtId="0" fontId="22" fillId="16" borderId="1" applyNumberFormat="0" applyAlignment="0" applyProtection="0"/>
    <xf numFmtId="0" fontId="23" fillId="17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26" fillId="7" borderId="1" applyNumberFormat="0" applyAlignment="0" applyProtection="0"/>
    <xf numFmtId="19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7" fillId="3" borderId="0" applyNumberFormat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9" fillId="16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29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24" borderId="0" xfId="0" applyFill="1" applyAlignment="1">
      <alignment/>
    </xf>
    <xf numFmtId="0" fontId="0" fillId="25" borderId="0" xfId="0" applyFill="1" applyAlignment="1">
      <alignment/>
    </xf>
    <xf numFmtId="0" fontId="1" fillId="24" borderId="0" xfId="0" applyFont="1" applyFill="1" applyAlignment="1">
      <alignment/>
    </xf>
    <xf numFmtId="0" fontId="1" fillId="14" borderId="14" xfId="0" applyFont="1" applyFill="1" applyBorder="1" applyAlignment="1">
      <alignment horizontal="center"/>
    </xf>
    <xf numFmtId="0" fontId="1" fillId="14" borderId="15" xfId="0" applyFont="1" applyFill="1" applyBorder="1" applyAlignment="1">
      <alignment horizontal="center"/>
    </xf>
    <xf numFmtId="0" fontId="1" fillId="14" borderId="16" xfId="0" applyFont="1" applyFill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9" fillId="25" borderId="0" xfId="0" applyFont="1" applyFill="1" applyAlignment="1">
      <alignment/>
    </xf>
    <xf numFmtId="0" fontId="0" fillId="25" borderId="0" xfId="0" applyFill="1" applyBorder="1" applyAlignment="1">
      <alignment horizontal="left"/>
    </xf>
    <xf numFmtId="3" fontId="1" fillId="24" borderId="0" xfId="0" applyNumberFormat="1" applyFont="1" applyFill="1" applyAlignment="1">
      <alignment/>
    </xf>
    <xf numFmtId="3" fontId="0" fillId="0" borderId="0" xfId="0" applyNumberFormat="1" applyAlignment="1">
      <alignment/>
    </xf>
    <xf numFmtId="3" fontId="1" fillId="14" borderId="15" xfId="0" applyNumberFormat="1" applyFont="1" applyFill="1" applyBorder="1" applyAlignment="1">
      <alignment horizontal="center"/>
    </xf>
    <xf numFmtId="3" fontId="0" fillId="0" borderId="0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1" fillId="0" borderId="0" xfId="0" applyNumberFormat="1" applyFont="1" applyAlignment="1">
      <alignment horizontal="center"/>
    </xf>
    <xf numFmtId="2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0" fontId="1" fillId="0" borderId="15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1" fillId="0" borderId="15" xfId="0" applyFont="1" applyBorder="1" applyAlignment="1">
      <alignment horizontal="center"/>
    </xf>
    <xf numFmtId="0" fontId="0" fillId="0" borderId="15" xfId="0" applyBorder="1" applyAlignment="1">
      <alignment horizontal="right"/>
    </xf>
    <xf numFmtId="0" fontId="0" fillId="0" borderId="15" xfId="0" applyBorder="1" applyAlignment="1" quotePrefix="1">
      <alignment horizontal="right"/>
    </xf>
    <xf numFmtId="0" fontId="0" fillId="25" borderId="20" xfId="0" applyFill="1" applyBorder="1" applyAlignment="1">
      <alignment/>
    </xf>
    <xf numFmtId="0" fontId="0" fillId="25" borderId="20" xfId="0" applyFont="1" applyFill="1" applyBorder="1" applyAlignment="1">
      <alignment/>
    </xf>
    <xf numFmtId="0" fontId="0" fillId="25" borderId="0" xfId="0" applyFill="1" applyBorder="1" applyAlignment="1">
      <alignment/>
    </xf>
    <xf numFmtId="0" fontId="6" fillId="25" borderId="0" xfId="0" applyFont="1" applyFill="1" applyAlignment="1">
      <alignment/>
    </xf>
    <xf numFmtId="0" fontId="0" fillId="25" borderId="0" xfId="0" applyFill="1" applyAlignment="1">
      <alignment horizontal="right"/>
    </xf>
    <xf numFmtId="0" fontId="8" fillId="25" borderId="0" xfId="0" applyFont="1" applyFill="1" applyAlignment="1">
      <alignment/>
    </xf>
    <xf numFmtId="0" fontId="7" fillId="25" borderId="0" xfId="0" applyFont="1" applyFill="1" applyAlignment="1">
      <alignment/>
    </xf>
    <xf numFmtId="0" fontId="10" fillId="25" borderId="0" xfId="0" applyFont="1" applyFill="1" applyAlignment="1">
      <alignment horizontal="center"/>
    </xf>
    <xf numFmtId="0" fontId="1" fillId="25" borderId="0" xfId="0" applyFont="1" applyFill="1" applyAlignment="1">
      <alignment horizontal="right"/>
    </xf>
    <xf numFmtId="0" fontId="10" fillId="25" borderId="0" xfId="0" applyFont="1" applyFill="1" applyAlignment="1">
      <alignment horizontal="right"/>
    </xf>
    <xf numFmtId="0" fontId="8" fillId="25" borderId="0" xfId="0" applyFont="1" applyFill="1" applyAlignment="1">
      <alignment horizontal="right"/>
    </xf>
    <xf numFmtId="0" fontId="4" fillId="25" borderId="0" xfId="0" applyFont="1" applyFill="1" applyAlignment="1">
      <alignment/>
    </xf>
    <xf numFmtId="0" fontId="1" fillId="25" borderId="20" xfId="0" applyFont="1" applyFill="1" applyBorder="1" applyAlignment="1">
      <alignment/>
    </xf>
    <xf numFmtId="0" fontId="10" fillId="25" borderId="20" xfId="0" applyFont="1" applyFill="1" applyBorder="1" applyAlignment="1">
      <alignment/>
    </xf>
    <xf numFmtId="0" fontId="0" fillId="25" borderId="20" xfId="0" applyFill="1" applyBorder="1" applyAlignment="1">
      <alignment horizontal="center"/>
    </xf>
    <xf numFmtId="0" fontId="0" fillId="25" borderId="20" xfId="0" applyFill="1" applyBorder="1" applyAlignment="1">
      <alignment horizontal="right"/>
    </xf>
    <xf numFmtId="9" fontId="0" fillId="25" borderId="20" xfId="0" applyNumberFormat="1" applyFill="1" applyBorder="1" applyAlignment="1">
      <alignment/>
    </xf>
    <xf numFmtId="0" fontId="0" fillId="25" borderId="20" xfId="52" applyNumberFormat="1" applyFont="1" applyFill="1" applyBorder="1" applyAlignment="1">
      <alignment horizontal="right"/>
    </xf>
    <xf numFmtId="38" fontId="0" fillId="25" borderId="20" xfId="0" applyNumberFormat="1" applyFill="1" applyBorder="1" applyAlignment="1">
      <alignment horizontal="right"/>
    </xf>
    <xf numFmtId="38" fontId="0" fillId="25" borderId="20" xfId="50" applyNumberFormat="1" applyFont="1" applyFill="1" applyBorder="1" applyAlignment="1">
      <alignment horizontal="right"/>
    </xf>
    <xf numFmtId="0" fontId="0" fillId="25" borderId="0" xfId="0" applyFill="1" applyBorder="1" applyAlignment="1">
      <alignment horizontal="right"/>
    </xf>
    <xf numFmtId="0" fontId="11" fillId="25" borderId="20" xfId="0" applyFont="1" applyFill="1" applyBorder="1" applyAlignment="1">
      <alignment horizontal="center"/>
    </xf>
    <xf numFmtId="185" fontId="0" fillId="25" borderId="20" xfId="52" applyNumberFormat="1" applyFont="1" applyFill="1" applyBorder="1" applyAlignment="1">
      <alignment horizontal="right"/>
    </xf>
    <xf numFmtId="3" fontId="0" fillId="25" borderId="20" xfId="0" applyNumberFormat="1" applyFill="1" applyBorder="1" applyAlignment="1">
      <alignment horizontal="right"/>
    </xf>
    <xf numFmtId="0" fontId="0" fillId="25" borderId="21" xfId="0" applyFill="1" applyBorder="1" applyAlignment="1">
      <alignment horizontal="left"/>
    </xf>
    <xf numFmtId="0" fontId="0" fillId="25" borderId="22" xfId="0" applyFill="1" applyBorder="1" applyAlignment="1">
      <alignment horizontal="left"/>
    </xf>
    <xf numFmtId="0" fontId="0" fillId="0" borderId="20" xfId="0" applyFont="1" applyBorder="1" applyAlignment="1">
      <alignment/>
    </xf>
    <xf numFmtId="2" fontId="0" fillId="25" borderId="20" xfId="0" applyNumberFormat="1" applyFill="1" applyBorder="1" applyAlignment="1">
      <alignment/>
    </xf>
    <xf numFmtId="0" fontId="4" fillId="25" borderId="20" xfId="0" applyFont="1" applyFill="1" applyBorder="1" applyAlignment="1">
      <alignment/>
    </xf>
    <xf numFmtId="0" fontId="1" fillId="25" borderId="20" xfId="0" applyFont="1" applyFill="1" applyBorder="1" applyAlignment="1">
      <alignment/>
    </xf>
    <xf numFmtId="0" fontId="0" fillId="25" borderId="21" xfId="0" applyFont="1" applyFill="1" applyBorder="1" applyAlignment="1">
      <alignment/>
    </xf>
    <xf numFmtId="0" fontId="0" fillId="25" borderId="23" xfId="0" applyFont="1" applyFill="1" applyBorder="1" applyAlignment="1">
      <alignment/>
    </xf>
    <xf numFmtId="0" fontId="0" fillId="25" borderId="22" xfId="0" applyFont="1" applyFill="1" applyBorder="1" applyAlignment="1">
      <alignment/>
    </xf>
    <xf numFmtId="0" fontId="0" fillId="25" borderId="23" xfId="0" applyFill="1" applyBorder="1" applyAlignment="1">
      <alignment horizontal="right"/>
    </xf>
    <xf numFmtId="0" fontId="10" fillId="25" borderId="21" xfId="0" applyFont="1" applyFill="1" applyBorder="1" applyAlignment="1">
      <alignment/>
    </xf>
    <xf numFmtId="0" fontId="10" fillId="25" borderId="22" xfId="0" applyFont="1" applyFill="1" applyBorder="1" applyAlignment="1">
      <alignment/>
    </xf>
    <xf numFmtId="0" fontId="1" fillId="25" borderId="21" xfId="0" applyFont="1" applyFill="1" applyBorder="1" applyAlignment="1">
      <alignment/>
    </xf>
    <xf numFmtId="0" fontId="1" fillId="25" borderId="22" xfId="0" applyFont="1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9" fontId="0" fillId="0" borderId="21" xfId="0" applyNumberFormat="1" applyBorder="1" applyAlignment="1">
      <alignment/>
    </xf>
    <xf numFmtId="0" fontId="0" fillId="0" borderId="21" xfId="0" applyFont="1" applyBorder="1" applyAlignment="1">
      <alignment/>
    </xf>
    <xf numFmtId="184" fontId="0" fillId="0" borderId="20" xfId="49" applyFont="1" applyBorder="1" applyAlignment="1">
      <alignment/>
    </xf>
    <xf numFmtId="184" fontId="0" fillId="0" borderId="20" xfId="49" applyFont="1" applyBorder="1" applyAlignment="1">
      <alignment/>
    </xf>
    <xf numFmtId="184" fontId="0" fillId="0" borderId="20" xfId="0" applyNumberFormat="1" applyBorder="1" applyAlignment="1">
      <alignment/>
    </xf>
    <xf numFmtId="0" fontId="1" fillId="0" borderId="20" xfId="0" applyFont="1" applyBorder="1" applyAlignment="1">
      <alignment/>
    </xf>
    <xf numFmtId="0" fontId="8" fillId="4" borderId="24" xfId="0" applyFont="1" applyFill="1" applyBorder="1" applyAlignment="1">
      <alignment/>
    </xf>
    <xf numFmtId="0" fontId="7" fillId="4" borderId="25" xfId="0" applyFont="1" applyFill="1" applyBorder="1" applyAlignment="1">
      <alignment/>
    </xf>
    <xf numFmtId="0" fontId="1" fillId="4" borderId="26" xfId="0" applyFont="1" applyFill="1" applyBorder="1" applyAlignment="1">
      <alignment horizontal="center"/>
    </xf>
    <xf numFmtId="0" fontId="1" fillId="4" borderId="26" xfId="0" applyFont="1" applyFill="1" applyBorder="1" applyAlignment="1">
      <alignment horizontal="right"/>
    </xf>
    <xf numFmtId="0" fontId="1" fillId="4" borderId="20" xfId="0" applyFont="1" applyFill="1" applyBorder="1" applyAlignment="1">
      <alignment horizontal="center"/>
    </xf>
    <xf numFmtId="0" fontId="1" fillId="4" borderId="14" xfId="0" applyFont="1" applyFill="1" applyBorder="1" applyAlignment="1">
      <alignment/>
    </xf>
    <xf numFmtId="0" fontId="1" fillId="4" borderId="18" xfId="0" applyFont="1" applyFill="1" applyBorder="1" applyAlignment="1">
      <alignment/>
    </xf>
    <xf numFmtId="0" fontId="1" fillId="4" borderId="15" xfId="0" applyFont="1" applyFill="1" applyBorder="1" applyAlignment="1">
      <alignment/>
    </xf>
    <xf numFmtId="0" fontId="1" fillId="25" borderId="20" xfId="0" applyFont="1" applyFill="1" applyBorder="1" applyAlignment="1">
      <alignment/>
    </xf>
    <xf numFmtId="9" fontId="1" fillId="25" borderId="20" xfId="0" applyNumberFormat="1" applyFont="1" applyFill="1" applyBorder="1" applyAlignment="1">
      <alignment/>
    </xf>
    <xf numFmtId="1" fontId="1" fillId="25" borderId="20" xfId="0" applyNumberFormat="1" applyFont="1" applyFill="1" applyBorder="1" applyAlignment="1">
      <alignment/>
    </xf>
    <xf numFmtId="0" fontId="0" fillId="25" borderId="21" xfId="0" applyFill="1" applyBorder="1" applyAlignment="1">
      <alignment/>
    </xf>
    <xf numFmtId="0" fontId="0" fillId="25" borderId="23" xfId="0" applyFill="1" applyBorder="1" applyAlignment="1">
      <alignment/>
    </xf>
    <xf numFmtId="0" fontId="0" fillId="25" borderId="20" xfId="0" applyFill="1" applyBorder="1" applyAlignment="1">
      <alignment/>
    </xf>
    <xf numFmtId="0" fontId="0" fillId="25" borderId="0" xfId="0" applyFont="1" applyFill="1" applyBorder="1" applyAlignment="1">
      <alignment horizontal="left"/>
    </xf>
    <xf numFmtId="0" fontId="1" fillId="4" borderId="0" xfId="0" applyFont="1" applyFill="1" applyBorder="1" applyAlignment="1">
      <alignment horizontal="center"/>
    </xf>
    <xf numFmtId="188" fontId="0" fillId="25" borderId="0" xfId="52" applyNumberFormat="1" applyFont="1" applyFill="1" applyBorder="1" applyAlignment="1">
      <alignment/>
    </xf>
    <xf numFmtId="188" fontId="0" fillId="4" borderId="0" xfId="52" applyNumberFormat="1" applyFont="1" applyFill="1" applyBorder="1" applyAlignment="1">
      <alignment/>
    </xf>
    <xf numFmtId="0" fontId="1" fillId="25" borderId="0" xfId="0" applyFont="1" applyFill="1" applyBorder="1" applyAlignment="1">
      <alignment horizontal="left"/>
    </xf>
    <xf numFmtId="188" fontId="1" fillId="25" borderId="0" xfId="52" applyNumberFormat="1" applyFont="1" applyFill="1" applyBorder="1" applyAlignment="1">
      <alignment/>
    </xf>
    <xf numFmtId="0" fontId="1" fillId="25" borderId="0" xfId="0" applyFont="1" applyFill="1" applyAlignment="1">
      <alignment/>
    </xf>
    <xf numFmtId="188" fontId="1" fillId="25" borderId="20" xfId="0" applyNumberFormat="1" applyFont="1" applyFill="1" applyBorder="1" applyAlignment="1">
      <alignment horizontal="right"/>
    </xf>
    <xf numFmtId="185" fontId="0" fillId="25" borderId="20" xfId="0" applyNumberFormat="1" applyFill="1" applyBorder="1" applyAlignment="1">
      <alignment horizontal="right"/>
    </xf>
    <xf numFmtId="185" fontId="1" fillId="25" borderId="20" xfId="0" applyNumberFormat="1" applyFont="1" applyFill="1" applyBorder="1" applyAlignment="1">
      <alignment horizontal="right"/>
    </xf>
    <xf numFmtId="0" fontId="1" fillId="25" borderId="20" xfId="0" applyFont="1" applyFill="1" applyBorder="1" applyAlignment="1">
      <alignment horizontal="center"/>
    </xf>
    <xf numFmtId="0" fontId="1" fillId="25" borderId="21" xfId="0" applyFont="1" applyFill="1" applyBorder="1" applyAlignment="1">
      <alignment/>
    </xf>
    <xf numFmtId="0" fontId="1" fillId="25" borderId="23" xfId="0" applyFont="1" applyFill="1" applyBorder="1" applyAlignment="1">
      <alignment/>
    </xf>
    <xf numFmtId="0" fontId="0" fillId="0" borderId="20" xfId="0" applyBorder="1" applyAlignment="1">
      <alignment horizontal="right"/>
    </xf>
    <xf numFmtId="0" fontId="0" fillId="25" borderId="0" xfId="0" applyFill="1" applyBorder="1" applyAlignment="1">
      <alignment/>
    </xf>
    <xf numFmtId="0" fontId="10" fillId="25" borderId="23" xfId="0" applyFont="1" applyFill="1" applyBorder="1" applyAlignment="1">
      <alignment/>
    </xf>
    <xf numFmtId="0" fontId="10" fillId="25" borderId="27" xfId="0" applyFont="1" applyFill="1" applyBorder="1" applyAlignment="1">
      <alignment/>
    </xf>
    <xf numFmtId="185" fontId="0" fillId="0" borderId="20" xfId="0" applyNumberFormat="1" applyBorder="1" applyAlignment="1">
      <alignment horizontal="right"/>
    </xf>
    <xf numFmtId="0" fontId="0" fillId="25" borderId="27" xfId="0" applyFill="1" applyBorder="1" applyAlignment="1">
      <alignment/>
    </xf>
    <xf numFmtId="0" fontId="0" fillId="25" borderId="28" xfId="0" applyFill="1" applyBorder="1" applyAlignment="1">
      <alignment/>
    </xf>
    <xf numFmtId="0" fontId="11" fillId="25" borderId="29" xfId="0" applyFont="1" applyFill="1" applyBorder="1" applyAlignment="1">
      <alignment horizontal="center"/>
    </xf>
    <xf numFmtId="185" fontId="0" fillId="25" borderId="29" xfId="52" applyNumberFormat="1" applyFont="1" applyFill="1" applyBorder="1" applyAlignment="1">
      <alignment horizontal="right"/>
    </xf>
    <xf numFmtId="0" fontId="1" fillId="25" borderId="20" xfId="0" applyFont="1" applyFill="1" applyBorder="1" applyAlignment="1">
      <alignment horizontal="center" wrapText="1"/>
    </xf>
    <xf numFmtId="0" fontId="8" fillId="25" borderId="21" xfId="0" applyFont="1" applyFill="1" applyBorder="1" applyAlignment="1">
      <alignment/>
    </xf>
    <xf numFmtId="0" fontId="8" fillId="25" borderId="23" xfId="0" applyFont="1" applyFill="1" applyBorder="1" applyAlignment="1">
      <alignment/>
    </xf>
    <xf numFmtId="185" fontId="1" fillId="0" borderId="20" xfId="0" applyNumberFormat="1" applyFont="1" applyBorder="1" applyAlignment="1">
      <alignment horizontal="right"/>
    </xf>
    <xf numFmtId="188" fontId="0" fillId="25" borderId="12" xfId="52" applyNumberFormat="1" applyFont="1" applyFill="1" applyBorder="1" applyAlignment="1">
      <alignment/>
    </xf>
    <xf numFmtId="188" fontId="1" fillId="25" borderId="0" xfId="0" applyNumberFormat="1" applyFont="1" applyFill="1" applyAlignment="1">
      <alignment/>
    </xf>
    <xf numFmtId="188" fontId="0" fillId="25" borderId="0" xfId="0" applyNumberFormat="1" applyFill="1" applyAlignment="1">
      <alignment/>
    </xf>
    <xf numFmtId="188" fontId="0" fillId="4" borderId="0" xfId="0" applyNumberFormat="1" applyFill="1" applyAlignment="1">
      <alignment/>
    </xf>
    <xf numFmtId="188" fontId="1" fillId="25" borderId="25" xfId="52" applyNumberFormat="1" applyFont="1" applyFill="1" applyBorder="1" applyAlignment="1">
      <alignment/>
    </xf>
    <xf numFmtId="0" fontId="8" fillId="25" borderId="0" xfId="0" applyFont="1" applyFill="1" applyBorder="1" applyAlignment="1">
      <alignment/>
    </xf>
    <xf numFmtId="0" fontId="3" fillId="25" borderId="0" xfId="0" applyFont="1" applyFill="1" applyBorder="1" applyAlignment="1">
      <alignment/>
    </xf>
    <xf numFmtId="38" fontId="0" fillId="25" borderId="0" xfId="0" applyNumberFormat="1" applyFill="1" applyBorder="1" applyAlignment="1">
      <alignment horizontal="right"/>
    </xf>
    <xf numFmtId="0" fontId="1" fillId="4" borderId="20" xfId="0" applyFont="1" applyFill="1" applyBorder="1" applyAlignment="1">
      <alignment/>
    </xf>
    <xf numFmtId="0" fontId="0" fillId="4" borderId="20" xfId="0" applyFont="1" applyFill="1" applyBorder="1" applyAlignment="1">
      <alignment/>
    </xf>
    <xf numFmtId="0" fontId="0" fillId="4" borderId="20" xfId="0" applyFill="1" applyBorder="1" applyAlignment="1">
      <alignment/>
    </xf>
    <xf numFmtId="0" fontId="0" fillId="4" borderId="20" xfId="0" applyFill="1" applyBorder="1" applyAlignment="1">
      <alignment horizontal="right"/>
    </xf>
    <xf numFmtId="38" fontId="1" fillId="4" borderId="20" xfId="0" applyNumberFormat="1" applyFont="1" applyFill="1" applyBorder="1" applyAlignment="1">
      <alignment horizontal="center" wrapText="1"/>
    </xf>
    <xf numFmtId="185" fontId="1" fillId="4" borderId="20" xfId="0" applyNumberFormat="1" applyFont="1" applyFill="1" applyBorder="1" applyAlignment="1">
      <alignment horizontal="center" wrapText="1"/>
    </xf>
    <xf numFmtId="0" fontId="8" fillId="4" borderId="21" xfId="0" applyFont="1" applyFill="1" applyBorder="1" applyAlignment="1">
      <alignment/>
    </xf>
    <xf numFmtId="0" fontId="8" fillId="4" borderId="23" xfId="0" applyFont="1" applyFill="1" applyBorder="1" applyAlignment="1">
      <alignment/>
    </xf>
    <xf numFmtId="0" fontId="1" fillId="4" borderId="20" xfId="0" applyFont="1" applyFill="1" applyBorder="1" applyAlignment="1">
      <alignment horizontal="center" wrapText="1"/>
    </xf>
    <xf numFmtId="0" fontId="1" fillId="25" borderId="0" xfId="0" applyFont="1" applyFill="1" applyBorder="1" applyAlignment="1">
      <alignment/>
    </xf>
    <xf numFmtId="0" fontId="0" fillId="25" borderId="20" xfId="0" applyFill="1" applyBorder="1" applyAlignment="1">
      <alignment horizontal="left"/>
    </xf>
    <xf numFmtId="0" fontId="1" fillId="25" borderId="21" xfId="0" applyFont="1" applyFill="1" applyBorder="1" applyAlignment="1">
      <alignment horizontal="left"/>
    </xf>
    <xf numFmtId="0" fontId="1" fillId="25" borderId="22" xfId="0" applyFont="1" applyFill="1" applyBorder="1" applyAlignment="1">
      <alignment horizontal="left"/>
    </xf>
    <xf numFmtId="0" fontId="1" fillId="0" borderId="0" xfId="0" applyFont="1" applyAlignment="1">
      <alignment/>
    </xf>
    <xf numFmtId="0" fontId="1" fillId="25" borderId="20" xfId="0" applyFont="1" applyFill="1" applyBorder="1" applyAlignment="1">
      <alignment horizontal="left"/>
    </xf>
    <xf numFmtId="2" fontId="0" fillId="25" borderId="0" xfId="0" applyNumberFormat="1" applyFill="1" applyAlignment="1">
      <alignment/>
    </xf>
    <xf numFmtId="2" fontId="0" fillId="0" borderId="20" xfId="0" applyNumberFormat="1" applyBorder="1" applyAlignment="1">
      <alignment/>
    </xf>
    <xf numFmtId="185" fontId="0" fillId="25" borderId="20" xfId="0" applyNumberFormat="1" applyFill="1" applyBorder="1" applyAlignment="1">
      <alignment wrapText="1"/>
    </xf>
    <xf numFmtId="185" fontId="0" fillId="25" borderId="29" xfId="0" applyNumberFormat="1" applyFill="1" applyBorder="1" applyAlignment="1">
      <alignment wrapText="1"/>
    </xf>
    <xf numFmtId="185" fontId="1" fillId="25" borderId="20" xfId="52" applyNumberFormat="1" applyFont="1" applyFill="1" applyBorder="1" applyAlignment="1">
      <alignment horizontal="right"/>
    </xf>
    <xf numFmtId="185" fontId="0" fillId="25" borderId="30" xfId="0" applyNumberFormat="1" applyFill="1" applyBorder="1" applyAlignment="1">
      <alignment wrapText="1"/>
    </xf>
    <xf numFmtId="0" fontId="0" fillId="25" borderId="0" xfId="0" applyFill="1" applyBorder="1" applyAlignment="1">
      <alignment horizontal="center"/>
    </xf>
    <xf numFmtId="0" fontId="1" fillId="4" borderId="0" xfId="0" applyFont="1" applyFill="1" applyBorder="1" applyAlignment="1">
      <alignment/>
    </xf>
    <xf numFmtId="0" fontId="8" fillId="25" borderId="22" xfId="0" applyFont="1" applyFill="1" applyBorder="1" applyAlignment="1">
      <alignment/>
    </xf>
    <xf numFmtId="0" fontId="8" fillId="25" borderId="31" xfId="0" applyFont="1" applyFill="1" applyBorder="1" applyAlignment="1">
      <alignment horizontal="center"/>
    </xf>
    <xf numFmtId="2" fontId="0" fillId="0" borderId="11" xfId="0" applyNumberFormat="1" applyBorder="1" applyAlignment="1">
      <alignment/>
    </xf>
    <xf numFmtId="185" fontId="1" fillId="25" borderId="29" xfId="52" applyNumberFormat="1" applyFont="1" applyFill="1" applyBorder="1" applyAlignment="1">
      <alignment horizontal="right"/>
    </xf>
    <xf numFmtId="185" fontId="0" fillId="25" borderId="30" xfId="52" applyNumberFormat="1" applyFont="1" applyFill="1" applyBorder="1" applyAlignment="1">
      <alignment horizontal="right"/>
    </xf>
    <xf numFmtId="1" fontId="0" fillId="0" borderId="0" xfId="0" applyNumberFormat="1" applyBorder="1" applyAlignment="1">
      <alignment/>
    </xf>
    <xf numFmtId="0" fontId="1" fillId="25" borderId="24" xfId="0" applyFont="1" applyFill="1" applyBorder="1" applyAlignment="1">
      <alignment/>
    </xf>
    <xf numFmtId="1" fontId="0" fillId="0" borderId="12" xfId="0" applyNumberFormat="1" applyBorder="1" applyAlignment="1">
      <alignment/>
    </xf>
    <xf numFmtId="1" fontId="0" fillId="0" borderId="11" xfId="0" applyNumberFormat="1" applyBorder="1" applyAlignment="1">
      <alignment/>
    </xf>
    <xf numFmtId="1" fontId="0" fillId="0" borderId="13" xfId="0" applyNumberFormat="1" applyBorder="1" applyAlignment="1">
      <alignment/>
    </xf>
    <xf numFmtId="190" fontId="0" fillId="0" borderId="13" xfId="0" applyNumberFormat="1" applyFont="1" applyBorder="1" applyAlignment="1">
      <alignment/>
    </xf>
    <xf numFmtId="0" fontId="1" fillId="0" borderId="0" xfId="0" applyFont="1" applyAlignment="1">
      <alignment horizontal="center"/>
    </xf>
    <xf numFmtId="185" fontId="0" fillId="0" borderId="20" xfId="0" applyNumberFormat="1" applyFill="1" applyBorder="1" applyAlignment="1">
      <alignment wrapText="1"/>
    </xf>
    <xf numFmtId="185" fontId="1" fillId="0" borderId="20" xfId="0" applyNumberFormat="1" applyFont="1" applyBorder="1" applyAlignment="1">
      <alignment/>
    </xf>
    <xf numFmtId="194" fontId="0" fillId="25" borderId="0" xfId="55" applyNumberFormat="1" applyFont="1" applyFill="1" applyAlignment="1">
      <alignment/>
    </xf>
    <xf numFmtId="193" fontId="0" fillId="25" borderId="0" xfId="0" applyNumberFormat="1" applyFill="1" applyAlignment="1">
      <alignment horizontal="center"/>
    </xf>
    <xf numFmtId="193" fontId="1" fillId="25" borderId="0" xfId="0" applyNumberFormat="1" applyFont="1" applyFill="1" applyAlignment="1">
      <alignment horizontal="center"/>
    </xf>
    <xf numFmtId="0" fontId="1" fillId="0" borderId="0" xfId="0" applyFont="1" applyAlignment="1">
      <alignment wrapText="1"/>
    </xf>
    <xf numFmtId="2" fontId="0" fillId="0" borderId="0" xfId="0" applyNumberFormat="1" applyFill="1" applyAlignment="1">
      <alignment/>
    </xf>
    <xf numFmtId="0" fontId="1" fillId="25" borderId="0" xfId="0" applyFont="1" applyFill="1" applyAlignment="1">
      <alignment horizontal="center"/>
    </xf>
    <xf numFmtId="0" fontId="1" fillId="25" borderId="26" xfId="0" applyFont="1" applyFill="1" applyBorder="1" applyAlignment="1">
      <alignment horizontal="center"/>
    </xf>
    <xf numFmtId="0" fontId="1" fillId="25" borderId="10" xfId="0" applyFont="1" applyFill="1" applyBorder="1" applyAlignment="1">
      <alignment/>
    </xf>
    <xf numFmtId="195" fontId="0" fillId="25" borderId="19" xfId="0" applyNumberFormat="1" applyFill="1" applyBorder="1" applyAlignment="1">
      <alignment horizontal="center"/>
    </xf>
    <xf numFmtId="0" fontId="0" fillId="25" borderId="10" xfId="0" applyFill="1" applyBorder="1" applyAlignment="1">
      <alignment/>
    </xf>
    <xf numFmtId="0" fontId="1" fillId="25" borderId="17" xfId="0" applyFont="1" applyFill="1" applyBorder="1" applyAlignment="1">
      <alignment/>
    </xf>
    <xf numFmtId="195" fontId="1" fillId="25" borderId="26" xfId="0" applyNumberFormat="1" applyFont="1" applyFill="1" applyBorder="1" applyAlignment="1">
      <alignment/>
    </xf>
    <xf numFmtId="185" fontId="0" fillId="25" borderId="0" xfId="0" applyNumberFormat="1" applyFill="1" applyAlignment="1">
      <alignment/>
    </xf>
    <xf numFmtId="3" fontId="0" fillId="0" borderId="11" xfId="0" applyNumberFormat="1" applyBorder="1" applyAlignment="1">
      <alignment/>
    </xf>
    <xf numFmtId="3" fontId="0" fillId="0" borderId="13" xfId="0" applyNumberFormat="1" applyBorder="1" applyAlignment="1">
      <alignment/>
    </xf>
    <xf numFmtId="195" fontId="0" fillId="25" borderId="19" xfId="0" applyNumberFormat="1" applyFont="1" applyFill="1" applyBorder="1" applyAlignment="1">
      <alignment horizontal="center"/>
    </xf>
    <xf numFmtId="2" fontId="0" fillId="25" borderId="20" xfId="0" applyNumberFormat="1" applyFill="1" applyBorder="1" applyAlignment="1">
      <alignment horizontal="right"/>
    </xf>
    <xf numFmtId="0" fontId="0" fillId="25" borderId="0" xfId="0" applyFill="1" applyAlignment="1">
      <alignment/>
    </xf>
    <xf numFmtId="186" fontId="1" fillId="25" borderId="20" xfId="0" applyNumberFormat="1" applyFont="1" applyFill="1" applyBorder="1" applyAlignment="1">
      <alignment horizontal="center"/>
    </xf>
    <xf numFmtId="186" fontId="1" fillId="25" borderId="20" xfId="0" applyNumberFormat="1" applyFont="1" applyFill="1" applyBorder="1" applyAlignment="1">
      <alignment horizontal="center" wrapText="1"/>
    </xf>
    <xf numFmtId="187" fontId="0" fillId="25" borderId="20" xfId="0" applyNumberFormat="1" applyFill="1" applyBorder="1" applyAlignment="1">
      <alignment/>
    </xf>
    <xf numFmtId="0" fontId="0" fillId="25" borderId="10" xfId="0" applyFill="1" applyBorder="1" applyAlignment="1">
      <alignment/>
    </xf>
    <xf numFmtId="0" fontId="0" fillId="25" borderId="0" xfId="0" applyFill="1" applyBorder="1" applyAlignment="1">
      <alignment/>
    </xf>
    <xf numFmtId="0" fontId="0" fillId="25" borderId="11" xfId="0" applyFill="1" applyBorder="1" applyAlignment="1">
      <alignment/>
    </xf>
    <xf numFmtId="186" fontId="1" fillId="25" borderId="32" xfId="0" applyNumberFormat="1" applyFont="1" applyFill="1" applyBorder="1" applyAlignment="1">
      <alignment horizontal="center"/>
    </xf>
    <xf numFmtId="186" fontId="1" fillId="25" borderId="33" xfId="0" applyNumberFormat="1" applyFont="1" applyFill="1" applyBorder="1" applyAlignment="1">
      <alignment horizontal="center"/>
    </xf>
    <xf numFmtId="0" fontId="0" fillId="25" borderId="32" xfId="0" applyFill="1" applyBorder="1" applyAlignment="1">
      <alignment horizontal="center"/>
    </xf>
    <xf numFmtId="187" fontId="0" fillId="25" borderId="33" xfId="0" applyNumberFormat="1" applyFill="1" applyBorder="1" applyAlignment="1">
      <alignment/>
    </xf>
    <xf numFmtId="0" fontId="0" fillId="25" borderId="34" xfId="0" applyFill="1" applyBorder="1" applyAlignment="1">
      <alignment horizontal="center"/>
    </xf>
    <xf numFmtId="187" fontId="0" fillId="25" borderId="30" xfId="0" applyNumberFormat="1" applyFill="1" applyBorder="1" applyAlignment="1">
      <alignment/>
    </xf>
    <xf numFmtId="187" fontId="0" fillId="25" borderId="35" xfId="0" applyNumberFormat="1" applyFill="1" applyBorder="1" applyAlignment="1">
      <alignment/>
    </xf>
    <xf numFmtId="185" fontId="18" fillId="25" borderId="36" xfId="52" applyNumberFormat="1" applyFont="1" applyFill="1" applyBorder="1" applyAlignment="1">
      <alignment horizontal="right"/>
    </xf>
    <xf numFmtId="185" fontId="1" fillId="25" borderId="37" xfId="52" applyNumberFormat="1" applyFont="1" applyFill="1" applyBorder="1" applyAlignment="1">
      <alignment horizontal="right"/>
    </xf>
    <xf numFmtId="0" fontId="14" fillId="20" borderId="38" xfId="0" applyFont="1" applyFill="1" applyBorder="1" applyAlignment="1">
      <alignment/>
    </xf>
    <xf numFmtId="0" fontId="14" fillId="20" borderId="34" xfId="0" applyFont="1" applyFill="1" applyBorder="1" applyAlignment="1">
      <alignment/>
    </xf>
    <xf numFmtId="9" fontId="1" fillId="20" borderId="35" xfId="0" applyNumberFormat="1" applyFont="1" applyFill="1" applyBorder="1" applyAlignment="1">
      <alignment/>
    </xf>
    <xf numFmtId="3" fontId="0" fillId="10" borderId="0" xfId="0" applyNumberFormat="1" applyFill="1" applyAlignment="1">
      <alignment horizontal="center"/>
    </xf>
    <xf numFmtId="0" fontId="0" fillId="10" borderId="0" xfId="0" applyFill="1" applyAlignment="1">
      <alignment horizontal="center"/>
    </xf>
    <xf numFmtId="0" fontId="0" fillId="10" borderId="0" xfId="0" applyFill="1" applyAlignment="1">
      <alignment/>
    </xf>
    <xf numFmtId="0" fontId="0" fillId="25" borderId="0" xfId="0" applyFont="1" applyFill="1" applyBorder="1" applyAlignment="1">
      <alignment/>
    </xf>
    <xf numFmtId="188" fontId="0" fillId="25" borderId="0" xfId="0" applyNumberFormat="1" applyFont="1" applyFill="1" applyBorder="1" applyAlignment="1">
      <alignment/>
    </xf>
    <xf numFmtId="0" fontId="8" fillId="25" borderId="31" xfId="0" applyFont="1" applyFill="1" applyBorder="1" applyAlignment="1">
      <alignment horizontal="left"/>
    </xf>
    <xf numFmtId="0" fontId="1" fillId="25" borderId="37" xfId="0" applyFont="1" applyFill="1" applyBorder="1" applyAlignment="1">
      <alignment/>
    </xf>
    <xf numFmtId="185" fontId="0" fillId="25" borderId="20" xfId="52" applyNumberFormat="1" applyFont="1" applyFill="1" applyBorder="1" applyAlignment="1">
      <alignment horizontal="right"/>
    </xf>
    <xf numFmtId="0" fontId="0" fillId="25" borderId="0" xfId="0" applyFill="1" applyAlignment="1">
      <alignment horizontal="center"/>
    </xf>
    <xf numFmtId="0" fontId="5" fillId="25" borderId="0" xfId="0" applyFont="1" applyFill="1" applyBorder="1" applyAlignment="1">
      <alignment horizontal="center"/>
    </xf>
    <xf numFmtId="0" fontId="1" fillId="4" borderId="31" xfId="0" applyFont="1" applyFill="1" applyBorder="1" applyAlignment="1">
      <alignment horizontal="center" vertical="center"/>
    </xf>
    <xf numFmtId="0" fontId="0" fillId="25" borderId="22" xfId="0" applyFill="1" applyBorder="1" applyAlignment="1">
      <alignment horizontal="left"/>
    </xf>
    <xf numFmtId="0" fontId="1" fillId="0" borderId="0" xfId="0" applyFont="1" applyAlignment="1">
      <alignment horizontal="center"/>
    </xf>
    <xf numFmtId="0" fontId="5" fillId="25" borderId="0" xfId="0" applyFont="1" applyFill="1" applyAlignment="1">
      <alignment horizontal="center"/>
    </xf>
    <xf numFmtId="193" fontId="0" fillId="25" borderId="0" xfId="0" applyNumberFormat="1" applyFill="1" applyBorder="1" applyAlignment="1">
      <alignment horizontal="center"/>
    </xf>
    <xf numFmtId="0" fontId="0" fillId="25" borderId="0" xfId="0" applyFont="1" applyFill="1" applyBorder="1" applyAlignment="1">
      <alignment/>
    </xf>
    <xf numFmtId="188" fontId="0" fillId="25" borderId="0" xfId="52" applyNumberFormat="1" applyFont="1" applyFill="1" applyBorder="1" applyAlignment="1">
      <alignment/>
    </xf>
    <xf numFmtId="188" fontId="1" fillId="25" borderId="0" xfId="52" applyNumberFormat="1" applyFont="1" applyFill="1" applyBorder="1" applyAlignment="1">
      <alignment/>
    </xf>
    <xf numFmtId="9" fontId="0" fillId="25" borderId="0" xfId="0" applyNumberFormat="1" applyFont="1" applyFill="1" applyBorder="1" applyAlignment="1">
      <alignment/>
    </xf>
    <xf numFmtId="193" fontId="0" fillId="25" borderId="0" xfId="0" applyNumberFormat="1" applyFont="1" applyFill="1" applyBorder="1" applyAlignment="1">
      <alignment horizontal="center"/>
    </xf>
    <xf numFmtId="9" fontId="0" fillId="0" borderId="0" xfId="0" applyNumberFormat="1" applyFill="1" applyAlignment="1">
      <alignment/>
    </xf>
    <xf numFmtId="0" fontId="1" fillId="25" borderId="31" xfId="0" applyFont="1" applyFill="1" applyBorder="1" applyAlignment="1">
      <alignment horizontal="center"/>
    </xf>
    <xf numFmtId="0" fontId="1" fillId="25" borderId="18" xfId="0" applyFont="1" applyFill="1" applyBorder="1" applyAlignment="1">
      <alignment horizontal="center"/>
    </xf>
    <xf numFmtId="0" fontId="1" fillId="25" borderId="39" xfId="0" applyFont="1" applyFill="1" applyBorder="1" applyAlignment="1">
      <alignment horizontal="center"/>
    </xf>
    <xf numFmtId="0" fontId="1" fillId="25" borderId="14" xfId="0" applyFont="1" applyFill="1" applyBorder="1" applyAlignment="1">
      <alignment horizontal="center"/>
    </xf>
    <xf numFmtId="0" fontId="1" fillId="25" borderId="16" xfId="0" applyFont="1" applyFill="1" applyBorder="1" applyAlignment="1">
      <alignment horizontal="center"/>
    </xf>
    <xf numFmtId="0" fontId="1" fillId="4" borderId="36" xfId="0" applyFont="1" applyFill="1" applyBorder="1" applyAlignment="1">
      <alignment horizontal="center" vertical="center" wrapText="1"/>
    </xf>
    <xf numFmtId="0" fontId="1" fillId="4" borderId="37" xfId="0" applyFont="1" applyFill="1" applyBorder="1" applyAlignment="1">
      <alignment horizontal="center" vertical="center" wrapText="1"/>
    </xf>
    <xf numFmtId="0" fontId="1" fillId="4" borderId="29" xfId="0" applyFont="1" applyFill="1" applyBorder="1" applyAlignment="1">
      <alignment horizontal="center" vertical="center" wrapText="1"/>
    </xf>
    <xf numFmtId="0" fontId="0" fillId="25" borderId="20" xfId="0" applyFill="1" applyBorder="1" applyAlignment="1">
      <alignment horizontal="left"/>
    </xf>
    <xf numFmtId="0" fontId="0" fillId="25" borderId="21" xfId="0" applyFill="1" applyBorder="1" applyAlignment="1">
      <alignment horizontal="left"/>
    </xf>
    <xf numFmtId="0" fontId="1" fillId="4" borderId="36" xfId="0" applyFont="1" applyFill="1" applyBorder="1" applyAlignment="1">
      <alignment horizontal="center" vertical="center"/>
    </xf>
    <xf numFmtId="0" fontId="1" fillId="4" borderId="37" xfId="0" applyFont="1" applyFill="1" applyBorder="1" applyAlignment="1">
      <alignment horizontal="center" vertical="center"/>
    </xf>
    <xf numFmtId="0" fontId="1" fillId="4" borderId="29" xfId="0" applyFont="1" applyFill="1" applyBorder="1" applyAlignment="1">
      <alignment horizontal="center" vertical="center"/>
    </xf>
    <xf numFmtId="0" fontId="1" fillId="4" borderId="20" xfId="0" applyFont="1" applyFill="1" applyBorder="1" applyAlignment="1">
      <alignment horizontal="center" vertical="center" wrapText="1"/>
    </xf>
    <xf numFmtId="0" fontId="1" fillId="25" borderId="0" xfId="0" applyFont="1" applyFill="1" applyAlignment="1">
      <alignment horizontal="center"/>
    </xf>
    <xf numFmtId="0" fontId="8" fillId="25" borderId="31" xfId="0" applyFont="1" applyFill="1" applyBorder="1" applyAlignment="1">
      <alignment horizontal="left"/>
    </xf>
    <xf numFmtId="0" fontId="12" fillId="25" borderId="0" xfId="0" applyFont="1" applyFill="1" applyAlignment="1">
      <alignment horizontal="center"/>
    </xf>
    <xf numFmtId="0" fontId="1" fillId="4" borderId="40" xfId="0" applyFont="1" applyFill="1" applyBorder="1" applyAlignment="1">
      <alignment horizontal="center" vertical="center"/>
    </xf>
    <xf numFmtId="0" fontId="1" fillId="4" borderId="41" xfId="0" applyFont="1" applyFill="1" applyBorder="1" applyAlignment="1">
      <alignment horizontal="center" vertical="center"/>
    </xf>
    <xf numFmtId="0" fontId="1" fillId="4" borderId="42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27" xfId="0" applyFont="1" applyFill="1" applyBorder="1" applyAlignment="1">
      <alignment horizontal="center" vertical="center"/>
    </xf>
    <xf numFmtId="0" fontId="1" fillId="25" borderId="14" xfId="0" applyFont="1" applyFill="1" applyBorder="1" applyAlignment="1">
      <alignment horizontal="center"/>
    </xf>
    <xf numFmtId="0" fontId="1" fillId="25" borderId="15" xfId="0" applyFont="1" applyFill="1" applyBorder="1" applyAlignment="1">
      <alignment horizontal="center"/>
    </xf>
    <xf numFmtId="0" fontId="1" fillId="25" borderId="16" xfId="0" applyFont="1" applyFill="1" applyBorder="1" applyAlignment="1">
      <alignment horizontal="center"/>
    </xf>
    <xf numFmtId="0" fontId="1" fillId="24" borderId="14" xfId="0" applyFont="1" applyFill="1" applyBorder="1" applyAlignment="1">
      <alignment horizontal="center"/>
    </xf>
    <xf numFmtId="0" fontId="1" fillId="24" borderId="15" xfId="0" applyFont="1" applyFill="1" applyBorder="1" applyAlignment="1">
      <alignment horizontal="center"/>
    </xf>
    <xf numFmtId="0" fontId="1" fillId="24" borderId="16" xfId="0" applyFont="1" applyFill="1" applyBorder="1" applyAlignment="1">
      <alignment horizontal="center"/>
    </xf>
    <xf numFmtId="0" fontId="1" fillId="24" borderId="0" xfId="0" applyFont="1" applyFill="1" applyAlignment="1">
      <alignment horizontal="center"/>
    </xf>
    <xf numFmtId="0" fontId="0" fillId="0" borderId="15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1" fillId="24" borderId="36" xfId="0" applyFont="1" applyFill="1" applyBorder="1" applyAlignment="1">
      <alignment horizontal="center" wrapText="1"/>
    </xf>
    <xf numFmtId="0" fontId="1" fillId="24" borderId="37" xfId="0" applyFont="1" applyFill="1" applyBorder="1" applyAlignment="1">
      <alignment horizontal="center" wrapText="1"/>
    </xf>
    <xf numFmtId="0" fontId="1" fillId="24" borderId="29" xfId="0" applyFont="1" applyFill="1" applyBorder="1" applyAlignment="1">
      <alignment horizontal="center" wrapText="1"/>
    </xf>
    <xf numFmtId="0" fontId="1" fillId="24" borderId="12" xfId="0" applyFont="1" applyFill="1" applyBorder="1" applyAlignment="1">
      <alignment horizontal="center"/>
    </xf>
    <xf numFmtId="0" fontId="1" fillId="24" borderId="13" xfId="0" applyFont="1" applyFill="1" applyBorder="1" applyAlignment="1">
      <alignment horizontal="center"/>
    </xf>
    <xf numFmtId="0" fontId="0" fillId="0" borderId="16" xfId="0" applyFill="1" applyBorder="1" applyAlignment="1">
      <alignment horizontal="right"/>
    </xf>
    <xf numFmtId="0" fontId="0" fillId="0" borderId="11" xfId="0" applyFill="1" applyBorder="1" applyAlignment="1">
      <alignment horizontal="right"/>
    </xf>
    <xf numFmtId="0" fontId="1" fillId="25" borderId="12" xfId="0" applyFont="1" applyFill="1" applyBorder="1" applyAlignment="1">
      <alignment horizontal="center"/>
    </xf>
    <xf numFmtId="0" fontId="1" fillId="25" borderId="0" xfId="0" applyFont="1" applyFill="1" applyBorder="1" applyAlignment="1">
      <alignment horizontal="center"/>
    </xf>
    <xf numFmtId="185" fontId="1" fillId="25" borderId="29" xfId="0" applyNumberFormat="1" applyFont="1" applyFill="1" applyBorder="1" applyAlignment="1">
      <alignment horizontal="right"/>
    </xf>
    <xf numFmtId="185" fontId="1" fillId="25" borderId="20" xfId="0" applyNumberFormat="1" applyFont="1" applyFill="1" applyBorder="1" applyAlignment="1">
      <alignment horizontal="right"/>
    </xf>
    <xf numFmtId="0" fontId="17" fillId="25" borderId="0" xfId="0" applyFont="1" applyFill="1" applyAlignment="1">
      <alignment/>
    </xf>
    <xf numFmtId="0" fontId="0" fillId="25" borderId="0" xfId="0" applyFill="1" applyAlignment="1">
      <alignment/>
    </xf>
    <xf numFmtId="0" fontId="1" fillId="25" borderId="20" xfId="0" applyFont="1" applyFill="1" applyBorder="1" applyAlignment="1">
      <alignment horizontal="center"/>
    </xf>
    <xf numFmtId="201" fontId="0" fillId="25" borderId="20" xfId="0" applyNumberFormat="1" applyFill="1" applyBorder="1" applyAlignment="1">
      <alignment/>
    </xf>
    <xf numFmtId="0" fontId="0" fillId="25" borderId="0" xfId="0" applyFont="1" applyFill="1" applyAlignment="1">
      <alignment/>
    </xf>
    <xf numFmtId="0" fontId="14" fillId="25" borderId="0" xfId="0" applyFont="1" applyFill="1" applyAlignment="1">
      <alignment horizontal="center"/>
    </xf>
    <xf numFmtId="0" fontId="13" fillId="25" borderId="0" xfId="0" applyFont="1" applyFill="1" applyAlignment="1">
      <alignment/>
    </xf>
    <xf numFmtId="0" fontId="14" fillId="25" borderId="20" xfId="0" applyFont="1" applyFill="1" applyBorder="1" applyAlignment="1">
      <alignment/>
    </xf>
    <xf numFmtId="0" fontId="13" fillId="25" borderId="20" xfId="0" applyFont="1" applyFill="1" applyBorder="1" applyAlignment="1">
      <alignment/>
    </xf>
    <xf numFmtId="0" fontId="2" fillId="25" borderId="0" xfId="0" applyFont="1" applyFill="1" applyBorder="1" applyAlignment="1">
      <alignment/>
    </xf>
    <xf numFmtId="185" fontId="0" fillId="25" borderId="0" xfId="0" applyNumberFormat="1" applyFont="1" applyFill="1" applyAlignment="1">
      <alignment/>
    </xf>
    <xf numFmtId="0" fontId="0" fillId="25" borderId="30" xfId="0" applyFont="1" applyFill="1" applyBorder="1" applyAlignment="1">
      <alignment/>
    </xf>
    <xf numFmtId="0" fontId="1" fillId="25" borderId="38" xfId="0" applyFont="1" applyFill="1" applyBorder="1" applyAlignment="1">
      <alignment/>
    </xf>
    <xf numFmtId="0" fontId="0" fillId="25" borderId="43" xfId="0" applyFont="1" applyFill="1" applyBorder="1" applyAlignment="1">
      <alignment/>
    </xf>
    <xf numFmtId="0" fontId="1" fillId="25" borderId="32" xfId="0" applyFont="1" applyFill="1" applyBorder="1" applyAlignment="1">
      <alignment/>
    </xf>
    <xf numFmtId="0" fontId="0" fillId="25" borderId="33" xfId="0" applyFont="1" applyFill="1" applyBorder="1" applyAlignment="1">
      <alignment/>
    </xf>
    <xf numFmtId="192" fontId="0" fillId="25" borderId="33" xfId="45" applyNumberFormat="1" applyFont="1" applyFill="1" applyBorder="1" applyAlignment="1">
      <alignment/>
    </xf>
    <xf numFmtId="10" fontId="0" fillId="25" borderId="33" xfId="55" applyNumberFormat="1" applyFont="1" applyFill="1" applyBorder="1" applyAlignment="1">
      <alignment/>
    </xf>
    <xf numFmtId="0" fontId="1" fillId="25" borderId="34" xfId="0" applyFont="1" applyFill="1" applyBorder="1" applyAlignment="1">
      <alignment/>
    </xf>
    <xf numFmtId="189" fontId="0" fillId="25" borderId="35" xfId="0" applyNumberFormat="1" applyFont="1" applyFill="1" applyBorder="1" applyAlignment="1">
      <alignment/>
    </xf>
    <xf numFmtId="189" fontId="0" fillId="25" borderId="35" xfId="55" applyNumberFormat="1" applyFont="1" applyFill="1" applyBorder="1" applyAlignment="1">
      <alignment/>
    </xf>
    <xf numFmtId="180" fontId="1" fillId="10" borderId="43" xfId="0" applyNumberFormat="1" applyFont="1" applyFill="1" applyBorder="1" applyAlignment="1">
      <alignment/>
    </xf>
    <xf numFmtId="0" fontId="13" fillId="14" borderId="24" xfId="0" applyFont="1" applyFill="1" applyBorder="1" applyAlignment="1">
      <alignment horizontal="center"/>
    </xf>
    <xf numFmtId="0" fontId="13" fillId="14" borderId="25" xfId="0" applyFont="1" applyFill="1" applyBorder="1" applyAlignment="1">
      <alignment horizontal="center"/>
    </xf>
    <xf numFmtId="9" fontId="0" fillId="26" borderId="26" xfId="0" applyNumberFormat="1" applyFont="1" applyFill="1" applyBorder="1" applyAlignment="1">
      <alignment/>
    </xf>
    <xf numFmtId="9" fontId="0" fillId="26" borderId="39" xfId="0" applyNumberFormat="1" applyFont="1" applyFill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RENTABILIDAD SOBRE LAS VENTAS</a:t>
            </a:r>
          </a:p>
        </c:rich>
      </c:tx>
      <c:layout>
        <c:manualLayout>
          <c:xMode val="factor"/>
          <c:yMode val="factor"/>
          <c:x val="-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"/>
          <c:y val="0.138"/>
          <c:w val="0.7875"/>
          <c:h val="0.776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'In. R.'!$C$4:$C$8</c:f>
              <c:numCache>
                <c:ptCount val="5"/>
                <c:pt idx="0">
                  <c:v>44.1109368709028</c:v>
                </c:pt>
                <c:pt idx="1">
                  <c:v>73.697238556869</c:v>
                </c:pt>
                <c:pt idx="2">
                  <c:v>83.36900240120076</c:v>
                </c:pt>
                <c:pt idx="3">
                  <c:v>87.08331587020434</c:v>
                </c:pt>
                <c:pt idx="4">
                  <c:v>97.3037350941812</c:v>
                </c:pt>
              </c:numCache>
            </c:numRef>
          </c:val>
          <c:smooth val="0"/>
        </c:ser>
        <c:marker val="1"/>
        <c:axId val="28991141"/>
        <c:axId val="59593678"/>
      </c:lineChart>
      <c:catAx>
        <c:axId val="289911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>
            <c:manualLayout>
              <c:xMode val="factor"/>
              <c:yMode val="factor"/>
              <c:x val="0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593678"/>
        <c:crosses val="autoZero"/>
        <c:auto val="1"/>
        <c:lblOffset val="100"/>
        <c:tickLblSkip val="1"/>
        <c:noMultiLvlLbl val="0"/>
      </c:catAx>
      <c:valAx>
        <c:axId val="595936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%rentabilidad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9911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15"/>
          <c:y val="0.47475"/>
          <c:w val="0.13175"/>
          <c:h val="0.0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" name="CB_0000000000000000000000000000000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" name="CB_0000000000000000000000000000000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" name="CB_0000000000000000000000000000000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" name="CB_0000000000000000000000000000000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" name="CB_0000000000000000000000000000000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" name="CB_0000000000000000000000000000000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" name="CB_Block_7.0.0.0: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5" name="CB_Block_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" name="CB_Block_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" name="CB_0000000000000000000000000000000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" name="CB_0000000000000000000000000000000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" name="CB_0000000000000000000000000000000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5" name="CB_Block_7.0.0.0: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" name="CB_0000000000000000000000000000000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" name="CB_0000000000000000000000000000000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" name="CB_0000000000000000000000000000000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" name="CB_Block_7.0.0.0: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5" name="CB_Block_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" name="CB_0000000000000000000000000000000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" name="CB_0000000000000000000000000000000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" name="CB_0000000000000000000000000000000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" name="CB_Block_7.0.0.0: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5" name="CB_Block_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12</xdr:row>
      <xdr:rowOff>47625</xdr:rowOff>
    </xdr:from>
    <xdr:to>
      <xdr:col>4</xdr:col>
      <xdr:colOff>161925</xdr:colOff>
      <xdr:row>36</xdr:row>
      <xdr:rowOff>38100</xdr:rowOff>
    </xdr:to>
    <xdr:graphicFrame>
      <xdr:nvGraphicFramePr>
        <xdr:cNvPr id="1" name="Chart 2"/>
        <xdr:cNvGraphicFramePr/>
      </xdr:nvGraphicFramePr>
      <xdr:xfrm>
        <a:off x="476250" y="1990725"/>
        <a:ext cx="586740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8"/>
  <sheetViews>
    <sheetView zoomScalePageLayoutView="0" workbookViewId="0" topLeftCell="A1">
      <selection activeCell="E12" sqref="E12"/>
    </sheetView>
  </sheetViews>
  <sheetFormatPr defaultColWidth="11.421875" defaultRowHeight="12.75"/>
  <cols>
    <col min="1" max="1" width="13.28125" style="0" bestFit="1" customWidth="1"/>
  </cols>
  <sheetData>
    <row r="2" spans="2:3" ht="12.75">
      <c r="B2" s="166" t="s">
        <v>22</v>
      </c>
      <c r="C2" s="166" t="s">
        <v>23</v>
      </c>
    </row>
    <row r="3" spans="1:3" ht="12.75">
      <c r="A3" s="145" t="s">
        <v>170</v>
      </c>
      <c r="B3" s="173">
        <v>1.310012643493761</v>
      </c>
      <c r="C3" s="32">
        <v>1.360012643493761</v>
      </c>
    </row>
    <row r="4" spans="1:3" ht="12.75">
      <c r="A4" s="145" t="s">
        <v>171</v>
      </c>
      <c r="B4" s="173">
        <v>1.716116562976827</v>
      </c>
      <c r="C4" s="32">
        <v>1.849617195151515</v>
      </c>
    </row>
    <row r="5" spans="1:3" ht="12.75">
      <c r="A5" s="145" t="s">
        <v>214</v>
      </c>
      <c r="B5" s="20">
        <v>224400</v>
      </c>
      <c r="C5" s="20">
        <v>224400</v>
      </c>
    </row>
    <row r="7" spans="1:2" ht="12.75">
      <c r="A7" t="s">
        <v>232</v>
      </c>
      <c r="B7" s="20">
        <v>744298.090188945</v>
      </c>
    </row>
    <row r="8" spans="1:2" ht="12.75">
      <c r="A8" t="s">
        <v>52</v>
      </c>
      <c r="B8" s="225">
        <v>0.62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4" width="11.421875" style="11" customWidth="1"/>
    <col min="5" max="5" width="11.57421875" style="11" bestFit="1" customWidth="1"/>
    <col min="6" max="16384" width="11.421875" style="11" customWidth="1"/>
  </cols>
  <sheetData>
    <row r="1" spans="2:6" ht="12.75">
      <c r="B1" s="269"/>
      <c r="C1" s="269"/>
      <c r="D1" s="269"/>
      <c r="E1" s="269"/>
      <c r="F1" s="269"/>
    </row>
    <row r="2" spans="1:5" ht="12.75">
      <c r="A2" s="270" t="str">
        <f>'AD.&amp;D.'!A5</f>
        <v>Fucsia</v>
      </c>
      <c r="B2" s="270"/>
      <c r="D2" s="270" t="str">
        <f>'AD.&amp;D.'!A15</f>
        <v>Gold Mound</v>
      </c>
      <c r="E2" s="270"/>
    </row>
    <row r="3" spans="1:5" ht="12.75">
      <c r="A3" s="38" t="s">
        <v>165</v>
      </c>
      <c r="B3" s="65">
        <f>'C. F&amp;V.'!B7</f>
        <v>18246</v>
      </c>
      <c r="D3" s="38" t="s">
        <v>165</v>
      </c>
      <c r="E3" s="65">
        <f>B3</f>
        <v>18246</v>
      </c>
    </row>
    <row r="4" spans="1:5" ht="12.75">
      <c r="A4" s="38" t="s">
        <v>166</v>
      </c>
      <c r="B4" s="65">
        <f>'C. OP.'!$J$29</f>
        <v>0.4166304812834222</v>
      </c>
      <c r="D4" s="38" t="s">
        <v>166</v>
      </c>
      <c r="E4" s="65">
        <f>'C. OP.'!K29</f>
        <v>0.4166304812834222</v>
      </c>
    </row>
    <row r="5" spans="1:5" ht="12.75">
      <c r="A5" s="38" t="s">
        <v>167</v>
      </c>
      <c r="B5" s="65">
        <f>'C. OP.'!$J$35</f>
        <v>1.716116562976827</v>
      </c>
      <c r="D5" s="38" t="s">
        <v>167</v>
      </c>
      <c r="E5" s="65">
        <f>'C. OP.'!K35</f>
        <v>1.849617195151515</v>
      </c>
    </row>
    <row r="6" spans="1:5" ht="12.75">
      <c r="A6" s="38"/>
      <c r="B6" s="38"/>
      <c r="D6" s="38"/>
      <c r="E6" s="38"/>
    </row>
    <row r="7" spans="1:5" ht="12.75">
      <c r="A7" s="38" t="s">
        <v>168</v>
      </c>
      <c r="B7" s="271">
        <f>B3/(1-(B4/B5))</f>
        <v>24095.881632892215</v>
      </c>
      <c r="D7" s="38" t="s">
        <v>168</v>
      </c>
      <c r="E7" s="271">
        <f>E3/(1-E4/E5)</f>
        <v>23550.89200487945</v>
      </c>
    </row>
  </sheetData>
  <sheetProtection/>
  <mergeCells count="2">
    <mergeCell ref="A2:B2"/>
    <mergeCell ref="D2:E2"/>
  </mergeCells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71"/>
  <sheetViews>
    <sheetView zoomScalePageLayoutView="0" workbookViewId="0" topLeftCell="E1">
      <selection activeCell="F32" sqref="F32"/>
    </sheetView>
  </sheetViews>
  <sheetFormatPr defaultColWidth="11.421875" defaultRowHeight="12.75"/>
  <cols>
    <col min="1" max="1" width="19.00390625" style="0" customWidth="1"/>
    <col min="2" max="2" width="11.00390625" style="0" customWidth="1"/>
    <col min="3" max="3" width="13.00390625" style="26" customWidth="1"/>
    <col min="4" max="4" width="14.28125" style="0" customWidth="1"/>
    <col min="5" max="5" width="13.00390625" style="0" customWidth="1"/>
    <col min="6" max="6" width="11.57421875" style="0" bestFit="1" customWidth="1"/>
    <col min="7" max="7" width="12.8515625" style="0" customWidth="1"/>
    <col min="8" max="8" width="9.8515625" style="0" customWidth="1"/>
    <col min="9" max="9" width="5.421875" style="0" customWidth="1"/>
    <col min="10" max="10" width="11.57421875" style="0" customWidth="1"/>
    <col min="11" max="11" width="16.7109375" style="0" customWidth="1"/>
    <col min="12" max="14" width="12.00390625" style="0" customWidth="1"/>
  </cols>
  <sheetData>
    <row r="1" spans="1:5" ht="12.75">
      <c r="A1" s="10"/>
      <c r="B1" s="12" t="s">
        <v>27</v>
      </c>
      <c r="C1" s="25"/>
      <c r="D1" s="12"/>
      <c r="E1" s="10"/>
    </row>
    <row r="2" ht="13.5" thickBot="1"/>
    <row r="3" spans="1:10" ht="12.75">
      <c r="A3" s="13" t="s">
        <v>18</v>
      </c>
      <c r="B3" s="14"/>
      <c r="C3" s="27" t="s">
        <v>14</v>
      </c>
      <c r="D3" s="14" t="s">
        <v>6</v>
      </c>
      <c r="E3" s="15" t="s">
        <v>1</v>
      </c>
      <c r="G3" s="251" t="s">
        <v>26</v>
      </c>
      <c r="H3" s="252"/>
      <c r="I3" s="252"/>
      <c r="J3" s="253"/>
    </row>
    <row r="4" spans="1:10" ht="25.5">
      <c r="A4" s="4"/>
      <c r="B4" s="1"/>
      <c r="C4" s="28"/>
      <c r="D4" s="1"/>
      <c r="E4" s="5"/>
      <c r="F4" s="172" t="s">
        <v>200</v>
      </c>
      <c r="G4" s="4"/>
      <c r="H4" s="1"/>
      <c r="I4" s="1"/>
      <c r="J4" s="5"/>
    </row>
    <row r="5" spans="1:10" ht="12.75">
      <c r="A5" s="4" t="s">
        <v>22</v>
      </c>
      <c r="B5" s="1"/>
      <c r="C5" s="28">
        <f>E5/D5</f>
        <v>1989.9999999999977</v>
      </c>
      <c r="D5" s="31">
        <v>0.6</v>
      </c>
      <c r="E5" s="5">
        <f>F8*F5</f>
        <v>1193.9999999999986</v>
      </c>
      <c r="F5">
        <v>0.51211666309243</v>
      </c>
      <c r="G5" s="4" t="s">
        <v>22</v>
      </c>
      <c r="H5" s="1"/>
      <c r="I5" s="1"/>
      <c r="J5" s="157">
        <f>'C. OP.'!J35</f>
        <v>1.716116562976827</v>
      </c>
    </row>
    <row r="6" spans="1:10" ht="12.75">
      <c r="A6" s="4" t="s">
        <v>23</v>
      </c>
      <c r="B6" s="1"/>
      <c r="C6" s="28">
        <v>1750</v>
      </c>
      <c r="D6" s="1">
        <v>0.65</v>
      </c>
      <c r="E6" s="163">
        <f>F8*F6</f>
        <v>1137.4999999999977</v>
      </c>
      <c r="F6">
        <v>0.48788333690757</v>
      </c>
      <c r="G6" s="4" t="s">
        <v>23</v>
      </c>
      <c r="H6" s="1"/>
      <c r="I6" s="1"/>
      <c r="J6" s="157">
        <f>'C. OP.'!K35</f>
        <v>1.849617195151515</v>
      </c>
    </row>
    <row r="7" spans="1:10" ht="12.75">
      <c r="A7" s="4"/>
      <c r="B7" s="1"/>
      <c r="C7" s="28"/>
      <c r="D7" s="1"/>
      <c r="E7" s="163"/>
      <c r="G7" s="4"/>
      <c r="H7" s="1"/>
      <c r="I7" s="1"/>
      <c r="J7" s="5"/>
    </row>
    <row r="8" spans="1:10" ht="13.5" thickBot="1">
      <c r="A8" s="16" t="s">
        <v>16</v>
      </c>
      <c r="B8" s="6"/>
      <c r="C8" s="29">
        <f>SUM(C5:C7)</f>
        <v>3739.9999999999977</v>
      </c>
      <c r="D8" s="6"/>
      <c r="E8" s="164">
        <f>'INVER.IN.'!E35</f>
        <v>2331.4999999999964</v>
      </c>
      <c r="F8">
        <v>2331.4999999999964</v>
      </c>
      <c r="G8" s="18"/>
      <c r="H8" s="6"/>
      <c r="I8" s="6"/>
      <c r="J8" s="7"/>
    </row>
    <row r="10" spans="1:7" ht="12.75">
      <c r="A10" s="254" t="s">
        <v>28</v>
      </c>
      <c r="B10" s="254"/>
      <c r="C10" s="254"/>
      <c r="D10" s="254"/>
      <c r="E10" s="254"/>
      <c r="F10" s="254"/>
      <c r="G10" s="254"/>
    </row>
    <row r="11" spans="7:15" ht="13.5" thickBot="1">
      <c r="G11" s="20"/>
      <c r="K11" s="260" t="s">
        <v>34</v>
      </c>
      <c r="L11" s="260"/>
      <c r="M11" s="260"/>
      <c r="N11" s="260"/>
      <c r="O11" s="261"/>
    </row>
    <row r="12" spans="1:16" ht="13.5" thickBot="1">
      <c r="A12" s="13" t="s">
        <v>18</v>
      </c>
      <c r="B12" s="14"/>
      <c r="C12" s="27" t="s">
        <v>14</v>
      </c>
      <c r="D12" s="14" t="s">
        <v>61</v>
      </c>
      <c r="E12" s="14" t="s">
        <v>45</v>
      </c>
      <c r="F12" s="14" t="s">
        <v>1</v>
      </c>
      <c r="G12" s="15" t="s">
        <v>40</v>
      </c>
      <c r="H12" s="9"/>
      <c r="I12" s="9"/>
      <c r="J12" s="20"/>
      <c r="K12" s="13" t="s">
        <v>37</v>
      </c>
      <c r="L12" s="13" t="s">
        <v>33</v>
      </c>
      <c r="M12" s="14" t="s">
        <v>35</v>
      </c>
      <c r="N12" s="14" t="s">
        <v>39</v>
      </c>
      <c r="O12" s="15" t="s">
        <v>36</v>
      </c>
      <c r="P12" s="19"/>
    </row>
    <row r="13" spans="1:15" ht="12.75">
      <c r="A13" s="4"/>
      <c r="B13" s="1"/>
      <c r="C13" s="28"/>
      <c r="D13" s="1"/>
      <c r="E13" s="1"/>
      <c r="F13" s="1"/>
      <c r="G13" s="5"/>
      <c r="J13" s="21" t="s">
        <v>38</v>
      </c>
      <c r="K13" s="33">
        <f>L13/K14</f>
        <v>186.9999999999999</v>
      </c>
      <c r="L13" s="255">
        <f>M13/5</f>
        <v>1869.9999999999989</v>
      </c>
      <c r="M13" s="255">
        <f>N13/4</f>
        <v>9349.999999999995</v>
      </c>
      <c r="N13" s="255">
        <f>O13/12</f>
        <v>37399.99999999998</v>
      </c>
      <c r="O13" s="262">
        <f>C8*(120)</f>
        <v>448799.9999999997</v>
      </c>
    </row>
    <row r="14" spans="1:15" ht="13.5" thickBot="1">
      <c r="A14" s="4" t="s">
        <v>22</v>
      </c>
      <c r="B14" s="1"/>
      <c r="C14" s="28">
        <f>(O13/2)</f>
        <v>224399.99999999985</v>
      </c>
      <c r="D14" s="1">
        <f>C14*0.4</f>
        <v>89759.99999999994</v>
      </c>
      <c r="E14" s="31">
        <f>J5</f>
        <v>1.716116562976827</v>
      </c>
      <c r="F14" s="28">
        <f>H14*I14</f>
        <v>168344.88</v>
      </c>
      <c r="G14" s="182">
        <f>C14-H14</f>
        <v>134639.99999999985</v>
      </c>
      <c r="H14" s="205">
        <v>89760</v>
      </c>
      <c r="I14" s="206">
        <v>1.8755</v>
      </c>
      <c r="J14" s="22" t="s">
        <v>20</v>
      </c>
      <c r="K14" s="17">
        <v>10</v>
      </c>
      <c r="L14" s="256"/>
      <c r="M14" s="256"/>
      <c r="N14" s="256"/>
      <c r="O14" s="263"/>
    </row>
    <row r="15" spans="1:15" ht="13.5" thickBot="1">
      <c r="A15" s="4" t="s">
        <v>23</v>
      </c>
      <c r="B15" s="1"/>
      <c r="C15" s="29">
        <f>(O13/2)</f>
        <v>224399.99999999985</v>
      </c>
      <c r="D15" s="6">
        <f>C15*0.4</f>
        <v>89759.99999999994</v>
      </c>
      <c r="E15" s="31">
        <f>J6</f>
        <v>1.849617195151515</v>
      </c>
      <c r="F15" s="29">
        <f>H15*I15</f>
        <v>167186.976</v>
      </c>
      <c r="G15" s="183">
        <f>C15-H15</f>
        <v>134639.99999999985</v>
      </c>
      <c r="H15" s="205">
        <v>89760</v>
      </c>
      <c r="I15" s="206">
        <v>1.8626</v>
      </c>
      <c r="J15" s="33"/>
      <c r="K15" s="35"/>
      <c r="L15" s="36"/>
      <c r="M15" s="37"/>
      <c r="N15" s="36"/>
      <c r="O15" s="36"/>
    </row>
    <row r="16" spans="1:14" ht="12.75">
      <c r="A16" s="4" t="s">
        <v>16</v>
      </c>
      <c r="B16" s="1"/>
      <c r="C16" s="28">
        <f>C14+C15</f>
        <v>448799.9999999997</v>
      </c>
      <c r="D16" s="1">
        <f>SUM(D14:D15)</f>
        <v>179519.99999999988</v>
      </c>
      <c r="E16" s="1"/>
      <c r="F16" s="28">
        <f>SUM(F14:F15)</f>
        <v>335531.856</v>
      </c>
      <c r="G16" s="5"/>
      <c r="H16" s="2"/>
      <c r="I16" s="2"/>
      <c r="N16" s="32"/>
    </row>
    <row r="17" spans="1:12" ht="13.5" thickBot="1">
      <c r="A17" s="16" t="s">
        <v>24</v>
      </c>
      <c r="B17" s="6"/>
      <c r="C17" s="29"/>
      <c r="D17" s="6"/>
      <c r="E17" s="6"/>
      <c r="F17" s="6"/>
      <c r="G17" s="165">
        <f>SUM(G14:G16)-M24</f>
        <v>263669.9999999997</v>
      </c>
      <c r="L17" s="8"/>
    </row>
    <row r="18" spans="11:13" ht="12.75">
      <c r="K18" s="1"/>
      <c r="L18" s="257" t="s">
        <v>88</v>
      </c>
      <c r="M18" s="257" t="s">
        <v>90</v>
      </c>
    </row>
    <row r="19" spans="1:13" ht="12.75">
      <c r="A19" s="254" t="s">
        <v>29</v>
      </c>
      <c r="B19" s="254"/>
      <c r="C19" s="254"/>
      <c r="D19" s="254"/>
      <c r="E19" s="254"/>
      <c r="F19" s="254"/>
      <c r="G19" s="254"/>
      <c r="K19" s="1"/>
      <c r="L19" s="258"/>
      <c r="M19" s="258"/>
    </row>
    <row r="20" spans="11:13" ht="13.5" thickBot="1">
      <c r="K20" s="1"/>
      <c r="L20" s="259"/>
      <c r="M20" s="259"/>
    </row>
    <row r="21" spans="1:13" ht="12.75">
      <c r="A21" s="13" t="s">
        <v>18</v>
      </c>
      <c r="B21" s="14"/>
      <c r="C21" s="27" t="s">
        <v>14</v>
      </c>
      <c r="D21" s="14" t="s">
        <v>19</v>
      </c>
      <c r="E21" s="14" t="s">
        <v>45</v>
      </c>
      <c r="F21" s="14" t="s">
        <v>1</v>
      </c>
      <c r="G21" s="15" t="s">
        <v>40</v>
      </c>
      <c r="H21" s="9"/>
      <c r="I21" s="9"/>
      <c r="J21" s="9"/>
      <c r="K21" s="76"/>
      <c r="L21" s="77"/>
      <c r="M21" s="76"/>
    </row>
    <row r="22" spans="1:13" ht="12.75">
      <c r="A22" s="4"/>
      <c r="B22" s="1"/>
      <c r="C22" s="28"/>
      <c r="D22" s="1"/>
      <c r="E22" s="1"/>
      <c r="F22" s="1"/>
      <c r="G22" s="5"/>
      <c r="K22" s="79" t="s">
        <v>53</v>
      </c>
      <c r="L22" s="78">
        <v>0.05</v>
      </c>
      <c r="M22" s="80">
        <f>L22*C15</f>
        <v>11219.999999999993</v>
      </c>
    </row>
    <row r="23" spans="1:13" ht="12.75">
      <c r="A23" s="4" t="s">
        <v>22</v>
      </c>
      <c r="B23" s="1"/>
      <c r="C23" s="28">
        <f>C14+G14</f>
        <v>359039.9999999997</v>
      </c>
      <c r="D23" s="160">
        <f>C23*0.46</f>
        <v>165158.39999999988</v>
      </c>
      <c r="E23" s="31">
        <f>J5</f>
        <v>1.716116562976827</v>
      </c>
      <c r="F23" s="28">
        <f>D23*E23</f>
        <v>283431.06575475173</v>
      </c>
      <c r="G23" s="163">
        <f>C23-D23</f>
        <v>193881.59999999983</v>
      </c>
      <c r="H23" s="2"/>
      <c r="I23" s="2"/>
      <c r="K23" s="79" t="s">
        <v>54</v>
      </c>
      <c r="L23" s="78">
        <v>0.05</v>
      </c>
      <c r="M23" s="81">
        <f>L23*C14</f>
        <v>11219.999999999993</v>
      </c>
    </row>
    <row r="24" spans="1:13" ht="13.5" thickBot="1">
      <c r="A24" s="4" t="s">
        <v>23</v>
      </c>
      <c r="B24" s="1"/>
      <c r="C24" s="29">
        <f>C15+G15</f>
        <v>359039.9999999997</v>
      </c>
      <c r="D24" s="162">
        <f>C24*0.46</f>
        <v>165158.39999999988</v>
      </c>
      <c r="E24" s="31">
        <f>J6</f>
        <v>1.849617195151515</v>
      </c>
      <c r="F24" s="29">
        <f>D24*E24</f>
        <v>305479.81656371173</v>
      </c>
      <c r="G24" s="164">
        <f>C24-D24</f>
        <v>193881.59999999983</v>
      </c>
      <c r="H24" s="2"/>
      <c r="I24" s="2"/>
      <c r="K24" s="76" t="s">
        <v>89</v>
      </c>
      <c r="L24" s="76"/>
      <c r="M24" s="82">
        <f>SUM(M22:M23)/4</f>
        <v>5609.999999999996</v>
      </c>
    </row>
    <row r="25" spans="1:7" ht="12.75">
      <c r="A25" s="4" t="s">
        <v>16</v>
      </c>
      <c r="B25" s="1"/>
      <c r="C25" s="28">
        <f>SUM(C23:C24)</f>
        <v>718079.9999999994</v>
      </c>
      <c r="D25" s="160">
        <f>SUM(D23:D24)</f>
        <v>330316.79999999976</v>
      </c>
      <c r="E25" s="1"/>
      <c r="F25" s="28">
        <f>SUM(F23:F24)</f>
        <v>588910.8823184634</v>
      </c>
      <c r="G25" s="163"/>
    </row>
    <row r="26" spans="1:7" ht="13.5" thickBot="1">
      <c r="A26" s="16" t="s">
        <v>24</v>
      </c>
      <c r="B26" s="6"/>
      <c r="C26" s="29"/>
      <c r="D26" s="6"/>
      <c r="E26" s="6"/>
      <c r="F26" s="6"/>
      <c r="G26" s="164">
        <f>SUM(G23:G25)-M24</f>
        <v>382153.19999999966</v>
      </c>
    </row>
    <row r="28" spans="1:7" ht="12.75">
      <c r="A28" s="254" t="s">
        <v>30</v>
      </c>
      <c r="B28" s="254"/>
      <c r="C28" s="254"/>
      <c r="D28" s="254"/>
      <c r="E28" s="254"/>
      <c r="F28" s="254"/>
      <c r="G28" s="254"/>
    </row>
    <row r="29" ht="13.5" thickBot="1"/>
    <row r="30" spans="1:10" ht="12.75">
      <c r="A30" s="13" t="s">
        <v>18</v>
      </c>
      <c r="B30" s="14"/>
      <c r="C30" s="27" t="s">
        <v>14</v>
      </c>
      <c r="D30" s="14" t="s">
        <v>19</v>
      </c>
      <c r="E30" s="14" t="s">
        <v>45</v>
      </c>
      <c r="F30" s="14" t="s">
        <v>1</v>
      </c>
      <c r="G30" s="15" t="s">
        <v>40</v>
      </c>
      <c r="H30" s="9"/>
      <c r="I30" s="9"/>
      <c r="J30" s="9"/>
    </row>
    <row r="31" spans="1:7" ht="12.75">
      <c r="A31" s="4"/>
      <c r="B31" s="1"/>
      <c r="C31" s="28"/>
      <c r="D31" s="1"/>
      <c r="E31" s="1"/>
      <c r="F31" s="1"/>
      <c r="G31" s="5"/>
    </row>
    <row r="32" spans="1:9" ht="12.75">
      <c r="A32" s="4" t="s">
        <v>22</v>
      </c>
      <c r="B32" s="1"/>
      <c r="C32" s="28">
        <f>C14+G23</f>
        <v>418281.5999999997</v>
      </c>
      <c r="D32" s="160">
        <f>C32*0.52</f>
        <v>217506.43199999986</v>
      </c>
      <c r="E32" s="31">
        <f>J5</f>
        <v>1.716116562976827</v>
      </c>
      <c r="F32" s="28">
        <f>D32*E32</f>
        <v>373266.39050919266</v>
      </c>
      <c r="G32" s="163">
        <f>C32-D32</f>
        <v>200775.16799999983</v>
      </c>
      <c r="H32" s="2"/>
      <c r="I32" s="2"/>
    </row>
    <row r="33" spans="1:9" ht="13.5" thickBot="1">
      <c r="A33" s="4" t="s">
        <v>23</v>
      </c>
      <c r="B33" s="1"/>
      <c r="C33" s="29">
        <f>C15+G24</f>
        <v>418281.5999999997</v>
      </c>
      <c r="D33" s="162">
        <f>C33*0.52</f>
        <v>217506.43199999986</v>
      </c>
      <c r="E33" s="31">
        <f>J6</f>
        <v>1.849617195151515</v>
      </c>
      <c r="F33" s="29">
        <f>D33*E33</f>
        <v>402303.63668325345</v>
      </c>
      <c r="G33" s="164">
        <f>C33-D33</f>
        <v>200775.16799999983</v>
      </c>
      <c r="H33" s="2"/>
      <c r="I33" s="2"/>
    </row>
    <row r="34" spans="1:7" ht="12.75">
      <c r="A34" s="4" t="s">
        <v>16</v>
      </c>
      <c r="B34" s="1"/>
      <c r="C34" s="28">
        <f>SUM(C32:C33)</f>
        <v>836563.1999999994</v>
      </c>
      <c r="D34" s="160">
        <f>SUM(D32:D33)</f>
        <v>435012.8639999997</v>
      </c>
      <c r="E34" s="1"/>
      <c r="F34" s="28">
        <f>SUM(F32:F33)</f>
        <v>775570.0271924462</v>
      </c>
      <c r="G34" s="163"/>
    </row>
    <row r="35" spans="1:7" ht="13.5" thickBot="1">
      <c r="A35" s="16" t="s">
        <v>24</v>
      </c>
      <c r="B35" s="6"/>
      <c r="C35" s="29"/>
      <c r="D35" s="6"/>
      <c r="E35" s="6"/>
      <c r="F35" s="6"/>
      <c r="G35" s="164">
        <f>SUM(G32:G34)-M24</f>
        <v>395940.33599999966</v>
      </c>
    </row>
    <row r="37" spans="1:7" ht="12.75">
      <c r="A37" s="254" t="s">
        <v>31</v>
      </c>
      <c r="B37" s="254"/>
      <c r="C37" s="254"/>
      <c r="D37" s="254"/>
      <c r="E37" s="254"/>
      <c r="F37" s="254"/>
      <c r="G37" s="254"/>
    </row>
    <row r="38" ht="13.5" thickBot="1"/>
    <row r="39" spans="1:10" ht="12.75">
      <c r="A39" s="13" t="s">
        <v>18</v>
      </c>
      <c r="B39" s="14"/>
      <c r="C39" s="27" t="s">
        <v>14</v>
      </c>
      <c r="D39" s="14" t="s">
        <v>19</v>
      </c>
      <c r="E39" s="14" t="s">
        <v>45</v>
      </c>
      <c r="F39" s="14" t="s">
        <v>1</v>
      </c>
      <c r="G39" s="15" t="s">
        <v>40</v>
      </c>
      <c r="H39" s="9"/>
      <c r="I39" s="9"/>
      <c r="J39" s="9"/>
    </row>
    <row r="40" spans="1:7" ht="12.75">
      <c r="A40" s="4"/>
      <c r="B40" s="1"/>
      <c r="C40" s="28"/>
      <c r="D40" s="1"/>
      <c r="E40" s="1"/>
      <c r="F40" s="1"/>
      <c r="G40" s="5"/>
    </row>
    <row r="41" spans="1:9" ht="12.75">
      <c r="A41" s="4" t="s">
        <v>22</v>
      </c>
      <c r="B41" s="1"/>
      <c r="C41" s="28">
        <f>C14+G32</f>
        <v>425175.1679999997</v>
      </c>
      <c r="D41" s="160">
        <f>C41*0.58</f>
        <v>246601.5974399998</v>
      </c>
      <c r="E41" s="31">
        <f>J5</f>
        <v>1.716116562976827</v>
      </c>
      <c r="F41" s="28">
        <f>D41*E41</f>
        <v>423197.08582332754</v>
      </c>
      <c r="G41" s="163">
        <f>+C41-D41</f>
        <v>178573.5705599999</v>
      </c>
      <c r="H41" s="2"/>
      <c r="I41" s="2"/>
    </row>
    <row r="42" spans="1:9" ht="13.5" thickBot="1">
      <c r="A42" s="4" t="s">
        <v>23</v>
      </c>
      <c r="B42" s="1"/>
      <c r="C42" s="29">
        <f>C15+G33</f>
        <v>425175.1679999997</v>
      </c>
      <c r="D42" s="162">
        <f>C42*0.58</f>
        <v>246601.5974399998</v>
      </c>
      <c r="E42" s="31">
        <f>J6</f>
        <v>1.849617195151515</v>
      </c>
      <c r="F42" s="29">
        <f>D42*E42</f>
        <v>456118.55497685546</v>
      </c>
      <c r="G42" s="164">
        <f>+C42-D42</f>
        <v>178573.5705599999</v>
      </c>
      <c r="H42" s="2"/>
      <c r="I42" s="2"/>
    </row>
    <row r="43" spans="1:9" ht="12.75">
      <c r="A43" s="4" t="s">
        <v>16</v>
      </c>
      <c r="B43" s="1"/>
      <c r="C43" s="28">
        <f>SUM(C41:C42)</f>
        <v>850350.3359999994</v>
      </c>
      <c r="D43" s="160">
        <f>SUM(D41:D42)</f>
        <v>493203.1948799996</v>
      </c>
      <c r="E43" s="1"/>
      <c r="F43" s="28">
        <f>SUM(F41:F42)</f>
        <v>879315.6408001829</v>
      </c>
      <c r="G43" s="163"/>
      <c r="H43" s="2"/>
      <c r="I43" s="2"/>
    </row>
    <row r="44" spans="1:9" ht="13.5" thickBot="1">
      <c r="A44" s="16" t="s">
        <v>24</v>
      </c>
      <c r="B44" s="6"/>
      <c r="C44" s="29"/>
      <c r="D44" s="6"/>
      <c r="E44" s="6"/>
      <c r="F44" s="6"/>
      <c r="G44" s="164">
        <f>SUM(G41:G43)-M24</f>
        <v>351537.1411199998</v>
      </c>
      <c r="H44" s="2"/>
      <c r="I44" s="2"/>
    </row>
    <row r="46" spans="1:7" ht="12.75">
      <c r="A46" s="254" t="s">
        <v>32</v>
      </c>
      <c r="B46" s="254"/>
      <c r="C46" s="254"/>
      <c r="D46" s="254"/>
      <c r="E46" s="254"/>
      <c r="F46" s="254"/>
      <c r="G46" s="254"/>
    </row>
    <row r="47" ht="13.5" thickBot="1"/>
    <row r="48" spans="1:10" ht="12.75">
      <c r="A48" s="13" t="s">
        <v>18</v>
      </c>
      <c r="B48" s="14"/>
      <c r="C48" s="27" t="s">
        <v>14</v>
      </c>
      <c r="D48" s="14" t="s">
        <v>19</v>
      </c>
      <c r="E48" s="14" t="s">
        <v>45</v>
      </c>
      <c r="F48" s="14" t="s">
        <v>1</v>
      </c>
      <c r="G48" s="15" t="s">
        <v>40</v>
      </c>
      <c r="H48" s="9"/>
      <c r="I48" s="9"/>
      <c r="J48" s="9"/>
    </row>
    <row r="49" spans="1:7" ht="12.75">
      <c r="A49" s="4"/>
      <c r="B49" s="1"/>
      <c r="C49" s="28"/>
      <c r="D49" s="1"/>
      <c r="E49" s="1"/>
      <c r="F49" s="1"/>
      <c r="G49" s="5"/>
    </row>
    <row r="50" spans="1:9" ht="12.75">
      <c r="A50" s="4" t="s">
        <v>22</v>
      </c>
      <c r="B50" s="1"/>
      <c r="C50" s="28">
        <f>C14+G41</f>
        <v>402973.5705599998</v>
      </c>
      <c r="D50" s="160">
        <f>C50*1</f>
        <v>402973.5705599998</v>
      </c>
      <c r="E50" s="31">
        <f>J5</f>
        <v>1.716116562976827</v>
      </c>
      <c r="F50" s="28">
        <f>D50*E50</f>
        <v>691549.6188799266</v>
      </c>
      <c r="G50" s="163">
        <f>+C50-D50</f>
        <v>0</v>
      </c>
      <c r="H50" s="2"/>
      <c r="I50" s="2"/>
    </row>
    <row r="51" spans="1:9" ht="13.5" thickBot="1">
      <c r="A51" s="4" t="s">
        <v>23</v>
      </c>
      <c r="B51" s="1"/>
      <c r="C51" s="29">
        <f>C15+G42</f>
        <v>402973.5705599998</v>
      </c>
      <c r="D51" s="162">
        <f>C51*1</f>
        <v>402973.5705599998</v>
      </c>
      <c r="E51" s="31">
        <f>J6</f>
        <v>1.849617195151515</v>
      </c>
      <c r="F51" s="29">
        <f>D51*E51</f>
        <v>745346.8452993779</v>
      </c>
      <c r="G51" s="164">
        <f>+C51-D51</f>
        <v>0</v>
      </c>
      <c r="H51" s="2"/>
      <c r="I51" s="2"/>
    </row>
    <row r="52" spans="1:9" ht="12.75">
      <c r="A52" s="4" t="s">
        <v>16</v>
      </c>
      <c r="B52" s="1"/>
      <c r="C52" s="28">
        <f>SUM(C50:C51)</f>
        <v>805947.1411199996</v>
      </c>
      <c r="D52" s="160">
        <f>SUM(D50:D51)</f>
        <v>805947.1411199996</v>
      </c>
      <c r="E52" s="1"/>
      <c r="F52" s="28">
        <f>SUM(F50:F51)</f>
        <v>1436896.4641793044</v>
      </c>
      <c r="G52" s="163"/>
      <c r="H52" s="2"/>
      <c r="I52" s="2"/>
    </row>
    <row r="53" spans="1:9" ht="13.5" thickBot="1">
      <c r="A53" s="16" t="s">
        <v>24</v>
      </c>
      <c r="B53" s="6"/>
      <c r="C53" s="29"/>
      <c r="D53" s="6"/>
      <c r="E53" s="6"/>
      <c r="F53" s="6"/>
      <c r="G53" s="164">
        <f>SUM(G50:G52)</f>
        <v>0</v>
      </c>
      <c r="H53" s="2"/>
      <c r="I53" s="2"/>
    </row>
    <row r="54" ht="12.75">
      <c r="F54" s="2"/>
    </row>
    <row r="55" ht="12.75">
      <c r="F55" s="2"/>
    </row>
    <row r="56" ht="12.75">
      <c r="B56" s="2"/>
    </row>
    <row r="57" ht="12.75">
      <c r="A57" s="3"/>
    </row>
    <row r="60" spans="2:8" ht="12.75">
      <c r="B60" s="3"/>
      <c r="D60" s="26"/>
      <c r="E60" s="26"/>
      <c r="F60" s="26"/>
      <c r="G60" s="26"/>
      <c r="H60" s="26"/>
    </row>
    <row r="62" spans="1:7" ht="12.75">
      <c r="A62" s="9"/>
      <c r="B62" s="9"/>
      <c r="C62" s="30"/>
      <c r="D62" s="9"/>
      <c r="E62" s="9"/>
      <c r="F62" s="9"/>
      <c r="G62" s="9"/>
    </row>
    <row r="64" ht="12.75">
      <c r="F64" s="2"/>
    </row>
    <row r="65" ht="12.75">
      <c r="F65" s="2"/>
    </row>
    <row r="66" ht="12.75">
      <c r="F66" s="2"/>
    </row>
    <row r="67" ht="12.75">
      <c r="F67" s="2"/>
    </row>
    <row r="68" ht="12.75">
      <c r="F68" s="2"/>
    </row>
    <row r="69" ht="12.75">
      <c r="F69" s="2"/>
    </row>
    <row r="70" ht="12.75">
      <c r="B70" s="2"/>
    </row>
    <row r="71" ht="12.75">
      <c r="A71" s="3"/>
    </row>
  </sheetData>
  <sheetProtection/>
  <mergeCells count="13">
    <mergeCell ref="A46:G46"/>
    <mergeCell ref="A28:G28"/>
    <mergeCell ref="K11:O11"/>
    <mergeCell ref="M13:M14"/>
    <mergeCell ref="N13:N14"/>
    <mergeCell ref="O13:O14"/>
    <mergeCell ref="M18:M20"/>
    <mergeCell ref="A37:G37"/>
    <mergeCell ref="G3:J3"/>
    <mergeCell ref="A10:G10"/>
    <mergeCell ref="A19:G19"/>
    <mergeCell ref="L13:L14"/>
    <mergeCell ref="L18:L20"/>
  </mergeCells>
  <printOptions/>
  <pageMargins left="0.75" right="0.75" top="1" bottom="1" header="0" footer="0"/>
  <pageSetup horizontalDpi="600" verticalDpi="600" orientation="portrait" paperSize="9" scale="7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J39"/>
  <sheetViews>
    <sheetView zoomScalePageLayoutView="0" workbookViewId="0" topLeftCell="A1">
      <selection activeCell="G43" sqref="G43"/>
    </sheetView>
  </sheetViews>
  <sheetFormatPr defaultColWidth="11.421875" defaultRowHeight="12.75"/>
  <cols>
    <col min="1" max="1" width="41.140625" style="272" bestFit="1" customWidth="1"/>
    <col min="2" max="2" width="13.140625" style="272" bestFit="1" customWidth="1"/>
    <col min="3" max="3" width="12.28125" style="272" bestFit="1" customWidth="1"/>
    <col min="4" max="6" width="10.8515625" style="272" customWidth="1"/>
    <col min="7" max="7" width="12.7109375" style="272" bestFit="1" customWidth="1"/>
    <col min="8" max="16384" width="11.421875" style="272" customWidth="1"/>
  </cols>
  <sheetData>
    <row r="1" ht="12.75"/>
    <row r="2" ht="12.75">
      <c r="A2" s="273" t="s">
        <v>92</v>
      </c>
    </row>
    <row r="3" ht="13.5" thickBot="1">
      <c r="A3" s="274"/>
    </row>
    <row r="4" spans="1:7" ht="12.75">
      <c r="A4" s="274"/>
      <c r="B4" s="89">
        <v>0</v>
      </c>
      <c r="C4" s="90">
        <v>1</v>
      </c>
      <c r="D4" s="91">
        <v>2</v>
      </c>
      <c r="E4" s="90">
        <v>3</v>
      </c>
      <c r="F4" s="91">
        <v>4</v>
      </c>
      <c r="G4" s="90">
        <v>5</v>
      </c>
    </row>
    <row r="5" spans="1:7" ht="15.75" customHeight="1">
      <c r="A5" s="275" t="s">
        <v>194</v>
      </c>
      <c r="B5" s="39"/>
      <c r="C5" s="39"/>
      <c r="D5" s="39"/>
      <c r="E5" s="39"/>
      <c r="F5" s="39"/>
      <c r="G5" s="39"/>
    </row>
    <row r="6" spans="1:7" ht="15.75" customHeight="1" thickBot="1">
      <c r="A6" s="276" t="s">
        <v>19</v>
      </c>
      <c r="B6" s="39"/>
      <c r="C6" s="159">
        <f>'AD.&amp;D.'!F16</f>
        <v>335531.856</v>
      </c>
      <c r="D6" s="159">
        <f>'AD.&amp;D.'!F25</f>
        <v>588910.8823184634</v>
      </c>
      <c r="E6" s="159">
        <f>'AD.&amp;D.'!F34</f>
        <v>775570.0271924462</v>
      </c>
      <c r="F6" s="159">
        <f>'AD.&amp;D.'!F43</f>
        <v>879315.6408001829</v>
      </c>
      <c r="G6" s="159">
        <f>'AD.&amp;D.'!F52</f>
        <v>1436896.4641793044</v>
      </c>
    </row>
    <row r="7" spans="1:7" ht="15.75" customHeight="1">
      <c r="A7" s="275" t="s">
        <v>185</v>
      </c>
      <c r="B7" s="39"/>
      <c r="C7" s="158">
        <f>C6</f>
        <v>335531.856</v>
      </c>
      <c r="D7" s="158">
        <f>D6</f>
        <v>588910.8823184634</v>
      </c>
      <c r="E7" s="158">
        <f>E6</f>
        <v>775570.0271924462</v>
      </c>
      <c r="F7" s="158">
        <f>F6</f>
        <v>879315.6408001829</v>
      </c>
      <c r="G7" s="158">
        <f>G6</f>
        <v>1436896.4641793044</v>
      </c>
    </row>
    <row r="8" spans="1:7" ht="15.75" customHeight="1">
      <c r="A8" s="275" t="s">
        <v>195</v>
      </c>
      <c r="B8" s="39"/>
      <c r="C8" s="158"/>
      <c r="D8" s="158"/>
      <c r="E8" s="158"/>
      <c r="F8" s="158"/>
      <c r="G8" s="158"/>
    </row>
    <row r="9" spans="1:7" ht="15.75" customHeight="1" thickBot="1">
      <c r="A9" s="39" t="s">
        <v>66</v>
      </c>
      <c r="B9" s="39"/>
      <c r="C9" s="158"/>
      <c r="D9" s="158"/>
      <c r="E9" s="158"/>
      <c r="F9" s="158"/>
      <c r="G9" s="159">
        <f>'C. OP.'!Q16</f>
        <v>2153.6</v>
      </c>
    </row>
    <row r="10" spans="1:7" ht="15.75" customHeight="1">
      <c r="A10" s="275" t="s">
        <v>196</v>
      </c>
      <c r="B10" s="39"/>
      <c r="C10" s="158"/>
      <c r="D10" s="158"/>
      <c r="E10" s="158"/>
      <c r="F10" s="158"/>
      <c r="G10" s="158">
        <f>SUM(G9)</f>
        <v>2153.6</v>
      </c>
    </row>
    <row r="11" spans="1:7" ht="15.75" customHeight="1">
      <c r="A11" s="275" t="s">
        <v>186</v>
      </c>
      <c r="B11" s="39"/>
      <c r="C11" s="60"/>
      <c r="D11" s="60"/>
      <c r="E11" s="60"/>
      <c r="F11" s="60"/>
      <c r="G11" s="60"/>
    </row>
    <row r="12" spans="1:10" ht="13.5" thickBot="1">
      <c r="A12" s="276" t="s">
        <v>98</v>
      </c>
      <c r="B12" s="39"/>
      <c r="C12" s="159">
        <f>'C. OP.'!$G$55</f>
        <v>323866.7710666666</v>
      </c>
      <c r="D12" s="159">
        <f>SUM('C. OP.'!$G$7:$G$11)+'C. OP.'!$G$34+'C. OP.'!$G$43+'C. OP.'!$G$53</f>
        <v>318653.6743999999</v>
      </c>
      <c r="E12" s="159">
        <f>SUM('C. OP.'!$G$7:$G$11)+'C. OP.'!$G$34+'C. OP.'!$G$43+'C. OP.'!$G$53</f>
        <v>318653.6743999999</v>
      </c>
      <c r="F12" s="159">
        <f>SUM('C. OP.'!$G$7:$G$11)+'C. OP.'!$G$34+'C. OP.'!$G$43+'C. OP.'!$G$53</f>
        <v>318653.6743999999</v>
      </c>
      <c r="G12" s="159">
        <f>SUM('C. OP.'!$G$7:$G$11)+'C. OP.'!$G$34+'C. OP.'!$G$43+'C. OP.'!$G$53</f>
        <v>318653.6743999999</v>
      </c>
      <c r="J12" s="208"/>
    </row>
    <row r="13" spans="1:10" ht="12.75">
      <c r="A13" s="275" t="s">
        <v>187</v>
      </c>
      <c r="B13" s="39"/>
      <c r="C13" s="158">
        <f>C12</f>
        <v>323866.7710666666</v>
      </c>
      <c r="D13" s="158">
        <f>D12</f>
        <v>318653.6743999999</v>
      </c>
      <c r="E13" s="158">
        <f>E12</f>
        <v>318653.6743999999</v>
      </c>
      <c r="F13" s="158">
        <f>F12</f>
        <v>318653.6743999999</v>
      </c>
      <c r="G13" s="158">
        <f>G12</f>
        <v>318653.6743999999</v>
      </c>
      <c r="J13" s="208"/>
    </row>
    <row r="14" spans="1:10" ht="12.75">
      <c r="A14" s="275" t="s">
        <v>184</v>
      </c>
      <c r="B14" s="39"/>
      <c r="C14" s="60"/>
      <c r="D14" s="60"/>
      <c r="E14" s="60"/>
      <c r="F14" s="60"/>
      <c r="G14" s="60"/>
      <c r="J14" s="208"/>
    </row>
    <row r="15" spans="1:10" ht="12.75">
      <c r="A15" s="276" t="s">
        <v>99</v>
      </c>
      <c r="B15" s="39"/>
      <c r="C15" s="60">
        <f>'AMORT.'!C$6</f>
        <v>7554.421083599999</v>
      </c>
      <c r="D15" s="60">
        <f>'AMORT.'!C7</f>
        <v>6297.404491234135</v>
      </c>
      <c r="E15" s="60">
        <f>'AMORT.'!C8</f>
        <v>4924.616670711375</v>
      </c>
      <c r="F15" s="60">
        <f>'AMORT.'!C9</f>
        <v>3425.3950919184686</v>
      </c>
      <c r="G15" s="60">
        <f>'AMORT.'!C10</f>
        <v>1788.0952057187358</v>
      </c>
      <c r="J15" s="277"/>
    </row>
    <row r="16" spans="1:10" ht="13.5" thickBot="1">
      <c r="A16" s="276" t="s">
        <v>50</v>
      </c>
      <c r="B16" s="39"/>
      <c r="C16" s="159">
        <f>'C. OP.'!$P$15</f>
        <v>5629.3776</v>
      </c>
      <c r="D16" s="159">
        <f>'C. OP.'!$P$15</f>
        <v>5629.3776</v>
      </c>
      <c r="E16" s="159">
        <f>'C. OP.'!$P$15</f>
        <v>5629.3776</v>
      </c>
      <c r="F16" s="159">
        <f>'C. OP.'!$P$15</f>
        <v>5629.3776</v>
      </c>
      <c r="G16" s="159">
        <f>'C. OP.'!$P$15</f>
        <v>5629.3776</v>
      </c>
      <c r="H16" s="278"/>
      <c r="J16" s="277"/>
    </row>
    <row r="17" spans="1:10" ht="12.75">
      <c r="A17" s="275" t="s">
        <v>65</v>
      </c>
      <c r="B17" s="39"/>
      <c r="C17" s="158">
        <f>C7-C13-C15-C16</f>
        <v>-1518.713750266551</v>
      </c>
      <c r="D17" s="158">
        <f>D7-D13-D15-D16</f>
        <v>258330.42582722934</v>
      </c>
      <c r="E17" s="158">
        <f>E7-E13-E15-E16</f>
        <v>446362.3585217349</v>
      </c>
      <c r="F17" s="158">
        <f>F7-F13-F15-F16</f>
        <v>551607.1937082646</v>
      </c>
      <c r="G17" s="158">
        <f>G7+G10-G13-G15-G16</f>
        <v>1112978.916973586</v>
      </c>
      <c r="J17" s="277"/>
    </row>
    <row r="18" spans="1:10" ht="13.5" thickBot="1">
      <c r="A18" s="276" t="s">
        <v>51</v>
      </c>
      <c r="B18" s="39"/>
      <c r="C18" s="159">
        <f>C17*0.15</f>
        <v>-227.80706253998264</v>
      </c>
      <c r="D18" s="159">
        <f>D17*0.15</f>
        <v>38749.5638740844</v>
      </c>
      <c r="E18" s="159">
        <f>E17*0.15</f>
        <v>66954.35377826024</v>
      </c>
      <c r="F18" s="159">
        <f>F17*0.15</f>
        <v>82741.07905623969</v>
      </c>
      <c r="G18" s="159">
        <f>G17*0.15</f>
        <v>166946.8375460379</v>
      </c>
      <c r="J18" s="277"/>
    </row>
    <row r="19" spans="1:10" ht="12.75">
      <c r="A19" s="275" t="s">
        <v>64</v>
      </c>
      <c r="B19" s="39"/>
      <c r="C19" s="158">
        <f>C17-C18</f>
        <v>-1290.9066877265684</v>
      </c>
      <c r="D19" s="158">
        <f>D17-D18</f>
        <v>219580.86195314495</v>
      </c>
      <c r="E19" s="158">
        <f>E17-E18</f>
        <v>379408.00474347465</v>
      </c>
      <c r="F19" s="158">
        <f>F17-F18</f>
        <v>468866.11465202493</v>
      </c>
      <c r="G19" s="158">
        <f>G17-G18</f>
        <v>946032.0794275481</v>
      </c>
      <c r="J19" s="208"/>
    </row>
    <row r="20" spans="1:10" ht="13.5" thickBot="1">
      <c r="A20" s="276" t="s">
        <v>59</v>
      </c>
      <c r="B20" s="39"/>
      <c r="C20" s="159">
        <f>C19*0.25</f>
        <v>-322.7266719316421</v>
      </c>
      <c r="D20" s="159">
        <f>D19*0.25</f>
        <v>54895.21548828624</v>
      </c>
      <c r="E20" s="159">
        <f>E19*0.25</f>
        <v>94852.00118586866</v>
      </c>
      <c r="F20" s="159">
        <f>F19*0.25</f>
        <v>117216.52866300623</v>
      </c>
      <c r="G20" s="159">
        <f>G19*0.25</f>
        <v>236508.01985688703</v>
      </c>
      <c r="J20" s="277"/>
    </row>
    <row r="21" spans="1:10" ht="12.75">
      <c r="A21" s="275" t="s">
        <v>91</v>
      </c>
      <c r="B21" s="39"/>
      <c r="C21" s="158">
        <f>C19-C20</f>
        <v>-968.1800157949262</v>
      </c>
      <c r="D21" s="158">
        <f>D19-D20</f>
        <v>164685.64646485873</v>
      </c>
      <c r="E21" s="158">
        <f>E19-E20</f>
        <v>284556.003557606</v>
      </c>
      <c r="F21" s="158">
        <f>F19-F20</f>
        <v>351649.58598901867</v>
      </c>
      <c r="G21" s="158">
        <f>G19-G20</f>
        <v>709524.059570661</v>
      </c>
      <c r="J21" s="277"/>
    </row>
    <row r="22" spans="1:10" ht="12.75">
      <c r="A22" s="276" t="s">
        <v>50</v>
      </c>
      <c r="B22" s="39"/>
      <c r="C22" s="60">
        <f>'C. OP.'!$P$15</f>
        <v>5629.3776</v>
      </c>
      <c r="D22" s="60">
        <f>'C. OP.'!$P$15</f>
        <v>5629.3776</v>
      </c>
      <c r="E22" s="60">
        <f>'C. OP.'!$P$15</f>
        <v>5629.3776</v>
      </c>
      <c r="F22" s="60">
        <f>'C. OP.'!$P$15</f>
        <v>5629.3776</v>
      </c>
      <c r="G22" s="60">
        <f>'C. OP.'!$P$15</f>
        <v>5629.3776</v>
      </c>
      <c r="J22" s="277"/>
    </row>
    <row r="23" spans="1:10" ht="12.75">
      <c r="A23" s="275" t="s">
        <v>67</v>
      </c>
      <c r="B23" s="60">
        <v>136706.86</v>
      </c>
      <c r="C23" s="60"/>
      <c r="D23" s="60"/>
      <c r="E23" s="60"/>
      <c r="F23" s="60"/>
      <c r="G23" s="60"/>
      <c r="J23" s="277"/>
    </row>
    <row r="24" spans="1:10" ht="12.75">
      <c r="A24" s="275" t="s">
        <v>68</v>
      </c>
      <c r="B24" s="60">
        <f>'C. OP.'!G34+'AD.&amp;D.'!E8</f>
        <v>37703.5448</v>
      </c>
      <c r="C24" s="60"/>
      <c r="D24" s="60"/>
      <c r="E24" s="60"/>
      <c r="F24" s="60"/>
      <c r="G24" s="60">
        <f>B24</f>
        <v>37703.5448</v>
      </c>
      <c r="J24" s="277"/>
    </row>
    <row r="25" spans="1:10" ht="12.75">
      <c r="A25" s="275" t="s">
        <v>100</v>
      </c>
      <c r="B25" s="60">
        <f>0.6*B23</f>
        <v>82024.116</v>
      </c>
      <c r="C25" s="60"/>
      <c r="D25" s="60"/>
      <c r="E25" s="60"/>
      <c r="F25" s="60"/>
      <c r="G25" s="60"/>
      <c r="J25" s="277"/>
    </row>
    <row r="26" spans="1:10" ht="12.75" customHeight="1" thickBot="1">
      <c r="A26" s="211" t="s">
        <v>201</v>
      </c>
      <c r="B26" s="212">
        <f>B23*0.4</f>
        <v>54682.744</v>
      </c>
      <c r="C26" s="159"/>
      <c r="D26" s="159"/>
      <c r="E26" s="159"/>
      <c r="F26" s="159"/>
      <c r="G26" s="279"/>
      <c r="J26" s="277"/>
    </row>
    <row r="27" spans="1:10" ht="13.5" thickBot="1">
      <c r="A27" s="275" t="s">
        <v>60</v>
      </c>
      <c r="B27" s="200">
        <f>-(SUM(B23:B25))</f>
        <v>-256434.5208</v>
      </c>
      <c r="C27" s="201">
        <f>SUM(C21:C23)</f>
        <v>4661.197584205073</v>
      </c>
      <c r="D27" s="158">
        <f>SUM(D21:D23)</f>
        <v>170315.02406485874</v>
      </c>
      <c r="E27" s="158">
        <f>SUM(E21:E23)</f>
        <v>290185.381157606</v>
      </c>
      <c r="F27" s="158">
        <f>SUM(F21:F23)</f>
        <v>357278.9635890187</v>
      </c>
      <c r="G27" s="158">
        <f>SUM(G21:G24)</f>
        <v>752856.9819706611</v>
      </c>
      <c r="J27" s="277"/>
    </row>
    <row r="28" spans="1:10" ht="12.75">
      <c r="A28" s="274"/>
      <c r="B28" s="202" t="s">
        <v>232</v>
      </c>
      <c r="C28" s="289">
        <f>NPV(C39,C27:G27)+B27</f>
        <v>744298.090188945</v>
      </c>
      <c r="J28" s="277"/>
    </row>
    <row r="29" spans="1:3" ht="13.5" thickBot="1">
      <c r="A29" s="274"/>
      <c r="B29" s="203" t="s">
        <v>52</v>
      </c>
      <c r="C29" s="204">
        <f>IRR(B27:G27)</f>
        <v>0.6180625640844692</v>
      </c>
    </row>
    <row r="30" ht="13.5" thickBot="1"/>
    <row r="31" spans="2:4" ht="13.5" thickBot="1">
      <c r="B31" s="290" t="s">
        <v>48</v>
      </c>
      <c r="C31" s="291"/>
      <c r="D31" s="292">
        <v>0.25</v>
      </c>
    </row>
    <row r="32" spans="2:7" ht="15.75" thickBot="1">
      <c r="B32" s="290" t="s">
        <v>49</v>
      </c>
      <c r="C32" s="291"/>
      <c r="D32" s="293">
        <v>0.15</v>
      </c>
      <c r="G32" s="44"/>
    </row>
    <row r="33" ht="13.5" thickBot="1"/>
    <row r="34" spans="2:6" ht="12.75">
      <c r="B34" s="280" t="s">
        <v>207</v>
      </c>
      <c r="C34" s="281">
        <v>0.068</v>
      </c>
      <c r="E34" s="280" t="s">
        <v>207</v>
      </c>
      <c r="F34" s="281">
        <v>0.068</v>
      </c>
    </row>
    <row r="35" spans="2:6" ht="12.75">
      <c r="B35" s="282" t="s">
        <v>206</v>
      </c>
      <c r="C35" s="283">
        <v>1.36</v>
      </c>
      <c r="E35" s="282" t="s">
        <v>206</v>
      </c>
      <c r="F35" s="283">
        <v>0.77</v>
      </c>
    </row>
    <row r="36" spans="2:6" ht="12.75">
      <c r="B36" s="282" t="s">
        <v>203</v>
      </c>
      <c r="C36" s="284">
        <v>0.05</v>
      </c>
      <c r="E36" s="282" t="s">
        <v>203</v>
      </c>
      <c r="F36" s="283">
        <v>0.05</v>
      </c>
    </row>
    <row r="37" spans="2:6" ht="12.75" hidden="1">
      <c r="B37" s="282"/>
      <c r="C37" s="283"/>
      <c r="E37" s="282"/>
      <c r="F37" s="283"/>
    </row>
    <row r="38" spans="2:6" ht="12.75">
      <c r="B38" s="282" t="s">
        <v>202</v>
      </c>
      <c r="C38" s="285">
        <f>C36+C35*(C34-C36)</f>
        <v>0.07448</v>
      </c>
      <c r="E38" s="282" t="s">
        <v>202</v>
      </c>
      <c r="F38" s="285">
        <f>F36+F35*(F34-F36)</f>
        <v>0.06386</v>
      </c>
    </row>
    <row r="39" spans="2:6" ht="13.5" thickBot="1">
      <c r="B39" s="286" t="s">
        <v>204</v>
      </c>
      <c r="C39" s="287">
        <v>0.12</v>
      </c>
      <c r="E39" s="286" t="s">
        <v>205</v>
      </c>
      <c r="F39" s="288">
        <f>(C38+F38)/2</f>
        <v>0.06917000000000001</v>
      </c>
    </row>
  </sheetData>
  <sheetProtection/>
  <mergeCells count="2">
    <mergeCell ref="B31:C31"/>
    <mergeCell ref="B32:C32"/>
  </mergeCells>
  <printOptions/>
  <pageMargins left="0.7" right="0.7" top="0.75" bottom="0.75" header="0.3" footer="0.3"/>
  <pageSetup horizontalDpi="600" verticalDpi="600" orientation="portrait" paperSize="9" r:id="rId2"/>
  <ignoredErrors>
    <ignoredError sqref="C20:G20" formula="1"/>
  </ignoredError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8"/>
  <sheetViews>
    <sheetView zoomScalePageLayoutView="0" workbookViewId="0" topLeftCell="A1">
      <selection activeCell="A3" sqref="A3:C8"/>
    </sheetView>
  </sheetViews>
  <sheetFormatPr defaultColWidth="11.421875" defaultRowHeight="12.75"/>
  <cols>
    <col min="1" max="1" width="6.28125" style="0" bestFit="1" customWidth="1"/>
    <col min="2" max="2" width="38.57421875" style="0" bestFit="1" customWidth="1"/>
    <col min="3" max="3" width="36.421875" style="0" bestFit="1" customWidth="1"/>
  </cols>
  <sheetData>
    <row r="1" spans="1:3" ht="12.75">
      <c r="A1" s="217" t="s">
        <v>190</v>
      </c>
      <c r="B1" s="217"/>
      <c r="C1" s="217"/>
    </row>
    <row r="3" spans="1:3" ht="12.75">
      <c r="A3" s="83" t="s">
        <v>148</v>
      </c>
      <c r="B3" s="83" t="s">
        <v>191</v>
      </c>
      <c r="C3" s="83" t="s">
        <v>192</v>
      </c>
    </row>
    <row r="4" spans="1:3" ht="12.75">
      <c r="A4" s="76">
        <v>1</v>
      </c>
      <c r="B4" s="148">
        <f>'P&amp;G'!B21/'INVER.IN.'!C38*100</f>
        <v>108.26541197854189</v>
      </c>
      <c r="C4" s="148">
        <f>'P&amp;G'!B21/'P&amp;G'!B4*100</f>
        <v>44.1109368709028</v>
      </c>
    </row>
    <row r="5" spans="1:3" ht="12.75">
      <c r="A5" s="76">
        <v>2</v>
      </c>
      <c r="B5" s="148">
        <f>'P&amp;G'!C21/'INVER.IN.'!C38*100</f>
        <v>317.47569787617095</v>
      </c>
      <c r="C5" s="148">
        <f>'P&amp;G'!C21/'P&amp;G'!C4*100</f>
        <v>73.697238556869</v>
      </c>
    </row>
    <row r="6" spans="1:3" ht="12.75">
      <c r="A6" s="76">
        <v>3</v>
      </c>
      <c r="B6" s="148">
        <f>'P&amp;G'!D21/'INVER.IN.'!C38*100</f>
        <v>472.97187177956096</v>
      </c>
      <c r="C6" s="148">
        <f>'P&amp;G'!D21/'P&amp;G'!D4*100</f>
        <v>83.36900240120076</v>
      </c>
    </row>
    <row r="7" spans="1:3" ht="12.75">
      <c r="A7" s="76">
        <v>4</v>
      </c>
      <c r="B7" s="148">
        <f>'P&amp;G'!E21/'INVER.IN.'!C38*100</f>
        <v>560.1307915156085</v>
      </c>
      <c r="C7" s="148">
        <f>'P&amp;G'!E21/'P&amp;G'!E4*100</f>
        <v>87.08331587020434</v>
      </c>
    </row>
    <row r="8" spans="1:3" ht="12.75">
      <c r="A8" s="76">
        <v>5</v>
      </c>
      <c r="B8" s="148">
        <f>'P&amp;G'!F21/'INVER.IN.'!C38*100</f>
        <v>1022.7386753544679</v>
      </c>
      <c r="C8" s="148">
        <f>'P&amp;G'!F21/'P&amp;G'!F4*100</f>
        <v>97.3037350941812</v>
      </c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8"/>
  <sheetViews>
    <sheetView zoomScalePageLayoutView="0" workbookViewId="0" topLeftCell="A16">
      <selection activeCell="E4" sqref="E4"/>
    </sheetView>
  </sheetViews>
  <sheetFormatPr defaultColWidth="11.421875" defaultRowHeight="12.75"/>
  <cols>
    <col min="1" max="1" width="35.421875" style="0" bestFit="1" customWidth="1"/>
    <col min="2" max="2" width="10.421875" style="0" bestFit="1" customWidth="1"/>
    <col min="3" max="3" width="17.7109375" style="0" bestFit="1" customWidth="1"/>
    <col min="4" max="4" width="14.28125" style="0" bestFit="1" customWidth="1"/>
    <col min="5" max="5" width="14.8515625" style="0" bestFit="1" customWidth="1"/>
    <col min="6" max="6" width="17.00390625" style="0" bestFit="1" customWidth="1"/>
  </cols>
  <sheetData>
    <row r="1" spans="1:13" ht="12.7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12.75">
      <c r="A2" s="226" t="s">
        <v>120</v>
      </c>
      <c r="B2" s="226"/>
      <c r="C2" s="226"/>
      <c r="D2" s="226"/>
      <c r="E2" s="226"/>
      <c r="F2" s="226"/>
      <c r="G2" s="11"/>
      <c r="H2" s="11"/>
      <c r="I2" s="11"/>
      <c r="J2" s="11"/>
      <c r="K2" s="11"/>
      <c r="L2" s="11"/>
      <c r="M2" s="11"/>
    </row>
    <row r="3" spans="1:13" ht="12.75">
      <c r="A3" s="92" t="s">
        <v>101</v>
      </c>
      <c r="B3" s="92" t="s">
        <v>14</v>
      </c>
      <c r="C3" s="93" t="s">
        <v>102</v>
      </c>
      <c r="D3" s="94" t="s">
        <v>103</v>
      </c>
      <c r="E3" s="94" t="s">
        <v>50</v>
      </c>
      <c r="F3" s="94" t="s">
        <v>172</v>
      </c>
      <c r="G3" s="11"/>
      <c r="H3" s="11"/>
      <c r="I3" s="11"/>
      <c r="J3" s="11"/>
      <c r="K3" s="11"/>
      <c r="L3" s="11"/>
      <c r="M3" s="11"/>
    </row>
    <row r="4" spans="1:13" ht="12.75">
      <c r="A4" s="97" t="s">
        <v>17</v>
      </c>
      <c r="B4" s="97">
        <v>1</v>
      </c>
      <c r="C4" s="60">
        <v>2000</v>
      </c>
      <c r="D4" s="60">
        <f>B4*C4</f>
        <v>2000</v>
      </c>
      <c r="E4" s="60">
        <f>((C4-C4*(0.1))/5)*B4</f>
        <v>360</v>
      </c>
      <c r="F4" s="60">
        <f>(0.1)*C4*B4</f>
        <v>200</v>
      </c>
      <c r="G4" s="11"/>
      <c r="H4" s="11"/>
      <c r="I4" s="11"/>
      <c r="J4" s="11"/>
      <c r="K4" s="11"/>
      <c r="L4" s="11"/>
      <c r="M4" s="11"/>
    </row>
    <row r="5" spans="1:13" ht="12.75">
      <c r="A5" s="97" t="s">
        <v>9</v>
      </c>
      <c r="B5" s="97">
        <v>2</v>
      </c>
      <c r="C5" s="60">
        <v>30</v>
      </c>
      <c r="D5" s="60">
        <f>B5*C5</f>
        <v>60</v>
      </c>
      <c r="E5" s="60">
        <f>((C5-C5*(0.1))/5)*B5</f>
        <v>10.8</v>
      </c>
      <c r="F5" s="60">
        <f>(0.1)*C5*B5</f>
        <v>6</v>
      </c>
      <c r="G5" s="11"/>
      <c r="H5" s="11"/>
      <c r="I5" s="11"/>
      <c r="J5" s="11"/>
      <c r="K5" s="11"/>
      <c r="L5" s="11"/>
      <c r="M5" s="11"/>
    </row>
    <row r="6" spans="1:13" ht="12.75">
      <c r="A6" s="97" t="s">
        <v>41</v>
      </c>
      <c r="B6" s="97">
        <v>10</v>
      </c>
      <c r="C6" s="60">
        <v>7.2</v>
      </c>
      <c r="D6" s="60">
        <f>B6*C6</f>
        <v>72</v>
      </c>
      <c r="E6" s="60">
        <f>((C6-C6*(0.1))/5)*B6</f>
        <v>12.96</v>
      </c>
      <c r="F6" s="60">
        <f>(0.1)*C6*B6</f>
        <v>7.200000000000001</v>
      </c>
      <c r="G6" s="11"/>
      <c r="H6" s="11"/>
      <c r="I6" s="11"/>
      <c r="J6" s="11"/>
      <c r="K6" s="11"/>
      <c r="L6" s="11"/>
      <c r="M6" s="11"/>
    </row>
    <row r="7" spans="1:13" ht="12.75">
      <c r="A7" s="92" t="s">
        <v>16</v>
      </c>
      <c r="B7" s="38"/>
      <c r="C7" s="38"/>
      <c r="D7" s="151">
        <f>SUM(D4:D6)</f>
        <v>2132</v>
      </c>
      <c r="E7" s="60">
        <f>SUM(E4:E6)</f>
        <v>383.76</v>
      </c>
      <c r="F7" s="60">
        <f>SUM(F4:F6)</f>
        <v>213.2</v>
      </c>
      <c r="G7" s="11"/>
      <c r="H7" s="11"/>
      <c r="I7" s="11"/>
      <c r="J7" s="11"/>
      <c r="K7" s="11"/>
      <c r="L7" s="11"/>
      <c r="M7" s="11"/>
    </row>
    <row r="8" spans="1:13" ht="12.75">
      <c r="A8" s="11"/>
      <c r="B8" s="11"/>
      <c r="C8" s="11"/>
      <c r="D8" s="11"/>
      <c r="E8" s="147"/>
      <c r="F8" s="147"/>
      <c r="G8" s="11"/>
      <c r="H8" s="11"/>
      <c r="I8" s="11"/>
      <c r="J8" s="11"/>
      <c r="K8" s="11"/>
      <c r="L8" s="11"/>
      <c r="M8" s="11"/>
    </row>
    <row r="9" spans="1:13" ht="12.75">
      <c r="A9" s="226" t="s">
        <v>56</v>
      </c>
      <c r="B9" s="226"/>
      <c r="C9" s="226"/>
      <c r="D9" s="226"/>
      <c r="E9" s="226"/>
      <c r="F9" s="226"/>
      <c r="G9" s="11"/>
      <c r="H9" s="11"/>
      <c r="I9" s="11"/>
      <c r="J9" s="11"/>
      <c r="K9" s="11"/>
      <c r="L9" s="11"/>
      <c r="M9" s="11"/>
    </row>
    <row r="10" spans="1:13" ht="12.75">
      <c r="A10" s="92" t="s">
        <v>101</v>
      </c>
      <c r="B10" s="92" t="s">
        <v>14</v>
      </c>
      <c r="C10" s="93" t="s">
        <v>102</v>
      </c>
      <c r="D10" s="94" t="s">
        <v>103</v>
      </c>
      <c r="E10" s="94" t="s">
        <v>50</v>
      </c>
      <c r="F10" s="94" t="s">
        <v>172</v>
      </c>
      <c r="G10" s="11"/>
      <c r="H10" s="11"/>
      <c r="I10" s="11"/>
      <c r="J10" s="11"/>
      <c r="K10" s="11"/>
      <c r="L10" s="11"/>
      <c r="M10" s="11"/>
    </row>
    <row r="11" spans="1:13" ht="12.75">
      <c r="A11" s="38" t="s">
        <v>104</v>
      </c>
      <c r="B11" s="38">
        <v>4</v>
      </c>
      <c r="C11" s="60">
        <v>305</v>
      </c>
      <c r="D11" s="60">
        <f>B11*C11</f>
        <v>1220</v>
      </c>
      <c r="E11" s="60">
        <f>((D11-0.1*D11)/10)*B11</f>
        <v>439.2</v>
      </c>
      <c r="F11" s="60">
        <f>(0.1)*C11*B11</f>
        <v>122</v>
      </c>
      <c r="G11" s="11"/>
      <c r="H11" s="11"/>
      <c r="I11" s="11"/>
      <c r="J11" s="11"/>
      <c r="K11" s="11"/>
      <c r="L11" s="11"/>
      <c r="M11" s="11"/>
    </row>
    <row r="12" spans="1:13" ht="12.75">
      <c r="A12" s="38" t="s">
        <v>105</v>
      </c>
      <c r="B12" s="38">
        <v>12</v>
      </c>
      <c r="C12" s="60">
        <v>35</v>
      </c>
      <c r="D12" s="60">
        <f>B12*C12</f>
        <v>420</v>
      </c>
      <c r="E12" s="60">
        <f>((D12-0.1*D12)/10)*B12</f>
        <v>453.59999999999997</v>
      </c>
      <c r="F12" s="60">
        <f>(0.1)*C12*B12</f>
        <v>42</v>
      </c>
      <c r="G12" s="11"/>
      <c r="H12" s="11"/>
      <c r="I12" s="11"/>
      <c r="J12" s="11"/>
      <c r="K12" s="11"/>
      <c r="L12" s="11"/>
      <c r="M12" s="11"/>
    </row>
    <row r="13" spans="1:13" ht="12.75">
      <c r="A13" s="38" t="s">
        <v>106</v>
      </c>
      <c r="B13" s="38">
        <v>4</v>
      </c>
      <c r="C13" s="60">
        <v>15.3</v>
      </c>
      <c r="D13" s="60">
        <f>B13*C13</f>
        <v>61.2</v>
      </c>
      <c r="E13" s="60">
        <f>((D13-0.1*D13)/10)*B13</f>
        <v>22.032</v>
      </c>
      <c r="F13" s="60">
        <f>(0.1)*C13*B13</f>
        <v>6.120000000000001</v>
      </c>
      <c r="G13" s="11"/>
      <c r="H13" s="11"/>
      <c r="I13" s="11"/>
      <c r="J13" s="11"/>
      <c r="K13" s="11"/>
      <c r="L13" s="11"/>
      <c r="M13" s="11"/>
    </row>
    <row r="14" spans="1:13" ht="12.75">
      <c r="A14" s="38" t="s">
        <v>107</v>
      </c>
      <c r="B14" s="38">
        <v>4</v>
      </c>
      <c r="C14" s="60">
        <v>20</v>
      </c>
      <c r="D14" s="60">
        <f>B14*C14</f>
        <v>80</v>
      </c>
      <c r="E14" s="60">
        <f>((D14-0.1*D14)/10)*B14</f>
        <v>28.8</v>
      </c>
      <c r="F14" s="60">
        <f>(0.1)*C14*B14</f>
        <v>8</v>
      </c>
      <c r="G14" s="11"/>
      <c r="H14" s="11"/>
      <c r="I14" s="11"/>
      <c r="J14" s="11"/>
      <c r="K14" s="11"/>
      <c r="L14" s="11"/>
      <c r="M14" s="11"/>
    </row>
    <row r="15" spans="1:13" ht="12.75">
      <c r="A15" s="92" t="s">
        <v>16</v>
      </c>
      <c r="B15" s="38">
        <f>SUM(B11:B14)</f>
        <v>24</v>
      </c>
      <c r="C15" s="60"/>
      <c r="D15" s="151">
        <f>SUM(D11:D14)</f>
        <v>1781.2</v>
      </c>
      <c r="E15" s="60">
        <f>SUM(E11:E14)</f>
        <v>943.632</v>
      </c>
      <c r="F15" s="60">
        <f>SUM(F11:F14)</f>
        <v>178.12</v>
      </c>
      <c r="G15" s="11"/>
      <c r="H15" s="11"/>
      <c r="I15" s="11"/>
      <c r="J15" s="11"/>
      <c r="K15" s="11"/>
      <c r="L15" s="11"/>
      <c r="M15" s="11"/>
    </row>
    <row r="16" spans="1:13" ht="12.75">
      <c r="A16" s="11"/>
      <c r="B16" s="11"/>
      <c r="C16" s="11"/>
      <c r="D16" s="11"/>
      <c r="E16" s="147"/>
      <c r="F16" s="147"/>
      <c r="G16" s="11"/>
      <c r="H16" s="11"/>
      <c r="I16" s="11"/>
      <c r="J16" s="11"/>
      <c r="K16" s="11"/>
      <c r="L16" s="11"/>
      <c r="M16" s="11"/>
    </row>
    <row r="17" spans="1:13" ht="12.75">
      <c r="A17" s="226" t="s">
        <v>108</v>
      </c>
      <c r="B17" s="226"/>
      <c r="C17" s="226"/>
      <c r="D17" s="226"/>
      <c r="E17" s="226"/>
      <c r="F17" s="226"/>
      <c r="G17" s="11"/>
      <c r="H17" s="11"/>
      <c r="I17" s="11"/>
      <c r="J17" s="11"/>
      <c r="K17" s="11"/>
      <c r="L17" s="11"/>
      <c r="M17" s="11"/>
    </row>
    <row r="18" spans="1:13" ht="12.75">
      <c r="A18" s="92" t="s">
        <v>101</v>
      </c>
      <c r="B18" s="92" t="s">
        <v>14</v>
      </c>
      <c r="C18" s="93" t="s">
        <v>102</v>
      </c>
      <c r="D18" s="94" t="s">
        <v>103</v>
      </c>
      <c r="E18" s="94" t="s">
        <v>50</v>
      </c>
      <c r="F18" s="94" t="s">
        <v>172</v>
      </c>
      <c r="G18" s="11"/>
      <c r="H18" s="11"/>
      <c r="I18" s="11"/>
      <c r="J18" s="11"/>
      <c r="K18" s="11"/>
      <c r="L18" s="11"/>
      <c r="M18" s="11"/>
    </row>
    <row r="19" spans="1:13" ht="12.75">
      <c r="A19" s="38" t="s">
        <v>109</v>
      </c>
      <c r="B19" s="38">
        <v>4</v>
      </c>
      <c r="C19" s="60">
        <v>42</v>
      </c>
      <c r="D19" s="60">
        <f>B19*C19</f>
        <v>168</v>
      </c>
      <c r="E19" s="60">
        <f>((C19-C19*(0.1))/10)*B19</f>
        <v>15.12</v>
      </c>
      <c r="F19" s="60">
        <f>(0.1)*C19*B19</f>
        <v>16.8</v>
      </c>
      <c r="G19" s="11"/>
      <c r="H19" s="11"/>
      <c r="I19" s="11"/>
      <c r="J19" s="11"/>
      <c r="K19" s="11"/>
      <c r="L19" s="11"/>
      <c r="M19" s="11"/>
    </row>
    <row r="20" spans="1:13" ht="12.75">
      <c r="A20" s="38" t="s">
        <v>110</v>
      </c>
      <c r="B20" s="38">
        <v>2</v>
      </c>
      <c r="C20" s="60">
        <v>48</v>
      </c>
      <c r="D20" s="60">
        <f>B20*C20</f>
        <v>96</v>
      </c>
      <c r="E20" s="60">
        <f>((C20-C20*(0.1))/10)*B20</f>
        <v>8.64</v>
      </c>
      <c r="F20" s="60">
        <f>(0.1)*C20*B20</f>
        <v>9.600000000000001</v>
      </c>
      <c r="G20" s="11"/>
      <c r="H20" s="11"/>
      <c r="I20" s="11"/>
      <c r="J20" s="11"/>
      <c r="K20" s="11"/>
      <c r="L20" s="11"/>
      <c r="M20" s="11"/>
    </row>
    <row r="21" spans="1:13" ht="12.75">
      <c r="A21" s="38" t="s">
        <v>111</v>
      </c>
      <c r="B21" s="38">
        <v>1</v>
      </c>
      <c r="C21" s="60">
        <v>80</v>
      </c>
      <c r="D21" s="60">
        <f>B21*C21</f>
        <v>80</v>
      </c>
      <c r="E21" s="60">
        <f>((C21-C21*(0.1))/10)*B21</f>
        <v>7.2</v>
      </c>
      <c r="F21" s="60">
        <f>(0.1)*C21*B21</f>
        <v>8</v>
      </c>
      <c r="G21" s="11"/>
      <c r="H21" s="11"/>
      <c r="I21" s="11"/>
      <c r="J21" s="11"/>
      <c r="K21" s="11"/>
      <c r="L21" s="11"/>
      <c r="M21" s="11"/>
    </row>
    <row r="22" spans="1:13" ht="12.75">
      <c r="A22" s="38" t="s">
        <v>112</v>
      </c>
      <c r="B22" s="38">
        <v>4</v>
      </c>
      <c r="C22" s="60">
        <v>45</v>
      </c>
      <c r="D22" s="60">
        <f>B22*C22</f>
        <v>180</v>
      </c>
      <c r="E22" s="60">
        <f>((C22-C22*(0.1))/10)*B22</f>
        <v>16.2</v>
      </c>
      <c r="F22" s="60">
        <f>(0.1)*C22*B22</f>
        <v>18</v>
      </c>
      <c r="G22" s="11"/>
      <c r="H22" s="11"/>
      <c r="I22" s="11"/>
      <c r="J22" s="11"/>
      <c r="K22" s="11"/>
      <c r="L22" s="11"/>
      <c r="M22" s="11"/>
    </row>
    <row r="23" spans="1:13" ht="12.75">
      <c r="A23" s="38" t="s">
        <v>113</v>
      </c>
      <c r="B23" s="38">
        <v>4</v>
      </c>
      <c r="C23" s="60">
        <v>698.96</v>
      </c>
      <c r="D23" s="60">
        <f>B23*C23</f>
        <v>2795.84</v>
      </c>
      <c r="E23" s="60">
        <f>((C23-C23*(0.1))/10)*B23</f>
        <v>251.62560000000002</v>
      </c>
      <c r="F23" s="60">
        <f>(0.1)*C23*B23</f>
        <v>279.584</v>
      </c>
      <c r="G23" s="11"/>
      <c r="H23" s="11"/>
      <c r="I23" s="11"/>
      <c r="J23" s="11"/>
      <c r="K23" s="11"/>
      <c r="L23" s="11"/>
      <c r="M23" s="11"/>
    </row>
    <row r="24" spans="1:13" ht="12.75">
      <c r="A24" s="92" t="s">
        <v>16</v>
      </c>
      <c r="B24" s="38">
        <f>SUM(B19:B23)</f>
        <v>15</v>
      </c>
      <c r="C24" s="60"/>
      <c r="D24" s="151">
        <f>SUM(D19:D23)</f>
        <v>3319.84</v>
      </c>
      <c r="E24" s="60">
        <f>SUM(E19:E23)</f>
        <v>298.78560000000004</v>
      </c>
      <c r="F24" s="60">
        <f>SUM(F19:F23)</f>
        <v>331.98400000000004</v>
      </c>
      <c r="G24" s="11"/>
      <c r="H24" s="11"/>
      <c r="I24" s="11"/>
      <c r="J24" s="11"/>
      <c r="K24" s="11"/>
      <c r="L24" s="11"/>
      <c r="M24" s="11"/>
    </row>
    <row r="25" spans="1:13" ht="12.75">
      <c r="A25" s="11"/>
      <c r="B25" s="11"/>
      <c r="C25" s="11"/>
      <c r="D25" s="11"/>
      <c r="E25" s="147"/>
      <c r="F25" s="147"/>
      <c r="G25" s="11"/>
      <c r="H25" s="11"/>
      <c r="I25" s="11"/>
      <c r="J25" s="11"/>
      <c r="K25" s="11"/>
      <c r="L25" s="11"/>
      <c r="M25" s="11"/>
    </row>
    <row r="26" spans="1:13" ht="12.75">
      <c r="A26" s="226" t="s">
        <v>114</v>
      </c>
      <c r="B26" s="226"/>
      <c r="C26" s="226"/>
      <c r="D26" s="226"/>
      <c r="E26" s="226"/>
      <c r="F26" s="226"/>
      <c r="G26" s="11"/>
      <c r="H26" s="11"/>
      <c r="I26" s="11"/>
      <c r="J26" s="11"/>
      <c r="K26" s="11"/>
      <c r="L26" s="11"/>
      <c r="M26" s="11"/>
    </row>
    <row r="27" spans="1:13" ht="12.75">
      <c r="A27" s="92" t="s">
        <v>101</v>
      </c>
      <c r="B27" s="92" t="s">
        <v>14</v>
      </c>
      <c r="C27" s="93" t="s">
        <v>102</v>
      </c>
      <c r="D27" s="94" t="s">
        <v>103</v>
      </c>
      <c r="E27" s="94" t="s">
        <v>50</v>
      </c>
      <c r="F27" s="94" t="s">
        <v>172</v>
      </c>
      <c r="G27" s="11"/>
      <c r="H27" s="11"/>
      <c r="I27" s="11"/>
      <c r="J27" s="11"/>
      <c r="K27" s="11"/>
      <c r="L27" s="11"/>
      <c r="M27" s="11"/>
    </row>
    <row r="28" spans="1:13" ht="12.75">
      <c r="A28" s="38" t="s">
        <v>115</v>
      </c>
      <c r="B28" s="38">
        <v>3</v>
      </c>
      <c r="C28" s="60">
        <v>1048</v>
      </c>
      <c r="D28" s="60">
        <f>B28*C28</f>
        <v>3144</v>
      </c>
      <c r="E28" s="60">
        <f>((C28-C28*(0.1))/3)*B28</f>
        <v>943.2</v>
      </c>
      <c r="F28" s="60">
        <f>(0.1)*C28*B28</f>
        <v>314.40000000000003</v>
      </c>
      <c r="G28" s="11"/>
      <c r="H28" s="11"/>
      <c r="I28" s="11"/>
      <c r="J28" s="11"/>
      <c r="K28" s="11"/>
      <c r="L28" s="11"/>
      <c r="M28" s="11"/>
    </row>
    <row r="29" spans="1:13" ht="12.75">
      <c r="A29" s="38" t="s">
        <v>116</v>
      </c>
      <c r="B29" s="38">
        <v>1</v>
      </c>
      <c r="C29" s="60">
        <v>1200</v>
      </c>
      <c r="D29" s="60">
        <f>B29*C29</f>
        <v>1200</v>
      </c>
      <c r="E29" s="60">
        <f>((C29-C29*(0.1))/3)*B29</f>
        <v>360</v>
      </c>
      <c r="F29" s="60">
        <f>(0.1)*C29*B29</f>
        <v>120</v>
      </c>
      <c r="G29" s="11"/>
      <c r="H29" s="11"/>
      <c r="I29" s="11"/>
      <c r="J29" s="11"/>
      <c r="K29" s="11"/>
      <c r="L29" s="11"/>
      <c r="M29" s="11"/>
    </row>
    <row r="30" spans="1:13" ht="12.75">
      <c r="A30" s="92" t="s">
        <v>16</v>
      </c>
      <c r="B30" s="38">
        <f>SUM(B28:B29)</f>
        <v>4</v>
      </c>
      <c r="C30" s="60"/>
      <c r="D30" s="151">
        <f>SUM(D28:D29)</f>
        <v>4344</v>
      </c>
      <c r="E30" s="60">
        <f>SUM(E28:E29)</f>
        <v>1303.2</v>
      </c>
      <c r="F30" s="60">
        <f>SUM(F28:F29)</f>
        <v>434.40000000000003</v>
      </c>
      <c r="G30" s="11"/>
      <c r="H30" s="11"/>
      <c r="I30" s="11"/>
      <c r="J30" s="11"/>
      <c r="K30" s="11"/>
      <c r="L30" s="11"/>
      <c r="M30" s="11"/>
    </row>
    <row r="31" spans="1:13" ht="12.75">
      <c r="A31" s="11"/>
      <c r="B31" s="11"/>
      <c r="C31" s="11"/>
      <c r="D31" s="11"/>
      <c r="E31" s="147"/>
      <c r="F31" s="147"/>
      <c r="G31" s="11"/>
      <c r="H31" s="11"/>
      <c r="I31" s="11"/>
      <c r="J31" s="11"/>
      <c r="K31" s="11"/>
      <c r="L31" s="11"/>
      <c r="M31" s="11"/>
    </row>
    <row r="32" spans="1:13" ht="12.75">
      <c r="A32" s="226" t="s">
        <v>118</v>
      </c>
      <c r="B32" s="226"/>
      <c r="C32" s="226"/>
      <c r="D32" s="226"/>
      <c r="E32" s="226"/>
      <c r="F32" s="226"/>
      <c r="G32" s="11"/>
      <c r="H32" s="11"/>
      <c r="I32" s="11"/>
      <c r="J32" s="11"/>
      <c r="K32" s="11"/>
      <c r="L32" s="11"/>
      <c r="M32" s="11"/>
    </row>
    <row r="33" spans="1:13" ht="12.75">
      <c r="A33" s="92" t="s">
        <v>101</v>
      </c>
      <c r="B33" s="92" t="s">
        <v>14</v>
      </c>
      <c r="C33" s="93" t="s">
        <v>102</v>
      </c>
      <c r="D33" s="94" t="s">
        <v>103</v>
      </c>
      <c r="E33" s="94" t="s">
        <v>50</v>
      </c>
      <c r="F33" s="94" t="s">
        <v>172</v>
      </c>
      <c r="G33" s="11"/>
      <c r="H33" s="11"/>
      <c r="I33" s="11"/>
      <c r="J33" s="11"/>
      <c r="K33" s="11"/>
      <c r="L33" s="11"/>
      <c r="M33" s="11"/>
    </row>
    <row r="34" spans="1:13" ht="12.75">
      <c r="A34" s="38" t="s">
        <v>119</v>
      </c>
      <c r="B34" s="38">
        <v>1</v>
      </c>
      <c r="C34" s="60">
        <v>15000</v>
      </c>
      <c r="D34" s="60">
        <f>B34*C34</f>
        <v>15000</v>
      </c>
      <c r="E34" s="60">
        <f>((C34-C34*(0.1))/5)*B34</f>
        <v>2700</v>
      </c>
      <c r="F34" s="60">
        <f>(0.1)*C34*B34</f>
        <v>1500</v>
      </c>
      <c r="G34" s="11"/>
      <c r="H34" s="11"/>
      <c r="I34" s="11"/>
      <c r="J34" s="11"/>
      <c r="K34" s="11"/>
      <c r="L34" s="11"/>
      <c r="M34" s="11"/>
    </row>
    <row r="35" spans="1:13" ht="12.75">
      <c r="A35" s="92" t="s">
        <v>16</v>
      </c>
      <c r="B35" s="38">
        <f>SUM(B34)</f>
        <v>1</v>
      </c>
      <c r="C35" s="60"/>
      <c r="D35" s="151">
        <f>SUM(D34)</f>
        <v>15000</v>
      </c>
      <c r="E35" s="60">
        <f>SUM(E34)</f>
        <v>2700</v>
      </c>
      <c r="F35" s="60">
        <f>SUM(F34)</f>
        <v>1500</v>
      </c>
      <c r="G35" s="11"/>
      <c r="H35" s="11"/>
      <c r="I35" s="11"/>
      <c r="J35" s="11"/>
      <c r="K35" s="11"/>
      <c r="L35" s="11"/>
      <c r="M35" s="11"/>
    </row>
    <row r="36" spans="1:13" ht="12.75">
      <c r="A36" s="11"/>
      <c r="B36" s="11"/>
      <c r="C36" s="11"/>
      <c r="D36" s="11"/>
      <c r="E36" s="32"/>
      <c r="F36" s="32"/>
      <c r="G36" s="11"/>
      <c r="H36" s="11"/>
      <c r="I36" s="11"/>
      <c r="J36" s="11"/>
      <c r="K36" s="11"/>
      <c r="L36" s="11"/>
      <c r="M36" s="11"/>
    </row>
    <row r="37" spans="1:13" ht="12.75">
      <c r="A37" s="11"/>
      <c r="B37" s="11"/>
      <c r="C37" s="92" t="s">
        <v>16</v>
      </c>
      <c r="D37" s="168">
        <f>D7+D15+D24+D30+D35</f>
        <v>26577.04</v>
      </c>
      <c r="E37" s="151">
        <f>SUM(E35+E30+E24+E15+E7)</f>
        <v>5629.3776</v>
      </c>
      <c r="F37" s="151">
        <f>F7+F15+F24+F30+F35</f>
        <v>2657.704</v>
      </c>
      <c r="G37" s="11"/>
      <c r="H37" s="11"/>
      <c r="I37" s="11"/>
      <c r="J37" s="11"/>
      <c r="K37" s="11"/>
      <c r="L37" s="11"/>
      <c r="M37" s="11"/>
    </row>
    <row r="38" spans="1:13" ht="12.7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</row>
    <row r="39" spans="1:13" ht="12.7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</row>
    <row r="40" spans="1:13" ht="12.7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</row>
    <row r="41" spans="1:13" ht="12.7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</row>
    <row r="42" spans="1:13" ht="12.7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</row>
    <row r="43" spans="1:13" ht="12.7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</row>
    <row r="44" spans="1:13" ht="12.7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</row>
    <row r="45" spans="1:13" ht="12.7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</row>
    <row r="46" spans="1:13" ht="12.7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</row>
    <row r="47" spans="1:13" ht="12.7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</row>
    <row r="48" spans="1:13" ht="12.7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</row>
  </sheetData>
  <sheetProtection/>
  <mergeCells count="5">
    <mergeCell ref="A32:F32"/>
    <mergeCell ref="A2:F2"/>
    <mergeCell ref="A9:F9"/>
    <mergeCell ref="A17:F17"/>
    <mergeCell ref="A26:F26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0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44.00390625" style="11" bestFit="1" customWidth="1"/>
    <col min="2" max="2" width="11.00390625" style="11" bestFit="1" customWidth="1"/>
    <col min="3" max="3" width="11.28125" style="11" bestFit="1" customWidth="1"/>
    <col min="4" max="16384" width="11.421875" style="11" customWidth="1"/>
  </cols>
  <sheetData>
    <row r="2" spans="1:3" ht="13.5" thickBot="1">
      <c r="A2" s="264" t="s">
        <v>230</v>
      </c>
      <c r="B2" s="264"/>
      <c r="C2" s="264"/>
    </row>
    <row r="3" spans="1:3" ht="13.5" thickBot="1">
      <c r="A3" s="265"/>
      <c r="B3" s="265"/>
      <c r="C3" s="265"/>
    </row>
    <row r="4" spans="1:3" ht="13.5" thickBot="1">
      <c r="A4" s="227" t="s">
        <v>216</v>
      </c>
      <c r="B4" s="229" t="s">
        <v>217</v>
      </c>
      <c r="C4" s="230"/>
    </row>
    <row r="5" spans="1:3" ht="13.5" thickBot="1">
      <c r="A5" s="228"/>
      <c r="B5" s="175" t="s">
        <v>218</v>
      </c>
      <c r="C5" s="175" t="s">
        <v>219</v>
      </c>
    </row>
    <row r="6" spans="1:3" ht="12.75">
      <c r="A6" s="176" t="s">
        <v>220</v>
      </c>
      <c r="B6" s="177"/>
      <c r="C6" s="177">
        <v>4500</v>
      </c>
    </row>
    <row r="7" spans="1:3" ht="12.75">
      <c r="A7" s="176" t="s">
        <v>221</v>
      </c>
      <c r="B7" s="177"/>
      <c r="C7" s="177">
        <f>B8</f>
        <v>3400</v>
      </c>
    </row>
    <row r="8" spans="1:3" ht="12.75">
      <c r="A8" s="178" t="s">
        <v>222</v>
      </c>
      <c r="B8" s="184">
        <f>1700*2</f>
        <v>3400</v>
      </c>
      <c r="C8" s="177"/>
    </row>
    <row r="9" spans="1:3" ht="12.75">
      <c r="A9" s="176" t="s">
        <v>223</v>
      </c>
      <c r="B9" s="177"/>
      <c r="C9" s="177">
        <f>B10+B11+B12</f>
        <v>747.6</v>
      </c>
    </row>
    <row r="10" spans="1:3" ht="12.75">
      <c r="A10" s="178" t="s">
        <v>224</v>
      </c>
      <c r="B10" s="177">
        <v>350</v>
      </c>
      <c r="C10" s="177"/>
    </row>
    <row r="11" spans="1:3" ht="12.75">
      <c r="A11" s="178" t="s">
        <v>225</v>
      </c>
      <c r="B11" s="177">
        <v>317.5</v>
      </c>
      <c r="C11" s="177"/>
    </row>
    <row r="12" spans="1:3" ht="12.75">
      <c r="A12" s="178" t="s">
        <v>226</v>
      </c>
      <c r="B12" s="177">
        <f>((B10+B11)*12)/100</f>
        <v>80.1</v>
      </c>
      <c r="C12" s="177"/>
    </row>
    <row r="13" spans="1:3" ht="12.75">
      <c r="A13" s="176" t="s">
        <v>227</v>
      </c>
      <c r="B13" s="177"/>
      <c r="C13" s="177">
        <f>B14+B15</f>
        <v>1030.4</v>
      </c>
    </row>
    <row r="14" spans="1:3" ht="12.75">
      <c r="A14" s="178" t="s">
        <v>228</v>
      </c>
      <c r="B14" s="177">
        <v>920</v>
      </c>
      <c r="C14" s="177"/>
    </row>
    <row r="15" spans="1:3" ht="12.75">
      <c r="A15" s="178" t="s">
        <v>226</v>
      </c>
      <c r="B15" s="177">
        <f>B14*12/100</f>
        <v>110.4</v>
      </c>
      <c r="C15" s="177"/>
    </row>
    <row r="16" spans="1:3" ht="12.75">
      <c r="A16" s="176" t="s">
        <v>229</v>
      </c>
      <c r="B16" s="177"/>
      <c r="C16" s="177">
        <f>B17+B18</f>
        <v>349.44</v>
      </c>
    </row>
    <row r="17" spans="1:3" ht="12.75">
      <c r="A17" s="178" t="s">
        <v>228</v>
      </c>
      <c r="B17" s="177">
        <v>312</v>
      </c>
      <c r="C17" s="177"/>
    </row>
    <row r="18" spans="1:3" ht="12.75">
      <c r="A18" s="178" t="s">
        <v>226</v>
      </c>
      <c r="B18" s="177">
        <f>B17*12/100</f>
        <v>37.44</v>
      </c>
      <c r="C18" s="177"/>
    </row>
    <row r="19" spans="1:3" ht="13.5" thickBot="1">
      <c r="A19" s="176" t="s">
        <v>231</v>
      </c>
      <c r="B19" s="177"/>
      <c r="C19" s="177">
        <v>364.8</v>
      </c>
    </row>
    <row r="20" spans="1:3" ht="13.5" thickBot="1">
      <c r="A20" s="179"/>
      <c r="B20" s="161" t="s">
        <v>16</v>
      </c>
      <c r="C20" s="180">
        <f>SUM(C6:C19)</f>
        <v>10392.24</v>
      </c>
    </row>
  </sheetData>
  <sheetProtection/>
  <mergeCells count="3">
    <mergeCell ref="A4:A5"/>
    <mergeCell ref="B4:C4"/>
    <mergeCell ref="A2:C2"/>
  </mergeCell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5"/>
  <sheetViews>
    <sheetView zoomScalePageLayoutView="0" workbookViewId="0" topLeftCell="A13">
      <selection activeCell="J34" sqref="J34:K34"/>
    </sheetView>
  </sheetViews>
  <sheetFormatPr defaultColWidth="11.421875" defaultRowHeight="12.75"/>
  <cols>
    <col min="1" max="1" width="52.140625" style="0" customWidth="1"/>
    <col min="2" max="2" width="4.7109375" style="0" hidden="1" customWidth="1"/>
    <col min="3" max="3" width="12.421875" style="0" bestFit="1" customWidth="1"/>
    <col min="4" max="4" width="14.57421875" style="34" bestFit="1" customWidth="1"/>
    <col min="5" max="6" width="11.28125" style="34" customWidth="1"/>
    <col min="7" max="7" width="12.28125" style="34" bestFit="1" customWidth="1"/>
    <col min="9" max="9" width="15.00390625" style="0" customWidth="1"/>
    <col min="10" max="11" width="8.00390625" style="0" customWidth="1"/>
    <col min="12" max="12" width="13.00390625" style="0" bestFit="1" customWidth="1"/>
    <col min="13" max="13" width="13.00390625" style="0" customWidth="1"/>
    <col min="14" max="14" width="9.7109375" style="0" customWidth="1"/>
    <col min="15" max="15" width="12.00390625" style="0" customWidth="1"/>
    <col min="16" max="16" width="14.28125" style="0" customWidth="1"/>
  </cols>
  <sheetData>
    <row r="1" spans="1:17" ht="20.25">
      <c r="A1" s="242" t="s">
        <v>208</v>
      </c>
      <c r="B1" s="242"/>
      <c r="C1" s="242"/>
      <c r="D1" s="242"/>
      <c r="E1" s="242"/>
      <c r="F1" s="242"/>
      <c r="G1" s="242"/>
      <c r="H1" s="11"/>
      <c r="I1" s="11"/>
      <c r="J1" s="11"/>
      <c r="K1" s="11"/>
      <c r="L1" s="11"/>
      <c r="M1" s="11"/>
      <c r="N1" s="11"/>
      <c r="O1" s="11"/>
      <c r="P1" s="11"/>
      <c r="Q1" s="11"/>
    </row>
    <row r="2" spans="1:17" ht="24" thickBot="1">
      <c r="A2" s="11"/>
      <c r="B2" s="41"/>
      <c r="C2" s="11"/>
      <c r="D2" s="42"/>
      <c r="E2" s="42"/>
      <c r="F2" s="42"/>
      <c r="G2" s="42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spans="1:17" ht="16.5" thickBot="1">
      <c r="A3" s="84" t="s">
        <v>3</v>
      </c>
      <c r="B3" s="85"/>
      <c r="C3" s="86" t="s">
        <v>0</v>
      </c>
      <c r="D3" s="87" t="s">
        <v>43</v>
      </c>
      <c r="E3" s="86" t="s">
        <v>14</v>
      </c>
      <c r="F3" s="86"/>
      <c r="G3" s="87" t="s">
        <v>1</v>
      </c>
      <c r="H3" s="11"/>
      <c r="I3" s="11"/>
      <c r="J3" s="11"/>
      <c r="K3" s="11"/>
      <c r="L3" s="11"/>
      <c r="M3" s="11"/>
      <c r="N3" s="11"/>
      <c r="O3" s="11"/>
      <c r="P3" s="11"/>
      <c r="Q3" s="11"/>
    </row>
    <row r="4" spans="1:17" ht="15.75" customHeight="1">
      <c r="A4" s="43"/>
      <c r="B4" s="44"/>
      <c r="C4" s="45"/>
      <c r="D4" s="46"/>
      <c r="E4" s="47"/>
      <c r="F4" s="47"/>
      <c r="G4" s="48"/>
      <c r="H4" s="11"/>
      <c r="I4" s="243" t="s">
        <v>55</v>
      </c>
      <c r="J4" s="244"/>
      <c r="K4" s="244"/>
      <c r="L4" s="244"/>
      <c r="M4" s="236" t="s">
        <v>14</v>
      </c>
      <c r="N4" s="236" t="s">
        <v>85</v>
      </c>
      <c r="O4" s="239" t="s">
        <v>84</v>
      </c>
      <c r="P4" s="231" t="s">
        <v>86</v>
      </c>
      <c r="Q4" s="231" t="s">
        <v>87</v>
      </c>
    </row>
    <row r="5" spans="1:17" ht="18">
      <c r="A5" s="43" t="s">
        <v>136</v>
      </c>
      <c r="B5" s="49"/>
      <c r="C5" s="11"/>
      <c r="D5" s="42"/>
      <c r="E5" s="42"/>
      <c r="F5" s="42"/>
      <c r="G5" s="42"/>
      <c r="H5" s="11"/>
      <c r="I5" s="245"/>
      <c r="J5" s="246"/>
      <c r="K5" s="246"/>
      <c r="L5" s="246"/>
      <c r="M5" s="237"/>
      <c r="N5" s="237"/>
      <c r="O5" s="239"/>
      <c r="P5" s="232"/>
      <c r="Q5" s="232"/>
    </row>
    <row r="6" spans="1:17" ht="15">
      <c r="A6" s="50" t="s">
        <v>82</v>
      </c>
      <c r="B6" s="51"/>
      <c r="C6" s="52"/>
      <c r="D6" s="53"/>
      <c r="E6" s="53"/>
      <c r="F6" s="53"/>
      <c r="G6" s="53"/>
      <c r="H6" s="11"/>
      <c r="I6" s="245"/>
      <c r="J6" s="246"/>
      <c r="K6" s="246"/>
      <c r="L6" s="246"/>
      <c r="M6" s="237"/>
      <c r="N6" s="237"/>
      <c r="O6" s="239"/>
      <c r="P6" s="232"/>
      <c r="Q6" s="232"/>
    </row>
    <row r="7" spans="1:17" ht="12.75">
      <c r="A7" s="38" t="s">
        <v>12</v>
      </c>
      <c r="B7" s="54">
        <v>0.45</v>
      </c>
      <c r="C7" s="52" t="s">
        <v>13</v>
      </c>
      <c r="D7" s="55">
        <v>1</v>
      </c>
      <c r="E7" s="56">
        <f>'AD.&amp;D.'!$C$8</f>
        <v>3739.9999999999977</v>
      </c>
      <c r="F7" s="56"/>
      <c r="G7" s="60">
        <f>D7*E7</f>
        <v>3739.9999999999977</v>
      </c>
      <c r="H7" s="11"/>
      <c r="I7" s="247"/>
      <c r="J7" s="215"/>
      <c r="K7" s="215"/>
      <c r="L7" s="215"/>
      <c r="M7" s="238"/>
      <c r="N7" s="238"/>
      <c r="O7" s="239"/>
      <c r="P7" s="233"/>
      <c r="Q7" s="233"/>
    </row>
    <row r="8" spans="1:17" ht="12.75">
      <c r="A8" s="38" t="s">
        <v>83</v>
      </c>
      <c r="B8" s="54">
        <v>0.45</v>
      </c>
      <c r="C8" s="52" t="s">
        <v>13</v>
      </c>
      <c r="D8" s="53">
        <v>0.5</v>
      </c>
      <c r="E8" s="56">
        <f>'AD.&amp;D.'!$C$8</f>
        <v>3739.9999999999977</v>
      </c>
      <c r="F8" s="56"/>
      <c r="G8" s="60">
        <f>D8*E8</f>
        <v>1869.9999999999989</v>
      </c>
      <c r="H8" s="11"/>
      <c r="I8" s="234" t="s">
        <v>17</v>
      </c>
      <c r="J8" s="234"/>
      <c r="K8" s="234"/>
      <c r="L8" s="235"/>
      <c r="M8" s="142">
        <v>1</v>
      </c>
      <c r="N8" s="38">
        <v>5</v>
      </c>
      <c r="O8" s="38">
        <f>'INVER.IN.'!C12</f>
        <v>2000</v>
      </c>
      <c r="P8" s="60">
        <f>(O8-O8*(0.1))/N8</f>
        <v>360</v>
      </c>
      <c r="Q8" s="60">
        <f>O8*0.1</f>
        <v>200</v>
      </c>
    </row>
    <row r="9" spans="1:17" ht="12.75">
      <c r="A9" s="38" t="s">
        <v>44</v>
      </c>
      <c r="B9" s="54">
        <v>0.1</v>
      </c>
      <c r="C9" s="52" t="s">
        <v>13</v>
      </c>
      <c r="D9" s="53">
        <v>0.6</v>
      </c>
      <c r="E9" s="57">
        <v>1209.6</v>
      </c>
      <c r="F9" s="57"/>
      <c r="G9" s="60">
        <f>D9*E9</f>
        <v>725.7599999999999</v>
      </c>
      <c r="H9" s="11"/>
      <c r="I9" s="234" t="s">
        <v>9</v>
      </c>
      <c r="J9" s="234"/>
      <c r="K9" s="234"/>
      <c r="L9" s="235"/>
      <c r="M9" s="142">
        <v>2</v>
      </c>
      <c r="N9" s="38">
        <v>5</v>
      </c>
      <c r="O9" s="38">
        <f>'INVER.IN.'!C13</f>
        <v>60</v>
      </c>
      <c r="P9" s="60">
        <f>'ACT. F.'!E5</f>
        <v>10.8</v>
      </c>
      <c r="Q9" s="60">
        <f>O9*0.1*M9</f>
        <v>12</v>
      </c>
    </row>
    <row r="10" spans="1:17" ht="12.75">
      <c r="A10" s="38" t="s">
        <v>15</v>
      </c>
      <c r="B10" s="54"/>
      <c r="C10" s="52" t="s">
        <v>15</v>
      </c>
      <c r="D10" s="53">
        <v>0.4</v>
      </c>
      <c r="E10" s="57">
        <f>'AD.&amp;D.'!C16</f>
        <v>448799.9999999997</v>
      </c>
      <c r="F10" s="57"/>
      <c r="G10" s="60">
        <f>D10*E10</f>
        <v>179519.99999999988</v>
      </c>
      <c r="H10" s="11"/>
      <c r="I10" s="235" t="s">
        <v>41</v>
      </c>
      <c r="J10" s="216"/>
      <c r="K10" s="216"/>
      <c r="L10" s="216"/>
      <c r="M10" s="142">
        <v>10</v>
      </c>
      <c r="N10" s="38">
        <v>5</v>
      </c>
      <c r="O10" s="38">
        <f>'INVER.IN.'!C14</f>
        <v>72</v>
      </c>
      <c r="P10" s="60">
        <f>(O10-O10*(0.1))/N10</f>
        <v>12.959999999999999</v>
      </c>
      <c r="Q10" s="60">
        <f>O10*0.1</f>
        <v>7.2</v>
      </c>
    </row>
    <row r="11" spans="1:17" ht="12.75">
      <c r="A11" s="38" t="s">
        <v>47</v>
      </c>
      <c r="B11" s="54"/>
      <c r="C11" s="52"/>
      <c r="D11" s="53">
        <v>94</v>
      </c>
      <c r="E11" s="57">
        <v>12</v>
      </c>
      <c r="F11" s="57"/>
      <c r="G11" s="60">
        <f>D11*E11</f>
        <v>1128</v>
      </c>
      <c r="H11" s="11"/>
      <c r="I11" s="235" t="s">
        <v>56</v>
      </c>
      <c r="J11" s="216"/>
      <c r="K11" s="216"/>
      <c r="L11" s="216"/>
      <c r="M11" s="142">
        <f>'ACT. F.'!B15</f>
        <v>24</v>
      </c>
      <c r="N11" s="38">
        <v>10</v>
      </c>
      <c r="O11" s="38">
        <f>'ACT. F.'!D15</f>
        <v>1781.2</v>
      </c>
      <c r="P11" s="60">
        <f>'ACT. F.'!E15</f>
        <v>943.632</v>
      </c>
      <c r="Q11" s="60">
        <f>'ACT. F.'!F15</f>
        <v>178.12</v>
      </c>
    </row>
    <row r="12" spans="1:17" ht="12.75">
      <c r="A12" s="38" t="s">
        <v>149</v>
      </c>
      <c r="B12" s="54"/>
      <c r="C12" s="52"/>
      <c r="D12" s="53"/>
      <c r="E12" s="57"/>
      <c r="F12" s="57"/>
      <c r="G12" s="60"/>
      <c r="H12" s="11"/>
      <c r="I12" s="62" t="s">
        <v>117</v>
      </c>
      <c r="J12" s="63"/>
      <c r="K12" s="63"/>
      <c r="L12" s="63"/>
      <c r="M12" s="142">
        <f>'ACT. F.'!B30</f>
        <v>4</v>
      </c>
      <c r="N12" s="38">
        <v>3</v>
      </c>
      <c r="O12" s="38">
        <f>'ACT. F.'!D30</f>
        <v>4344</v>
      </c>
      <c r="P12" s="60">
        <f>'ACT. F.'!E30</f>
        <v>1303.2</v>
      </c>
      <c r="Q12" s="60">
        <f>'ACT. F.'!F30</f>
        <v>434.40000000000003</v>
      </c>
    </row>
    <row r="13" spans="1:17" ht="12.75">
      <c r="A13" s="38" t="s">
        <v>22</v>
      </c>
      <c r="B13" s="38"/>
      <c r="C13" s="52" t="s">
        <v>62</v>
      </c>
      <c r="D13" s="65">
        <v>0.6</v>
      </c>
      <c r="E13" s="56">
        <f>'AD.&amp;D.'!C5</f>
        <v>1989.9999999999977</v>
      </c>
      <c r="F13" s="56"/>
      <c r="G13" s="106">
        <f>E13*D13</f>
        <v>1193.9999999999986</v>
      </c>
      <c r="H13" s="11"/>
      <c r="I13" s="62" t="s">
        <v>122</v>
      </c>
      <c r="J13" s="63"/>
      <c r="K13" s="63"/>
      <c r="L13" s="63"/>
      <c r="M13" s="142">
        <f>'ACT. F.'!B24</f>
        <v>15</v>
      </c>
      <c r="N13" s="38">
        <v>10</v>
      </c>
      <c r="O13" s="38">
        <f>'ACT. F.'!D24</f>
        <v>3319.84</v>
      </c>
      <c r="P13" s="60">
        <f>'ACT. F.'!E24</f>
        <v>298.78560000000004</v>
      </c>
      <c r="Q13" s="60">
        <f>'ACT. F.'!F24</f>
        <v>331.98400000000004</v>
      </c>
    </row>
    <row r="14" spans="1:17" ht="12.75">
      <c r="A14" s="38" t="s">
        <v>23</v>
      </c>
      <c r="B14" s="38"/>
      <c r="C14" s="52" t="s">
        <v>62</v>
      </c>
      <c r="D14" s="38">
        <v>0.65</v>
      </c>
      <c r="E14" s="56">
        <f>'AD.&amp;D.'!C6</f>
        <v>1750</v>
      </c>
      <c r="F14" s="56"/>
      <c r="G14" s="106">
        <f>E14*D14</f>
        <v>1137.5</v>
      </c>
      <c r="H14" s="11"/>
      <c r="I14" s="62" t="s">
        <v>118</v>
      </c>
      <c r="J14" s="63"/>
      <c r="K14" s="63"/>
      <c r="L14" s="63"/>
      <c r="M14" s="142">
        <f>'ACT. F.'!B35</f>
        <v>1</v>
      </c>
      <c r="N14" s="38">
        <v>5</v>
      </c>
      <c r="O14" s="38">
        <f>'INVER.IN.'!C19</f>
        <v>15000</v>
      </c>
      <c r="P14" s="60">
        <f>(O14-O14*(0.1))/N14</f>
        <v>2700</v>
      </c>
      <c r="Q14" s="60">
        <f>O14*0.1</f>
        <v>1500</v>
      </c>
    </row>
    <row r="15" spans="1:17" ht="18">
      <c r="A15" s="67" t="s">
        <v>77</v>
      </c>
      <c r="B15" s="66"/>
      <c r="C15" s="38"/>
      <c r="D15" s="53"/>
      <c r="E15" s="56"/>
      <c r="F15" s="56"/>
      <c r="G15" s="107">
        <f>G7+G8+G9+G10+G11+F41+G13+G14</f>
        <v>192196.85666666657</v>
      </c>
      <c r="H15" s="11"/>
      <c r="I15" s="143" t="s">
        <v>16</v>
      </c>
      <c r="J15" s="144"/>
      <c r="K15" s="144"/>
      <c r="L15" s="144"/>
      <c r="M15" s="146"/>
      <c r="N15" s="146"/>
      <c r="O15" s="146"/>
      <c r="P15" s="107">
        <f>SUM(P8:P14)</f>
        <v>5629.3776</v>
      </c>
      <c r="Q15" s="60">
        <f>SUM(Q8:Q14)</f>
        <v>2663.704</v>
      </c>
    </row>
    <row r="16" spans="1:17" ht="12.75">
      <c r="A16" s="11"/>
      <c r="B16" s="11"/>
      <c r="C16" s="11"/>
      <c r="D16" s="42"/>
      <c r="E16" s="42"/>
      <c r="F16" s="42"/>
      <c r="G16" s="42"/>
      <c r="H16" s="11"/>
      <c r="I16" s="62" t="s">
        <v>66</v>
      </c>
      <c r="J16" s="63"/>
      <c r="K16" s="63"/>
      <c r="L16" s="63"/>
      <c r="M16" s="142"/>
      <c r="N16" s="38"/>
      <c r="O16" s="38"/>
      <c r="P16" s="65"/>
      <c r="Q16" s="60">
        <f>Q8+Q9+Q10+Q12+Q14</f>
        <v>2153.6</v>
      </c>
    </row>
    <row r="17" spans="1:17" ht="12.75">
      <c r="A17" s="11"/>
      <c r="B17" s="11"/>
      <c r="C17" s="11"/>
      <c r="D17" s="42"/>
      <c r="E17" s="42"/>
      <c r="F17" s="42"/>
      <c r="G17" s="42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1"/>
      <c r="B18" s="11"/>
      <c r="C18" s="11"/>
      <c r="D18" s="42"/>
      <c r="E18" s="42"/>
      <c r="F18" s="42"/>
      <c r="G18" s="42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40"/>
      <c r="B19" s="40"/>
      <c r="C19" s="40"/>
      <c r="D19" s="58"/>
      <c r="E19" s="58"/>
      <c r="F19" s="42"/>
      <c r="G19" s="42"/>
      <c r="H19" s="11"/>
      <c r="I19" s="141"/>
      <c r="J19" s="153"/>
      <c r="K19" s="153"/>
      <c r="L19" s="153"/>
      <c r="M19" s="153"/>
      <c r="N19" s="153"/>
      <c r="O19" s="153"/>
      <c r="P19" s="11"/>
      <c r="Q19" s="11"/>
    </row>
    <row r="20" spans="1:17" ht="15.75">
      <c r="A20" s="129" t="s">
        <v>2</v>
      </c>
      <c r="B20" s="130"/>
      <c r="C20" s="40"/>
      <c r="D20" s="58"/>
      <c r="E20" s="131"/>
      <c r="G20" s="42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25.5">
      <c r="A21" s="132" t="s">
        <v>80</v>
      </c>
      <c r="B21" s="133"/>
      <c r="C21" s="134"/>
      <c r="D21" s="135"/>
      <c r="E21" s="140" t="s">
        <v>150</v>
      </c>
      <c r="F21" s="136" t="s">
        <v>133</v>
      </c>
      <c r="G21" s="137" t="s">
        <v>134</v>
      </c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68" t="s">
        <v>81</v>
      </c>
      <c r="B22" s="70"/>
      <c r="C22" s="39" t="s">
        <v>21</v>
      </c>
      <c r="D22" s="71">
        <v>20</v>
      </c>
      <c r="E22" s="56"/>
      <c r="F22" s="106">
        <f>+D22</f>
        <v>20</v>
      </c>
      <c r="G22" s="106">
        <f>F22*12</f>
        <v>240</v>
      </c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68" t="s">
        <v>4</v>
      </c>
      <c r="B23" s="69"/>
      <c r="C23" s="38" t="s">
        <v>7</v>
      </c>
      <c r="D23" s="71">
        <v>0.11</v>
      </c>
      <c r="E23" s="56">
        <v>3000</v>
      </c>
      <c r="F23" s="60">
        <v>27.5</v>
      </c>
      <c r="G23" s="106">
        <f>F23*12</f>
        <v>330</v>
      </c>
      <c r="H23" s="11"/>
      <c r="I23" s="141"/>
      <c r="J23" s="40"/>
      <c r="K23" s="40"/>
      <c r="L23" s="40"/>
      <c r="M23" s="40"/>
      <c r="N23" s="40"/>
      <c r="O23" s="40"/>
      <c r="P23" s="11"/>
      <c r="Q23" s="11"/>
    </row>
    <row r="24" spans="1:17" ht="12.75">
      <c r="A24" s="68" t="s">
        <v>5</v>
      </c>
      <c r="B24" s="69"/>
      <c r="C24" s="38" t="s">
        <v>8</v>
      </c>
      <c r="D24" s="71">
        <v>398</v>
      </c>
      <c r="E24" s="61"/>
      <c r="F24" s="60">
        <v>48</v>
      </c>
      <c r="G24" s="106">
        <f aca="true" t="shared" si="0" ref="G24:G32">F24*12</f>
        <v>576</v>
      </c>
      <c r="H24" s="18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68" t="s">
        <v>46</v>
      </c>
      <c r="B25" s="69"/>
      <c r="C25" s="38" t="s">
        <v>21</v>
      </c>
      <c r="D25" s="71">
        <f>'INVER.IN.'!C26</f>
        <v>1400</v>
      </c>
      <c r="E25" s="53"/>
      <c r="F25" s="60">
        <f>+D25</f>
        <v>1400</v>
      </c>
      <c r="G25" s="106">
        <f t="shared" si="0"/>
        <v>16800</v>
      </c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68" t="s">
        <v>58</v>
      </c>
      <c r="B26" s="69"/>
      <c r="C26" s="39" t="s">
        <v>21</v>
      </c>
      <c r="D26" s="71">
        <v>25</v>
      </c>
      <c r="E26" s="53"/>
      <c r="F26" s="60">
        <f>+D26</f>
        <v>25</v>
      </c>
      <c r="G26" s="106">
        <f t="shared" si="0"/>
        <v>300</v>
      </c>
      <c r="H26" s="11"/>
      <c r="I26" s="240" t="s">
        <v>169</v>
      </c>
      <c r="J26" s="240"/>
      <c r="K26" s="240"/>
      <c r="L26" s="11"/>
      <c r="M26" s="11"/>
      <c r="N26" s="11"/>
      <c r="O26" s="11"/>
      <c r="P26" s="11"/>
      <c r="Q26" s="11"/>
    </row>
    <row r="27" spans="1:17" ht="12.75">
      <c r="A27" s="68" t="s">
        <v>215</v>
      </c>
      <c r="B27" s="70"/>
      <c r="C27" s="39" t="s">
        <v>21</v>
      </c>
      <c r="D27" s="71"/>
      <c r="E27" s="53"/>
      <c r="F27" s="60">
        <f>'GASTO DE PUB.'!C20</f>
        <v>10392.24</v>
      </c>
      <c r="G27" s="106">
        <f>F27</f>
        <v>10392.24</v>
      </c>
      <c r="H27" s="11"/>
      <c r="I27" s="174"/>
      <c r="J27" s="174"/>
      <c r="K27" s="174"/>
      <c r="L27" s="11"/>
      <c r="M27" s="11"/>
      <c r="N27" s="11"/>
      <c r="O27" s="11"/>
      <c r="P27" s="11"/>
      <c r="Q27" s="11"/>
    </row>
    <row r="28" spans="1:17" ht="25.5">
      <c r="A28" s="68" t="s">
        <v>146</v>
      </c>
      <c r="B28" s="70"/>
      <c r="C28" s="39" t="s">
        <v>21</v>
      </c>
      <c r="D28" s="71">
        <v>1.32</v>
      </c>
      <c r="E28" s="53">
        <v>18.93</v>
      </c>
      <c r="F28" s="60">
        <f>D28*E28*4</f>
        <v>99.9504</v>
      </c>
      <c r="G28" s="106">
        <f t="shared" si="0"/>
        <v>1199.4048</v>
      </c>
      <c r="H28" s="11"/>
      <c r="I28" s="137"/>
      <c r="J28" s="137" t="str">
        <f>A13</f>
        <v>Fucsia</v>
      </c>
      <c r="K28" s="137" t="str">
        <f>A14</f>
        <v>Gold Mound</v>
      </c>
      <c r="L28" s="11"/>
      <c r="M28" s="11"/>
      <c r="N28" s="11"/>
      <c r="O28" s="11"/>
      <c r="P28" s="11"/>
      <c r="Q28" s="11"/>
    </row>
    <row r="29" spans="1:17" ht="12.75">
      <c r="A29" s="74" t="s">
        <v>69</v>
      </c>
      <c r="B29" s="75"/>
      <c r="C29" s="38"/>
      <c r="D29" s="53"/>
      <c r="E29" s="53"/>
      <c r="F29" s="60"/>
      <c r="G29" s="106"/>
      <c r="H29" s="11"/>
      <c r="I29" s="64" t="s">
        <v>209</v>
      </c>
      <c r="J29" s="149">
        <f>SUM(G7:G11)/448800</f>
        <v>0.4166304812834222</v>
      </c>
      <c r="K29" s="149">
        <f>J29</f>
        <v>0.4166304812834222</v>
      </c>
      <c r="L29" s="11"/>
      <c r="M29" s="11"/>
      <c r="N29" s="11"/>
      <c r="O29" s="11"/>
      <c r="P29" s="11"/>
      <c r="Q29" s="11"/>
    </row>
    <row r="30" spans="1:17" ht="12.75">
      <c r="A30" s="68" t="s">
        <v>73</v>
      </c>
      <c r="B30" s="69"/>
      <c r="C30" s="39" t="s">
        <v>21</v>
      </c>
      <c r="D30" s="71">
        <v>241.6</v>
      </c>
      <c r="E30" s="53"/>
      <c r="F30" s="60">
        <f>D30</f>
        <v>241.6</v>
      </c>
      <c r="G30" s="106">
        <f t="shared" si="0"/>
        <v>2899.2</v>
      </c>
      <c r="H30" s="11"/>
      <c r="I30" s="64" t="s">
        <v>213</v>
      </c>
      <c r="J30" s="149">
        <f>G34/448800</f>
        <v>0.07881471657754012</v>
      </c>
      <c r="K30" s="149">
        <f>J30</f>
        <v>0.07881471657754012</v>
      </c>
      <c r="L30" s="11"/>
      <c r="M30" s="11"/>
      <c r="N30" s="11"/>
      <c r="O30" s="11"/>
      <c r="P30" s="11"/>
      <c r="Q30" s="11"/>
    </row>
    <row r="31" spans="1:17" ht="12.75">
      <c r="A31" s="68" t="s">
        <v>74</v>
      </c>
      <c r="B31" s="69"/>
      <c r="C31" s="39" t="s">
        <v>21</v>
      </c>
      <c r="D31" s="71">
        <f>35*(1.12)</f>
        <v>39.2</v>
      </c>
      <c r="E31" s="53"/>
      <c r="F31" s="60">
        <f>D31</f>
        <v>39.2</v>
      </c>
      <c r="G31" s="106">
        <f t="shared" si="0"/>
        <v>470.40000000000003</v>
      </c>
      <c r="H31" s="11"/>
      <c r="I31" s="64" t="s">
        <v>210</v>
      </c>
      <c r="J31" s="149">
        <f>G43/448800</f>
        <v>0.10510756684491979</v>
      </c>
      <c r="K31" s="149">
        <f>J31</f>
        <v>0.10510756684491979</v>
      </c>
      <c r="L31" s="11"/>
      <c r="M31" s="11"/>
      <c r="N31" s="11"/>
      <c r="O31" s="11"/>
      <c r="P31" s="11"/>
      <c r="Q31" s="11"/>
    </row>
    <row r="32" spans="1:17" ht="12.75">
      <c r="A32" s="68" t="s">
        <v>75</v>
      </c>
      <c r="B32" s="69"/>
      <c r="C32" s="39" t="s">
        <v>21</v>
      </c>
      <c r="D32" s="71">
        <v>40</v>
      </c>
      <c r="E32" s="53"/>
      <c r="F32" s="60">
        <f>D32</f>
        <v>40</v>
      </c>
      <c r="G32" s="106">
        <f t="shared" si="0"/>
        <v>480</v>
      </c>
      <c r="H32" s="11"/>
      <c r="I32" s="64" t="s">
        <v>211</v>
      </c>
      <c r="J32" s="149">
        <f>G53/448800</f>
        <v>0.10945987878787877</v>
      </c>
      <c r="K32" s="149">
        <f>J32</f>
        <v>0.10945987878787877</v>
      </c>
      <c r="L32" s="181">
        <f>SUM(J29:J32)</f>
        <v>0.7100126434937609</v>
      </c>
      <c r="M32" s="181">
        <f>SUM(K29:K32)</f>
        <v>0.7100126434937609</v>
      </c>
      <c r="N32" s="11"/>
      <c r="O32" s="11"/>
      <c r="P32" s="11"/>
      <c r="Q32" s="11"/>
    </row>
    <row r="33" spans="1:17" ht="13.5" thickBot="1">
      <c r="A33" s="68" t="s">
        <v>76</v>
      </c>
      <c r="B33" s="69"/>
      <c r="C33" s="39" t="s">
        <v>21</v>
      </c>
      <c r="D33" s="71">
        <f>120*(1.12)+6</f>
        <v>140.4</v>
      </c>
      <c r="E33" s="53"/>
      <c r="F33" s="60">
        <f>D33</f>
        <v>140.4</v>
      </c>
      <c r="G33" s="106">
        <f>F33*12</f>
        <v>1684.8000000000002</v>
      </c>
      <c r="H33" s="11"/>
      <c r="I33" s="64" t="s">
        <v>170</v>
      </c>
      <c r="J33" s="152">
        <f>D13</f>
        <v>0.6</v>
      </c>
      <c r="K33" s="152">
        <f>D14</f>
        <v>0.65</v>
      </c>
      <c r="L33" s="207">
        <v>0.71</v>
      </c>
      <c r="M33" s="207">
        <v>0.71</v>
      </c>
      <c r="N33" s="11"/>
      <c r="O33" s="11"/>
      <c r="P33" s="11"/>
      <c r="Q33" s="11"/>
    </row>
    <row r="34" spans="1:17" ht="14.25" customHeight="1">
      <c r="A34" s="109" t="s">
        <v>78</v>
      </c>
      <c r="B34" s="110"/>
      <c r="C34" s="38"/>
      <c r="D34" s="53"/>
      <c r="E34" s="53"/>
      <c r="F34" s="53"/>
      <c r="G34" s="105">
        <f>SUM(G22:G33)</f>
        <v>35372.0448</v>
      </c>
      <c r="H34" s="11"/>
      <c r="I34" s="64" t="s">
        <v>212</v>
      </c>
      <c r="J34" s="150">
        <f>SUM(J29:J33)</f>
        <v>1.310012643493761</v>
      </c>
      <c r="K34" s="150">
        <f>SUM(K29:K33)</f>
        <v>1.360012643493761</v>
      </c>
      <c r="L34" s="11"/>
      <c r="M34" s="11"/>
      <c r="N34" s="11"/>
      <c r="O34" s="11"/>
      <c r="P34" s="11"/>
      <c r="Q34" s="11"/>
    </row>
    <row r="35" spans="1:17" ht="14.25" customHeight="1">
      <c r="A35" s="11"/>
      <c r="B35" s="11"/>
      <c r="C35" s="11"/>
      <c r="D35" s="42"/>
      <c r="E35" s="42"/>
      <c r="F35" s="42"/>
      <c r="G35" s="42"/>
      <c r="H35" s="11"/>
      <c r="I35" s="64" t="s">
        <v>171</v>
      </c>
      <c r="J35" s="167">
        <f>1.31*J34</f>
        <v>1.716116562976827</v>
      </c>
      <c r="K35" s="149">
        <f>1.36*K34</f>
        <v>1.849617195151515</v>
      </c>
      <c r="L35" s="11"/>
      <c r="M35" s="11"/>
      <c r="N35" s="11"/>
      <c r="O35" s="11"/>
      <c r="P35" s="11"/>
      <c r="Q35" s="11"/>
    </row>
    <row r="36" spans="1:17" ht="14.25" customHeight="1">
      <c r="A36" s="11"/>
      <c r="B36" s="11"/>
      <c r="C36" s="11"/>
      <c r="D36" s="42"/>
      <c r="E36" s="42"/>
      <c r="F36" s="42"/>
      <c r="G36" s="42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1"/>
      <c r="B37" s="11"/>
      <c r="C37" s="11"/>
      <c r="D37" s="42"/>
      <c r="E37" s="42"/>
      <c r="F37" s="42"/>
      <c r="G37" s="42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5.75">
      <c r="A38" s="241" t="s">
        <v>137</v>
      </c>
      <c r="B38" s="241"/>
      <c r="C38" s="241"/>
      <c r="D38" s="241"/>
      <c r="E38" s="241"/>
      <c r="F38" s="241"/>
      <c r="G38" s="241"/>
      <c r="H38" s="11"/>
      <c r="I38" s="11"/>
      <c r="J38" s="20"/>
      <c r="K38" s="11"/>
      <c r="L38" s="11"/>
      <c r="M38" s="11"/>
      <c r="N38" s="11"/>
      <c r="O38" s="11"/>
      <c r="P38" s="11"/>
      <c r="Q38" s="11"/>
    </row>
    <row r="39" spans="1:17" ht="26.25">
      <c r="A39" s="138" t="s">
        <v>144</v>
      </c>
      <c r="B39" s="139"/>
      <c r="C39" s="88"/>
      <c r="D39" s="88" t="s">
        <v>132</v>
      </c>
      <c r="E39" s="140" t="s">
        <v>131</v>
      </c>
      <c r="F39" s="140" t="s">
        <v>133</v>
      </c>
      <c r="G39" s="140" t="s">
        <v>134</v>
      </c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16" t="s">
        <v>138</v>
      </c>
      <c r="B40" s="117"/>
      <c r="C40" s="118" t="s">
        <v>21</v>
      </c>
      <c r="D40" s="185">
        <f>((600*12)+(600/2)+(600)+(218)+((600*0.1135)*12))/12</f>
        <v>761.2666666666668</v>
      </c>
      <c r="E40" s="56">
        <v>1</v>
      </c>
      <c r="F40" s="119">
        <f>D40*E40</f>
        <v>761.2666666666668</v>
      </c>
      <c r="G40" s="106">
        <f>F40*12</f>
        <v>9135.2</v>
      </c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95" t="s">
        <v>20</v>
      </c>
      <c r="B41" s="96"/>
      <c r="C41" s="59" t="s">
        <v>21</v>
      </c>
      <c r="D41" s="185">
        <f>((218*12)+(218/2)+(218)+(218)+((218*0.1135)*12))/12</f>
        <v>288.1596666666667</v>
      </c>
      <c r="E41" s="56">
        <v>10</v>
      </c>
      <c r="F41" s="60">
        <f>D41*E41</f>
        <v>2881.596666666667</v>
      </c>
      <c r="G41" s="106">
        <f>F41*12</f>
        <v>34579.16</v>
      </c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95" t="s">
        <v>139</v>
      </c>
      <c r="B42" s="96"/>
      <c r="C42" s="59" t="s">
        <v>21</v>
      </c>
      <c r="D42" s="185">
        <f>((218*12)+(218/2)+(218)+(218)+((218*0.1135)*12))/12</f>
        <v>288.1596666666667</v>
      </c>
      <c r="E42" s="56">
        <v>1</v>
      </c>
      <c r="F42" s="60">
        <f>D42*E42</f>
        <v>288.1596666666667</v>
      </c>
      <c r="G42" s="106">
        <f>F42*12</f>
        <v>3457.916</v>
      </c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5">
      <c r="A43" s="72" t="s">
        <v>142</v>
      </c>
      <c r="B43" s="113"/>
      <c r="C43" s="38"/>
      <c r="D43" s="53"/>
      <c r="E43" s="53"/>
      <c r="F43" s="53"/>
      <c r="G43" s="151">
        <f>SUM(G40:G42)</f>
        <v>47172.276</v>
      </c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 customHeight="1">
      <c r="A44" s="112"/>
      <c r="B44" s="112"/>
      <c r="C44" s="40"/>
      <c r="D44" s="58"/>
      <c r="E44" s="58"/>
      <c r="F44" s="58"/>
      <c r="G44" s="58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 customHeight="1">
      <c r="A45" s="11"/>
      <c r="B45" s="11"/>
      <c r="C45" s="11"/>
      <c r="D45" s="42"/>
      <c r="E45" s="42"/>
      <c r="F45" s="42"/>
      <c r="G45" s="42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5.75">
      <c r="A46" s="210" t="s">
        <v>130</v>
      </c>
      <c r="B46" s="156"/>
      <c r="C46" s="156"/>
      <c r="D46" s="156"/>
      <c r="E46" s="156"/>
      <c r="F46" s="156"/>
      <c r="G46" s="156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26.25">
      <c r="A47" s="121" t="s">
        <v>144</v>
      </c>
      <c r="B47" s="122"/>
      <c r="C47" s="108"/>
      <c r="D47" s="108" t="s">
        <v>132</v>
      </c>
      <c r="E47" s="120" t="s">
        <v>131</v>
      </c>
      <c r="F47" s="120" t="s">
        <v>133</v>
      </c>
      <c r="G47" s="120" t="s">
        <v>134</v>
      </c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5.75">
      <c r="A48" s="68" t="s">
        <v>188</v>
      </c>
      <c r="B48" s="155"/>
      <c r="C48" s="38" t="s">
        <v>70</v>
      </c>
      <c r="D48" s="185">
        <f>((1500*12)+(1500/2)+(1500)+(218)+((1500*0.1135)*12))/12</f>
        <v>1875.9166666666667</v>
      </c>
      <c r="E48" s="56">
        <v>1</v>
      </c>
      <c r="F48" s="60">
        <f>D48*E48</f>
        <v>1875.9166666666667</v>
      </c>
      <c r="G48" s="115">
        <f>F48*12</f>
        <v>22511</v>
      </c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68" t="s">
        <v>129</v>
      </c>
      <c r="B49" s="70"/>
      <c r="C49" s="38" t="s">
        <v>70</v>
      </c>
      <c r="D49" s="185">
        <f>((800*12)+(800/2)+(800)+(218)+((800*0.1135)*12))/12</f>
        <v>1008.9666666666667</v>
      </c>
      <c r="E49" s="56">
        <v>1</v>
      </c>
      <c r="F49" s="60">
        <f>D49*E49</f>
        <v>1008.9666666666667</v>
      </c>
      <c r="G49" s="115">
        <f>F49*12</f>
        <v>12107.6</v>
      </c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68" t="s">
        <v>141</v>
      </c>
      <c r="B50" s="70"/>
      <c r="C50" s="38" t="s">
        <v>70</v>
      </c>
      <c r="D50" s="185">
        <f>((218*12)+(218/2)+(218)+(218)+((218*0.1135)*12))/12</f>
        <v>288.1596666666667</v>
      </c>
      <c r="E50" s="56">
        <v>1</v>
      </c>
      <c r="F50" s="60">
        <f>D50*E50</f>
        <v>288.1596666666667</v>
      </c>
      <c r="G50" s="115">
        <f>F50*12</f>
        <v>3457.916</v>
      </c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95" t="s">
        <v>140</v>
      </c>
      <c r="B51" s="96"/>
      <c r="C51" s="38" t="s">
        <v>70</v>
      </c>
      <c r="D51" s="185">
        <f>((350*12)+(350/2)+(350)+(218)+((350*0.1135)*12))/12</f>
        <v>451.64166666666665</v>
      </c>
      <c r="E51" s="56">
        <v>1</v>
      </c>
      <c r="F51" s="60">
        <f>D51*E51</f>
        <v>451.64166666666665</v>
      </c>
      <c r="G51" s="115">
        <f>F51*12</f>
        <v>5419.7</v>
      </c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spans="1:17" ht="12.75">
      <c r="A52" s="68" t="s">
        <v>163</v>
      </c>
      <c r="B52" s="70"/>
      <c r="C52" s="38"/>
      <c r="D52" s="71"/>
      <c r="E52" s="56"/>
      <c r="F52" s="60"/>
      <c r="G52" s="60">
        <f>P15</f>
        <v>5629.3776</v>
      </c>
      <c r="H52" s="11"/>
      <c r="I52" s="11"/>
      <c r="J52" s="11"/>
      <c r="K52" s="11"/>
      <c r="L52" s="11"/>
      <c r="M52" s="11"/>
      <c r="N52" s="11"/>
      <c r="O52" s="11"/>
      <c r="P52" s="11"/>
      <c r="Q52" s="11"/>
    </row>
    <row r="53" spans="1:17" ht="15">
      <c r="A53" s="72" t="s">
        <v>143</v>
      </c>
      <c r="B53" s="113"/>
      <c r="C53" s="76"/>
      <c r="D53" s="111"/>
      <c r="E53" s="111"/>
      <c r="F53" s="111"/>
      <c r="G53" s="123">
        <f>SUM(G48:G52)</f>
        <v>49125.59359999999</v>
      </c>
      <c r="H53" s="11"/>
      <c r="I53" s="11"/>
      <c r="J53" s="11"/>
      <c r="K53" s="11"/>
      <c r="L53" s="11"/>
      <c r="M53" s="11"/>
      <c r="N53" s="11"/>
      <c r="O53" s="11"/>
      <c r="P53" s="11"/>
      <c r="Q53" s="11"/>
    </row>
    <row r="54" spans="1:17" ht="15">
      <c r="A54" s="114"/>
      <c r="H54" s="11"/>
      <c r="I54" s="11"/>
      <c r="J54" s="11"/>
      <c r="K54" s="11"/>
      <c r="L54" s="11"/>
      <c r="M54" s="11"/>
      <c r="N54" s="11"/>
      <c r="O54" s="11"/>
      <c r="P54" s="11"/>
      <c r="Q54" s="11"/>
    </row>
    <row r="55" spans="1:7" ht="15">
      <c r="A55" s="72" t="s">
        <v>79</v>
      </c>
      <c r="B55" s="73"/>
      <c r="C55" s="73"/>
      <c r="D55" s="73"/>
      <c r="E55" s="73"/>
      <c r="F55" s="73"/>
      <c r="G55" s="105">
        <f>G34+G15+G43+G53</f>
        <v>323866.7710666666</v>
      </c>
    </row>
  </sheetData>
  <sheetProtection/>
  <mergeCells count="13">
    <mergeCell ref="I26:K26"/>
    <mergeCell ref="A38:G38"/>
    <mergeCell ref="A1:G1"/>
    <mergeCell ref="I4:L7"/>
    <mergeCell ref="I10:L10"/>
    <mergeCell ref="I11:L11"/>
    <mergeCell ref="Q4:Q7"/>
    <mergeCell ref="I8:L8"/>
    <mergeCell ref="I9:L9"/>
    <mergeCell ref="P4:P7"/>
    <mergeCell ref="N4:N7"/>
    <mergeCell ref="O4:O7"/>
    <mergeCell ref="M4:M7"/>
  </mergeCells>
  <printOptions/>
  <pageMargins left="0.75" right="0.75" top="1" bottom="1" header="0" footer="0"/>
  <pageSetup horizontalDpi="600" verticalDpi="600" orientation="portrait" paperSize="9" r:id="rId2"/>
  <ignoredErrors>
    <ignoredError sqref="G27 P9:Q9" 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19"/>
  <sheetViews>
    <sheetView zoomScalePageLayoutView="0" workbookViewId="0" topLeftCell="A1">
      <selection activeCell="I16" sqref="I16"/>
    </sheetView>
  </sheetViews>
  <sheetFormatPr defaultColWidth="11.421875" defaultRowHeight="12.75"/>
  <cols>
    <col min="1" max="1" width="32.8515625" style="11" bestFit="1" customWidth="1"/>
    <col min="2" max="2" width="11.140625" style="11" bestFit="1" customWidth="1"/>
    <col min="3" max="16384" width="11.421875" style="11" customWidth="1"/>
  </cols>
  <sheetData>
    <row r="2" spans="1:6" ht="12.75">
      <c r="A2" s="240" t="s">
        <v>151</v>
      </c>
      <c r="B2" s="240"/>
      <c r="C2" s="240"/>
      <c r="D2" s="240"/>
      <c r="E2" s="240"/>
      <c r="F2" s="240"/>
    </row>
    <row r="3" spans="1:6" ht="12.75">
      <c r="A3" s="104"/>
      <c r="B3" s="104"/>
      <c r="C3" s="104"/>
      <c r="D3" s="104"/>
      <c r="E3" s="104"/>
      <c r="F3" s="104"/>
    </row>
    <row r="4" spans="1:6" ht="12.75">
      <c r="A4" s="146" t="s">
        <v>101</v>
      </c>
      <c r="B4" s="108" t="s">
        <v>152</v>
      </c>
      <c r="C4" s="108" t="s">
        <v>154</v>
      </c>
      <c r="D4" s="108" t="s">
        <v>155</v>
      </c>
      <c r="E4" s="108" t="s">
        <v>156</v>
      </c>
      <c r="F4" s="108" t="s">
        <v>157</v>
      </c>
    </row>
    <row r="5" spans="1:6" ht="12.75">
      <c r="A5" s="38"/>
      <c r="B5" s="38"/>
      <c r="C5" s="38"/>
      <c r="D5" s="38"/>
      <c r="E5" s="38"/>
      <c r="F5" s="38"/>
    </row>
    <row r="6" spans="1:6" ht="12.75">
      <c r="A6" s="92" t="s">
        <v>153</v>
      </c>
      <c r="B6" s="38"/>
      <c r="C6" s="38"/>
      <c r="D6" s="38"/>
      <c r="E6" s="38"/>
      <c r="F6" s="38"/>
    </row>
    <row r="7" spans="1:6" ht="12.75">
      <c r="A7" s="38" t="s">
        <v>128</v>
      </c>
      <c r="B7" s="60">
        <f>'C. OP.'!$G$22+'C. OP.'!$G$23+'C. OP.'!$G$24+'C. OP.'!$G$25+'C. OP.'!$G$26</f>
        <v>18246</v>
      </c>
      <c r="C7" s="60">
        <f>'C. OP.'!$G$22+'C. OP.'!$G$23+'C. OP.'!$G$24+'C. OP.'!$G$25+'C. OP.'!$G$26</f>
        <v>18246</v>
      </c>
      <c r="D7" s="60">
        <f>'C. OP.'!$G$22+'C. OP.'!$G$23+'C. OP.'!$G$24+'C. OP.'!$G$25+'C. OP.'!$G$26</f>
        <v>18246</v>
      </c>
      <c r="E7" s="60">
        <f>'C. OP.'!$G$22+'C. OP.'!$G$23+'C. OP.'!$G$24+'C. OP.'!$G$25+'C. OP.'!$G$26</f>
        <v>18246</v>
      </c>
      <c r="F7" s="60">
        <f>'C. OP.'!$G$22+'C. OP.'!$G$23+'C. OP.'!$G$24+'C. OP.'!$G$25+'C. OP.'!$G$26</f>
        <v>18246</v>
      </c>
    </row>
    <row r="8" spans="1:6" ht="12.75">
      <c r="A8" s="38" t="s">
        <v>145</v>
      </c>
      <c r="B8" s="60">
        <f>'C. OP.'!$G$53</f>
        <v>49125.59359999999</v>
      </c>
      <c r="C8" s="60">
        <f>'C. OP.'!$G$53</f>
        <v>49125.59359999999</v>
      </c>
      <c r="D8" s="60">
        <f>'C. OP.'!$G$53</f>
        <v>49125.59359999999</v>
      </c>
      <c r="E8" s="60">
        <f>'C. OP.'!$G$53</f>
        <v>49125.59359999999</v>
      </c>
      <c r="F8" s="60">
        <f>'C. OP.'!$G$53</f>
        <v>49125.59359999999</v>
      </c>
    </row>
    <row r="9" spans="1:6" ht="13.5" thickBot="1">
      <c r="A9" s="38" t="s">
        <v>164</v>
      </c>
      <c r="B9" s="159">
        <f>'C. OP.'!$G$52</f>
        <v>5629.3776</v>
      </c>
      <c r="C9" s="159">
        <f>'C. OP.'!$G$52</f>
        <v>5629.3776</v>
      </c>
      <c r="D9" s="159">
        <f>'C. OP.'!$G$52</f>
        <v>5629.3776</v>
      </c>
      <c r="E9" s="159">
        <f>'C. OP.'!$G$52</f>
        <v>5629.3776</v>
      </c>
      <c r="F9" s="159">
        <f>'C. OP.'!$G$52</f>
        <v>5629.3776</v>
      </c>
    </row>
    <row r="10" spans="1:6" ht="12.75">
      <c r="A10" s="92" t="s">
        <v>158</v>
      </c>
      <c r="B10" s="266">
        <f>SUM(B7:B9)</f>
        <v>73000.9712</v>
      </c>
      <c r="C10" s="266">
        <f>SUM(C7:C9)</f>
        <v>73000.9712</v>
      </c>
      <c r="D10" s="266">
        <f>SUM(D7:D9)</f>
        <v>73000.9712</v>
      </c>
      <c r="E10" s="266">
        <f>SUM(E7:E9)</f>
        <v>73000.9712</v>
      </c>
      <c r="F10" s="266">
        <f>SUM(F7:F9)</f>
        <v>73000.9712</v>
      </c>
    </row>
    <row r="11" spans="1:6" ht="12.75">
      <c r="A11" s="38"/>
      <c r="B11" s="38"/>
      <c r="C11" s="38"/>
      <c r="D11" s="38"/>
      <c r="E11" s="38"/>
      <c r="F11" s="38"/>
    </row>
    <row r="12" spans="1:6" ht="12.75">
      <c r="A12" s="92" t="s">
        <v>159</v>
      </c>
      <c r="B12" s="38"/>
      <c r="C12" s="38"/>
      <c r="D12" s="38"/>
      <c r="E12" s="38"/>
      <c r="F12" s="38"/>
    </row>
    <row r="13" spans="1:6" ht="12.75">
      <c r="A13" s="38" t="s">
        <v>126</v>
      </c>
      <c r="B13" s="60">
        <f>'C. OP.'!$G$43</f>
        <v>47172.276</v>
      </c>
      <c r="C13" s="60">
        <f>'C. OP.'!$G$43</f>
        <v>47172.276</v>
      </c>
      <c r="D13" s="60">
        <f>'C. OP.'!$G$43</f>
        <v>47172.276</v>
      </c>
      <c r="E13" s="60">
        <f>'C. OP.'!$G$43</f>
        <v>47172.276</v>
      </c>
      <c r="F13" s="60">
        <f>'C. OP.'!$G$43</f>
        <v>47172.276</v>
      </c>
    </row>
    <row r="14" spans="1:6" ht="12.75">
      <c r="A14" s="38" t="s">
        <v>160</v>
      </c>
      <c r="B14" s="60">
        <f>'C. OP.'!J29*'AD.&amp;D.'!D16</f>
        <v>74793.50399999991</v>
      </c>
      <c r="C14" s="60">
        <f>'C. OP.'!J29*'AD.&amp;D.'!D25</f>
        <v>137620.04735999982</v>
      </c>
      <c r="D14" s="60">
        <f>'C. OP.'!J29*'AD.&amp;D.'!D34</f>
        <v>181239.61889279977</v>
      </c>
      <c r="E14" s="60">
        <f>'C. OP.'!J29*'AD.&amp;D.'!D43</f>
        <v>205483.4844533757</v>
      </c>
      <c r="F14" s="60">
        <f>'C. OP.'!J29*'AD.&amp;D.'!D52</f>
        <v>335782.1452938236</v>
      </c>
    </row>
    <row r="15" spans="1:6" ht="13.5" thickBot="1">
      <c r="A15" s="38" t="s">
        <v>161</v>
      </c>
      <c r="B15" s="159">
        <f>'C. OP.'!$G$28</f>
        <v>1199.4048</v>
      </c>
      <c r="C15" s="159">
        <f>'C. OP.'!$G$28</f>
        <v>1199.4048</v>
      </c>
      <c r="D15" s="159">
        <f>'C. OP.'!$G$28</f>
        <v>1199.4048</v>
      </c>
      <c r="E15" s="159">
        <f>'C. OP.'!$G$28</f>
        <v>1199.4048</v>
      </c>
      <c r="F15" s="159">
        <f>'C. OP.'!$G$28</f>
        <v>1199.4048</v>
      </c>
    </row>
    <row r="16" spans="1:6" ht="12.75">
      <c r="A16" s="92" t="s">
        <v>162</v>
      </c>
      <c r="B16" s="266">
        <f>B13+B14+B15</f>
        <v>123165.18479999992</v>
      </c>
      <c r="C16" s="266">
        <f>C15+C14+C13</f>
        <v>185991.72815999982</v>
      </c>
      <c r="D16" s="266">
        <f>D13+D15+D14</f>
        <v>229611.29969279977</v>
      </c>
      <c r="E16" s="266">
        <f>E13+E14+E15</f>
        <v>253855.1652533757</v>
      </c>
      <c r="F16" s="266">
        <f>F13+F14+F15</f>
        <v>384153.82609382365</v>
      </c>
    </row>
    <row r="17" spans="1:6" ht="12.75">
      <c r="A17" s="38"/>
      <c r="B17" s="65"/>
      <c r="C17" s="65"/>
      <c r="D17" s="65"/>
      <c r="E17" s="65"/>
      <c r="F17" s="65"/>
    </row>
    <row r="18" spans="1:6" ht="12.75">
      <c r="A18" s="92" t="s">
        <v>103</v>
      </c>
      <c r="B18" s="267">
        <f>B10+B16</f>
        <v>196166.1559999999</v>
      </c>
      <c r="C18" s="267">
        <f>C10+C16</f>
        <v>258992.69935999982</v>
      </c>
      <c r="D18" s="267">
        <f>D10+D16</f>
        <v>302612.2708927998</v>
      </c>
      <c r="E18" s="267">
        <f>E10+E16</f>
        <v>326856.1364533757</v>
      </c>
      <c r="F18" s="267">
        <f>F10+F16</f>
        <v>457154.7972938237</v>
      </c>
    </row>
    <row r="19" spans="1:6" ht="12.75">
      <c r="A19" s="38"/>
      <c r="B19" s="38"/>
      <c r="C19" s="38"/>
      <c r="D19" s="38"/>
      <c r="E19" s="38"/>
      <c r="F19" s="38"/>
    </row>
  </sheetData>
  <sheetProtection/>
  <mergeCells count="1">
    <mergeCell ref="A2:F2"/>
  </mergeCells>
  <printOptions/>
  <pageMargins left="0.75" right="0.75" top="1" bottom="1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I17" sqref="I17"/>
    </sheetView>
  </sheetViews>
  <sheetFormatPr defaultColWidth="11.421875" defaultRowHeight="12.75"/>
  <cols>
    <col min="1" max="1" width="38.8515625" style="11" bestFit="1" customWidth="1"/>
    <col min="2" max="5" width="11.421875" style="11" customWidth="1"/>
    <col min="6" max="6" width="12.7109375" style="11" bestFit="1" customWidth="1"/>
    <col min="7" max="16384" width="11.421875" style="11" customWidth="1"/>
  </cols>
  <sheetData>
    <row r="1" spans="1:6" ht="12.75">
      <c r="A1" s="240" t="s">
        <v>173</v>
      </c>
      <c r="B1" s="240"/>
      <c r="C1" s="240"/>
      <c r="D1" s="240"/>
      <c r="E1" s="240"/>
      <c r="F1" s="240"/>
    </row>
    <row r="3" spans="1:6" ht="12.75">
      <c r="A3" s="92" t="s">
        <v>148</v>
      </c>
      <c r="B3" s="108">
        <v>1</v>
      </c>
      <c r="C3" s="108">
        <v>2</v>
      </c>
      <c r="D3" s="108">
        <v>3</v>
      </c>
      <c r="E3" s="108">
        <v>4</v>
      </c>
      <c r="F3" s="108">
        <v>5</v>
      </c>
    </row>
    <row r="4" spans="1:6" ht="12.75">
      <c r="A4" s="92" t="s">
        <v>174</v>
      </c>
      <c r="B4" s="60">
        <f>'F.C'!C6</f>
        <v>335531.856</v>
      </c>
      <c r="C4" s="60">
        <f>'F.C'!D6</f>
        <v>588910.8823184634</v>
      </c>
      <c r="D4" s="60">
        <f>'F.C'!E6</f>
        <v>775570.0271924462</v>
      </c>
      <c r="E4" s="60">
        <f>'F.C'!F6</f>
        <v>879315.6408001829</v>
      </c>
      <c r="F4" s="60">
        <f>'F.C'!G6</f>
        <v>1436896.4641793044</v>
      </c>
    </row>
    <row r="5" spans="1:6" ht="12.75">
      <c r="A5" s="92"/>
      <c r="B5" s="60"/>
      <c r="C5" s="60"/>
      <c r="D5" s="60"/>
      <c r="E5" s="60"/>
      <c r="F5" s="60"/>
    </row>
    <row r="6" spans="1:6" ht="12.75">
      <c r="A6" s="92" t="s">
        <v>175</v>
      </c>
      <c r="B6" s="60"/>
      <c r="C6" s="60"/>
      <c r="D6" s="60"/>
      <c r="E6" s="60"/>
      <c r="F6" s="60"/>
    </row>
    <row r="7" spans="1:6" ht="12.75">
      <c r="A7" s="38" t="s">
        <v>128</v>
      </c>
      <c r="B7" s="60">
        <f>-'INVER.IN.'!$C$30</f>
        <v>-1500.5</v>
      </c>
      <c r="C7" s="60">
        <f>-'INVER.IN.'!$C$30</f>
        <v>-1500.5</v>
      </c>
      <c r="D7" s="60">
        <f>-'INVER.IN.'!$C$30</f>
        <v>-1500.5</v>
      </c>
      <c r="E7" s="60">
        <f>-'INVER.IN.'!$C$30</f>
        <v>-1500.5</v>
      </c>
      <c r="F7" s="60">
        <f>-'INVER.IN.'!$C$30</f>
        <v>-1500.5</v>
      </c>
    </row>
    <row r="8" spans="1:6" ht="12.75">
      <c r="A8" s="38" t="s">
        <v>126</v>
      </c>
      <c r="B8" s="60">
        <f>-'INVER.IN.'!$C$31</f>
        <v>-47172.276</v>
      </c>
      <c r="C8" s="60">
        <f>-'INVER.IN.'!$C$31</f>
        <v>-47172.276</v>
      </c>
      <c r="D8" s="60">
        <f>-'INVER.IN.'!$C$31</f>
        <v>-47172.276</v>
      </c>
      <c r="E8" s="60">
        <f>-'INVER.IN.'!$C$31</f>
        <v>-47172.276</v>
      </c>
      <c r="F8" s="60">
        <f>-'INVER.IN.'!$C$31</f>
        <v>-47172.276</v>
      </c>
    </row>
    <row r="9" spans="1:6" ht="12.75">
      <c r="A9" s="38" t="s">
        <v>145</v>
      </c>
      <c r="B9" s="60">
        <f>-'INVER.IN.'!$C$32</f>
        <v>-49125.59359999999</v>
      </c>
      <c r="C9" s="60">
        <f>-'INVER.IN.'!$C$32</f>
        <v>-49125.59359999999</v>
      </c>
      <c r="D9" s="60">
        <f>-'INVER.IN.'!$C$32</f>
        <v>-49125.59359999999</v>
      </c>
      <c r="E9" s="60">
        <f>-'INVER.IN.'!$C$32</f>
        <v>-49125.59359999999</v>
      </c>
      <c r="F9" s="60">
        <f>-'INVER.IN.'!$C$32</f>
        <v>-49125.59359999999</v>
      </c>
    </row>
    <row r="10" spans="1:6" ht="12.75">
      <c r="A10" s="38" t="s">
        <v>160</v>
      </c>
      <c r="B10" s="60">
        <f>-'C. F&amp;V.'!B14</f>
        <v>-74793.50399999991</v>
      </c>
      <c r="C10" s="60">
        <f>-'C. F&amp;V.'!C14</f>
        <v>-137620.04735999982</v>
      </c>
      <c r="D10" s="60">
        <f>-'C. F&amp;V.'!D14</f>
        <v>-181239.61889279977</v>
      </c>
      <c r="E10" s="60">
        <f>-'C. F&amp;V.'!E14</f>
        <v>-205483.4844533757</v>
      </c>
      <c r="F10" s="60">
        <f>-'C. F&amp;V.'!F14</f>
        <v>-335782.1452938236</v>
      </c>
    </row>
    <row r="11" spans="1:6" ht="13.5" thickBot="1">
      <c r="A11" s="38" t="s">
        <v>127</v>
      </c>
      <c r="B11" s="159">
        <f>-'C. F&amp;V.'!$B$15</f>
        <v>-1199.4048</v>
      </c>
      <c r="C11" s="159">
        <f>-'C. F&amp;V.'!$B$15</f>
        <v>-1199.4048</v>
      </c>
      <c r="D11" s="159">
        <f>-'C. F&amp;V.'!$B$15</f>
        <v>-1199.4048</v>
      </c>
      <c r="E11" s="159">
        <f>-'C. F&amp;V.'!$B$15</f>
        <v>-1199.4048</v>
      </c>
      <c r="F11" s="159">
        <f>-'C. F&amp;V.'!$B$15</f>
        <v>-1199.4048</v>
      </c>
    </row>
    <row r="12" spans="1:6" ht="12.75">
      <c r="A12" s="92" t="s">
        <v>176</v>
      </c>
      <c r="B12" s="158">
        <f>B4+B7+B8+B9+B10+B11</f>
        <v>161740.5776000001</v>
      </c>
      <c r="C12" s="158">
        <f>C4+C7+C8+C9+C10+C11</f>
        <v>352293.06055846356</v>
      </c>
      <c r="D12" s="158">
        <f>D4+D7+D8+D9+D10+D11</f>
        <v>495332.6338996464</v>
      </c>
      <c r="E12" s="158">
        <f>E4+E7+E8+E9+E10+E11</f>
        <v>574834.3819468073</v>
      </c>
      <c r="F12" s="158">
        <f>F4+F7+F8+F9+F10+F11</f>
        <v>1002116.5444854806</v>
      </c>
    </row>
    <row r="13" spans="1:6" ht="12.75">
      <c r="A13" s="38"/>
      <c r="B13" s="60"/>
      <c r="C13" s="60"/>
      <c r="D13" s="60"/>
      <c r="E13" s="60"/>
      <c r="F13" s="60"/>
    </row>
    <row r="14" spans="1:6" ht="12.75">
      <c r="A14" s="38" t="s">
        <v>95</v>
      </c>
      <c r="B14" s="60">
        <f>-'AMORT.'!C6</f>
        <v>-7554.421083599999</v>
      </c>
      <c r="C14" s="60">
        <f>-'AMORT.'!C7</f>
        <v>-6297.404491234135</v>
      </c>
      <c r="D14" s="60">
        <f>-'AMORT.'!C8</f>
        <v>-4924.616670711375</v>
      </c>
      <c r="E14" s="60">
        <f>-'AMORT.'!C9</f>
        <v>-3425.3950919184686</v>
      </c>
      <c r="F14" s="60">
        <f>-'AMORT.'!C10</f>
        <v>-1788.0952057187358</v>
      </c>
    </row>
    <row r="15" spans="1:6" ht="13.5" thickBot="1">
      <c r="A15" s="38" t="s">
        <v>50</v>
      </c>
      <c r="B15" s="159">
        <f>-'C. F&amp;V.'!$B$9</f>
        <v>-5629.3776</v>
      </c>
      <c r="C15" s="159">
        <f>-'C. F&amp;V.'!$B$9</f>
        <v>-5629.3776</v>
      </c>
      <c r="D15" s="159">
        <f>-'C. F&amp;V.'!$B$9</f>
        <v>-5629.3776</v>
      </c>
      <c r="E15" s="159">
        <f>-'C. F&amp;V.'!$B$9</f>
        <v>-5629.3776</v>
      </c>
      <c r="F15" s="159">
        <f>-'C. F&amp;V.'!$B$9</f>
        <v>-5629.3776</v>
      </c>
    </row>
    <row r="16" spans="1:6" ht="12.75">
      <c r="A16" s="92" t="s">
        <v>177</v>
      </c>
      <c r="B16" s="158">
        <f>B12+B14+B15</f>
        <v>148556.7789164001</v>
      </c>
      <c r="C16" s="158">
        <f>C12+C14+C15</f>
        <v>340366.2784672294</v>
      </c>
      <c r="D16" s="158">
        <f>D12+D14+D15</f>
        <v>484778.639628935</v>
      </c>
      <c r="E16" s="158">
        <f>E12+E14+E15</f>
        <v>565779.6092548888</v>
      </c>
      <c r="F16" s="158">
        <f>F12+F14+F15</f>
        <v>994699.0716797619</v>
      </c>
    </row>
    <row r="17" spans="1:6" ht="12.75">
      <c r="A17" s="38"/>
      <c r="B17" s="60"/>
      <c r="C17" s="60"/>
      <c r="D17" s="60"/>
      <c r="E17" s="60"/>
      <c r="F17" s="60"/>
    </row>
    <row r="18" spans="1:6" ht="13.5" thickBot="1">
      <c r="A18" s="38" t="s">
        <v>178</v>
      </c>
      <c r="B18" s="159">
        <f>'F.C'!C18</f>
        <v>-227.80706253998264</v>
      </c>
      <c r="C18" s="159">
        <f>'F.C'!D18</f>
        <v>38749.5638740844</v>
      </c>
      <c r="D18" s="159">
        <f>'F.C'!E18</f>
        <v>66954.35377826024</v>
      </c>
      <c r="E18" s="159">
        <f>'F.C'!F18</f>
        <v>82741.07905623969</v>
      </c>
      <c r="F18" s="159">
        <f>'F.C'!G18</f>
        <v>166946.8375460379</v>
      </c>
    </row>
    <row r="19" spans="1:6" ht="12.75">
      <c r="A19" s="92" t="s">
        <v>179</v>
      </c>
      <c r="B19" s="158">
        <f>B16+B18</f>
        <v>148328.97185386013</v>
      </c>
      <c r="C19" s="158">
        <f>C16+C18</f>
        <v>379115.8423413138</v>
      </c>
      <c r="D19" s="158">
        <f>D16+D18</f>
        <v>551732.9934071952</v>
      </c>
      <c r="E19" s="158">
        <f>E16+E18</f>
        <v>648520.6883111285</v>
      </c>
      <c r="F19" s="158">
        <f>F16+F18</f>
        <v>1161645.9092257998</v>
      </c>
    </row>
    <row r="20" spans="1:6" ht="13.5" thickBot="1">
      <c r="A20" s="38" t="s">
        <v>180</v>
      </c>
      <c r="B20" s="159">
        <f>'F.C'!C20</f>
        <v>-322.7266719316421</v>
      </c>
      <c r="C20" s="159">
        <f>'F.C'!D20</f>
        <v>54895.21548828624</v>
      </c>
      <c r="D20" s="159">
        <f>'F.C'!E20</f>
        <v>94852.00118586866</v>
      </c>
      <c r="E20" s="159">
        <f>'F.C'!F20</f>
        <v>117216.52866300623</v>
      </c>
      <c r="F20" s="159">
        <f>'F.C'!G20</f>
        <v>236508.01985688703</v>
      </c>
    </row>
    <row r="21" spans="1:6" ht="12.75">
      <c r="A21" s="92" t="s">
        <v>91</v>
      </c>
      <c r="B21" s="158">
        <f>B19+B20</f>
        <v>148006.24518192848</v>
      </c>
      <c r="C21" s="158">
        <f>C19+C20</f>
        <v>434011.0578296</v>
      </c>
      <c r="D21" s="158">
        <f>D19+D20</f>
        <v>646584.9945930638</v>
      </c>
      <c r="E21" s="158">
        <f>E19+E20</f>
        <v>765737.2169741348</v>
      </c>
      <c r="F21" s="158">
        <f>F19+F20</f>
        <v>1398153.9290826868</v>
      </c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G55"/>
  <sheetViews>
    <sheetView zoomScalePageLayoutView="0" workbookViewId="0" topLeftCell="A1">
      <selection activeCell="E50" sqref="E50"/>
    </sheetView>
  </sheetViews>
  <sheetFormatPr defaultColWidth="11.421875" defaultRowHeight="12.75"/>
  <cols>
    <col min="1" max="1" width="11.421875" style="11" customWidth="1"/>
    <col min="2" max="2" width="35.8515625" style="11" bestFit="1" customWidth="1"/>
    <col min="3" max="3" width="24.57421875" style="11" customWidth="1"/>
    <col min="4" max="4" width="11.421875" style="11" customWidth="1"/>
    <col min="5" max="5" width="22.57421875" style="170" bestFit="1" customWidth="1"/>
    <col min="6" max="6" width="6.140625" style="11" customWidth="1"/>
    <col min="7" max="7" width="13.7109375" style="11" customWidth="1"/>
    <col min="8" max="16384" width="11.421875" style="11" customWidth="1"/>
  </cols>
  <sheetData>
    <row r="2" spans="2:4" ht="18">
      <c r="B2" s="218" t="s">
        <v>25</v>
      </c>
      <c r="C2" s="218"/>
      <c r="D2" s="23"/>
    </row>
    <row r="5" spans="2:3" ht="21.75" customHeight="1">
      <c r="B5" s="218" t="s">
        <v>93</v>
      </c>
      <c r="C5" s="218"/>
    </row>
    <row r="6" spans="2:3" ht="12.75">
      <c r="B6" s="213"/>
      <c r="C6" s="213"/>
    </row>
    <row r="7" spans="2:3" ht="12.75">
      <c r="B7" s="11" t="s">
        <v>100</v>
      </c>
      <c r="C7" s="126">
        <f>'F.C'!B25</f>
        <v>82024.116</v>
      </c>
    </row>
    <row r="8" spans="2:3" ht="12.75">
      <c r="B8" s="11" t="s">
        <v>197</v>
      </c>
      <c r="C8" s="126">
        <f>'F.C'!B26</f>
        <v>54682.744</v>
      </c>
    </row>
    <row r="9" spans="2:3" ht="12.75">
      <c r="B9" s="11" t="s">
        <v>189</v>
      </c>
      <c r="C9" s="125">
        <f>SUM(C7:C8)</f>
        <v>136706.86</v>
      </c>
    </row>
    <row r="10" ht="12.75">
      <c r="B10" s="11" t="s">
        <v>198</v>
      </c>
    </row>
    <row r="11" spans="2:5" ht="12.75">
      <c r="B11" s="154" t="s">
        <v>123</v>
      </c>
      <c r="C11" s="99" t="s">
        <v>63</v>
      </c>
      <c r="E11" s="171" t="s">
        <v>199</v>
      </c>
    </row>
    <row r="12" spans="2:7" ht="12.75">
      <c r="B12" s="24" t="s">
        <v>17</v>
      </c>
      <c r="C12" s="100">
        <f>'ACT. F.'!D4</f>
        <v>2000</v>
      </c>
      <c r="D12" s="169">
        <v>0.014626366541425967</v>
      </c>
      <c r="E12" s="170">
        <f>$C$9*D12</f>
        <v>1999.5246430874035</v>
      </c>
      <c r="G12" s="169"/>
    </row>
    <row r="13" spans="2:7" ht="12.75">
      <c r="B13" s="24" t="s">
        <v>9</v>
      </c>
      <c r="C13" s="100">
        <f>'ACT. F.'!D5</f>
        <v>60</v>
      </c>
      <c r="D13" s="169">
        <v>0.000438790996242779</v>
      </c>
      <c r="E13" s="170">
        <f aca="true" t="shared" si="0" ref="E13:E35">$C$9*D13</f>
        <v>59.985739292622114</v>
      </c>
      <c r="G13" s="169"/>
    </row>
    <row r="14" spans="2:7" ht="12.75">
      <c r="B14" s="24" t="s">
        <v>41</v>
      </c>
      <c r="C14" s="100">
        <f>'ACT. F.'!D6</f>
        <v>72</v>
      </c>
      <c r="D14" s="169">
        <v>0.0005265491954913348</v>
      </c>
      <c r="E14" s="170">
        <f t="shared" si="0"/>
        <v>71.98288715114653</v>
      </c>
      <c r="G14" s="169"/>
    </row>
    <row r="15" spans="2:7" ht="12.75">
      <c r="B15" s="24" t="s">
        <v>10</v>
      </c>
      <c r="C15" s="100">
        <v>70</v>
      </c>
      <c r="D15" s="169">
        <v>0.0005119228289499089</v>
      </c>
      <c r="E15" s="170">
        <f t="shared" si="0"/>
        <v>69.98336250805913</v>
      </c>
      <c r="G15" s="169"/>
    </row>
    <row r="16" spans="2:7" ht="12.75">
      <c r="B16" s="98" t="s">
        <v>56</v>
      </c>
      <c r="C16" s="100">
        <f>'ACT. F.'!D15</f>
        <v>1781.2</v>
      </c>
      <c r="D16" s="169">
        <v>0.013026242041793966</v>
      </c>
      <c r="E16" s="170">
        <f t="shared" si="0"/>
        <v>1780.7766471336417</v>
      </c>
      <c r="G16" s="169"/>
    </row>
    <row r="17" spans="2:7" ht="12.75">
      <c r="B17" s="98" t="s">
        <v>122</v>
      </c>
      <c r="C17" s="100">
        <f>'ACT. F.'!D24</f>
        <v>3319.84</v>
      </c>
      <c r="D17" s="169">
        <v>0.024278598349443792</v>
      </c>
      <c r="E17" s="170">
        <f t="shared" si="0"/>
        <v>3319.050945553643</v>
      </c>
      <c r="G17" s="169"/>
    </row>
    <row r="18" spans="2:7" ht="12.75">
      <c r="B18" s="98" t="s">
        <v>117</v>
      </c>
      <c r="C18" s="100">
        <f>'ACT. F.'!D30</f>
        <v>4344</v>
      </c>
      <c r="D18" s="169">
        <v>0.0317684681279772</v>
      </c>
      <c r="E18" s="170">
        <f t="shared" si="0"/>
        <v>4342.96752478584</v>
      </c>
      <c r="G18" s="169"/>
    </row>
    <row r="19" spans="2:7" ht="13.5" thickBot="1">
      <c r="B19" s="98" t="s">
        <v>118</v>
      </c>
      <c r="C19" s="124">
        <f>'ACT. F.'!D35</f>
        <v>15000</v>
      </c>
      <c r="D19" s="169">
        <v>0.10969774906069475</v>
      </c>
      <c r="E19" s="170">
        <f t="shared" si="0"/>
        <v>14996.434823155527</v>
      </c>
      <c r="G19" s="169"/>
    </row>
    <row r="20" spans="2:7" ht="12.75">
      <c r="B20" s="102" t="s">
        <v>182</v>
      </c>
      <c r="C20" s="103">
        <f>SUM(C12:C19)</f>
        <v>26647.04</v>
      </c>
      <c r="D20" s="169"/>
      <c r="G20" s="169"/>
    </row>
    <row r="21" spans="2:7" ht="12.75">
      <c r="B21" s="98"/>
      <c r="C21" s="100"/>
      <c r="D21" s="169"/>
      <c r="G21" s="169"/>
    </row>
    <row r="22" spans="2:7" ht="12.75">
      <c r="B22" s="154" t="s">
        <v>124</v>
      </c>
      <c r="C22" s="101"/>
      <c r="D22" s="169"/>
      <c r="G22" s="169"/>
    </row>
    <row r="23" spans="2:7" ht="12.75">
      <c r="B23" s="24" t="s">
        <v>121</v>
      </c>
      <c r="C23" s="100">
        <v>150</v>
      </c>
      <c r="D23" s="169">
        <v>0.0010969774906069475</v>
      </c>
      <c r="E23" s="170">
        <f t="shared" si="0"/>
        <v>149.96434823155528</v>
      </c>
      <c r="G23" s="169"/>
    </row>
    <row r="24" spans="2:7" ht="12.75">
      <c r="B24" s="98" t="s">
        <v>57</v>
      </c>
      <c r="C24" s="100">
        <v>8000</v>
      </c>
      <c r="D24" s="169">
        <v>0.058505466165703866</v>
      </c>
      <c r="E24" s="170">
        <f t="shared" si="0"/>
        <v>7998.098572349614</v>
      </c>
      <c r="G24" s="169"/>
    </row>
    <row r="25" spans="2:7" ht="12.75">
      <c r="B25" s="24" t="s">
        <v>42</v>
      </c>
      <c r="C25" s="100">
        <v>180</v>
      </c>
      <c r="D25" s="169">
        <v>0.001316372988728337</v>
      </c>
      <c r="E25" s="170">
        <f t="shared" si="0"/>
        <v>179.95721787786633</v>
      </c>
      <c r="G25" s="169"/>
    </row>
    <row r="26" spans="2:7" ht="13.5" thickBot="1">
      <c r="B26" s="98" t="s">
        <v>71</v>
      </c>
      <c r="C26" s="124">
        <v>1400</v>
      </c>
      <c r="D26" s="169">
        <v>0.010238456578998177</v>
      </c>
      <c r="E26" s="170">
        <f t="shared" si="0"/>
        <v>1399.6672501611827</v>
      </c>
      <c r="G26" s="169"/>
    </row>
    <row r="27" spans="2:7" ht="12.75">
      <c r="B27" s="104" t="s">
        <v>181</v>
      </c>
      <c r="C27" s="125">
        <f>SUM(C23:C26)</f>
        <v>9730</v>
      </c>
      <c r="D27" s="169">
        <v>0.07115727322403732</v>
      </c>
      <c r="G27" s="169"/>
    </row>
    <row r="28" spans="3:7" ht="12.75">
      <c r="C28" s="126"/>
      <c r="D28" s="169"/>
      <c r="G28" s="169"/>
    </row>
    <row r="29" spans="2:7" ht="12.75">
      <c r="B29" s="154" t="s">
        <v>125</v>
      </c>
      <c r="C29" s="127"/>
      <c r="D29" s="169"/>
      <c r="G29" s="169"/>
    </row>
    <row r="30" spans="2:7" ht="12.75">
      <c r="B30" s="98" t="s">
        <v>128</v>
      </c>
      <c r="C30" s="100">
        <f>SUM('C. OP.'!F23:F26)</f>
        <v>1500.5</v>
      </c>
      <c r="D30" s="169">
        <v>0.010973431497704831</v>
      </c>
      <c r="E30" s="170">
        <f t="shared" si="0"/>
        <v>1500.1433634763246</v>
      </c>
      <c r="G30" s="169"/>
    </row>
    <row r="31" spans="2:7" ht="12.75">
      <c r="B31" s="98" t="s">
        <v>126</v>
      </c>
      <c r="C31" s="100">
        <f>'C. OP.'!G43</f>
        <v>47172.276</v>
      </c>
      <c r="D31" s="169">
        <v>0.3449794996846556</v>
      </c>
      <c r="E31" s="170">
        <f t="shared" si="0"/>
        <v>47161.06416626025</v>
      </c>
      <c r="G31" s="169"/>
    </row>
    <row r="32" spans="2:7" ht="12.75">
      <c r="B32" s="98" t="s">
        <v>145</v>
      </c>
      <c r="C32" s="100">
        <f>'C. OP.'!G53</f>
        <v>49125.59359999999</v>
      </c>
      <c r="D32" s="169">
        <v>0.35926446927936473</v>
      </c>
      <c r="E32" s="170">
        <f t="shared" si="0"/>
        <v>49113.91750474841</v>
      </c>
      <c r="G32" s="169"/>
    </row>
    <row r="33" spans="2:7" ht="12.75">
      <c r="B33" s="98" t="s">
        <v>127</v>
      </c>
      <c r="C33" s="100">
        <f>'C. OP.'!F28</f>
        <v>99.9504</v>
      </c>
      <c r="D33" s="169">
        <v>0.000730955593181071</v>
      </c>
      <c r="E33" s="170">
        <f t="shared" si="0"/>
        <v>99.92664394322162</v>
      </c>
      <c r="G33" s="169"/>
    </row>
    <row r="34" spans="2:7" ht="12.75">
      <c r="B34" s="98" t="s">
        <v>135</v>
      </c>
      <c r="C34" s="100">
        <v>100</v>
      </c>
      <c r="D34" s="169">
        <v>0.0007313183270712983</v>
      </c>
      <c r="E34" s="170">
        <f t="shared" si="0"/>
        <v>99.97623215437018</v>
      </c>
      <c r="G34" s="169"/>
    </row>
    <row r="35" spans="2:7" ht="13.5" thickBot="1">
      <c r="B35" s="24" t="s">
        <v>11</v>
      </c>
      <c r="C35" s="124">
        <f>'AD.&amp;D.'!F8</f>
        <v>2331.4999999999964</v>
      </c>
      <c r="D35" s="169">
        <v>0.017054740340023876</v>
      </c>
      <c r="E35" s="170">
        <f t="shared" si="0"/>
        <v>2331.4999999999964</v>
      </c>
      <c r="G35" s="169"/>
    </row>
    <row r="36" spans="2:3" ht="12.75">
      <c r="B36" s="104" t="s">
        <v>183</v>
      </c>
      <c r="C36" s="126">
        <f>SUM(C30:C35)</f>
        <v>100329.81999999999</v>
      </c>
    </row>
    <row r="37" ht="13.5" thickBot="1">
      <c r="C37" s="126"/>
    </row>
    <row r="38" spans="2:3" ht="13.5" thickBot="1">
      <c r="B38" s="161" t="s">
        <v>189</v>
      </c>
      <c r="C38" s="128">
        <f>SUM(C20+C27+C36)</f>
        <v>136706.86</v>
      </c>
    </row>
    <row r="40" ht="12.75">
      <c r="C40" s="126"/>
    </row>
    <row r="41" ht="12.75">
      <c r="D41" s="11" t="s">
        <v>72</v>
      </c>
    </row>
    <row r="46" spans="2:7" ht="18">
      <c r="B46" s="214"/>
      <c r="C46" s="214"/>
      <c r="D46" s="40"/>
      <c r="E46" s="219"/>
      <c r="F46" s="40"/>
      <c r="G46" s="40"/>
    </row>
    <row r="47" spans="2:7" ht="12.75">
      <c r="B47" s="220"/>
      <c r="C47" s="221"/>
      <c r="D47" s="40"/>
      <c r="E47" s="219"/>
      <c r="F47" s="40"/>
      <c r="G47" s="40"/>
    </row>
    <row r="48" spans="2:7" ht="12.75">
      <c r="B48" s="220"/>
      <c r="C48" s="221"/>
      <c r="D48" s="40"/>
      <c r="E48" s="219"/>
      <c r="F48" s="40"/>
      <c r="G48" s="40"/>
    </row>
    <row r="49" spans="2:7" ht="12.75">
      <c r="B49" s="220"/>
      <c r="C49" s="221"/>
      <c r="D49" s="40"/>
      <c r="E49" s="219"/>
      <c r="F49" s="40"/>
      <c r="G49" s="40"/>
    </row>
    <row r="50" spans="2:7" ht="12.75">
      <c r="B50" s="141"/>
      <c r="C50" s="222"/>
      <c r="D50" s="40"/>
      <c r="E50" s="219"/>
      <c r="F50" s="40"/>
      <c r="G50" s="40"/>
    </row>
    <row r="51" spans="2:7" ht="12.75">
      <c r="B51" s="40"/>
      <c r="C51" s="40"/>
      <c r="D51" s="40"/>
      <c r="E51" s="219"/>
      <c r="F51" s="40"/>
      <c r="G51" s="40"/>
    </row>
    <row r="52" spans="2:7" ht="12.75">
      <c r="B52" s="208"/>
      <c r="C52" s="209"/>
      <c r="D52" s="40"/>
      <c r="E52" s="208"/>
      <c r="F52" s="223"/>
      <c r="G52" s="219"/>
    </row>
    <row r="53" spans="2:7" ht="12.75">
      <c r="B53" s="208"/>
      <c r="C53" s="209"/>
      <c r="D53" s="40"/>
      <c r="E53" s="208"/>
      <c r="F53" s="223"/>
      <c r="G53" s="224"/>
    </row>
    <row r="54" spans="2:7" ht="12.75">
      <c r="B54" s="208"/>
      <c r="C54" s="209"/>
      <c r="D54" s="40"/>
      <c r="E54" s="220"/>
      <c r="F54" s="223"/>
      <c r="G54" s="209"/>
    </row>
    <row r="55" spans="2:7" ht="12.75">
      <c r="B55" s="40"/>
      <c r="C55" s="40"/>
      <c r="D55" s="40"/>
      <c r="E55" s="219"/>
      <c r="F55" s="40"/>
      <c r="G55" s="40"/>
    </row>
  </sheetData>
  <sheetProtection/>
  <mergeCells count="4">
    <mergeCell ref="B2:C2"/>
    <mergeCell ref="B5:C5"/>
    <mergeCell ref="B6:C6"/>
    <mergeCell ref="B46:C46"/>
  </mergeCells>
  <printOptions/>
  <pageMargins left="0.75" right="0.75" top="1" bottom="1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PageLayoutView="0" workbookViewId="0" topLeftCell="A1">
      <selection activeCell="E26" sqref="E26"/>
    </sheetView>
  </sheetViews>
  <sheetFormatPr defaultColWidth="11.421875" defaultRowHeight="12.75"/>
  <cols>
    <col min="1" max="1" width="6.28125" style="11" bestFit="1" customWidth="1"/>
    <col min="2" max="2" width="11.8515625" style="11" bestFit="1" customWidth="1"/>
    <col min="3" max="3" width="10.8515625" style="11" bestFit="1" customWidth="1"/>
    <col min="4" max="4" width="14.8515625" style="11" customWidth="1"/>
    <col min="5" max="5" width="11.8515625" style="11" bestFit="1" customWidth="1"/>
    <col min="6" max="16384" width="11.421875" style="11" customWidth="1"/>
  </cols>
  <sheetData>
    <row r="1" spans="1:7" ht="13.5" thickBot="1">
      <c r="A1" s="186"/>
      <c r="B1" s="186"/>
      <c r="C1" s="186"/>
      <c r="D1" s="186"/>
      <c r="E1" s="186"/>
      <c r="F1" s="186"/>
      <c r="G1" s="186"/>
    </row>
    <row r="2" spans="1:7" ht="12.75">
      <c r="A2" s="248" t="s">
        <v>97</v>
      </c>
      <c r="B2" s="249"/>
      <c r="C2" s="249"/>
      <c r="D2" s="249"/>
      <c r="E2" s="250"/>
      <c r="F2" s="186"/>
      <c r="G2" s="186"/>
    </row>
    <row r="3" spans="1:7" ht="12.75" hidden="1">
      <c r="A3" s="190"/>
      <c r="B3" s="191"/>
      <c r="C3" s="191"/>
      <c r="D3" s="191"/>
      <c r="E3" s="192"/>
      <c r="F3" s="186"/>
      <c r="G3" s="186"/>
    </row>
    <row r="4" spans="1:7" ht="25.5">
      <c r="A4" s="193" t="s">
        <v>148</v>
      </c>
      <c r="B4" s="187" t="s">
        <v>94</v>
      </c>
      <c r="C4" s="187" t="s">
        <v>95</v>
      </c>
      <c r="D4" s="188" t="s">
        <v>147</v>
      </c>
      <c r="E4" s="194" t="s">
        <v>96</v>
      </c>
      <c r="F4" s="186"/>
      <c r="G4" s="186"/>
    </row>
    <row r="5" spans="1:7" ht="12.75">
      <c r="A5" s="195">
        <v>0</v>
      </c>
      <c r="B5" s="189"/>
      <c r="C5" s="189"/>
      <c r="D5" s="189"/>
      <c r="E5" s="196">
        <f>'INVER.IN.'!C38*0.6</f>
        <v>82024.116</v>
      </c>
      <c r="F5" s="186" t="s">
        <v>193</v>
      </c>
      <c r="G5" s="186">
        <v>0.0921</v>
      </c>
    </row>
    <row r="6" spans="1:7" ht="12.75">
      <c r="A6" s="195">
        <v>1</v>
      </c>
      <c r="B6" s="189">
        <f>PMT($G$5,5,-$E$5)</f>
        <v>21202.809708636523</v>
      </c>
      <c r="C6" s="189">
        <f>E5*$G$5</f>
        <v>7554.421083599999</v>
      </c>
      <c r="D6" s="189">
        <f>B6-C6</f>
        <v>13648.388625036525</v>
      </c>
      <c r="E6" s="196">
        <f>E5-D6</f>
        <v>68375.72737496346</v>
      </c>
      <c r="F6" s="186"/>
      <c r="G6" s="186"/>
    </row>
    <row r="7" spans="1:7" ht="12.75">
      <c r="A7" s="195">
        <v>2</v>
      </c>
      <c r="B7" s="189">
        <f>PMT($G$5,5,-$E$5)</f>
        <v>21202.809708636523</v>
      </c>
      <c r="C7" s="189">
        <f>E6*$G$5</f>
        <v>6297.404491234135</v>
      </c>
      <c r="D7" s="189">
        <f>B7-C7</f>
        <v>14905.40521740239</v>
      </c>
      <c r="E7" s="196">
        <f>E6-D7</f>
        <v>53470.32215756107</v>
      </c>
      <c r="F7" s="186"/>
      <c r="G7" s="186"/>
    </row>
    <row r="8" spans="1:7" ht="12.75">
      <c r="A8" s="195">
        <v>3</v>
      </c>
      <c r="B8" s="189">
        <f>PMT($G$5,5,-$E$5)</f>
        <v>21202.809708636523</v>
      </c>
      <c r="C8" s="189">
        <f>E7*$G$5</f>
        <v>4924.616670711375</v>
      </c>
      <c r="D8" s="189">
        <f>B8-C8</f>
        <v>16278.193037925148</v>
      </c>
      <c r="E8" s="196">
        <f>E7-D8</f>
        <v>37192.12911963592</v>
      </c>
      <c r="F8" s="186"/>
      <c r="G8" s="186"/>
    </row>
    <row r="9" spans="1:7" ht="12.75">
      <c r="A9" s="195">
        <v>4</v>
      </c>
      <c r="B9" s="189">
        <f>PMT($G$5,5,-$E$5)</f>
        <v>21202.809708636523</v>
      </c>
      <c r="C9" s="189">
        <f>E8*$G$5</f>
        <v>3425.3950919184686</v>
      </c>
      <c r="D9" s="189">
        <f>B9-C9</f>
        <v>17777.414616718055</v>
      </c>
      <c r="E9" s="196">
        <f>E8-D9</f>
        <v>19414.71450291787</v>
      </c>
      <c r="F9" s="186"/>
      <c r="G9" s="186"/>
    </row>
    <row r="10" spans="1:7" ht="13.5" thickBot="1">
      <c r="A10" s="197">
        <v>5</v>
      </c>
      <c r="B10" s="198">
        <f>PMT($G$5,5,-$E$5)</f>
        <v>21202.809708636523</v>
      </c>
      <c r="C10" s="198">
        <f>E9*$G$5</f>
        <v>1788.0952057187358</v>
      </c>
      <c r="D10" s="198">
        <f>B10-C10</f>
        <v>19414.71450291779</v>
      </c>
      <c r="E10" s="199">
        <f>(E9-D10)*-1</f>
        <v>-8.003553375601768E-11</v>
      </c>
      <c r="F10" s="186"/>
      <c r="G10" s="186"/>
    </row>
    <row r="11" spans="1:7" ht="12.75">
      <c r="A11" s="186"/>
      <c r="B11" s="186"/>
      <c r="C11" s="186"/>
      <c r="D11" s="186"/>
      <c r="E11" s="186"/>
      <c r="F11" s="186"/>
      <c r="G11" s="186"/>
    </row>
    <row r="12" spans="1:7" ht="12.75">
      <c r="A12" s="186"/>
      <c r="B12" s="186"/>
      <c r="C12" s="186"/>
      <c r="D12" s="186"/>
      <c r="E12" s="186"/>
      <c r="F12" s="186"/>
      <c r="G12" s="186"/>
    </row>
    <row r="13" spans="1:7" ht="12.75">
      <c r="A13" s="186"/>
      <c r="B13" s="186"/>
      <c r="C13" s="186"/>
      <c r="D13" s="186"/>
      <c r="E13" s="186"/>
      <c r="F13" s="186"/>
      <c r="G13" s="186"/>
    </row>
    <row r="14" spans="1:7" ht="12.75">
      <c r="A14" s="186"/>
      <c r="B14" s="186"/>
      <c r="C14" s="186"/>
      <c r="D14" s="186"/>
      <c r="E14" s="186"/>
      <c r="F14" s="186"/>
      <c r="G14" s="186"/>
    </row>
    <row r="15" spans="1:7" ht="12.75">
      <c r="A15" s="186"/>
      <c r="B15" s="186"/>
      <c r="C15" s="186"/>
      <c r="D15" s="186"/>
      <c r="E15" s="186"/>
      <c r="F15" s="186"/>
      <c r="G15" s="186"/>
    </row>
    <row r="16" spans="1:7" ht="12.75">
      <c r="A16" s="186"/>
      <c r="B16" s="186"/>
      <c r="C16" s="186"/>
      <c r="D16" s="186"/>
      <c r="E16" s="186"/>
      <c r="F16" s="186"/>
      <c r="G16" s="186"/>
    </row>
    <row r="17" spans="1:7" ht="12.75">
      <c r="A17" s="186"/>
      <c r="B17" s="186"/>
      <c r="C17" s="186"/>
      <c r="D17" s="186"/>
      <c r="E17" s="186"/>
      <c r="F17" s="186"/>
      <c r="G17" s="186"/>
    </row>
    <row r="25" ht="12.75">
      <c r="D25" s="268"/>
    </row>
  </sheetData>
  <sheetProtection/>
  <mergeCells count="1">
    <mergeCell ref="A2:E2"/>
  </mergeCells>
  <printOptions/>
  <pageMargins left="0.75" right="0.75" top="1" bottom="1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P2:P2"/>
  <sheetViews>
    <sheetView zoomScalePageLayoutView="0" workbookViewId="0" topLeftCell="A1">
      <selection activeCell="A1" sqref="A1"/>
    </sheetView>
  </sheetViews>
  <sheetFormatPr defaultColWidth="11.421875" defaultRowHeight="12.75"/>
  <sheetData>
    <row r="2" ht="12.75">
      <c r="P2" t="e">
        <f>_XLL.CB.RECALCCOUNTERFN()</f>
        <v>#NAME?</v>
      </c>
    </row>
  </sheetData>
  <sheetProtection/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Fabian Prieto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Fabian Prieto</dc:creator>
  <cp:keywords/>
  <dc:description/>
  <cp:lastModifiedBy>user</cp:lastModifiedBy>
  <cp:lastPrinted>2005-10-18T20:58:46Z</cp:lastPrinted>
  <dcterms:created xsi:type="dcterms:W3CDTF">2003-04-28T16:52:47Z</dcterms:created>
  <dcterms:modified xsi:type="dcterms:W3CDTF">2009-03-06T16:35:47Z</dcterms:modified>
  <cp:category/>
  <cp:version/>
  <cp:contentType/>
  <cp:contentStatus/>
</cp:coreProperties>
</file>