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4"/>
  </bookViews>
  <sheets>
    <sheet name="Prestamo" sheetId="1" r:id="rId1"/>
    <sheet name="ct2" sheetId="2" r:id="rId2"/>
    <sheet name="anexo 3.18" sheetId="3" r:id="rId3"/>
    <sheet name="anexo 3.19" sheetId="4" r:id="rId4"/>
    <sheet name="Anexo 3.8" sheetId="5" r:id="rId5"/>
    <sheet name=" Anexo 3.9" sheetId="6" r:id="rId6"/>
    <sheet name="Anexo 3.10" sheetId="7" r:id="rId7"/>
  </sheets>
  <definedNames>
    <definedName name="p">'anexo 3.18'!#REF!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t">'anexo 3.18'!$B$41</definedName>
    <definedName name="w">'anexo 3.18'!#REF!</definedName>
    <definedName name="y">'anexo 3.18'!#REF!</definedName>
    <definedName name="ZA0" localSheetId="2">"Crystal Ball Data : Ver. 5,2"</definedName>
    <definedName name="ZA0A" localSheetId="2">4+103</definedName>
    <definedName name="ZA0F" localSheetId="2">1+100</definedName>
    <definedName name="ZA0T" localSheetId="2">20667671+0</definedName>
    <definedName name="ZA100" localSheetId="2">'anexo 3.18'!$B$41+"It"+545+0.139725+1+2+0.139725+"+"</definedName>
    <definedName name="ZA101" localSheetId="2">'anexo 3.18'!#REF!+"Ay"+545+384000+38400+"-"+"+"</definedName>
    <definedName name="ZA102" localSheetId="2">'anexo 3.18'!#REF!+"AB54"+16929+422352+42235.2+"-"+"+"</definedName>
    <definedName name="ZA103" localSheetId="2">'anexo 3.18'!#REF!+"EAp"+545+0.75+0.075+0+"+"</definedName>
    <definedName name="ZF100" localSheetId="2">'anexo 3.18'!$B$42+"van"+""+41+41+473+265+329+558+788+4+3+"-"+"+"+2.6+50+2+4+95+5822.18692402563+5+2+"-"+"+"+-1+-1+0</definedName>
  </definedNames>
  <calcPr fullCalcOnLoad="1"/>
</workbook>
</file>

<file path=xl/sharedStrings.xml><?xml version="1.0" encoding="utf-8"?>
<sst xmlns="http://schemas.openxmlformats.org/spreadsheetml/2006/main" count="185" uniqueCount="158">
  <si>
    <t>Total</t>
  </si>
  <si>
    <t>Costos de distribucion</t>
  </si>
  <si>
    <t xml:space="preserve">Ingreso por ventas </t>
  </si>
  <si>
    <t>Gastos administrativos</t>
  </si>
  <si>
    <t xml:space="preserve">Total de ventas </t>
  </si>
  <si>
    <t>Luz</t>
  </si>
  <si>
    <t>Agua</t>
  </si>
  <si>
    <t>Telefono</t>
  </si>
  <si>
    <t>Suministro de oficina</t>
  </si>
  <si>
    <t>Sueldos personales fijos</t>
  </si>
  <si>
    <t>Minutos por llamada</t>
  </si>
  <si>
    <t xml:space="preserve">Minutos de llamadas por hora </t>
  </si>
  <si>
    <t>Minutos por dia</t>
  </si>
  <si>
    <t>Minutos por mes</t>
  </si>
  <si>
    <t>Costo minuto</t>
  </si>
  <si>
    <t>Costo mensual</t>
  </si>
  <si>
    <t>Decimo tercero</t>
  </si>
  <si>
    <t>Decimo cuarto</t>
  </si>
  <si>
    <t>Vacaciones</t>
  </si>
  <si>
    <t xml:space="preserve">Fondo de reserva </t>
  </si>
  <si>
    <t>Subtotal</t>
  </si>
  <si>
    <t>Iva 12%</t>
  </si>
  <si>
    <t>Aporte Patronal</t>
  </si>
  <si>
    <t>Sueldos personal externo</t>
  </si>
  <si>
    <t>TELEFONO</t>
  </si>
  <si>
    <t>ENERGIA ELECTRICA</t>
  </si>
  <si>
    <t>Maquinas y equipos</t>
  </si>
  <si>
    <t>Potencia Watts</t>
  </si>
  <si>
    <t>Numero de horas al dia</t>
  </si>
  <si>
    <t>Kwh/h al mes</t>
  </si>
  <si>
    <t>Total gastos administrativos</t>
  </si>
  <si>
    <t>Costo Kw/h</t>
  </si>
  <si>
    <t>Costos de publicidad</t>
  </si>
  <si>
    <t xml:space="preserve">Medios impresos </t>
  </si>
  <si>
    <t>Costos de distribucion y produccion</t>
  </si>
  <si>
    <t>Costos de produccion</t>
  </si>
  <si>
    <t>Total de costos operacionales</t>
  </si>
  <si>
    <t>AGUA</t>
  </si>
  <si>
    <t>Litros promedio diarios</t>
  </si>
  <si>
    <t>m3 promedio diarios</t>
  </si>
  <si>
    <t>Costo agua m3</t>
  </si>
  <si>
    <t>Costo diario</t>
  </si>
  <si>
    <t>Capital de trabajo</t>
  </si>
  <si>
    <t>Impresoras</t>
  </si>
  <si>
    <t>Scaner</t>
  </si>
  <si>
    <t>Computadoras</t>
  </si>
  <si>
    <t>Fax</t>
  </si>
  <si>
    <t>Focos ahorradores</t>
  </si>
  <si>
    <t>Aire acondicionado</t>
  </si>
  <si>
    <t>Otros valores a pagar</t>
  </si>
  <si>
    <t>Limpieza</t>
  </si>
  <si>
    <t>Uso del personal</t>
  </si>
  <si>
    <t>Alcantarillado</t>
  </si>
  <si>
    <t>Cargo fijo</t>
  </si>
  <si>
    <t>Drenaje Fluvial</t>
  </si>
  <si>
    <t>Total mensual</t>
  </si>
  <si>
    <t>Fuente: elaborado por los autores</t>
  </si>
  <si>
    <t>FLUJO DE CAJA</t>
  </si>
  <si>
    <t>Costo de produccion y distribucion</t>
  </si>
  <si>
    <t>Anexo 3.8</t>
  </si>
  <si>
    <t>Anexo 3.10</t>
  </si>
  <si>
    <t>Anexo 3.9</t>
  </si>
  <si>
    <t>Anexo 3.13</t>
  </si>
  <si>
    <t>DATOS</t>
  </si>
  <si>
    <t>Dólares / Unidad</t>
  </si>
  <si>
    <t>Crecimiento Mercado</t>
  </si>
  <si>
    <t>Anual</t>
  </si>
  <si>
    <t>Capital de Trabajo</t>
  </si>
  <si>
    <t>Dólares</t>
  </si>
  <si>
    <t>Prestamo</t>
  </si>
  <si>
    <t>De la Inversión Inicial</t>
  </si>
  <si>
    <t>Tasa de Impuestos</t>
  </si>
  <si>
    <t>Serv. Basicos</t>
  </si>
  <si>
    <t>Publicidad</t>
  </si>
  <si>
    <t>Gastos Administacion y Ventas</t>
  </si>
  <si>
    <t>Distribucion</t>
  </si>
  <si>
    <t>Suministros Varios</t>
  </si>
  <si>
    <t>Re</t>
  </si>
  <si>
    <t>Rd</t>
  </si>
  <si>
    <t>Rm</t>
  </si>
  <si>
    <t>Rf</t>
  </si>
  <si>
    <t>Beta</t>
  </si>
  <si>
    <t>L = (D/V)</t>
  </si>
  <si>
    <t>CCPP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</si>
  <si>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</si>
  <si>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</si>
  <si>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</si>
  <si>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</si>
  <si>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</si>
  <si>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</si>
  <si>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</si>
  <si>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</si>
  <si>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</si>
  <si>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</si>
  <si>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</si>
  <si>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INGRESOS</t>
  </si>
  <si>
    <t>COSTOS</t>
  </si>
  <si>
    <t>UTIL. BRUTA</t>
  </si>
  <si>
    <t>GASTOS</t>
  </si>
  <si>
    <t>Gasto de Publicidad</t>
  </si>
  <si>
    <t>Gasto Distribución</t>
  </si>
  <si>
    <t>Gasto Servicios Básicos (Luz, Agua, ...)</t>
  </si>
  <si>
    <t>Gastos Suministros</t>
  </si>
  <si>
    <t>INTERESES</t>
  </si>
  <si>
    <t>DEPRECIACION</t>
  </si>
  <si>
    <t>UTIL. ANTES IMP.</t>
  </si>
  <si>
    <t>IMP.</t>
  </si>
  <si>
    <t>UTIL. DSPS. IMP.</t>
  </si>
  <si>
    <t>PRESTAMO</t>
  </si>
  <si>
    <t>AMORTIZACION</t>
  </si>
  <si>
    <t>INVERSION</t>
  </si>
  <si>
    <t>CAP. TRABAJO</t>
  </si>
  <si>
    <t>VNA</t>
  </si>
  <si>
    <t>TIR</t>
  </si>
  <si>
    <t>tasa</t>
  </si>
  <si>
    <t>van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</si>
  <si>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</si>
  <si>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</si>
  <si>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</si>
  <si>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</si>
  <si>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</si>
  <si>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</si>
  <si>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</si>
  <si>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</si>
  <si>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</si>
  <si>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</si>
  <si>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</si>
  <si>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</si>
  <si>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Saldos Acumulados</t>
  </si>
  <si>
    <t>D`</t>
  </si>
  <si>
    <t>E</t>
  </si>
  <si>
    <t>F</t>
  </si>
  <si>
    <t>M</t>
  </si>
  <si>
    <t>A</t>
  </si>
  <si>
    <t>J</t>
  </si>
  <si>
    <t>S</t>
  </si>
  <si>
    <t>O</t>
  </si>
  <si>
    <t>N</t>
  </si>
  <si>
    <t>D</t>
  </si>
  <si>
    <t>Ingreso Mensual</t>
  </si>
  <si>
    <t>Egreso Mensual</t>
  </si>
  <si>
    <t>Saldo Mensual</t>
  </si>
  <si>
    <t>Saldo Acumulado</t>
  </si>
  <si>
    <t>CT</t>
  </si>
  <si>
    <t>Ventas</t>
  </si>
  <si>
    <t>Gastos Administativos</t>
  </si>
  <si>
    <t>Tasa de Interes</t>
  </si>
  <si>
    <t>Periodo</t>
  </si>
  <si>
    <t>Pago</t>
  </si>
  <si>
    <t>Interes</t>
  </si>
  <si>
    <t xml:space="preserve">Capital </t>
  </si>
  <si>
    <t>SALDO</t>
  </si>
  <si>
    <t>VALOR DESECHO</t>
  </si>
  <si>
    <t>MAS RIESGO PAIS</t>
  </si>
  <si>
    <t>PROMEDIO ANUAL FC</t>
  </si>
  <si>
    <t>Anexo 3.18</t>
  </si>
  <si>
    <t>Estas tablas contienen un resumen de los datos que se utilizan para nuestro proyecto. Además, se analizan las rentabilidades del accionista y de la empresa.</t>
  </si>
  <si>
    <t>Anexo 3.19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</si>
</sst>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  <numFmt numFmtId="181" formatCode="0.0000000"/>
    <numFmt numFmtId="182" formatCode="&quot;$&quot;#,##0_);[Red]\(&quot;$&quot;#,##0\)"/>
    <numFmt numFmtId="183" formatCode="0.00000000"/>
    <numFmt numFmtId="184" formatCode="[$$-409]#,##0.00"/>
    <numFmt numFmtId="185" formatCode="0.0%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b/>
      <u val="single"/>
      <sz val="10"/>
      <name val="Arial"/>
      <family val="2"/>
    </font>
    <font>
      <b/>
      <sz val="10"/>
      <name val="Trebuchet MS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44" fontId="0" fillId="0" borderId="10" xfId="5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76" fontId="0" fillId="0" borderId="10" xfId="0" applyNumberFormat="1" applyBorder="1" applyAlignment="1">
      <alignment/>
    </xf>
    <xf numFmtId="0" fontId="0" fillId="24" borderId="0" xfId="53" applyFill="1">
      <alignment/>
      <protection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24" borderId="0" xfId="0" applyFill="1" applyAlignment="1">
      <alignment horizontal="center"/>
    </xf>
    <xf numFmtId="0" fontId="0" fillId="0" borderId="0" xfId="53" applyFill="1">
      <alignment/>
      <protection/>
    </xf>
    <xf numFmtId="0" fontId="22" fillId="0" borderId="0" xfId="53" applyFont="1" applyFill="1" applyAlignment="1">
      <alignment horizontal="center"/>
      <protection/>
    </xf>
    <xf numFmtId="0" fontId="24" fillId="0" borderId="11" xfId="53" applyFont="1" applyFill="1" applyBorder="1" applyAlignment="1">
      <alignment horizontal="center"/>
      <protection/>
    </xf>
    <xf numFmtId="0" fontId="24" fillId="0" borderId="12" xfId="53" applyFont="1" applyFill="1" applyBorder="1" applyAlignment="1">
      <alignment horizontal="center"/>
      <protection/>
    </xf>
    <xf numFmtId="0" fontId="24" fillId="0" borderId="13" xfId="53" applyFont="1" applyFill="1" applyBorder="1" applyAlignment="1">
      <alignment horizontal="center"/>
      <protection/>
    </xf>
    <xf numFmtId="0" fontId="24" fillId="0" borderId="14" xfId="53" applyFont="1" applyFill="1" applyBorder="1">
      <alignment/>
      <protection/>
    </xf>
    <xf numFmtId="0" fontId="22" fillId="0" borderId="15" xfId="53" applyFont="1" applyFill="1" applyBorder="1" applyAlignment="1">
      <alignment horizontal="center"/>
      <protection/>
    </xf>
    <xf numFmtId="0" fontId="22" fillId="0" borderId="14" xfId="53" applyFont="1" applyFill="1" applyBorder="1" applyAlignment="1">
      <alignment horizontal="center"/>
      <protection/>
    </xf>
    <xf numFmtId="0" fontId="22" fillId="0" borderId="16" xfId="53" applyFont="1" applyFill="1" applyBorder="1" applyAlignment="1">
      <alignment horizontal="right"/>
      <protection/>
    </xf>
    <xf numFmtId="0" fontId="0" fillId="0" borderId="16" xfId="53" applyFill="1" applyBorder="1">
      <alignment/>
      <protection/>
    </xf>
    <xf numFmtId="0" fontId="0" fillId="0" borderId="15" xfId="53" applyFill="1" applyBorder="1">
      <alignment/>
      <protection/>
    </xf>
    <xf numFmtId="0" fontId="22" fillId="0" borderId="17" xfId="53" applyFont="1" applyFill="1" applyBorder="1">
      <alignment/>
      <protection/>
    </xf>
    <xf numFmtId="0" fontId="22" fillId="0" borderId="18" xfId="53" applyFont="1" applyFill="1" applyBorder="1">
      <alignment/>
      <protection/>
    </xf>
    <xf numFmtId="2" fontId="22" fillId="0" borderId="0" xfId="53" applyNumberFormat="1" applyFont="1" applyFill="1" applyBorder="1" applyAlignment="1">
      <alignment horizontal="right"/>
      <protection/>
    </xf>
    <xf numFmtId="0" fontId="22" fillId="0" borderId="0" xfId="53" applyFont="1" applyFill="1" applyBorder="1" applyAlignment="1">
      <alignment horizontal="right"/>
      <protection/>
    </xf>
    <xf numFmtId="1" fontId="22" fillId="0" borderId="0" xfId="53" applyNumberFormat="1" applyFont="1" applyFill="1" applyBorder="1" applyAlignment="1">
      <alignment horizontal="right"/>
      <protection/>
    </xf>
    <xf numFmtId="1" fontId="22" fillId="0" borderId="18" xfId="53" applyNumberFormat="1" applyFont="1" applyFill="1" applyBorder="1" applyAlignment="1">
      <alignment horizontal="right"/>
      <protection/>
    </xf>
    <xf numFmtId="0" fontId="24" fillId="0" borderId="17" xfId="53" applyFont="1" applyFill="1" applyBorder="1">
      <alignment/>
      <protection/>
    </xf>
    <xf numFmtId="0" fontId="22" fillId="0" borderId="18" xfId="53" applyFont="1" applyFill="1" applyBorder="1" applyAlignment="1">
      <alignment horizontal="center"/>
      <protection/>
    </xf>
    <xf numFmtId="0" fontId="22" fillId="0" borderId="17" xfId="53" applyFont="1" applyFill="1" applyBorder="1" applyAlignment="1">
      <alignment horizontal="center"/>
      <protection/>
    </xf>
    <xf numFmtId="0" fontId="0" fillId="0" borderId="0" xfId="53" applyFill="1" applyBorder="1">
      <alignment/>
      <protection/>
    </xf>
    <xf numFmtId="0" fontId="0" fillId="0" borderId="18" xfId="53" applyFill="1" applyBorder="1">
      <alignment/>
      <protection/>
    </xf>
    <xf numFmtId="0" fontId="0" fillId="0" borderId="0" xfId="0" applyFill="1" applyAlignment="1">
      <alignment/>
    </xf>
    <xf numFmtId="0" fontId="22" fillId="0" borderId="19" xfId="53" applyFont="1" applyFill="1" applyBorder="1">
      <alignment/>
      <protection/>
    </xf>
    <xf numFmtId="0" fontId="22" fillId="0" borderId="20" xfId="53" applyFont="1" applyFill="1" applyBorder="1">
      <alignment/>
      <protection/>
    </xf>
    <xf numFmtId="1" fontId="22" fillId="0" borderId="21" xfId="53" applyNumberFormat="1" applyFont="1" applyFill="1" applyBorder="1" applyAlignment="1">
      <alignment horizontal="right"/>
      <protection/>
    </xf>
    <xf numFmtId="1" fontId="22" fillId="0" borderId="20" xfId="53" applyNumberFormat="1" applyFont="1" applyFill="1" applyBorder="1" applyAlignment="1">
      <alignment horizontal="right"/>
      <protection/>
    </xf>
    <xf numFmtId="0" fontId="0" fillId="0" borderId="0" xfId="53" applyFill="1" applyAlignment="1">
      <alignment horizontal="right"/>
      <protection/>
    </xf>
    <xf numFmtId="0" fontId="22" fillId="0" borderId="18" xfId="53" applyFont="1" applyFill="1" applyBorder="1" applyAlignment="1">
      <alignment horizontal="right"/>
      <protection/>
    </xf>
    <xf numFmtId="1" fontId="0" fillId="0" borderId="0" xfId="53" applyNumberFormat="1" applyFill="1" applyBorder="1">
      <alignment/>
      <protection/>
    </xf>
    <xf numFmtId="1" fontId="0" fillId="0" borderId="18" xfId="53" applyNumberFormat="1" applyFill="1" applyBorder="1">
      <alignment/>
      <protection/>
    </xf>
    <xf numFmtId="0" fontId="22" fillId="0" borderId="21" xfId="53" applyFont="1" applyFill="1" applyBorder="1" applyAlignment="1">
      <alignment horizontal="right"/>
      <protection/>
    </xf>
    <xf numFmtId="0" fontId="0" fillId="0" borderId="21" xfId="53" applyFill="1" applyBorder="1">
      <alignment/>
      <protection/>
    </xf>
    <xf numFmtId="0" fontId="0" fillId="0" borderId="20" xfId="53" applyFill="1" applyBorder="1">
      <alignment/>
      <protection/>
    </xf>
    <xf numFmtId="0" fontId="24" fillId="0" borderId="22" xfId="53" applyFont="1" applyFill="1" applyBorder="1">
      <alignment/>
      <protection/>
    </xf>
    <xf numFmtId="0" fontId="22" fillId="0" borderId="23" xfId="53" applyFont="1" applyFill="1" applyBorder="1">
      <alignment/>
      <protection/>
    </xf>
    <xf numFmtId="0" fontId="24" fillId="0" borderId="24" xfId="53" applyFont="1" applyFill="1" applyBorder="1">
      <alignment/>
      <protection/>
    </xf>
    <xf numFmtId="0" fontId="22" fillId="0" borderId="25" xfId="53" applyFont="1" applyFill="1" applyBorder="1">
      <alignment/>
      <protection/>
    </xf>
    <xf numFmtId="0" fontId="22" fillId="0" borderId="24" xfId="53" applyFont="1" applyFill="1" applyBorder="1">
      <alignment/>
      <protection/>
    </xf>
    <xf numFmtId="1" fontId="22" fillId="0" borderId="26" xfId="53" applyNumberFormat="1" applyFont="1" applyFill="1" applyBorder="1" applyAlignment="1">
      <alignment horizontal="right"/>
      <protection/>
    </xf>
    <xf numFmtId="1" fontId="22" fillId="0" borderId="17" xfId="53" applyNumberFormat="1" applyFont="1" applyFill="1" applyBorder="1">
      <alignment/>
      <protection/>
    </xf>
    <xf numFmtId="0" fontId="2" fillId="0" borderId="11" xfId="53" applyFont="1" applyFill="1" applyBorder="1">
      <alignment/>
      <protection/>
    </xf>
    <xf numFmtId="0" fontId="0" fillId="0" borderId="13" xfId="53" applyFill="1" applyBorder="1">
      <alignment/>
      <protection/>
    </xf>
    <xf numFmtId="0" fontId="0" fillId="0" borderId="11" xfId="53" applyFill="1" applyBorder="1">
      <alignment/>
      <protection/>
    </xf>
    <xf numFmtId="0" fontId="0" fillId="0" borderId="12" xfId="53" applyFill="1" applyBorder="1" applyAlignment="1">
      <alignment horizontal="right"/>
      <protection/>
    </xf>
    <xf numFmtId="0" fontId="0" fillId="0" borderId="12" xfId="53" applyFill="1" applyBorder="1">
      <alignment/>
      <protection/>
    </xf>
    <xf numFmtId="0" fontId="2" fillId="0" borderId="27" xfId="53" applyFont="1" applyFill="1" applyBorder="1" applyAlignment="1">
      <alignment horizontal="center"/>
      <protection/>
    </xf>
    <xf numFmtId="0" fontId="2" fillId="0" borderId="28" xfId="53" applyFont="1" applyFill="1" applyBorder="1" applyAlignment="1">
      <alignment horizontal="center"/>
      <protection/>
    </xf>
    <xf numFmtId="1" fontId="0" fillId="0" borderId="29" xfId="53" applyNumberFormat="1" applyFill="1" applyBorder="1">
      <alignment/>
      <protection/>
    </xf>
    <xf numFmtId="1" fontId="0" fillId="0" borderId="29" xfId="53" applyNumberFormat="1" applyFill="1" applyBorder="1" applyAlignment="1">
      <alignment horizontal="right"/>
      <protection/>
    </xf>
    <xf numFmtId="182" fontId="0" fillId="0" borderId="30" xfId="53" applyNumberFormat="1" applyFill="1" applyBorder="1">
      <alignment/>
      <protection/>
    </xf>
    <xf numFmtId="9" fontId="0" fillId="0" borderId="31" xfId="53" applyNumberFormat="1" applyFill="1" applyBorder="1">
      <alignment/>
      <protection/>
    </xf>
    <xf numFmtId="0" fontId="2" fillId="0" borderId="10" xfId="53" applyFont="1" applyFill="1" applyBorder="1">
      <alignment/>
      <protection/>
    </xf>
    <xf numFmtId="182" fontId="2" fillId="0" borderId="10" xfId="53" applyNumberFormat="1" applyFont="1" applyFill="1" applyBorder="1">
      <alignment/>
      <protection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1" fontId="0" fillId="0" borderId="37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1" fontId="0" fillId="0" borderId="39" xfId="0" applyNumberFormat="1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1" fontId="0" fillId="0" borderId="41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" fontId="0" fillId="0" borderId="28" xfId="0" applyNumberFormat="1" applyFill="1" applyBorder="1" applyAlignment="1">
      <alignment/>
    </xf>
    <xf numFmtId="0" fontId="2" fillId="0" borderId="0" xfId="53" applyFont="1" applyFill="1" applyAlignment="1">
      <alignment horizontal="center"/>
      <protection/>
    </xf>
    <xf numFmtId="0" fontId="2" fillId="0" borderId="30" xfId="53" applyFont="1" applyFill="1" applyBorder="1" applyAlignment="1">
      <alignment horizontal="center"/>
      <protection/>
    </xf>
    <xf numFmtId="0" fontId="2" fillId="0" borderId="29" xfId="53" applyFont="1" applyFill="1" applyBorder="1" applyAlignment="1">
      <alignment horizontal="center"/>
      <protection/>
    </xf>
    <xf numFmtId="0" fontId="0" fillId="0" borderId="43" xfId="53" applyFill="1" applyBorder="1" applyAlignment="1">
      <alignment horizontal="center"/>
      <protection/>
    </xf>
    <xf numFmtId="184" fontId="0" fillId="0" borderId="16" xfId="53" applyNumberFormat="1" applyFill="1" applyBorder="1">
      <alignment/>
      <protection/>
    </xf>
    <xf numFmtId="184" fontId="0" fillId="0" borderId="15" xfId="53" applyNumberFormat="1" applyFill="1" applyBorder="1">
      <alignment/>
      <protection/>
    </xf>
    <xf numFmtId="0" fontId="0" fillId="0" borderId="44" xfId="53" applyFill="1" applyBorder="1" applyAlignment="1">
      <alignment horizontal="center"/>
      <protection/>
    </xf>
    <xf numFmtId="184" fontId="0" fillId="0" borderId="0" xfId="53" applyNumberFormat="1" applyFill="1" applyBorder="1">
      <alignment/>
      <protection/>
    </xf>
    <xf numFmtId="184" fontId="0" fillId="0" borderId="18" xfId="53" applyNumberFormat="1" applyFill="1" applyBorder="1">
      <alignment/>
      <protection/>
    </xf>
    <xf numFmtId="0" fontId="0" fillId="0" borderId="31" xfId="53" applyFill="1" applyBorder="1" applyAlignment="1">
      <alignment horizontal="center"/>
      <protection/>
    </xf>
    <xf numFmtId="184" fontId="0" fillId="0" borderId="12" xfId="53" applyNumberFormat="1" applyFill="1" applyBorder="1">
      <alignment/>
      <protection/>
    </xf>
    <xf numFmtId="184" fontId="0" fillId="0" borderId="13" xfId="53" applyNumberFormat="1" applyFill="1" applyBorder="1">
      <alignment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1" fontId="0" fillId="0" borderId="0" xfId="53" applyNumberFormat="1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43" xfId="53" applyFill="1" applyBorder="1">
      <alignment/>
      <protection/>
    </xf>
    <xf numFmtId="2" fontId="0" fillId="0" borderId="15" xfId="53" applyNumberFormat="1" applyFill="1" applyBorder="1">
      <alignment/>
      <protection/>
    </xf>
    <xf numFmtId="0" fontId="0" fillId="0" borderId="44" xfId="53" applyFill="1" applyBorder="1">
      <alignment/>
      <protection/>
    </xf>
    <xf numFmtId="2" fontId="0" fillId="0" borderId="18" xfId="53" applyNumberFormat="1" applyFill="1" applyBorder="1">
      <alignment/>
      <protection/>
    </xf>
    <xf numFmtId="0" fontId="22" fillId="0" borderId="44" xfId="53" applyFont="1" applyFill="1" applyBorder="1">
      <alignment/>
      <protection/>
    </xf>
    <xf numFmtId="0" fontId="0" fillId="0" borderId="31" xfId="53" applyFill="1" applyBorder="1">
      <alignment/>
      <protection/>
    </xf>
    <xf numFmtId="0" fontId="0" fillId="0" borderId="27" xfId="0" applyFill="1" applyBorder="1" applyAlignment="1">
      <alignment/>
    </xf>
    <xf numFmtId="0" fontId="0" fillId="0" borderId="28" xfId="53" applyFill="1" applyBorder="1">
      <alignment/>
      <protection/>
    </xf>
    <xf numFmtId="1" fontId="0" fillId="0" borderId="30" xfId="53" applyNumberFormat="1" applyFill="1" applyBorder="1" applyAlignment="1">
      <alignment horizontal="right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31" xfId="53" applyFont="1" applyFill="1" applyBorder="1">
      <alignment/>
      <protection/>
    </xf>
    <xf numFmtId="0" fontId="2" fillId="0" borderId="27" xfId="53" applyFont="1" applyFill="1" applyBorder="1" applyAlignment="1">
      <alignment horizontal="center"/>
      <protection/>
    </xf>
    <xf numFmtId="0" fontId="2" fillId="0" borderId="29" xfId="53" applyFont="1" applyFill="1" applyBorder="1" applyAlignment="1">
      <alignment horizontal="center"/>
      <protection/>
    </xf>
    <xf numFmtId="0" fontId="2" fillId="0" borderId="28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16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25" fillId="0" borderId="16" xfId="53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0" fontId="0" fillId="0" borderId="14" xfId="53" applyFill="1" applyBorder="1" applyAlignment="1">
      <alignment horizontal="center" vertical="center" wrapText="1"/>
      <protection/>
    </xf>
    <xf numFmtId="0" fontId="0" fillId="0" borderId="16" xfId="53" applyFill="1" applyBorder="1" applyAlignment="1">
      <alignment horizontal="center" vertical="center" wrapText="1"/>
      <protection/>
    </xf>
    <xf numFmtId="0" fontId="0" fillId="0" borderId="15" xfId="53" applyFill="1" applyBorder="1" applyAlignment="1">
      <alignment horizontal="center" vertical="center" wrapText="1"/>
      <protection/>
    </xf>
    <xf numFmtId="0" fontId="0" fillId="0" borderId="17" xfId="53" applyFill="1" applyBorder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  <xf numFmtId="0" fontId="0" fillId="0" borderId="18" xfId="53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horizontal="center" vertical="center" wrapText="1"/>
      <protection/>
    </xf>
    <xf numFmtId="0" fontId="0" fillId="0" borderId="12" xfId="53" applyFill="1" applyBorder="1" applyAlignment="1">
      <alignment horizontal="center" vertical="center" wrapText="1"/>
      <protection/>
    </xf>
    <xf numFmtId="0" fontId="0" fillId="0" borderId="13" xfId="53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/>
      <protection/>
    </xf>
    <xf numFmtId="0" fontId="23" fillId="0" borderId="27" xfId="53" applyFont="1" applyFill="1" applyBorder="1" applyAlignment="1">
      <alignment horizontal="center"/>
      <protection/>
    </xf>
    <xf numFmtId="0" fontId="23" fillId="0" borderId="29" xfId="53" applyFont="1" applyFill="1" applyBorder="1" applyAlignment="1">
      <alignment horizontal="center"/>
      <protection/>
    </xf>
    <xf numFmtId="0" fontId="23" fillId="0" borderId="28" xfId="53" applyFont="1" applyFill="1" applyBorder="1" applyAlignment="1">
      <alignment horizontal="center"/>
      <protection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34"/>
  <sheetViews>
    <sheetView zoomScalePageLayoutView="0" workbookViewId="0" topLeftCell="A13">
      <selection activeCell="F45" sqref="F45"/>
    </sheetView>
  </sheetViews>
  <sheetFormatPr defaultColWidth="11.421875" defaultRowHeight="12.75"/>
  <cols>
    <col min="1" max="2" width="11.421875" style="12" customWidth="1"/>
    <col min="3" max="3" width="11.57421875" style="12" bestFit="1" customWidth="1"/>
    <col min="4" max="4" width="15.00390625" style="12" bestFit="1" customWidth="1"/>
    <col min="5" max="5" width="11.57421875" style="12" bestFit="1" customWidth="1"/>
    <col min="6" max="6" width="12.7109375" style="12" bestFit="1" customWidth="1"/>
    <col min="7" max="16384" width="11.421875" style="12" customWidth="1"/>
  </cols>
  <sheetData>
    <row r="6" ht="13.5" thickBot="1"/>
    <row r="7" spans="1:7" ht="13.5" thickBot="1">
      <c r="A7" s="115" t="s">
        <v>108</v>
      </c>
      <c r="B7" s="116"/>
      <c r="C7" s="116"/>
      <c r="D7" s="116"/>
      <c r="E7" s="116"/>
      <c r="F7" s="116"/>
      <c r="G7" s="117"/>
    </row>
    <row r="8" spans="1:7" ht="12.75">
      <c r="A8" s="118"/>
      <c r="B8" s="119"/>
      <c r="C8" s="119"/>
      <c r="D8" s="119"/>
      <c r="E8" s="119"/>
      <c r="F8" s="119"/>
      <c r="G8" s="120"/>
    </row>
    <row r="9" spans="1:7" ht="12.75">
      <c r="A9" s="109"/>
      <c r="B9" s="110"/>
      <c r="C9" s="110"/>
      <c r="D9" s="110"/>
      <c r="E9" s="110"/>
      <c r="F9" s="110"/>
      <c r="G9" s="111"/>
    </row>
    <row r="10" spans="1:7" ht="12.75">
      <c r="A10" s="109"/>
      <c r="B10" s="110"/>
      <c r="C10" s="110"/>
      <c r="D10" s="110"/>
      <c r="E10" s="110"/>
      <c r="F10" s="110"/>
      <c r="G10" s="111"/>
    </row>
    <row r="11" spans="1:7" ht="13.5" thickBot="1">
      <c r="A11" s="112"/>
      <c r="B11" s="113"/>
      <c r="C11" s="113"/>
      <c r="D11" s="113"/>
      <c r="E11" s="113"/>
      <c r="F11" s="113"/>
      <c r="G11" s="121"/>
    </row>
    <row r="17" ht="13.5" thickBot="1"/>
    <row r="18" spans="2:7" ht="13.5" thickBot="1">
      <c r="B18" s="85"/>
      <c r="C18" s="85"/>
      <c r="D18" s="62" t="s">
        <v>146</v>
      </c>
      <c r="E18" s="86">
        <v>0.12</v>
      </c>
      <c r="F18" s="85"/>
      <c r="G18" s="16"/>
    </row>
    <row r="19" spans="2:7" ht="12.75">
      <c r="B19" s="16"/>
      <c r="C19" s="16"/>
      <c r="D19" s="122"/>
      <c r="E19" s="122"/>
      <c r="F19" s="16"/>
      <c r="G19" s="16"/>
    </row>
    <row r="20" spans="2:7" ht="12.75">
      <c r="B20" s="16"/>
      <c r="C20" s="16"/>
      <c r="D20" s="16"/>
      <c r="E20" s="16"/>
      <c r="F20" s="16"/>
      <c r="G20" s="16"/>
    </row>
    <row r="21" spans="2:7" ht="13.5" thickBot="1">
      <c r="B21" s="16"/>
      <c r="C21" s="16"/>
      <c r="D21" s="16"/>
      <c r="E21" s="16"/>
      <c r="F21" s="16"/>
      <c r="G21" s="16"/>
    </row>
    <row r="22" spans="2:7" ht="13.5" thickBot="1">
      <c r="B22" s="62" t="s">
        <v>147</v>
      </c>
      <c r="C22" s="87" t="s">
        <v>148</v>
      </c>
      <c r="D22" s="87" t="s">
        <v>149</v>
      </c>
      <c r="E22" s="87" t="s">
        <v>150</v>
      </c>
      <c r="F22" s="63" t="s">
        <v>151</v>
      </c>
      <c r="G22" s="16"/>
    </row>
    <row r="23" spans="2:7" ht="12.75">
      <c r="B23" s="88">
        <v>0</v>
      </c>
      <c r="C23" s="89"/>
      <c r="D23" s="89"/>
      <c r="E23" s="89"/>
      <c r="F23" s="90">
        <v>20000</v>
      </c>
      <c r="G23" s="16"/>
    </row>
    <row r="24" spans="2:7" ht="12.75">
      <c r="B24" s="91">
        <v>1</v>
      </c>
      <c r="C24" s="92">
        <f aca="true" t="shared" si="0" ref="C24:C33">PMT($E$18,$B$33,-$F$23)</f>
        <v>3539.6832831968804</v>
      </c>
      <c r="D24" s="92">
        <f aca="true" t="shared" si="1" ref="D24:D33">F23*$E$18</f>
        <v>2400</v>
      </c>
      <c r="E24" s="92">
        <f>C24-D24</f>
        <v>1139.6832831968804</v>
      </c>
      <c r="F24" s="93">
        <f>F23-E24</f>
        <v>18860.31671680312</v>
      </c>
      <c r="G24" s="16"/>
    </row>
    <row r="25" spans="2:7" ht="12.75">
      <c r="B25" s="91">
        <v>2</v>
      </c>
      <c r="C25" s="92">
        <f t="shared" si="0"/>
        <v>3539.6832831968804</v>
      </c>
      <c r="D25" s="92">
        <f t="shared" si="1"/>
        <v>2263.2380060163746</v>
      </c>
      <c r="E25" s="92">
        <f aca="true" t="shared" si="2" ref="E25:E33">C25-D25</f>
        <v>1276.4452771805059</v>
      </c>
      <c r="F25" s="93">
        <f aca="true" t="shared" si="3" ref="F25:F33">F24-E25</f>
        <v>17583.871439622617</v>
      </c>
      <c r="G25" s="16"/>
    </row>
    <row r="26" spans="2:7" ht="12.75">
      <c r="B26" s="91">
        <v>3</v>
      </c>
      <c r="C26" s="92">
        <f t="shared" si="0"/>
        <v>3539.6832831968804</v>
      </c>
      <c r="D26" s="92">
        <f t="shared" si="1"/>
        <v>2110.064572754714</v>
      </c>
      <c r="E26" s="92">
        <f t="shared" si="2"/>
        <v>1429.6187104421665</v>
      </c>
      <c r="F26" s="93">
        <f t="shared" si="3"/>
        <v>16154.25272918045</v>
      </c>
      <c r="G26" s="16"/>
    </row>
    <row r="27" spans="2:7" ht="12.75">
      <c r="B27" s="91">
        <v>4</v>
      </c>
      <c r="C27" s="92">
        <f t="shared" si="0"/>
        <v>3539.6832831968804</v>
      </c>
      <c r="D27" s="92">
        <f t="shared" si="1"/>
        <v>1938.510327501654</v>
      </c>
      <c r="E27" s="92">
        <f t="shared" si="2"/>
        <v>1601.1729556952264</v>
      </c>
      <c r="F27" s="93">
        <f t="shared" si="3"/>
        <v>14553.079773485224</v>
      </c>
      <c r="G27" s="16"/>
    </row>
    <row r="28" spans="2:7" ht="12.75">
      <c r="B28" s="91">
        <v>5</v>
      </c>
      <c r="C28" s="92">
        <f t="shared" si="0"/>
        <v>3539.6832831968804</v>
      </c>
      <c r="D28" s="92">
        <f t="shared" si="1"/>
        <v>1746.3695728182267</v>
      </c>
      <c r="E28" s="92">
        <f t="shared" si="2"/>
        <v>1793.3137103786537</v>
      </c>
      <c r="F28" s="93">
        <f t="shared" si="3"/>
        <v>12759.76606310657</v>
      </c>
      <c r="G28" s="16"/>
    </row>
    <row r="29" spans="2:7" ht="12.75">
      <c r="B29" s="91">
        <v>6</v>
      </c>
      <c r="C29" s="92">
        <f t="shared" si="0"/>
        <v>3539.6832831968804</v>
      </c>
      <c r="D29" s="92">
        <f t="shared" si="1"/>
        <v>1531.1719275727883</v>
      </c>
      <c r="E29" s="92">
        <f t="shared" si="2"/>
        <v>2008.5113556240922</v>
      </c>
      <c r="F29" s="93">
        <f t="shared" si="3"/>
        <v>10751.254707482478</v>
      </c>
      <c r="G29" s="16"/>
    </row>
    <row r="30" spans="2:7" ht="12.75">
      <c r="B30" s="91">
        <v>7</v>
      </c>
      <c r="C30" s="92">
        <f t="shared" si="0"/>
        <v>3539.6832831968804</v>
      </c>
      <c r="D30" s="92">
        <f t="shared" si="1"/>
        <v>1290.1505648978973</v>
      </c>
      <c r="E30" s="92">
        <f t="shared" si="2"/>
        <v>2249.532718298983</v>
      </c>
      <c r="F30" s="93">
        <f t="shared" si="3"/>
        <v>8501.721989183494</v>
      </c>
      <c r="G30" s="16"/>
    </row>
    <row r="31" spans="2:7" ht="12.75">
      <c r="B31" s="91">
        <v>8</v>
      </c>
      <c r="C31" s="92">
        <f t="shared" si="0"/>
        <v>3539.6832831968804</v>
      </c>
      <c r="D31" s="92">
        <f t="shared" si="1"/>
        <v>1020.2066387020192</v>
      </c>
      <c r="E31" s="92">
        <f t="shared" si="2"/>
        <v>2519.4766444948614</v>
      </c>
      <c r="F31" s="93">
        <f t="shared" si="3"/>
        <v>5982.245344688632</v>
      </c>
      <c r="G31" s="16"/>
    </row>
    <row r="32" spans="2:7" ht="12.75">
      <c r="B32" s="91">
        <v>9</v>
      </c>
      <c r="C32" s="92">
        <f t="shared" si="0"/>
        <v>3539.6832831968804</v>
      </c>
      <c r="D32" s="92">
        <f t="shared" si="1"/>
        <v>717.8694413626358</v>
      </c>
      <c r="E32" s="92">
        <f t="shared" si="2"/>
        <v>2821.8138418342446</v>
      </c>
      <c r="F32" s="93">
        <f t="shared" si="3"/>
        <v>3160.4315028543874</v>
      </c>
      <c r="G32" s="16"/>
    </row>
    <row r="33" spans="2:7" ht="13.5" thickBot="1">
      <c r="B33" s="94">
        <v>10</v>
      </c>
      <c r="C33" s="95">
        <f t="shared" si="0"/>
        <v>3539.6832831968804</v>
      </c>
      <c r="D33" s="95">
        <f t="shared" si="1"/>
        <v>379.2517803425265</v>
      </c>
      <c r="E33" s="95">
        <f t="shared" si="2"/>
        <v>3160.4315028543538</v>
      </c>
      <c r="F33" s="96">
        <f t="shared" si="3"/>
        <v>3.3651303965598345E-11</v>
      </c>
      <c r="G33" s="16"/>
    </row>
    <row r="34" spans="2:7" ht="12.75">
      <c r="B34" s="16"/>
      <c r="C34" s="16"/>
      <c r="D34" s="16"/>
      <c r="E34" s="16"/>
      <c r="F34" s="16"/>
      <c r="G34" s="16"/>
    </row>
  </sheetData>
  <sheetProtection/>
  <mergeCells count="3">
    <mergeCell ref="A7:G7"/>
    <mergeCell ref="A8:G11"/>
    <mergeCell ref="D19:E19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8">
      <selection activeCell="H1" sqref="H1"/>
    </sheetView>
  </sheetViews>
  <sheetFormatPr defaultColWidth="11.421875" defaultRowHeight="12.75"/>
  <cols>
    <col min="1" max="1" width="27.57421875" style="0" customWidth="1"/>
    <col min="2" max="2" width="7.421875" style="0" customWidth="1"/>
    <col min="3" max="3" width="8.28125" style="0" customWidth="1"/>
    <col min="4" max="4" width="8.421875" style="0" customWidth="1"/>
    <col min="5" max="5" width="7.7109375" style="0" customWidth="1"/>
    <col min="6" max="6" width="7.8515625" style="0" customWidth="1"/>
    <col min="7" max="7" width="7.7109375" style="0" customWidth="1"/>
    <col min="8" max="8" width="8.421875" style="0" customWidth="1"/>
    <col min="9" max="9" width="7.8515625" style="0" customWidth="1"/>
    <col min="10" max="10" width="8.00390625" style="0" customWidth="1"/>
    <col min="11" max="12" width="8.421875" style="0" customWidth="1"/>
    <col min="13" max="13" width="7.8515625" style="0" customWidth="1"/>
    <col min="14" max="14" width="8.00390625" style="0" customWidth="1"/>
  </cols>
  <sheetData>
    <row r="1" spans="3:6" ht="12.75">
      <c r="C1" s="123" t="s">
        <v>62</v>
      </c>
      <c r="D1" s="123"/>
      <c r="E1" s="123"/>
      <c r="F1" s="123"/>
    </row>
    <row r="2" spans="3:6" ht="12.75">
      <c r="C2" s="124" t="s">
        <v>42</v>
      </c>
      <c r="D2" s="124"/>
      <c r="E2" s="124"/>
      <c r="F2" s="124"/>
    </row>
    <row r="3" spans="1:14" ht="12" customHeight="1">
      <c r="A3" s="1"/>
      <c r="B3" s="1"/>
      <c r="C3" s="13" t="s">
        <v>116</v>
      </c>
      <c r="D3" s="13" t="s">
        <v>117</v>
      </c>
      <c r="E3" s="13" t="s">
        <v>118</v>
      </c>
      <c r="F3" s="13" t="s">
        <v>119</v>
      </c>
      <c r="G3" s="13" t="s">
        <v>120</v>
      </c>
      <c r="H3" s="13" t="s">
        <v>121</v>
      </c>
      <c r="I3" s="13" t="s">
        <v>122</v>
      </c>
      <c r="J3" s="13" t="s">
        <v>123</v>
      </c>
      <c r="K3" s="13" t="s">
        <v>124</v>
      </c>
      <c r="L3" s="13" t="s">
        <v>125</v>
      </c>
      <c r="M3" s="13" t="s">
        <v>126</v>
      </c>
      <c r="N3" s="13" t="s">
        <v>127</v>
      </c>
    </row>
    <row r="4" spans="1:14" ht="12.75">
      <c r="A4" s="10" t="s">
        <v>2</v>
      </c>
      <c r="B4" s="1"/>
      <c r="C4" s="1">
        <f>170000/12</f>
        <v>14166.666666666666</v>
      </c>
      <c r="D4" s="1">
        <f aca="true" t="shared" si="0" ref="D4:N4">170000/12</f>
        <v>14166.666666666666</v>
      </c>
      <c r="E4" s="1">
        <f t="shared" si="0"/>
        <v>14166.666666666666</v>
      </c>
      <c r="F4" s="1">
        <f t="shared" si="0"/>
        <v>14166.666666666666</v>
      </c>
      <c r="G4" s="1">
        <f t="shared" si="0"/>
        <v>14166.666666666666</v>
      </c>
      <c r="H4" s="1">
        <f t="shared" si="0"/>
        <v>14166.666666666666</v>
      </c>
      <c r="I4" s="1">
        <f t="shared" si="0"/>
        <v>14166.666666666666</v>
      </c>
      <c r="J4" s="1">
        <f t="shared" si="0"/>
        <v>14166.666666666666</v>
      </c>
      <c r="K4" s="1">
        <f t="shared" si="0"/>
        <v>14166.666666666666</v>
      </c>
      <c r="L4" s="1">
        <f t="shared" si="0"/>
        <v>14166.666666666666</v>
      </c>
      <c r="M4" s="1">
        <f t="shared" si="0"/>
        <v>14166.666666666666</v>
      </c>
      <c r="N4" s="1">
        <f t="shared" si="0"/>
        <v>14166.666666666666</v>
      </c>
    </row>
    <row r="5" ht="9" customHeight="1"/>
    <row r="6" ht="3.75" customHeight="1" hidden="1"/>
    <row r="7" spans="1:14" ht="12.75">
      <c r="A7" s="1" t="s">
        <v>4</v>
      </c>
      <c r="B7" s="1"/>
      <c r="C7" s="1">
        <f>C4</f>
        <v>14166.666666666666</v>
      </c>
      <c r="D7" s="1">
        <f aca="true" t="shared" si="1" ref="D7:N7">D4</f>
        <v>14166.666666666666</v>
      </c>
      <c r="E7" s="1">
        <f t="shared" si="1"/>
        <v>14166.666666666666</v>
      </c>
      <c r="F7" s="1">
        <f t="shared" si="1"/>
        <v>14166.666666666666</v>
      </c>
      <c r="G7" s="1">
        <f t="shared" si="1"/>
        <v>14166.666666666666</v>
      </c>
      <c r="H7" s="1">
        <f t="shared" si="1"/>
        <v>14166.666666666666</v>
      </c>
      <c r="I7" s="1">
        <f t="shared" si="1"/>
        <v>14166.666666666666</v>
      </c>
      <c r="J7" s="1">
        <f t="shared" si="1"/>
        <v>14166.666666666666</v>
      </c>
      <c r="K7" s="1">
        <f t="shared" si="1"/>
        <v>14166.666666666666</v>
      </c>
      <c r="L7" s="1">
        <f t="shared" si="1"/>
        <v>14166.666666666666</v>
      </c>
      <c r="M7" s="1">
        <f t="shared" si="1"/>
        <v>14166.666666666666</v>
      </c>
      <c r="N7" s="1">
        <f t="shared" si="1"/>
        <v>14166.666666666666</v>
      </c>
    </row>
    <row r="8" spans="1:14" ht="12.75">
      <c r="A8" s="1"/>
      <c r="B8" s="1"/>
      <c r="C8" s="1"/>
      <c r="D8" s="9" t="s">
        <v>3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 t="s">
        <v>5</v>
      </c>
      <c r="B10" s="1">
        <f>600/12</f>
        <v>50</v>
      </c>
      <c r="C10" s="1">
        <f>600/12</f>
        <v>50</v>
      </c>
      <c r="D10" s="1">
        <f aca="true" t="shared" si="2" ref="D10:N10">600/12</f>
        <v>50</v>
      </c>
      <c r="E10" s="1">
        <f t="shared" si="2"/>
        <v>50</v>
      </c>
      <c r="F10" s="1">
        <f t="shared" si="2"/>
        <v>50</v>
      </c>
      <c r="G10" s="1">
        <f t="shared" si="2"/>
        <v>50</v>
      </c>
      <c r="H10" s="1">
        <f t="shared" si="2"/>
        <v>50</v>
      </c>
      <c r="I10" s="1">
        <f t="shared" si="2"/>
        <v>50</v>
      </c>
      <c r="J10" s="1">
        <f t="shared" si="2"/>
        <v>50</v>
      </c>
      <c r="K10" s="1">
        <f t="shared" si="2"/>
        <v>50</v>
      </c>
      <c r="L10" s="1">
        <f t="shared" si="2"/>
        <v>50</v>
      </c>
      <c r="M10" s="1">
        <f t="shared" si="2"/>
        <v>50</v>
      </c>
      <c r="N10" s="1">
        <f t="shared" si="2"/>
        <v>50</v>
      </c>
    </row>
    <row r="11" spans="1:14" ht="12.75">
      <c r="A11" s="1" t="s">
        <v>6</v>
      </c>
      <c r="B11" s="1">
        <f>240/12</f>
        <v>20</v>
      </c>
      <c r="C11" s="1">
        <f>240/12</f>
        <v>20</v>
      </c>
      <c r="D11" s="1">
        <f aca="true" t="shared" si="3" ref="D11:N11">240/12</f>
        <v>20</v>
      </c>
      <c r="E11" s="1">
        <f t="shared" si="3"/>
        <v>20</v>
      </c>
      <c r="F11" s="1">
        <f t="shared" si="3"/>
        <v>20</v>
      </c>
      <c r="G11" s="1">
        <f t="shared" si="3"/>
        <v>20</v>
      </c>
      <c r="H11" s="1">
        <f t="shared" si="3"/>
        <v>20</v>
      </c>
      <c r="I11" s="1">
        <f t="shared" si="3"/>
        <v>20</v>
      </c>
      <c r="J11" s="1">
        <f t="shared" si="3"/>
        <v>20</v>
      </c>
      <c r="K11" s="1">
        <f t="shared" si="3"/>
        <v>20</v>
      </c>
      <c r="L11" s="1">
        <f t="shared" si="3"/>
        <v>20</v>
      </c>
      <c r="M11" s="1">
        <f t="shared" si="3"/>
        <v>20</v>
      </c>
      <c r="N11" s="1">
        <f t="shared" si="3"/>
        <v>20</v>
      </c>
    </row>
    <row r="12" spans="1:14" ht="12.75">
      <c r="A12" s="1" t="s">
        <v>7</v>
      </c>
      <c r="B12" s="1">
        <f>600/12</f>
        <v>50</v>
      </c>
      <c r="C12" s="1">
        <f>600/12</f>
        <v>50</v>
      </c>
      <c r="D12" s="1">
        <f aca="true" t="shared" si="4" ref="D12:N12">600/12</f>
        <v>50</v>
      </c>
      <c r="E12" s="1">
        <f t="shared" si="4"/>
        <v>50</v>
      </c>
      <c r="F12" s="1">
        <f t="shared" si="4"/>
        <v>50</v>
      </c>
      <c r="G12" s="1">
        <f t="shared" si="4"/>
        <v>50</v>
      </c>
      <c r="H12" s="1">
        <f t="shared" si="4"/>
        <v>50</v>
      </c>
      <c r="I12" s="1">
        <f t="shared" si="4"/>
        <v>50</v>
      </c>
      <c r="J12" s="1">
        <f t="shared" si="4"/>
        <v>50</v>
      </c>
      <c r="K12" s="1">
        <f t="shared" si="4"/>
        <v>50</v>
      </c>
      <c r="L12" s="1">
        <f t="shared" si="4"/>
        <v>50</v>
      </c>
      <c r="M12" s="1">
        <f t="shared" si="4"/>
        <v>50</v>
      </c>
      <c r="N12" s="1">
        <f t="shared" si="4"/>
        <v>50</v>
      </c>
    </row>
    <row r="13" spans="1:14" ht="12.75">
      <c r="A13" s="1" t="s">
        <v>8</v>
      </c>
      <c r="B13" s="1">
        <f>960/12</f>
        <v>80</v>
      </c>
      <c r="C13" s="1">
        <f>960/12</f>
        <v>80</v>
      </c>
      <c r="D13" s="1">
        <f aca="true" t="shared" si="5" ref="D13:N13">960/12</f>
        <v>80</v>
      </c>
      <c r="E13" s="1">
        <f t="shared" si="5"/>
        <v>80</v>
      </c>
      <c r="F13" s="1">
        <f t="shared" si="5"/>
        <v>80</v>
      </c>
      <c r="G13" s="1">
        <f t="shared" si="5"/>
        <v>80</v>
      </c>
      <c r="H13" s="1">
        <f t="shared" si="5"/>
        <v>80</v>
      </c>
      <c r="I13" s="1">
        <f t="shared" si="5"/>
        <v>80</v>
      </c>
      <c r="J13" s="1">
        <f t="shared" si="5"/>
        <v>80</v>
      </c>
      <c r="K13" s="1">
        <f t="shared" si="5"/>
        <v>80</v>
      </c>
      <c r="L13" s="1">
        <f t="shared" si="5"/>
        <v>80</v>
      </c>
      <c r="M13" s="1">
        <f t="shared" si="5"/>
        <v>80</v>
      </c>
      <c r="N13" s="1">
        <f t="shared" si="5"/>
        <v>80</v>
      </c>
    </row>
    <row r="14" spans="1:14" ht="12.75">
      <c r="A14" s="1" t="s">
        <v>9</v>
      </c>
      <c r="B14" s="14">
        <f>19200/12</f>
        <v>1600</v>
      </c>
      <c r="C14" s="14">
        <f>19200/12</f>
        <v>1600</v>
      </c>
      <c r="D14" s="14">
        <f aca="true" t="shared" si="6" ref="D14:N14">19200/12</f>
        <v>1600</v>
      </c>
      <c r="E14" s="14">
        <f t="shared" si="6"/>
        <v>1600</v>
      </c>
      <c r="F14" s="14">
        <f t="shared" si="6"/>
        <v>1600</v>
      </c>
      <c r="G14" s="14">
        <f t="shared" si="6"/>
        <v>1600</v>
      </c>
      <c r="H14" s="14">
        <f t="shared" si="6"/>
        <v>1600</v>
      </c>
      <c r="I14" s="14">
        <f t="shared" si="6"/>
        <v>1600</v>
      </c>
      <c r="J14" s="14">
        <f t="shared" si="6"/>
        <v>1600</v>
      </c>
      <c r="K14" s="14">
        <f t="shared" si="6"/>
        <v>1600</v>
      </c>
      <c r="L14" s="14">
        <f t="shared" si="6"/>
        <v>1600</v>
      </c>
      <c r="M14" s="14">
        <f t="shared" si="6"/>
        <v>1600</v>
      </c>
      <c r="N14" s="14">
        <f t="shared" si="6"/>
        <v>1600</v>
      </c>
    </row>
    <row r="15" spans="1:14" ht="12.75">
      <c r="A15" s="1" t="s">
        <v>16</v>
      </c>
      <c r="B15" s="14">
        <f>1600/12</f>
        <v>133.33333333333334</v>
      </c>
      <c r="C15" s="14">
        <f>1600/12</f>
        <v>133.33333333333334</v>
      </c>
      <c r="D15" s="14">
        <f aca="true" t="shared" si="7" ref="D15:N15">1600/12</f>
        <v>133.33333333333334</v>
      </c>
      <c r="E15" s="14">
        <f t="shared" si="7"/>
        <v>133.33333333333334</v>
      </c>
      <c r="F15" s="14">
        <f t="shared" si="7"/>
        <v>133.33333333333334</v>
      </c>
      <c r="G15" s="14">
        <f t="shared" si="7"/>
        <v>133.33333333333334</v>
      </c>
      <c r="H15" s="14">
        <f t="shared" si="7"/>
        <v>133.33333333333334</v>
      </c>
      <c r="I15" s="14">
        <f t="shared" si="7"/>
        <v>133.33333333333334</v>
      </c>
      <c r="J15" s="14">
        <f t="shared" si="7"/>
        <v>133.33333333333334</v>
      </c>
      <c r="K15" s="14">
        <f t="shared" si="7"/>
        <v>133.33333333333334</v>
      </c>
      <c r="L15" s="14">
        <f t="shared" si="7"/>
        <v>133.33333333333334</v>
      </c>
      <c r="M15" s="14">
        <f t="shared" si="7"/>
        <v>133.33333333333334</v>
      </c>
      <c r="N15" s="14">
        <f t="shared" si="7"/>
        <v>133.33333333333334</v>
      </c>
    </row>
    <row r="16" spans="1:14" ht="12.75">
      <c r="A16" s="1" t="s">
        <v>17</v>
      </c>
      <c r="B16" s="14">
        <f>600/12</f>
        <v>50</v>
      </c>
      <c r="C16" s="14">
        <f>600/12</f>
        <v>50</v>
      </c>
      <c r="D16" s="14">
        <f aca="true" t="shared" si="8" ref="D16:N16">600/12</f>
        <v>50</v>
      </c>
      <c r="E16" s="14">
        <f t="shared" si="8"/>
        <v>50</v>
      </c>
      <c r="F16" s="14">
        <f t="shared" si="8"/>
        <v>50</v>
      </c>
      <c r="G16" s="14">
        <f t="shared" si="8"/>
        <v>50</v>
      </c>
      <c r="H16" s="14">
        <f t="shared" si="8"/>
        <v>50</v>
      </c>
      <c r="I16" s="14">
        <f t="shared" si="8"/>
        <v>50</v>
      </c>
      <c r="J16" s="14">
        <f t="shared" si="8"/>
        <v>50</v>
      </c>
      <c r="K16" s="14">
        <f t="shared" si="8"/>
        <v>50</v>
      </c>
      <c r="L16" s="14">
        <f t="shared" si="8"/>
        <v>50</v>
      </c>
      <c r="M16" s="14">
        <f t="shared" si="8"/>
        <v>50</v>
      </c>
      <c r="N16" s="14">
        <f t="shared" si="8"/>
        <v>50</v>
      </c>
    </row>
    <row r="17" spans="1:14" ht="12.75">
      <c r="A17" s="1" t="s">
        <v>18</v>
      </c>
      <c r="B17" s="14">
        <f>800/12</f>
        <v>66.66666666666667</v>
      </c>
      <c r="C17" s="14">
        <f>800/12</f>
        <v>66.66666666666667</v>
      </c>
      <c r="D17" s="14">
        <f aca="true" t="shared" si="9" ref="D17:N17">800/12</f>
        <v>66.66666666666667</v>
      </c>
      <c r="E17" s="14">
        <f t="shared" si="9"/>
        <v>66.66666666666667</v>
      </c>
      <c r="F17" s="14">
        <f t="shared" si="9"/>
        <v>66.66666666666667</v>
      </c>
      <c r="G17" s="14">
        <f t="shared" si="9"/>
        <v>66.66666666666667</v>
      </c>
      <c r="H17" s="14">
        <f t="shared" si="9"/>
        <v>66.66666666666667</v>
      </c>
      <c r="I17" s="14">
        <f t="shared" si="9"/>
        <v>66.66666666666667</v>
      </c>
      <c r="J17" s="14">
        <f t="shared" si="9"/>
        <v>66.66666666666667</v>
      </c>
      <c r="K17" s="14">
        <f t="shared" si="9"/>
        <v>66.66666666666667</v>
      </c>
      <c r="L17" s="14">
        <f t="shared" si="9"/>
        <v>66.66666666666667</v>
      </c>
      <c r="M17" s="14">
        <f t="shared" si="9"/>
        <v>66.66666666666667</v>
      </c>
      <c r="N17" s="14">
        <f t="shared" si="9"/>
        <v>66.66666666666667</v>
      </c>
    </row>
    <row r="18" spans="1:14" ht="12.75">
      <c r="A18" s="1" t="s">
        <v>19</v>
      </c>
      <c r="B18" s="1"/>
      <c r="C18" s="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" t="s">
        <v>22</v>
      </c>
      <c r="B19" s="14">
        <f>2332.8/12</f>
        <v>194.4</v>
      </c>
      <c r="C19" s="14">
        <f>2332.8/12</f>
        <v>194.4</v>
      </c>
      <c r="D19" s="14">
        <f aca="true" t="shared" si="10" ref="D19:N19">2332.8/12</f>
        <v>194.4</v>
      </c>
      <c r="E19" s="14">
        <f t="shared" si="10"/>
        <v>194.4</v>
      </c>
      <c r="F19" s="14">
        <f t="shared" si="10"/>
        <v>194.4</v>
      </c>
      <c r="G19" s="14">
        <f t="shared" si="10"/>
        <v>194.4</v>
      </c>
      <c r="H19" s="14">
        <f t="shared" si="10"/>
        <v>194.4</v>
      </c>
      <c r="I19" s="14">
        <f t="shared" si="10"/>
        <v>194.4</v>
      </c>
      <c r="J19" s="14">
        <f t="shared" si="10"/>
        <v>194.4</v>
      </c>
      <c r="K19" s="14">
        <f t="shared" si="10"/>
        <v>194.4</v>
      </c>
      <c r="L19" s="14">
        <f t="shared" si="10"/>
        <v>194.4</v>
      </c>
      <c r="M19" s="14">
        <f t="shared" si="10"/>
        <v>194.4</v>
      </c>
      <c r="N19" s="14">
        <f t="shared" si="10"/>
        <v>194.4</v>
      </c>
    </row>
    <row r="20" spans="1:14" ht="12.75">
      <c r="A20" s="1" t="s">
        <v>23</v>
      </c>
      <c r="B20" s="14">
        <f>8400/12</f>
        <v>700</v>
      </c>
      <c r="C20" s="14">
        <f>8400/12</f>
        <v>700</v>
      </c>
      <c r="D20" s="14">
        <f aca="true" t="shared" si="11" ref="D20:N20">8400/12</f>
        <v>700</v>
      </c>
      <c r="E20" s="14">
        <f t="shared" si="11"/>
        <v>700</v>
      </c>
      <c r="F20" s="14">
        <f t="shared" si="11"/>
        <v>700</v>
      </c>
      <c r="G20" s="14">
        <f t="shared" si="11"/>
        <v>700</v>
      </c>
      <c r="H20" s="14">
        <f t="shared" si="11"/>
        <v>700</v>
      </c>
      <c r="I20" s="14">
        <f t="shared" si="11"/>
        <v>700</v>
      </c>
      <c r="J20" s="14">
        <f t="shared" si="11"/>
        <v>700</v>
      </c>
      <c r="K20" s="14">
        <f t="shared" si="11"/>
        <v>700</v>
      </c>
      <c r="L20" s="14">
        <f t="shared" si="11"/>
        <v>700</v>
      </c>
      <c r="M20" s="14">
        <f t="shared" si="11"/>
        <v>700</v>
      </c>
      <c r="N20" s="14">
        <f t="shared" si="11"/>
        <v>700</v>
      </c>
    </row>
    <row r="21" ht="11.25" customHeight="1"/>
    <row r="22" ht="12.75" hidden="1"/>
    <row r="23" spans="1:14" ht="12.75">
      <c r="A23" s="9" t="s">
        <v>30</v>
      </c>
      <c r="B23" s="11">
        <f>SUM(B10:B20)</f>
        <v>2944.4</v>
      </c>
      <c r="C23" s="11">
        <f>SUM(C10:C20)</f>
        <v>2944.4</v>
      </c>
      <c r="D23" s="11">
        <f>SUM(D10:D20)</f>
        <v>2944.4</v>
      </c>
      <c r="E23" s="11">
        <f aca="true" t="shared" si="12" ref="E23:N23">SUM(E10:E20)</f>
        <v>2944.4</v>
      </c>
      <c r="F23" s="11">
        <f t="shared" si="12"/>
        <v>2944.4</v>
      </c>
      <c r="G23" s="11">
        <f t="shared" si="12"/>
        <v>2944.4</v>
      </c>
      <c r="H23" s="11">
        <f t="shared" si="12"/>
        <v>2944.4</v>
      </c>
      <c r="I23" s="11">
        <f t="shared" si="12"/>
        <v>2944.4</v>
      </c>
      <c r="J23" s="11">
        <f t="shared" si="12"/>
        <v>2944.4</v>
      </c>
      <c r="K23" s="11">
        <f t="shared" si="12"/>
        <v>2944.4</v>
      </c>
      <c r="L23" s="11">
        <f t="shared" si="12"/>
        <v>2944.4</v>
      </c>
      <c r="M23" s="11">
        <f t="shared" si="12"/>
        <v>2944.4</v>
      </c>
      <c r="N23" s="11">
        <f t="shared" si="12"/>
        <v>2944.4</v>
      </c>
    </row>
    <row r="24" spans="1:14" ht="0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9" t="s">
        <v>32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 t="s">
        <v>33</v>
      </c>
      <c r="B27" s="1"/>
      <c r="C27" s="1">
        <f>1200/12</f>
        <v>100</v>
      </c>
      <c r="D27" s="1">
        <f aca="true" t="shared" si="13" ref="D27:N27">1200/12</f>
        <v>100</v>
      </c>
      <c r="E27" s="1">
        <f t="shared" si="13"/>
        <v>100</v>
      </c>
      <c r="F27" s="1">
        <f t="shared" si="13"/>
        <v>100</v>
      </c>
      <c r="G27" s="1">
        <f t="shared" si="13"/>
        <v>100</v>
      </c>
      <c r="H27" s="1">
        <f t="shared" si="13"/>
        <v>100</v>
      </c>
      <c r="I27" s="1">
        <f t="shared" si="13"/>
        <v>100</v>
      </c>
      <c r="J27" s="1">
        <f t="shared" si="13"/>
        <v>100</v>
      </c>
      <c r="K27" s="1">
        <f t="shared" si="13"/>
        <v>100</v>
      </c>
      <c r="L27" s="1">
        <f t="shared" si="13"/>
        <v>100</v>
      </c>
      <c r="M27" s="1">
        <f t="shared" si="13"/>
        <v>100</v>
      </c>
      <c r="N27" s="1">
        <f t="shared" si="13"/>
        <v>100</v>
      </c>
    </row>
    <row r="28" spans="1:14" ht="0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9" t="s">
        <v>34</v>
      </c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 t="s">
        <v>35</v>
      </c>
      <c r="B31" s="1">
        <f>99000/12</f>
        <v>8250</v>
      </c>
      <c r="C31" s="1">
        <f>99000/12</f>
        <v>8250</v>
      </c>
      <c r="D31" s="1">
        <f aca="true" t="shared" si="14" ref="D31:N31">99000/12</f>
        <v>8250</v>
      </c>
      <c r="E31" s="1">
        <f t="shared" si="14"/>
        <v>8250</v>
      </c>
      <c r="F31" s="1">
        <f t="shared" si="14"/>
        <v>8250</v>
      </c>
      <c r="G31" s="1">
        <f t="shared" si="14"/>
        <v>8250</v>
      </c>
      <c r="H31" s="1">
        <f t="shared" si="14"/>
        <v>8250</v>
      </c>
      <c r="I31" s="1">
        <f t="shared" si="14"/>
        <v>8250</v>
      </c>
      <c r="J31" s="1">
        <f t="shared" si="14"/>
        <v>8250</v>
      </c>
      <c r="K31" s="1">
        <f t="shared" si="14"/>
        <v>8250</v>
      </c>
      <c r="L31" s="1">
        <f t="shared" si="14"/>
        <v>8250</v>
      </c>
      <c r="M31" s="1">
        <f t="shared" si="14"/>
        <v>8250</v>
      </c>
      <c r="N31" s="1">
        <f t="shared" si="14"/>
        <v>8250</v>
      </c>
    </row>
    <row r="32" spans="1:14" ht="12.75">
      <c r="A32" s="1" t="s">
        <v>1</v>
      </c>
      <c r="B32" s="1">
        <f>99000/12</f>
        <v>8250</v>
      </c>
      <c r="C32" s="1">
        <f>9000/12</f>
        <v>750</v>
      </c>
      <c r="D32" s="1">
        <f aca="true" t="shared" si="15" ref="D32:N32">9000/12</f>
        <v>750</v>
      </c>
      <c r="E32" s="1">
        <f t="shared" si="15"/>
        <v>750</v>
      </c>
      <c r="F32" s="1">
        <f t="shared" si="15"/>
        <v>750</v>
      </c>
      <c r="G32" s="1">
        <f t="shared" si="15"/>
        <v>750</v>
      </c>
      <c r="H32" s="1">
        <f t="shared" si="15"/>
        <v>750</v>
      </c>
      <c r="I32" s="1">
        <f t="shared" si="15"/>
        <v>750</v>
      </c>
      <c r="J32" s="1">
        <f t="shared" si="15"/>
        <v>750</v>
      </c>
      <c r="K32" s="1">
        <f t="shared" si="15"/>
        <v>750</v>
      </c>
      <c r="L32" s="1">
        <f t="shared" si="15"/>
        <v>750</v>
      </c>
      <c r="M32" s="1">
        <f t="shared" si="15"/>
        <v>750</v>
      </c>
      <c r="N32" s="1">
        <f t="shared" si="15"/>
        <v>750</v>
      </c>
    </row>
    <row r="33" spans="1:14" ht="1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9" t="s">
        <v>36</v>
      </c>
      <c r="B35" s="11">
        <f>B27+B31+B32</f>
        <v>16500</v>
      </c>
      <c r="C35" s="11">
        <f>C27+C31+C32</f>
        <v>9100</v>
      </c>
      <c r="D35" s="11">
        <f aca="true" t="shared" si="16" ref="D35:N35">D27+D31+D32</f>
        <v>9100</v>
      </c>
      <c r="E35" s="11">
        <f t="shared" si="16"/>
        <v>9100</v>
      </c>
      <c r="F35" s="11">
        <f t="shared" si="16"/>
        <v>9100</v>
      </c>
      <c r="G35" s="11">
        <f t="shared" si="16"/>
        <v>9100</v>
      </c>
      <c r="H35" s="11">
        <f t="shared" si="16"/>
        <v>9100</v>
      </c>
      <c r="I35" s="11">
        <f t="shared" si="16"/>
        <v>9100</v>
      </c>
      <c r="J35" s="11">
        <f t="shared" si="16"/>
        <v>9100</v>
      </c>
      <c r="K35" s="11">
        <f t="shared" si="16"/>
        <v>9100</v>
      </c>
      <c r="L35" s="11">
        <f t="shared" si="16"/>
        <v>9100</v>
      </c>
      <c r="M35" s="11">
        <f t="shared" si="16"/>
        <v>9100</v>
      </c>
      <c r="N35" s="11">
        <f t="shared" si="16"/>
        <v>9100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ht="2.25" customHeight="1"/>
    <row r="38" ht="12.75" hidden="1"/>
    <row r="39" spans="1:14" ht="13.5" thickBot="1">
      <c r="A39" s="125" t="s">
        <v>128</v>
      </c>
      <c r="B39" s="125"/>
      <c r="C39" s="12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70"/>
      <c r="B40" s="71" t="s">
        <v>129</v>
      </c>
      <c r="C40" s="72" t="s">
        <v>130</v>
      </c>
      <c r="D40" s="72" t="s">
        <v>131</v>
      </c>
      <c r="E40" s="72" t="s">
        <v>132</v>
      </c>
      <c r="F40" s="72" t="s">
        <v>133</v>
      </c>
      <c r="G40" s="72" t="s">
        <v>132</v>
      </c>
      <c r="H40" s="72" t="s">
        <v>134</v>
      </c>
      <c r="I40" s="72" t="s">
        <v>134</v>
      </c>
      <c r="J40" s="72" t="s">
        <v>133</v>
      </c>
      <c r="K40" s="72" t="s">
        <v>135</v>
      </c>
      <c r="L40" s="72" t="s">
        <v>136</v>
      </c>
      <c r="M40" s="72" t="s">
        <v>137</v>
      </c>
      <c r="N40" s="73" t="s">
        <v>138</v>
      </c>
    </row>
    <row r="41" spans="1:14" ht="12.75">
      <c r="A41" s="74" t="s">
        <v>139</v>
      </c>
      <c r="B41" s="75">
        <f>B7</f>
        <v>0</v>
      </c>
      <c r="C41" s="75">
        <f>C7</f>
        <v>14166.666666666666</v>
      </c>
      <c r="D41" s="75">
        <f aca="true" t="shared" si="17" ref="D41:N41">D7</f>
        <v>14166.666666666666</v>
      </c>
      <c r="E41" s="75">
        <f t="shared" si="17"/>
        <v>14166.666666666666</v>
      </c>
      <c r="F41" s="75">
        <f t="shared" si="17"/>
        <v>14166.666666666666</v>
      </c>
      <c r="G41" s="75">
        <f t="shared" si="17"/>
        <v>14166.666666666666</v>
      </c>
      <c r="H41" s="75">
        <f t="shared" si="17"/>
        <v>14166.666666666666</v>
      </c>
      <c r="I41" s="75">
        <f t="shared" si="17"/>
        <v>14166.666666666666</v>
      </c>
      <c r="J41" s="75">
        <f t="shared" si="17"/>
        <v>14166.666666666666</v>
      </c>
      <c r="K41" s="75">
        <f t="shared" si="17"/>
        <v>14166.666666666666</v>
      </c>
      <c r="L41" s="75">
        <f t="shared" si="17"/>
        <v>14166.666666666666</v>
      </c>
      <c r="M41" s="75">
        <f t="shared" si="17"/>
        <v>14166.666666666666</v>
      </c>
      <c r="N41" s="75">
        <f t="shared" si="17"/>
        <v>14166.666666666666</v>
      </c>
    </row>
    <row r="42" spans="1:14" ht="12.75">
      <c r="A42" s="74" t="s">
        <v>140</v>
      </c>
      <c r="B42" s="76">
        <f>-(B35+B23)</f>
        <v>-19444.4</v>
      </c>
      <c r="C42" s="76">
        <f>-(C35+C23)</f>
        <v>-12044.4</v>
      </c>
      <c r="D42" s="76">
        <f aca="true" t="shared" si="18" ref="D42:N42">-(D35+D23)</f>
        <v>-12044.4</v>
      </c>
      <c r="E42" s="76">
        <f t="shared" si="18"/>
        <v>-12044.4</v>
      </c>
      <c r="F42" s="76">
        <f t="shared" si="18"/>
        <v>-12044.4</v>
      </c>
      <c r="G42" s="76">
        <f t="shared" si="18"/>
        <v>-12044.4</v>
      </c>
      <c r="H42" s="76">
        <f t="shared" si="18"/>
        <v>-12044.4</v>
      </c>
      <c r="I42" s="76">
        <f t="shared" si="18"/>
        <v>-12044.4</v>
      </c>
      <c r="J42" s="76">
        <f t="shared" si="18"/>
        <v>-12044.4</v>
      </c>
      <c r="K42" s="76">
        <f t="shared" si="18"/>
        <v>-12044.4</v>
      </c>
      <c r="L42" s="76">
        <f t="shared" si="18"/>
        <v>-12044.4</v>
      </c>
      <c r="M42" s="76">
        <f t="shared" si="18"/>
        <v>-12044.4</v>
      </c>
      <c r="N42" s="76">
        <f t="shared" si="18"/>
        <v>-12044.4</v>
      </c>
    </row>
    <row r="43" spans="1:14" ht="13.5" thickBot="1">
      <c r="A43" s="77" t="s">
        <v>141</v>
      </c>
      <c r="B43" s="76">
        <f>SUM(B41:B42)</f>
        <v>-19444.4</v>
      </c>
      <c r="C43" s="76">
        <f>+C41+C42</f>
        <v>2122.2666666666664</v>
      </c>
      <c r="D43" s="76">
        <f>+D41+D42</f>
        <v>2122.2666666666664</v>
      </c>
      <c r="E43" s="76">
        <f aca="true" t="shared" si="19" ref="E43:N43">+E41+E42</f>
        <v>2122.2666666666664</v>
      </c>
      <c r="F43" s="76">
        <f t="shared" si="19"/>
        <v>2122.2666666666664</v>
      </c>
      <c r="G43" s="76">
        <f t="shared" si="19"/>
        <v>2122.2666666666664</v>
      </c>
      <c r="H43" s="76">
        <f t="shared" si="19"/>
        <v>2122.2666666666664</v>
      </c>
      <c r="I43" s="76">
        <f t="shared" si="19"/>
        <v>2122.2666666666664</v>
      </c>
      <c r="J43" s="76">
        <f t="shared" si="19"/>
        <v>2122.2666666666664</v>
      </c>
      <c r="K43" s="76">
        <f t="shared" si="19"/>
        <v>2122.2666666666664</v>
      </c>
      <c r="L43" s="76">
        <f t="shared" si="19"/>
        <v>2122.2666666666664</v>
      </c>
      <c r="M43" s="76">
        <f t="shared" si="19"/>
        <v>2122.2666666666664</v>
      </c>
      <c r="N43" s="78">
        <f t="shared" si="19"/>
        <v>2122.2666666666664</v>
      </c>
    </row>
    <row r="44" spans="1:14" ht="13.5" thickBot="1">
      <c r="A44" s="79" t="s">
        <v>142</v>
      </c>
      <c r="B44" s="80">
        <f>+B43</f>
        <v>-19444.4</v>
      </c>
      <c r="C44" s="81">
        <f>B44+C43</f>
        <v>-17322.133333333335</v>
      </c>
      <c r="D44" s="81">
        <f>+C44+D43</f>
        <v>-15199.866666666669</v>
      </c>
      <c r="E44" s="81">
        <f aca="true" t="shared" si="20" ref="E44:K44">+D44+E43</f>
        <v>-13077.600000000002</v>
      </c>
      <c r="F44" s="81">
        <f t="shared" si="20"/>
        <v>-10955.333333333336</v>
      </c>
      <c r="G44" s="81">
        <f t="shared" si="20"/>
        <v>-8833.06666666667</v>
      </c>
      <c r="H44" s="81">
        <f t="shared" si="20"/>
        <v>-6710.800000000003</v>
      </c>
      <c r="I44" s="81">
        <f>+H44+I43</f>
        <v>-4588.5333333333365</v>
      </c>
      <c r="J44" s="81">
        <f t="shared" si="20"/>
        <v>-2466.26666666667</v>
      </c>
      <c r="K44" s="81">
        <f t="shared" si="20"/>
        <v>-344.00000000000364</v>
      </c>
      <c r="L44" s="81">
        <f>+K44+L43</f>
        <v>1778.2666666666628</v>
      </c>
      <c r="M44" s="81">
        <f>+L44+M43</f>
        <v>3900.533333333329</v>
      </c>
      <c r="N44" s="82">
        <f>+M44+N43</f>
        <v>6022.799999999996</v>
      </c>
    </row>
    <row r="45" spans="1:14" ht="13.5" thickBot="1">
      <c r="A45" s="83" t="s">
        <v>143</v>
      </c>
      <c r="B45" s="84">
        <f>MIN(B44:N44)</f>
        <v>-19444.4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2.75">
      <c r="A46" s="5" t="s">
        <v>56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</sheetData>
  <sheetProtection/>
  <mergeCells count="3">
    <mergeCell ref="C1:F1"/>
    <mergeCell ref="C2:F2"/>
    <mergeCell ref="A39:C39"/>
  </mergeCells>
  <printOptions/>
  <pageMargins left="0.13" right="0.48" top="0.68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16.421875" style="16" bestFit="1" customWidth="1"/>
    <col min="2" max="2" width="34.7109375" style="16" customWidth="1"/>
    <col min="3" max="3" width="10.57421875" style="16" customWidth="1"/>
    <col min="4" max="4" width="10.140625" style="43" customWidth="1"/>
    <col min="5" max="5" width="8.57421875" style="43" customWidth="1"/>
    <col min="6" max="6" width="10.00390625" style="43" customWidth="1"/>
    <col min="7" max="7" width="10.8515625" style="43" customWidth="1"/>
    <col min="8" max="8" width="11.140625" style="43" customWidth="1"/>
    <col min="9" max="9" width="10.28125" style="43" customWidth="1"/>
    <col min="10" max="10" width="10.7109375" style="43" customWidth="1"/>
    <col min="11" max="13" width="12.8515625" style="16" customWidth="1"/>
    <col min="14" max="16384" width="11.421875" style="16" customWidth="1"/>
  </cols>
  <sheetData>
    <row r="1" spans="1:13" ht="13.5" thickBot="1">
      <c r="A1" s="135" t="s">
        <v>155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3.5" thickBot="1">
      <c r="A2" s="136" t="s">
        <v>57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15.75" thickBot="1">
      <c r="A3" s="17"/>
      <c r="B3" s="17"/>
      <c r="C3" s="18" t="s">
        <v>84</v>
      </c>
      <c r="D3" s="19" t="s">
        <v>85</v>
      </c>
      <c r="E3" s="19" t="s">
        <v>86</v>
      </c>
      <c r="F3" s="19" t="s">
        <v>87</v>
      </c>
      <c r="G3" s="19" t="s">
        <v>88</v>
      </c>
      <c r="H3" s="19" t="s">
        <v>89</v>
      </c>
      <c r="I3" s="19" t="s">
        <v>90</v>
      </c>
      <c r="J3" s="19" t="s">
        <v>91</v>
      </c>
      <c r="K3" s="19" t="s">
        <v>92</v>
      </c>
      <c r="L3" s="19" t="s">
        <v>93</v>
      </c>
      <c r="M3" s="20" t="s">
        <v>94</v>
      </c>
    </row>
    <row r="4" spans="1:13" ht="15">
      <c r="A4" s="21" t="s">
        <v>95</v>
      </c>
      <c r="B4" s="22"/>
      <c r="C4" s="23"/>
      <c r="D4" s="24"/>
      <c r="E4" s="24"/>
      <c r="F4" s="24"/>
      <c r="G4" s="24"/>
      <c r="H4" s="24"/>
      <c r="I4" s="24"/>
      <c r="J4" s="24"/>
      <c r="K4" s="25"/>
      <c r="L4" s="25"/>
      <c r="M4" s="26"/>
    </row>
    <row r="5" spans="1:13" ht="15">
      <c r="A5" s="27"/>
      <c r="B5" s="28" t="s">
        <v>144</v>
      </c>
      <c r="C5" s="27"/>
      <c r="D5" s="29">
        <f>'anexo 3.19'!C13</f>
        <v>170000</v>
      </c>
      <c r="E5" s="30">
        <f>D5*(1+'anexo 3.19'!$C$14)</f>
        <v>182750</v>
      </c>
      <c r="F5" s="30">
        <f>E5*(1+'anexo 3.19'!$C$14)</f>
        <v>196456.25</v>
      </c>
      <c r="G5" s="30">
        <f>F5*(1+'anexo 3.19'!$C$14)</f>
        <v>211190.46875</v>
      </c>
      <c r="H5" s="30">
        <f>G5*(1+'anexo 3.19'!$C$14)</f>
        <v>227029.75390625</v>
      </c>
      <c r="I5" s="30">
        <f>H5*(1+'anexo 3.19'!$C$14)</f>
        <v>244056.98544921874</v>
      </c>
      <c r="J5" s="30">
        <f>I5*(1+'anexo 3.19'!$C$14)</f>
        <v>262361.25935791014</v>
      </c>
      <c r="K5" s="30">
        <f>J5*(1+'anexo 3.19'!$C$14)</f>
        <v>282038.3538097534</v>
      </c>
      <c r="L5" s="30">
        <f>K5*(1+'anexo 3.19'!$C$14)</f>
        <v>303191.23034548486</v>
      </c>
      <c r="M5" s="30">
        <f>L5*(1+'anexo 3.19'!$C$14)</f>
        <v>325930.5726213962</v>
      </c>
    </row>
    <row r="6" spans="1:13" ht="15">
      <c r="A6" s="27"/>
      <c r="B6" s="28"/>
      <c r="C6" s="27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15">
      <c r="A7" s="33" t="s">
        <v>96</v>
      </c>
      <c r="B7" s="34"/>
      <c r="C7" s="35"/>
      <c r="D7" s="30"/>
      <c r="E7" s="30"/>
      <c r="F7" s="30"/>
      <c r="G7" s="30"/>
      <c r="H7" s="30"/>
      <c r="I7" s="30"/>
      <c r="J7" s="30"/>
      <c r="K7" s="36"/>
      <c r="L7" s="36"/>
      <c r="M7" s="37"/>
    </row>
    <row r="8" spans="1:13" ht="15">
      <c r="A8" s="27"/>
      <c r="B8" s="38" t="s">
        <v>58</v>
      </c>
      <c r="C8" s="27"/>
      <c r="D8" s="31">
        <f>'anexo 3.19'!C22</f>
        <v>109200</v>
      </c>
      <c r="E8" s="31">
        <f>D8*1.05</f>
        <v>114660</v>
      </c>
      <c r="F8" s="31">
        <f aca="true" t="shared" si="0" ref="F8:M8">E8*1.05</f>
        <v>120393</v>
      </c>
      <c r="G8" s="31">
        <f t="shared" si="0"/>
        <v>126412.65000000001</v>
      </c>
      <c r="H8" s="31">
        <f t="shared" si="0"/>
        <v>132733.2825</v>
      </c>
      <c r="I8" s="31">
        <f t="shared" si="0"/>
        <v>139369.946625</v>
      </c>
      <c r="J8" s="31">
        <f t="shared" si="0"/>
        <v>146338.44395625</v>
      </c>
      <c r="K8" s="31">
        <f t="shared" si="0"/>
        <v>153655.3661540625</v>
      </c>
      <c r="L8" s="31">
        <f t="shared" si="0"/>
        <v>161338.13446176564</v>
      </c>
      <c r="M8" s="31">
        <f t="shared" si="0"/>
        <v>169405.04118485394</v>
      </c>
    </row>
    <row r="9" spans="1:13" ht="15">
      <c r="A9" s="39"/>
      <c r="B9" s="40"/>
      <c r="C9" s="39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ht="15">
      <c r="A10" s="33" t="s">
        <v>97</v>
      </c>
      <c r="B10" s="28"/>
      <c r="C10" s="27"/>
      <c r="D10" s="31">
        <f>D5+D6-D8-D9</f>
        <v>60800</v>
      </c>
      <c r="E10" s="31">
        <f aca="true" t="shared" si="1" ref="E10:M10">E5+E6-E8-E9</f>
        <v>68090</v>
      </c>
      <c r="F10" s="31">
        <f t="shared" si="1"/>
        <v>76063.25</v>
      </c>
      <c r="G10" s="31">
        <f t="shared" si="1"/>
        <v>84777.81874999999</v>
      </c>
      <c r="H10" s="31">
        <f t="shared" si="1"/>
        <v>94296.47140625</v>
      </c>
      <c r="I10" s="31">
        <f t="shared" si="1"/>
        <v>104687.03882421873</v>
      </c>
      <c r="J10" s="31">
        <f t="shared" si="1"/>
        <v>116022.81540166013</v>
      </c>
      <c r="K10" s="31">
        <f t="shared" si="1"/>
        <v>128382.98765569087</v>
      </c>
      <c r="L10" s="31">
        <f t="shared" si="1"/>
        <v>141853.09588371922</v>
      </c>
      <c r="M10" s="32">
        <f t="shared" si="1"/>
        <v>156525.53143654228</v>
      </c>
    </row>
    <row r="11" spans="1:13" ht="15">
      <c r="A11" s="33" t="s">
        <v>98</v>
      </c>
      <c r="B11" s="28"/>
      <c r="C11" s="27"/>
      <c r="D11" s="31"/>
      <c r="E11" s="30"/>
      <c r="F11" s="30"/>
      <c r="G11" s="30"/>
      <c r="H11" s="30"/>
      <c r="I11" s="30"/>
      <c r="J11" s="30"/>
      <c r="K11" s="36"/>
      <c r="L11" s="36"/>
      <c r="M11" s="37"/>
    </row>
    <row r="12" spans="1:13" ht="15">
      <c r="A12" s="33"/>
      <c r="B12" s="28" t="s">
        <v>145</v>
      </c>
      <c r="C12" s="27"/>
      <c r="D12" s="31">
        <f>'anexo 3.19'!C26</f>
        <v>32932.8</v>
      </c>
      <c r="E12" s="31">
        <f>D12*1.07</f>
        <v>35238.096000000005</v>
      </c>
      <c r="F12" s="31">
        <f aca="true" t="shared" si="2" ref="F12:M12">E12*1.07</f>
        <v>37704.762720000006</v>
      </c>
      <c r="G12" s="31">
        <f t="shared" si="2"/>
        <v>40344.09611040001</v>
      </c>
      <c r="H12" s="31">
        <f t="shared" si="2"/>
        <v>43168.182838128014</v>
      </c>
      <c r="I12" s="31">
        <f t="shared" si="2"/>
        <v>46189.95563679698</v>
      </c>
      <c r="J12" s="31">
        <f t="shared" si="2"/>
        <v>49423.25253137277</v>
      </c>
      <c r="K12" s="31">
        <f t="shared" si="2"/>
        <v>52882.880208568866</v>
      </c>
      <c r="L12" s="31">
        <f t="shared" si="2"/>
        <v>56584.68182316869</v>
      </c>
      <c r="M12" s="31">
        <f t="shared" si="2"/>
        <v>60545.609550790505</v>
      </c>
    </row>
    <row r="13" spans="1:13" ht="15">
      <c r="A13" s="27"/>
      <c r="B13" s="28" t="s">
        <v>99</v>
      </c>
      <c r="C13" s="27"/>
      <c r="D13" s="30">
        <f>'anexo 3.19'!C25</f>
        <v>1200</v>
      </c>
      <c r="E13" s="31">
        <f>D13*1.05</f>
        <v>1260</v>
      </c>
      <c r="F13" s="31">
        <f aca="true" t="shared" si="3" ref="F13:M14">E13*1.05</f>
        <v>1323</v>
      </c>
      <c r="G13" s="31">
        <f t="shared" si="3"/>
        <v>1389.15</v>
      </c>
      <c r="H13" s="31">
        <f t="shared" si="3"/>
        <v>1458.6075</v>
      </c>
      <c r="I13" s="31">
        <f t="shared" si="3"/>
        <v>1531.5378750000002</v>
      </c>
      <c r="J13" s="31">
        <f t="shared" si="3"/>
        <v>1608.1147687500004</v>
      </c>
      <c r="K13" s="31">
        <f t="shared" si="3"/>
        <v>1688.5205071875005</v>
      </c>
      <c r="L13" s="31">
        <f t="shared" si="3"/>
        <v>1772.9465325468755</v>
      </c>
      <c r="M13" s="31">
        <f t="shared" si="3"/>
        <v>1861.5938591742192</v>
      </c>
    </row>
    <row r="14" spans="1:13" ht="15">
      <c r="A14" s="27"/>
      <c r="B14" s="28" t="s">
        <v>100</v>
      </c>
      <c r="C14" s="27"/>
      <c r="D14" s="30">
        <f>'anexo 3.19'!C27</f>
        <v>9000</v>
      </c>
      <c r="E14" s="31">
        <f>D14*1.05</f>
        <v>9450</v>
      </c>
      <c r="F14" s="31">
        <f t="shared" si="3"/>
        <v>9922.5</v>
      </c>
      <c r="G14" s="31">
        <f t="shared" si="3"/>
        <v>10418.625</v>
      </c>
      <c r="H14" s="31">
        <f t="shared" si="3"/>
        <v>10939.55625</v>
      </c>
      <c r="I14" s="31">
        <f t="shared" si="3"/>
        <v>11486.5340625</v>
      </c>
      <c r="J14" s="31">
        <f t="shared" si="3"/>
        <v>12060.860765625</v>
      </c>
      <c r="K14" s="31">
        <f t="shared" si="3"/>
        <v>12663.90380390625</v>
      </c>
      <c r="L14" s="31">
        <f t="shared" si="3"/>
        <v>13297.098994101563</v>
      </c>
      <c r="M14" s="31">
        <f t="shared" si="3"/>
        <v>13961.953943806642</v>
      </c>
    </row>
    <row r="15" spans="1:13" ht="15">
      <c r="A15" s="27"/>
      <c r="B15" s="28"/>
      <c r="C15" s="27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15">
      <c r="A16" s="27"/>
      <c r="B16" s="28" t="s">
        <v>101</v>
      </c>
      <c r="C16" s="27"/>
      <c r="D16" s="30">
        <f>'anexo 3.19'!C23</f>
        <v>1440</v>
      </c>
      <c r="E16" s="31">
        <f>D16*1.05</f>
        <v>1512</v>
      </c>
      <c r="F16" s="31">
        <f aca="true" t="shared" si="4" ref="F16:M16">E16*1.05</f>
        <v>1587.6000000000001</v>
      </c>
      <c r="G16" s="31">
        <f t="shared" si="4"/>
        <v>1666.9800000000002</v>
      </c>
      <c r="H16" s="31">
        <f t="shared" si="4"/>
        <v>1750.3290000000004</v>
      </c>
      <c r="I16" s="31">
        <f t="shared" si="4"/>
        <v>1837.8454500000005</v>
      </c>
      <c r="J16" s="31">
        <f t="shared" si="4"/>
        <v>1929.7377225000007</v>
      </c>
      <c r="K16" s="31">
        <f t="shared" si="4"/>
        <v>2026.2246086250009</v>
      </c>
      <c r="L16" s="31">
        <f t="shared" si="4"/>
        <v>2127.535839056251</v>
      </c>
      <c r="M16" s="31">
        <f t="shared" si="4"/>
        <v>2233.9126310090637</v>
      </c>
    </row>
    <row r="17" spans="1:13" ht="15">
      <c r="A17" s="27"/>
      <c r="B17" s="28" t="s">
        <v>102</v>
      </c>
      <c r="C17" s="27"/>
      <c r="D17" s="30">
        <f>'anexo 3.19'!C28</f>
        <v>960</v>
      </c>
      <c r="E17" s="31">
        <f>D17*1.05</f>
        <v>1008</v>
      </c>
      <c r="F17" s="31">
        <f aca="true" t="shared" si="5" ref="F17:M17">E17*1.05</f>
        <v>1058.4</v>
      </c>
      <c r="G17" s="31">
        <f t="shared" si="5"/>
        <v>1111.3200000000002</v>
      </c>
      <c r="H17" s="31">
        <f t="shared" si="5"/>
        <v>1166.8860000000002</v>
      </c>
      <c r="I17" s="31">
        <f t="shared" si="5"/>
        <v>1225.2303000000002</v>
      </c>
      <c r="J17" s="31">
        <f t="shared" si="5"/>
        <v>1286.4918150000003</v>
      </c>
      <c r="K17" s="31">
        <f t="shared" si="5"/>
        <v>1350.8164057500003</v>
      </c>
      <c r="L17" s="31">
        <f t="shared" si="5"/>
        <v>1418.3572260375004</v>
      </c>
      <c r="M17" s="31">
        <f t="shared" si="5"/>
        <v>1489.2750873393754</v>
      </c>
    </row>
    <row r="18" spans="1:13" s="36" customFormat="1" ht="15">
      <c r="A18" s="27"/>
      <c r="B18" s="28"/>
      <c r="C18" s="27"/>
      <c r="D18" s="30"/>
      <c r="E18" s="30"/>
      <c r="F18" s="30"/>
      <c r="G18" s="30"/>
      <c r="H18" s="30"/>
      <c r="I18" s="30"/>
      <c r="J18" s="30"/>
      <c r="K18" s="30"/>
      <c r="L18" s="30"/>
      <c r="M18" s="44"/>
    </row>
    <row r="19" spans="1:13" s="36" customFormat="1" ht="15">
      <c r="A19" s="27"/>
      <c r="B19" s="28"/>
      <c r="C19" s="27"/>
      <c r="D19" s="30"/>
      <c r="E19" s="30"/>
      <c r="F19" s="30"/>
      <c r="G19" s="30"/>
      <c r="H19" s="30"/>
      <c r="I19" s="30"/>
      <c r="J19" s="30"/>
      <c r="K19" s="30"/>
      <c r="L19" s="30"/>
      <c r="M19" s="44"/>
    </row>
    <row r="20" spans="1:13" s="36" customFormat="1" ht="15">
      <c r="A20" s="33" t="s">
        <v>103</v>
      </c>
      <c r="B20" s="28"/>
      <c r="C20" s="27"/>
      <c r="D20" s="31">
        <v>2400</v>
      </c>
      <c r="E20" s="31">
        <v>2263.2380060163746</v>
      </c>
      <c r="F20" s="31">
        <v>2110.064572754714</v>
      </c>
      <c r="G20" s="31">
        <v>1938.510327501654</v>
      </c>
      <c r="H20" s="31">
        <v>1746.3695728182267</v>
      </c>
      <c r="I20" s="31">
        <v>1531.1719275727883</v>
      </c>
      <c r="J20" s="31">
        <v>1290.1505648978973</v>
      </c>
      <c r="K20" s="45">
        <v>1020.2066387020192</v>
      </c>
      <c r="L20" s="45">
        <v>717.8694413626358</v>
      </c>
      <c r="M20" s="46">
        <v>379.2517803425265</v>
      </c>
    </row>
    <row r="21" spans="1:13" s="36" customFormat="1" ht="15">
      <c r="A21" s="33" t="s">
        <v>104</v>
      </c>
      <c r="B21" s="28"/>
      <c r="C21" s="27"/>
      <c r="D21" s="30">
        <v>2094</v>
      </c>
      <c r="E21" s="30">
        <v>2094</v>
      </c>
      <c r="F21" s="30">
        <v>2094</v>
      </c>
      <c r="G21" s="30">
        <v>2094</v>
      </c>
      <c r="H21" s="30">
        <v>2094</v>
      </c>
      <c r="I21" s="30">
        <v>2094</v>
      </c>
      <c r="J21" s="30">
        <v>2094</v>
      </c>
      <c r="K21" s="30">
        <v>2094</v>
      </c>
      <c r="L21" s="30">
        <v>2094</v>
      </c>
      <c r="M21" s="30">
        <v>2094</v>
      </c>
    </row>
    <row r="22" spans="1:13" s="36" customFormat="1" ht="15">
      <c r="A22" s="33"/>
      <c r="B22" s="28"/>
      <c r="C22" s="39"/>
      <c r="D22" s="47"/>
      <c r="E22" s="47"/>
      <c r="F22" s="47"/>
      <c r="G22" s="47"/>
      <c r="H22" s="47"/>
      <c r="I22" s="47"/>
      <c r="J22" s="47"/>
      <c r="K22" s="48"/>
      <c r="L22" s="48"/>
      <c r="M22" s="49"/>
    </row>
    <row r="23" spans="1:13" s="36" customFormat="1" ht="15">
      <c r="A23" s="50" t="s">
        <v>105</v>
      </c>
      <c r="B23" s="51"/>
      <c r="C23" s="27"/>
      <c r="D23" s="31">
        <f>D10-(SUM(D13:D21))-D12</f>
        <v>10773.199999999997</v>
      </c>
      <c r="E23" s="31">
        <f aca="true" t="shared" si="6" ref="E23:M23">E10-(SUM(E13:E21))-E12</f>
        <v>15264.665993983625</v>
      </c>
      <c r="F23" s="31">
        <f t="shared" si="6"/>
        <v>20262.922707245278</v>
      </c>
      <c r="G23" s="31">
        <f t="shared" si="6"/>
        <v>25815.137312098326</v>
      </c>
      <c r="H23" s="31">
        <f t="shared" si="6"/>
        <v>31972.54024530376</v>
      </c>
      <c r="I23" s="31">
        <f t="shared" si="6"/>
        <v>38790.763572348966</v>
      </c>
      <c r="J23" s="31">
        <f t="shared" si="6"/>
        <v>46330.20723351446</v>
      </c>
      <c r="K23" s="31">
        <f t="shared" si="6"/>
        <v>54656.43548295123</v>
      </c>
      <c r="L23" s="31">
        <f t="shared" si="6"/>
        <v>63840.6060274457</v>
      </c>
      <c r="M23" s="31">
        <f t="shared" si="6"/>
        <v>73959.93458407995</v>
      </c>
    </row>
    <row r="24" spans="1:13" s="36" customFormat="1" ht="15.75" thickBot="1">
      <c r="A24" s="52" t="s">
        <v>106</v>
      </c>
      <c r="B24" s="53"/>
      <c r="C24" s="54"/>
      <c r="D24" s="55">
        <f>D23*'anexo 3.19'!$C$17</f>
        <v>2693.2999999999993</v>
      </c>
      <c r="E24" s="55">
        <f>E23*'anexo 3.19'!$C$17</f>
        <v>3816.166498495906</v>
      </c>
      <c r="F24" s="55">
        <f>F23*'anexo 3.19'!$C$17</f>
        <v>5065.730676811319</v>
      </c>
      <c r="G24" s="55">
        <f>G23*'anexo 3.19'!$C$17</f>
        <v>6453.784328024582</v>
      </c>
      <c r="H24" s="55">
        <f>H23*'anexo 3.19'!$C$17</f>
        <v>7993.13506132594</v>
      </c>
      <c r="I24" s="55">
        <f>I23*'anexo 3.19'!$C$17</f>
        <v>9697.690893087241</v>
      </c>
      <c r="J24" s="55">
        <f>J23*'anexo 3.19'!$C$17</f>
        <v>11582.551808378616</v>
      </c>
      <c r="K24" s="55">
        <f>K23*'anexo 3.19'!$C$17</f>
        <v>13664.108870737808</v>
      </c>
      <c r="L24" s="55">
        <f>L23*'anexo 3.19'!$C$17</f>
        <v>15960.151506861424</v>
      </c>
      <c r="M24" s="55">
        <f>M23*'anexo 3.19'!$C$17</f>
        <v>18489.983646019988</v>
      </c>
    </row>
    <row r="25" spans="1:13" s="36" customFormat="1" ht="15.75" thickTop="1">
      <c r="A25" s="33" t="s">
        <v>107</v>
      </c>
      <c r="B25" s="28"/>
      <c r="C25" s="27"/>
      <c r="D25" s="31">
        <f>D23-D24</f>
        <v>8079.899999999998</v>
      </c>
      <c r="E25" s="31">
        <f aca="true" t="shared" si="7" ref="E25:M25">E23-E24</f>
        <v>11448.499495487718</v>
      </c>
      <c r="F25" s="31">
        <f t="shared" si="7"/>
        <v>15197.192030433958</v>
      </c>
      <c r="G25" s="31">
        <f t="shared" si="7"/>
        <v>19361.352984073746</v>
      </c>
      <c r="H25" s="31">
        <f t="shared" si="7"/>
        <v>23979.40518397782</v>
      </c>
      <c r="I25" s="31">
        <f t="shared" si="7"/>
        <v>29093.072679261724</v>
      </c>
      <c r="J25" s="31">
        <f t="shared" si="7"/>
        <v>34747.65542513585</v>
      </c>
      <c r="K25" s="31">
        <f t="shared" si="7"/>
        <v>40992.32661221342</v>
      </c>
      <c r="L25" s="31">
        <f t="shared" si="7"/>
        <v>47880.45452058427</v>
      </c>
      <c r="M25" s="32">
        <f t="shared" si="7"/>
        <v>55469.95093805996</v>
      </c>
    </row>
    <row r="26" spans="1:13" s="36" customFormat="1" ht="15">
      <c r="A26" s="33" t="s">
        <v>104</v>
      </c>
      <c r="B26" s="28"/>
      <c r="C26" s="27"/>
      <c r="D26" s="31">
        <f>D21</f>
        <v>2094</v>
      </c>
      <c r="E26" s="31">
        <f aca="true" t="shared" si="8" ref="E26:M26">E21</f>
        <v>2094</v>
      </c>
      <c r="F26" s="31">
        <f t="shared" si="8"/>
        <v>2094</v>
      </c>
      <c r="G26" s="31">
        <f t="shared" si="8"/>
        <v>2094</v>
      </c>
      <c r="H26" s="31">
        <f t="shared" si="8"/>
        <v>2094</v>
      </c>
      <c r="I26" s="31">
        <f t="shared" si="8"/>
        <v>2094</v>
      </c>
      <c r="J26" s="31">
        <f t="shared" si="8"/>
        <v>2094</v>
      </c>
      <c r="K26" s="31">
        <f t="shared" si="8"/>
        <v>2094</v>
      </c>
      <c r="L26" s="31">
        <f t="shared" si="8"/>
        <v>2094</v>
      </c>
      <c r="M26" s="31">
        <f t="shared" si="8"/>
        <v>2094</v>
      </c>
    </row>
    <row r="27" spans="1:13" s="36" customFormat="1" ht="15">
      <c r="A27" s="33" t="s">
        <v>152</v>
      </c>
      <c r="B27" s="37"/>
      <c r="C27" s="27"/>
      <c r="E27" s="31"/>
      <c r="F27" s="31"/>
      <c r="G27" s="31"/>
      <c r="H27" s="31"/>
      <c r="I27" s="31"/>
      <c r="J27" s="31"/>
      <c r="K27" s="31"/>
      <c r="L27" s="31"/>
      <c r="M27" s="32">
        <v>167217</v>
      </c>
    </row>
    <row r="28" spans="1:13" s="36" customFormat="1" ht="15">
      <c r="A28" s="33" t="s">
        <v>108</v>
      </c>
      <c r="B28" s="28"/>
      <c r="C28" s="56">
        <v>20000</v>
      </c>
      <c r="D28" s="31"/>
      <c r="E28" s="31"/>
      <c r="F28" s="31"/>
      <c r="G28" s="31"/>
      <c r="H28" s="31"/>
      <c r="I28" s="31"/>
      <c r="J28" s="31"/>
      <c r="K28" s="45"/>
      <c r="L28" s="45"/>
      <c r="M28" s="46"/>
    </row>
    <row r="29" spans="1:13" s="36" customFormat="1" ht="15">
      <c r="A29" s="33" t="s">
        <v>109</v>
      </c>
      <c r="B29" s="28"/>
      <c r="C29" s="56"/>
      <c r="D29" s="31">
        <v>1139.6832831968804</v>
      </c>
      <c r="E29" s="31">
        <v>1276.4452771805059</v>
      </c>
      <c r="F29" s="31">
        <v>1429.6187104421665</v>
      </c>
      <c r="G29" s="31">
        <v>1601.1729556952264</v>
      </c>
      <c r="H29" s="31">
        <v>1793.3137103786537</v>
      </c>
      <c r="I29" s="31">
        <v>2008.5113556240922</v>
      </c>
      <c r="J29" s="31">
        <v>2249.532718298983</v>
      </c>
      <c r="K29" s="45">
        <v>2519.4766444948614</v>
      </c>
      <c r="L29" s="45">
        <v>2821.8138418342446</v>
      </c>
      <c r="M29" s="46">
        <v>3160.4315028543538</v>
      </c>
    </row>
    <row r="30" spans="1:13" s="36" customFormat="1" ht="15">
      <c r="A30" s="33" t="s">
        <v>110</v>
      </c>
      <c r="B30" s="28"/>
      <c r="C30" s="27">
        <v>24670</v>
      </c>
      <c r="D30" s="30"/>
      <c r="E30" s="30"/>
      <c r="F30" s="30"/>
      <c r="G30" s="30"/>
      <c r="H30" s="30"/>
      <c r="I30" s="30"/>
      <c r="J30" s="30"/>
      <c r="M30" s="37"/>
    </row>
    <row r="31" spans="1:13" s="36" customFormat="1" ht="13.5" thickBot="1">
      <c r="A31" s="57" t="s">
        <v>111</v>
      </c>
      <c r="B31" s="58"/>
      <c r="C31" s="59">
        <v>19444</v>
      </c>
      <c r="D31" s="60"/>
      <c r="E31" s="60"/>
      <c r="F31" s="60"/>
      <c r="G31" s="60"/>
      <c r="H31" s="60"/>
      <c r="I31" s="60"/>
      <c r="J31" s="60"/>
      <c r="K31" s="61"/>
      <c r="L31" s="61"/>
      <c r="M31" s="58">
        <v>19444</v>
      </c>
    </row>
    <row r="32" spans="1:13" ht="13.5" thickBot="1">
      <c r="A32" s="115" t="s">
        <v>57</v>
      </c>
      <c r="B32" s="117"/>
      <c r="C32" s="64">
        <f>C28-C30-C31</f>
        <v>-24114</v>
      </c>
      <c r="D32" s="65">
        <f>D25+D26-D29</f>
        <v>9034.216716803117</v>
      </c>
      <c r="E32" s="65">
        <f aca="true" t="shared" si="9" ref="E32:L32">E25+E26-E29</f>
        <v>12266.054218307212</v>
      </c>
      <c r="F32" s="65">
        <f t="shared" si="9"/>
        <v>15861.573319991792</v>
      </c>
      <c r="G32" s="65">
        <f t="shared" si="9"/>
        <v>19854.18002837852</v>
      </c>
      <c r="H32" s="65">
        <f t="shared" si="9"/>
        <v>24280.091473599165</v>
      </c>
      <c r="I32" s="65">
        <f t="shared" si="9"/>
        <v>29178.56132363763</v>
      </c>
      <c r="J32" s="65">
        <f t="shared" si="9"/>
        <v>34592.12270683686</v>
      </c>
      <c r="K32" s="65">
        <f t="shared" si="9"/>
        <v>40566.84996771856</v>
      </c>
      <c r="L32" s="65">
        <f t="shared" si="9"/>
        <v>47152.64067875003</v>
      </c>
      <c r="M32" s="108">
        <f>M25+M26-M29+M31+M27</f>
        <v>241064.5194352056</v>
      </c>
    </row>
    <row r="33" spans="1:3" ht="13.5" thickBot="1">
      <c r="A33" s="136" t="s">
        <v>112</v>
      </c>
      <c r="B33" s="138"/>
      <c r="C33" s="66">
        <f>_XLL.RISKOUTPUT("VNA")+NPV($B$41,D32:M32)+C32</f>
        <v>119498.79987977116</v>
      </c>
    </row>
    <row r="34" spans="1:3" ht="13.5" thickBot="1">
      <c r="A34" s="136" t="s">
        <v>113</v>
      </c>
      <c r="B34" s="138"/>
      <c r="C34" s="67">
        <f>_XLL.RISKOUTPUT("TIR")+IRR(C32:M32)</f>
        <v>0.6393472489158623</v>
      </c>
    </row>
    <row r="35" spans="4:13" ht="12.75">
      <c r="D35" s="126"/>
      <c r="E35" s="127"/>
      <c r="F35" s="127"/>
      <c r="G35" s="127"/>
      <c r="H35" s="127"/>
      <c r="I35" s="127"/>
      <c r="J35" s="127"/>
      <c r="K35" s="127"/>
      <c r="L35" s="127"/>
      <c r="M35" s="128"/>
    </row>
    <row r="36" spans="4:13" ht="12.75">
      <c r="D36" s="129"/>
      <c r="E36" s="130"/>
      <c r="F36" s="130"/>
      <c r="G36" s="130"/>
      <c r="H36" s="130"/>
      <c r="I36" s="130"/>
      <c r="J36" s="130"/>
      <c r="K36" s="130"/>
      <c r="L36" s="130"/>
      <c r="M36" s="131"/>
    </row>
    <row r="37" spans="4:13" ht="13.5" thickBot="1">
      <c r="D37" s="132"/>
      <c r="E37" s="133"/>
      <c r="F37" s="133"/>
      <c r="G37" s="133"/>
      <c r="H37" s="133"/>
      <c r="I37" s="133"/>
      <c r="J37" s="133"/>
      <c r="K37" s="133"/>
      <c r="L37" s="133"/>
      <c r="M37" s="134"/>
    </row>
    <row r="41" spans="2:3" ht="12.75">
      <c r="B41" s="68">
        <f>_XLL.RISKNORMAL(0.17085,0.05)</f>
        <v>0.17085</v>
      </c>
      <c r="C41" s="68" t="s">
        <v>114</v>
      </c>
    </row>
    <row r="42" spans="2:3" ht="12.75">
      <c r="B42" s="69">
        <f>C33</f>
        <v>119498.79987977116</v>
      </c>
      <c r="C42" s="68" t="s">
        <v>115</v>
      </c>
    </row>
    <row r="44" ht="12.75">
      <c r="A44" s="5" t="s">
        <v>56</v>
      </c>
    </row>
  </sheetData>
  <sheetProtection/>
  <mergeCells count="6">
    <mergeCell ref="D35:M37"/>
    <mergeCell ref="A1:M1"/>
    <mergeCell ref="A2:M2"/>
    <mergeCell ref="A32:B32"/>
    <mergeCell ref="A33:B33"/>
    <mergeCell ref="A34:B34"/>
  </mergeCells>
  <printOptions/>
  <pageMargins left="0.52" right="0.45" top="1" bottom="1" header="0" footer="0"/>
  <pageSetup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E11" sqref="E11"/>
    </sheetView>
  </sheetViews>
  <sheetFormatPr defaultColWidth="11.421875" defaultRowHeight="12.75"/>
  <cols>
    <col min="1" max="1" width="11.421875" style="16" customWidth="1"/>
    <col min="2" max="2" width="31.00390625" style="16" customWidth="1"/>
    <col min="3" max="3" width="11.57421875" style="16" bestFit="1" customWidth="1"/>
    <col min="4" max="4" width="21.8515625" style="16" bestFit="1" customWidth="1"/>
    <col min="5" max="5" width="17.140625" style="16" customWidth="1"/>
    <col min="6" max="6" width="13.28125" style="16" customWidth="1"/>
    <col min="7" max="16384" width="11.421875" style="16" customWidth="1"/>
  </cols>
  <sheetData>
    <row r="1" spans="2:5" ht="13.5" thickBot="1">
      <c r="B1" s="135" t="s">
        <v>157</v>
      </c>
      <c r="C1" s="135"/>
      <c r="D1" s="135"/>
      <c r="E1" s="135"/>
    </row>
    <row r="2" spans="1:5" ht="13.5" thickBot="1">
      <c r="A2" s="115" t="s">
        <v>63</v>
      </c>
      <c r="B2" s="139"/>
      <c r="C2" s="139"/>
      <c r="D2" s="139"/>
      <c r="E2" s="140"/>
    </row>
    <row r="3" spans="1:5" ht="12.75" customHeight="1">
      <c r="A3" s="118" t="s">
        <v>156</v>
      </c>
      <c r="B3" s="141"/>
      <c r="C3" s="141"/>
      <c r="D3" s="141"/>
      <c r="E3" s="142"/>
    </row>
    <row r="4" spans="1:5" ht="12.75">
      <c r="A4" s="143"/>
      <c r="B4" s="144"/>
      <c r="C4" s="144"/>
      <c r="D4" s="144"/>
      <c r="E4" s="145"/>
    </row>
    <row r="5" spans="1:5" ht="12.75">
      <c r="A5" s="143"/>
      <c r="B5" s="144"/>
      <c r="C5" s="144"/>
      <c r="D5" s="144"/>
      <c r="E5" s="145"/>
    </row>
    <row r="6" spans="1:5" ht="12.75">
      <c r="A6" s="143"/>
      <c r="B6" s="144"/>
      <c r="C6" s="144"/>
      <c r="D6" s="144"/>
      <c r="E6" s="145"/>
    </row>
    <row r="7" spans="1:5" ht="13.5" thickBot="1">
      <c r="A7" s="146"/>
      <c r="B7" s="147"/>
      <c r="C7" s="147"/>
      <c r="D7" s="147"/>
      <c r="E7" s="148"/>
    </row>
    <row r="8" spans="1:5" ht="12.75">
      <c r="A8" s="97"/>
      <c r="B8" s="97"/>
      <c r="C8" s="97"/>
      <c r="D8" s="97"/>
      <c r="E8" s="97"/>
    </row>
    <row r="9" spans="1:5" ht="12.75">
      <c r="A9" s="97"/>
      <c r="B9" s="97" t="s">
        <v>154</v>
      </c>
      <c r="C9" s="98">
        <v>30663</v>
      </c>
      <c r="D9" s="97"/>
      <c r="E9" s="97"/>
    </row>
    <row r="10" spans="1:5" ht="12.75">
      <c r="A10" s="97"/>
      <c r="B10" s="97" t="s">
        <v>152</v>
      </c>
      <c r="C10" s="97">
        <f>(C9-'anexo 3.18'!D26)/t</f>
        <v>167216.85689201055</v>
      </c>
      <c r="D10" s="97"/>
      <c r="E10" s="97"/>
    </row>
    <row r="11" spans="1:5" ht="13.5" thickBot="1">
      <c r="A11" s="97"/>
      <c r="B11" s="99"/>
      <c r="C11" s="99"/>
      <c r="D11" s="97"/>
      <c r="E11" s="97"/>
    </row>
    <row r="12" spans="2:3" ht="13.5" thickBot="1">
      <c r="B12" s="115" t="s">
        <v>63</v>
      </c>
      <c r="C12" s="140"/>
    </row>
    <row r="13" spans="2:4" ht="12.75">
      <c r="B13" s="100" t="s">
        <v>144</v>
      </c>
      <c r="C13" s="101">
        <f>_XLL.RISKNORMAL(170000,25000)</f>
        <v>170000</v>
      </c>
      <c r="D13" s="16" t="s">
        <v>64</v>
      </c>
    </row>
    <row r="14" spans="2:4" ht="12.75">
      <c r="B14" s="102" t="s">
        <v>65</v>
      </c>
      <c r="C14" s="37">
        <f>_XLL.RISKNORMAL(0.075,0.005)</f>
        <v>0.075</v>
      </c>
      <c r="D14" s="16" t="s">
        <v>66</v>
      </c>
    </row>
    <row r="15" spans="2:4" ht="12.75">
      <c r="B15" s="102" t="s">
        <v>67</v>
      </c>
      <c r="C15" s="37">
        <v>19444</v>
      </c>
      <c r="D15" s="16" t="s">
        <v>68</v>
      </c>
    </row>
    <row r="16" spans="2:4" ht="12.75">
      <c r="B16" s="102" t="s">
        <v>69</v>
      </c>
      <c r="C16" s="103">
        <f>_XLL.RISKNORMAL(0.785,0.1)</f>
        <v>0.785</v>
      </c>
      <c r="D16" s="16" t="s">
        <v>70</v>
      </c>
    </row>
    <row r="17" spans="2:3" ht="12.75">
      <c r="B17" s="102" t="s">
        <v>71</v>
      </c>
      <c r="C17" s="37">
        <v>0.25</v>
      </c>
    </row>
    <row r="18" spans="2:3" ht="12.75">
      <c r="B18" s="102"/>
      <c r="C18" s="37"/>
    </row>
    <row r="19" spans="2:3" ht="12.75">
      <c r="B19" s="102"/>
      <c r="C19" s="37"/>
    </row>
    <row r="20" spans="2:3" ht="12.75">
      <c r="B20" s="102"/>
      <c r="C20" s="37"/>
    </row>
    <row r="21" spans="2:3" ht="13.5" thickBot="1">
      <c r="B21" s="102"/>
      <c r="C21" s="37"/>
    </row>
    <row r="22" spans="2:3" ht="13.5" thickBot="1">
      <c r="B22" s="106" t="s">
        <v>58</v>
      </c>
      <c r="C22" s="107">
        <f>_XLL.RISKNORMAL(109200,25000)</f>
        <v>109200</v>
      </c>
    </row>
    <row r="23" spans="2:6" ht="12.75">
      <c r="B23" s="102" t="s">
        <v>72</v>
      </c>
      <c r="C23" s="37">
        <v>1440</v>
      </c>
      <c r="D23" s="16" t="s">
        <v>66</v>
      </c>
      <c r="E23" s="100" t="s">
        <v>77</v>
      </c>
      <c r="F23" s="26">
        <f>F26+F27*(F25-F26)+F30</f>
        <v>0.2379</v>
      </c>
    </row>
    <row r="24" spans="2:6" ht="12.75">
      <c r="B24" s="102"/>
      <c r="C24" s="37"/>
      <c r="E24" s="102" t="s">
        <v>78</v>
      </c>
      <c r="F24" s="37">
        <v>0.12</v>
      </c>
    </row>
    <row r="25" spans="2:6" ht="12.75">
      <c r="B25" s="102" t="s">
        <v>73</v>
      </c>
      <c r="C25" s="37">
        <v>1200</v>
      </c>
      <c r="D25" s="16" t="s">
        <v>66</v>
      </c>
      <c r="E25" s="102" t="s">
        <v>79</v>
      </c>
      <c r="F25" s="37">
        <f>F26+0.0864</f>
        <v>0.1015</v>
      </c>
    </row>
    <row r="26" spans="2:6" ht="15">
      <c r="B26" s="104" t="s">
        <v>74</v>
      </c>
      <c r="C26" s="37">
        <v>32932.8</v>
      </c>
      <c r="D26" s="16" t="s">
        <v>66</v>
      </c>
      <c r="E26" s="102" t="s">
        <v>80</v>
      </c>
      <c r="F26" s="37">
        <v>0.0151</v>
      </c>
    </row>
    <row r="27" spans="2:6" ht="12.75">
      <c r="B27" s="102" t="s">
        <v>75</v>
      </c>
      <c r="C27" s="37">
        <v>9000</v>
      </c>
      <c r="D27" s="16" t="s">
        <v>66</v>
      </c>
      <c r="E27" s="102" t="s">
        <v>81</v>
      </c>
      <c r="F27" s="37">
        <v>2</v>
      </c>
    </row>
    <row r="28" spans="2:6" ht="13.5" thickBot="1">
      <c r="B28" s="102" t="s">
        <v>76</v>
      </c>
      <c r="C28" s="37">
        <v>960</v>
      </c>
      <c r="D28" s="16" t="s">
        <v>66</v>
      </c>
      <c r="E28" s="114" t="s">
        <v>82</v>
      </c>
      <c r="F28" s="37">
        <v>0.4533</v>
      </c>
    </row>
    <row r="29" spans="2:6" ht="13.5" thickBot="1">
      <c r="B29" s="102"/>
      <c r="C29" s="37"/>
      <c r="D29" s="16" t="s">
        <v>66</v>
      </c>
      <c r="E29" s="86" t="s">
        <v>83</v>
      </c>
      <c r="F29" s="63">
        <f>F24*F28*(1-C17)+F23*(1-F28)</f>
        <v>0.17085693</v>
      </c>
    </row>
    <row r="30" spans="2:6" ht="13.5" thickBot="1">
      <c r="B30" s="105"/>
      <c r="C30" s="58"/>
      <c r="D30" s="16" t="s">
        <v>66</v>
      </c>
      <c r="E30" s="16" t="s">
        <v>153</v>
      </c>
      <c r="F30" s="16">
        <v>0.05</v>
      </c>
    </row>
    <row r="32" ht="12.75">
      <c r="A32" s="5" t="s">
        <v>56</v>
      </c>
    </row>
  </sheetData>
  <sheetProtection/>
  <mergeCells count="4">
    <mergeCell ref="A2:E2"/>
    <mergeCell ref="A3:E7"/>
    <mergeCell ref="B12:C12"/>
    <mergeCell ref="B1:E1"/>
  </mergeCells>
  <printOptions/>
  <pageMargins left="1.09" right="0.48" top="0.51" bottom="1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29.00390625" style="0" customWidth="1"/>
    <col min="2" max="2" width="7.00390625" style="0" hidden="1" customWidth="1"/>
    <col min="3" max="3" width="21.28125" style="0" customWidth="1"/>
    <col min="4" max="4" width="23.28125" style="0" customWidth="1"/>
    <col min="5" max="5" width="17.140625" style="0" customWidth="1"/>
    <col min="6" max="6" width="25.7109375" style="0" customWidth="1"/>
    <col min="7" max="7" width="16.421875" style="0" customWidth="1"/>
  </cols>
  <sheetData>
    <row r="2" ht="12.75">
      <c r="D2" s="3" t="s">
        <v>59</v>
      </c>
    </row>
    <row r="4" spans="4:5" ht="12.75">
      <c r="D4" s="123" t="s">
        <v>25</v>
      </c>
      <c r="E4" s="123"/>
    </row>
    <row r="6" spans="1:7" ht="12.75">
      <c r="A6" s="2" t="s">
        <v>26</v>
      </c>
      <c r="B6" s="2"/>
      <c r="C6" s="2" t="s">
        <v>27</v>
      </c>
      <c r="D6" s="2" t="s">
        <v>28</v>
      </c>
      <c r="E6" s="2" t="s">
        <v>29</v>
      </c>
      <c r="F6" s="2" t="s">
        <v>31</v>
      </c>
      <c r="G6" s="2" t="s">
        <v>15</v>
      </c>
    </row>
    <row r="7" spans="1:7" ht="12.75">
      <c r="A7" s="1" t="s">
        <v>43</v>
      </c>
      <c r="B7" s="1"/>
      <c r="C7" s="1">
        <v>1500</v>
      </c>
      <c r="D7" s="1">
        <v>7</v>
      </c>
      <c r="E7" s="1">
        <v>50</v>
      </c>
      <c r="F7" s="1">
        <v>0.0896</v>
      </c>
      <c r="G7" s="11">
        <f aca="true" t="shared" si="0" ref="G7:G12">E7*F7</f>
        <v>4.4799999999999995</v>
      </c>
    </row>
    <row r="8" spans="1:7" ht="12.75">
      <c r="A8" s="1" t="s">
        <v>45</v>
      </c>
      <c r="B8" s="1"/>
      <c r="C8" s="1">
        <v>1350</v>
      </c>
      <c r="D8" s="1">
        <v>8</v>
      </c>
      <c r="E8" s="1">
        <v>100</v>
      </c>
      <c r="F8" s="1">
        <v>0.0896</v>
      </c>
      <c r="G8" s="11">
        <f t="shared" si="0"/>
        <v>8.959999999999999</v>
      </c>
    </row>
    <row r="9" spans="1:7" ht="12.75">
      <c r="A9" s="1" t="s">
        <v>44</v>
      </c>
      <c r="B9" s="1"/>
      <c r="C9" s="1">
        <v>1000</v>
      </c>
      <c r="D9" s="1">
        <v>5</v>
      </c>
      <c r="E9" s="1">
        <v>90</v>
      </c>
      <c r="F9" s="1">
        <v>0.0896</v>
      </c>
      <c r="G9" s="11">
        <f t="shared" si="0"/>
        <v>8.064</v>
      </c>
    </row>
    <row r="10" spans="1:7" ht="12.75">
      <c r="A10" s="1" t="s">
        <v>46</v>
      </c>
      <c r="B10" s="1"/>
      <c r="C10" s="1">
        <v>300</v>
      </c>
      <c r="D10" s="1">
        <v>7</v>
      </c>
      <c r="E10" s="1">
        <v>18</v>
      </c>
      <c r="F10" s="1">
        <v>0.0896</v>
      </c>
      <c r="G10" s="11">
        <f t="shared" si="0"/>
        <v>1.6128</v>
      </c>
    </row>
    <row r="11" spans="1:7" ht="12.75">
      <c r="A11" s="1" t="s">
        <v>47</v>
      </c>
      <c r="B11" s="1"/>
      <c r="C11" s="1">
        <v>300</v>
      </c>
      <c r="D11" s="1">
        <v>8</v>
      </c>
      <c r="E11" s="1">
        <v>65</v>
      </c>
      <c r="F11" s="1">
        <v>0.0896</v>
      </c>
      <c r="G11" s="11">
        <f t="shared" si="0"/>
        <v>5.824</v>
      </c>
    </row>
    <row r="12" spans="1:7" ht="12.75">
      <c r="A12" s="1" t="s">
        <v>48</v>
      </c>
      <c r="B12" s="1"/>
      <c r="C12" s="1">
        <v>1350</v>
      </c>
      <c r="D12" s="1">
        <v>8</v>
      </c>
      <c r="E12" s="1">
        <v>100</v>
      </c>
      <c r="F12" s="1">
        <v>0.0896</v>
      </c>
      <c r="G12" s="11">
        <f t="shared" si="0"/>
        <v>8.959999999999999</v>
      </c>
    </row>
    <row r="13" spans="6:7" ht="12.75">
      <c r="F13" s="9" t="s">
        <v>20</v>
      </c>
      <c r="G13" s="11">
        <f>G7+G8+G10+G9+G11+G12</f>
        <v>37.9008</v>
      </c>
    </row>
    <row r="14" spans="6:7" ht="12.75">
      <c r="F14" s="9" t="s">
        <v>49</v>
      </c>
      <c r="G14" s="11">
        <v>12</v>
      </c>
    </row>
    <row r="15" spans="6:7" ht="12.75">
      <c r="F15" s="9" t="s">
        <v>0</v>
      </c>
      <c r="G15" s="11">
        <f>G13+G14</f>
        <v>49.9008</v>
      </c>
    </row>
    <row r="16" spans="1:6" ht="12.75">
      <c r="A16" s="5" t="s">
        <v>56</v>
      </c>
      <c r="F16" s="4"/>
    </row>
    <row r="17" ht="12.75">
      <c r="F17" s="4"/>
    </row>
    <row r="18" ht="12.75">
      <c r="F18" s="4"/>
    </row>
  </sheetData>
  <sheetProtection/>
  <mergeCells count="1">
    <mergeCell ref="D4:E4"/>
  </mergeCells>
  <printOptions/>
  <pageMargins left="0.75" right="0.75" top="1" bottom="1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3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0.42578125" style="0" customWidth="1"/>
    <col min="2" max="2" width="19.421875" style="0" customWidth="1"/>
    <col min="3" max="3" width="0.13671875" style="0" customWidth="1"/>
    <col min="4" max="4" width="27.421875" style="0" customWidth="1"/>
    <col min="5" max="5" width="18.57421875" style="0" customWidth="1"/>
    <col min="6" max="6" width="17.28125" style="0" customWidth="1"/>
    <col min="7" max="7" width="14.421875" style="0" customWidth="1"/>
    <col min="8" max="8" width="13.57421875" style="0" customWidth="1"/>
  </cols>
  <sheetData>
    <row r="2" spans="4:6" ht="12.75">
      <c r="D2" s="123" t="s">
        <v>61</v>
      </c>
      <c r="E2" s="123"/>
      <c r="F2" s="123"/>
    </row>
    <row r="4" ht="12.75">
      <c r="E4" s="5" t="s">
        <v>24</v>
      </c>
    </row>
    <row r="6" spans="2:8" ht="12.75">
      <c r="B6" s="2" t="s">
        <v>10</v>
      </c>
      <c r="C6" s="2"/>
      <c r="D6" s="2" t="s">
        <v>11</v>
      </c>
      <c r="E6" s="2" t="s">
        <v>12</v>
      </c>
      <c r="F6" s="2" t="s">
        <v>13</v>
      </c>
      <c r="G6" s="2" t="s">
        <v>14</v>
      </c>
      <c r="H6" s="2" t="s">
        <v>15</v>
      </c>
    </row>
    <row r="7" spans="2:8" ht="12.75">
      <c r="B7" s="6">
        <v>8</v>
      </c>
      <c r="C7" s="1"/>
      <c r="D7" s="1">
        <v>18</v>
      </c>
      <c r="E7" s="1">
        <v>266</v>
      </c>
      <c r="F7" s="1">
        <v>19415</v>
      </c>
      <c r="G7" s="1">
        <v>0.0023</v>
      </c>
      <c r="H7" s="7">
        <f>F7*G7</f>
        <v>44.6545</v>
      </c>
    </row>
    <row r="8" spans="7:8" ht="12.75">
      <c r="G8" s="10" t="s">
        <v>20</v>
      </c>
      <c r="H8" s="7">
        <v>44.65</v>
      </c>
    </row>
    <row r="9" spans="7:8" ht="12.75">
      <c r="G9" s="10" t="s">
        <v>21</v>
      </c>
      <c r="H9" s="7">
        <f>H8*12%</f>
        <v>5.358</v>
      </c>
    </row>
    <row r="10" spans="7:8" ht="12.75">
      <c r="G10" s="10" t="s">
        <v>0</v>
      </c>
      <c r="H10" s="8">
        <f>H8+H9</f>
        <v>50.007999999999996</v>
      </c>
    </row>
    <row r="11" spans="2:7" ht="12.75">
      <c r="B11" s="5" t="s">
        <v>56</v>
      </c>
      <c r="G11" s="4"/>
    </row>
    <row r="12" ht="12.75">
      <c r="G12" s="4"/>
    </row>
    <row r="13" ht="12.75">
      <c r="G13" s="4"/>
    </row>
  </sheetData>
  <sheetProtection/>
  <mergeCells count="1">
    <mergeCell ref="D2:F2"/>
  </mergeCells>
  <printOptions/>
  <pageMargins left="0.75" right="0.75" top="1" bottom="1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19"/>
  <sheetViews>
    <sheetView zoomScalePageLayoutView="0" workbookViewId="0" topLeftCell="B1">
      <selection activeCell="E19" sqref="E19"/>
    </sheetView>
  </sheetViews>
  <sheetFormatPr defaultColWidth="11.421875" defaultRowHeight="12.75"/>
  <cols>
    <col min="1" max="1" width="11.421875" style="0" hidden="1" customWidth="1"/>
    <col min="2" max="4" width="14.7109375" style="0" customWidth="1"/>
    <col min="5" max="5" width="21.7109375" style="0" customWidth="1"/>
    <col min="6" max="6" width="14.57421875" style="0" customWidth="1"/>
    <col min="7" max="7" width="16.57421875" style="0" customWidth="1"/>
    <col min="8" max="8" width="14.28125" style="0" customWidth="1"/>
  </cols>
  <sheetData>
    <row r="3" spans="5:6" ht="12.75">
      <c r="E3" s="123" t="s">
        <v>60</v>
      </c>
      <c r="F3" s="123"/>
    </row>
    <row r="5" ht="12.75">
      <c r="E5" s="3" t="s">
        <v>37</v>
      </c>
    </row>
    <row r="7" spans="2:8" ht="12.75">
      <c r="B7" s="1"/>
      <c r="C7" s="1"/>
      <c r="D7" s="2" t="s">
        <v>38</v>
      </c>
      <c r="E7" s="2" t="s">
        <v>39</v>
      </c>
      <c r="F7" s="2" t="s">
        <v>40</v>
      </c>
      <c r="G7" s="2" t="s">
        <v>41</v>
      </c>
      <c r="H7" s="2" t="s">
        <v>15</v>
      </c>
    </row>
    <row r="8" spans="2:8" ht="12.75">
      <c r="B8" s="1" t="s">
        <v>50</v>
      </c>
      <c r="C8" s="1"/>
      <c r="D8" s="6">
        <v>80</v>
      </c>
      <c r="E8" s="6">
        <v>0.08</v>
      </c>
      <c r="F8" s="6">
        <v>0.17</v>
      </c>
      <c r="G8" s="6">
        <v>0.345</v>
      </c>
      <c r="H8" s="7">
        <f>G8*30</f>
        <v>10.35</v>
      </c>
    </row>
    <row r="9" spans="2:8" ht="12.75">
      <c r="B9" s="1" t="s">
        <v>51</v>
      </c>
      <c r="C9" s="1"/>
      <c r="D9" s="1">
        <v>230</v>
      </c>
      <c r="E9" s="1">
        <v>0.23</v>
      </c>
      <c r="F9" s="7">
        <v>0.15</v>
      </c>
      <c r="G9" s="1">
        <v>0.176</v>
      </c>
      <c r="H9" s="7">
        <f>G9*30</f>
        <v>5.279999999999999</v>
      </c>
    </row>
    <row r="10" spans="7:8" ht="12.75">
      <c r="G10" s="9" t="s">
        <v>20</v>
      </c>
      <c r="H10" s="7">
        <f>H8+H9</f>
        <v>15.629999999999999</v>
      </c>
    </row>
    <row r="11" spans="7:8" ht="12.75">
      <c r="G11" s="9" t="s">
        <v>52</v>
      </c>
      <c r="H11" s="1">
        <v>1.58</v>
      </c>
    </row>
    <row r="12" spans="7:8" ht="12.75">
      <c r="G12" s="9" t="s">
        <v>53</v>
      </c>
      <c r="H12" s="1">
        <v>1.15</v>
      </c>
    </row>
    <row r="13" spans="7:8" ht="12.75">
      <c r="G13" s="9" t="s">
        <v>54</v>
      </c>
      <c r="H13" s="1">
        <v>1.65</v>
      </c>
    </row>
    <row r="14" spans="7:8" ht="12.75">
      <c r="G14" s="9" t="s">
        <v>55</v>
      </c>
      <c r="H14" s="7">
        <f>H10+H11+H12+H13</f>
        <v>20.009999999999998</v>
      </c>
    </row>
    <row r="15" spans="2:7" ht="12.75">
      <c r="B15" s="5" t="s">
        <v>56</v>
      </c>
      <c r="G15" s="4"/>
    </row>
    <row r="16" ht="12.75">
      <c r="G16" s="4"/>
    </row>
    <row r="17" ht="12.75">
      <c r="G17" s="4"/>
    </row>
    <row r="18" ht="12.75">
      <c r="G18" s="4"/>
    </row>
    <row r="19" ht="12.75">
      <c r="G19" s="4"/>
    </row>
  </sheetData>
  <sheetProtection/>
  <mergeCells count="1">
    <mergeCell ref="E3:F3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JULIO GONZALEZ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supervisorv2</dc:creator>
  <cp:keywords/>
  <dc:description/>
  <cp:lastModifiedBy>supervisorv2</cp:lastModifiedBy>
  <cp:lastPrinted>2009-02-07T00:09:52Z</cp:lastPrinted>
  <dcterms:created xsi:type="dcterms:W3CDTF">2009-02-05T17:30:28Z</dcterms:created>
  <dcterms:modified xsi:type="dcterms:W3CDTF">2009-03-02T19:04:37Z</dcterms:modified>
  <cp:category/>
  <cp:version/>
  <cp:contentType/>
  <cp:contentStatus/>
</cp:coreProperties>
</file>