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445" activeTab="0"/>
  </bookViews>
  <sheets>
    <sheet name="Hoja1" sheetId="1" r:id="rId1"/>
    <sheet name="Hoja2" sheetId="2" r:id="rId2"/>
  </sheets>
  <definedNames>
    <definedName name="_xlnm.Print_Area" localSheetId="0">'Hoja1'!$A$1:$R$54</definedName>
    <definedName name="_xlnm.Print_Area" localSheetId="1">'Hoja2'!$A$1:$P$21</definedName>
  </definedNames>
  <calcPr fullCalcOnLoad="1"/>
</workbook>
</file>

<file path=xl/sharedStrings.xml><?xml version="1.0" encoding="utf-8"?>
<sst xmlns="http://schemas.openxmlformats.org/spreadsheetml/2006/main" count="629" uniqueCount="194">
  <si>
    <t>CALIDAD DEL SERVICIO  TECNICO</t>
  </si>
  <si>
    <t>REGISTRO DE INTERRUPCIONES DE SERVICIO</t>
  </si>
  <si>
    <t xml:space="preserve">EMPRESA ELECTRICA: </t>
  </si>
  <si>
    <t>M I L A G R O</t>
  </si>
  <si>
    <t>No.</t>
  </si>
  <si>
    <t xml:space="preserve">FALLA EN </t>
  </si>
  <si>
    <t>FALLA EN</t>
  </si>
  <si>
    <t>NIVEL DE</t>
  </si>
  <si>
    <t>CARGA</t>
  </si>
  <si>
    <t>INSTALADA</t>
  </si>
  <si>
    <t>%KVA</t>
  </si>
  <si>
    <t>FALLA</t>
  </si>
  <si>
    <t>CAUSA ORIGINAL DE LA FALLA</t>
  </si>
  <si>
    <t>Informe/Reporte de</t>
  </si>
  <si>
    <t>falla</t>
  </si>
  <si>
    <t xml:space="preserve">FECHA </t>
  </si>
  <si>
    <t>mmm-aa</t>
  </si>
  <si>
    <t>(1)</t>
  </si>
  <si>
    <t>Desconexion dd-</t>
  </si>
  <si>
    <t xml:space="preserve">HORA </t>
  </si>
  <si>
    <t>Desconexion</t>
  </si>
  <si>
    <t>hh:mm</t>
  </si>
  <si>
    <t>Conexión/Normalizacion dd-</t>
  </si>
  <si>
    <t>Conexión/Normalizacion</t>
  </si>
  <si>
    <t>TIEMPO</t>
  </si>
  <si>
    <t>Duracion de la falla</t>
  </si>
  <si>
    <t>Horas</t>
  </si>
  <si>
    <t>S/E.</t>
  </si>
  <si>
    <t>(2)</t>
  </si>
  <si>
    <t>ALIMENTADOR (3)</t>
  </si>
  <si>
    <t>VOLTAJE KV</t>
  </si>
  <si>
    <t>(4)</t>
  </si>
  <si>
    <t>ALIMENTADOR KVA</t>
  </si>
  <si>
    <t>(5)</t>
  </si>
  <si>
    <t>Desconectada</t>
  </si>
  <si>
    <t>Kva</t>
  </si>
  <si>
    <t>(6)</t>
  </si>
  <si>
    <t>No. De</t>
  </si>
  <si>
    <t>Consumidores</t>
  </si>
  <si>
    <t>Afectados</t>
  </si>
  <si>
    <t>CLASIFICACION</t>
  </si>
  <si>
    <t>DE LA FALLA</t>
  </si>
  <si>
    <t>(7)</t>
  </si>
  <si>
    <t>(8)</t>
  </si>
  <si>
    <t>Notas:</t>
  </si>
  <si>
    <t xml:space="preserve">1 No. de falla registrado en Bitácoras de la Empresa Distribuidora. </t>
  </si>
  <si>
    <t>2 S/E afectada por la falla.</t>
  </si>
  <si>
    <t>3 Alimentador afectado por la falla.</t>
  </si>
  <si>
    <t>4 Nivel de Voltaje del Alimentador afectado.</t>
  </si>
  <si>
    <t>5 kVA instalados en el alimentador.</t>
  </si>
  <si>
    <t>IF</t>
  </si>
  <si>
    <t>MILAGRO NORTE</t>
  </si>
  <si>
    <t>EL TRIUNFO</t>
  </si>
  <si>
    <t>PTO. INCA</t>
  </si>
  <si>
    <t>VILLA NUEVA</t>
  </si>
  <si>
    <t>NARANJITO</t>
  </si>
  <si>
    <t>EF</t>
  </si>
  <si>
    <t>BAJA FRECUENCIA</t>
  </si>
  <si>
    <t>SIMON BOLIVAR</t>
  </si>
  <si>
    <t>MILAGRO SUR</t>
  </si>
  <si>
    <t>ARBOL SOBRE LA LINEA</t>
  </si>
  <si>
    <t>S/E. MONTERO</t>
  </si>
  <si>
    <t>MONTERO - NARANJAL ( 69 KV )</t>
  </si>
  <si>
    <t>MARCELINO - BODEGAS ( 69 KV )</t>
  </si>
  <si>
    <t>LOS PARQUES - SAN ANTONIO</t>
  </si>
  <si>
    <t>MILAGRO II ( 69 KV )</t>
  </si>
  <si>
    <t>MILAGRO I ( 69 KV )</t>
  </si>
  <si>
    <t>BUCAY</t>
  </si>
  <si>
    <t>LINEA ARRANCADA</t>
  </si>
  <si>
    <t>( * ) ARBOL SOBRE LA LINEA</t>
  </si>
  <si>
    <t>NARANJAL</t>
  </si>
  <si>
    <t>BOLICHE</t>
  </si>
  <si>
    <t>-</t>
  </si>
  <si>
    <t>S. N.I.</t>
  </si>
  <si>
    <t>YAGUACHI</t>
  </si>
  <si>
    <t>BARRAS ( S/E. NARANJAL )</t>
  </si>
  <si>
    <t>FALLA ALIM. # 2</t>
  </si>
  <si>
    <t>SALIDA # 5</t>
  </si>
  <si>
    <t>POR REMODELACIONES</t>
  </si>
  <si>
    <t>CERRO PELADO</t>
  </si>
  <si>
    <t>PUENTE EN MAL ESTADO</t>
  </si>
  <si>
    <t>M.MARIDUEÑA</t>
  </si>
  <si>
    <t>AISLADOR EN MAL ESTADO</t>
  </si>
  <si>
    <t>CAMBIO DE POSTE</t>
  </si>
  <si>
    <t>SANTUARIO</t>
  </si>
  <si>
    <t>KM - 4</t>
  </si>
  <si>
    <t>PUENTE VOLADO</t>
  </si>
  <si>
    <t>BARRAS ( S/E. YAGUACHI )</t>
  </si>
  <si>
    <t>BANCO DEL PACIFICO</t>
  </si>
  <si>
    <t>ANTENA DE TV. SOBRE LA LINEA</t>
  </si>
  <si>
    <t>LORENZO GARAICOA</t>
  </si>
  <si>
    <t>LORENZO - MATA DE CACAO</t>
  </si>
  <si>
    <t>TRIUNFO - BUCAY ( 69 KV )</t>
  </si>
  <si>
    <t>HOJAS DE BANANO EN LAS LINEAS</t>
  </si>
  <si>
    <t>00:35</t>
  </si>
  <si>
    <t>MANTENIMIENTO URGENTE</t>
  </si>
  <si>
    <t>NORTE - L. GARAICOA ) 69 KV )</t>
  </si>
  <si>
    <t>POR MANTENIMIENTO</t>
  </si>
  <si>
    <t>SALIDA # 3</t>
  </si>
  <si>
    <t>POR SOBRECORRIENTE</t>
  </si>
  <si>
    <t>CENTRAL DIESEL</t>
  </si>
  <si>
    <t>CENETROPOLIS - HOSPITAL IESS</t>
  </si>
  <si>
    <t>POSTES CAIDOS A CAUSA DE LLUVIAS</t>
  </si>
  <si>
    <t>PARROQUIA TAURA</t>
  </si>
  <si>
    <t>SALIDA # 2</t>
  </si>
  <si>
    <t>BUCAY - TAKARA</t>
  </si>
  <si>
    <t>PARA  CERRAR PUENTES</t>
  </si>
  <si>
    <t>MANUEL DE J. CALLE</t>
  </si>
  <si>
    <t>CAÑA SOBRE LA LINEA</t>
  </si>
  <si>
    <t>POR POSTE CAIDO</t>
  </si>
  <si>
    <t>POR CAMBIO DE POSTE</t>
  </si>
  <si>
    <t>M E S   D E   E N E R O  2 0 0 5</t>
  </si>
  <si>
    <t>LA TRONCAL</t>
  </si>
  <si>
    <t>COCHANCAY</t>
  </si>
  <si>
    <t>SALIDA # 1</t>
  </si>
  <si>
    <t>POR LLOVISNAS</t>
  </si>
  <si>
    <t>FALLA EN ALIM. CAIMITO</t>
  </si>
  <si>
    <t>POR RAMAL DIRECTO</t>
  </si>
  <si>
    <t>HILO DE GUARDA ARRANCADO</t>
  </si>
  <si>
    <t>RETIRAR HILO DE GUARDA</t>
  </si>
  <si>
    <t>CAÑA SOBRE LA LINEA 69 KV A L. GARAICOA</t>
  </si>
  <si>
    <t>POR LLUVIA TORRENCIAL EN LA ZONA</t>
  </si>
  <si>
    <t>RAMA SOBRE LA LINEA</t>
  </si>
  <si>
    <t>( ** ) ARBOL SOBRE LALINEA EN ALIM. B - 2 ( 69 KV )</t>
  </si>
  <si>
    <t>PORLLOVISNAS</t>
  </si>
  <si>
    <t xml:space="preserve">( *** ) ARBOL SOBRE  LINEA </t>
  </si>
  <si>
    <t>LINEA ARRANCADA EN CHOBO</t>
  </si>
  <si>
    <t>PRODUC</t>
  </si>
  <si>
    <t>FMIK</t>
  </si>
  <si>
    <t>S.N.I.</t>
  </si>
  <si>
    <t>TTIK</t>
  </si>
  <si>
    <t>B - 6</t>
  </si>
  <si>
    <t>POSTE CHOCADO</t>
  </si>
  <si>
    <t>MILAGRO - SUR</t>
  </si>
  <si>
    <t>PARA DESBROCE DE PALMAS</t>
  </si>
  <si>
    <t>ALIM. SALIDA #2</t>
  </si>
  <si>
    <t>UN ANIMAL EN LA CRUCETA SECTOR CHOBO</t>
  </si>
  <si>
    <t>COMETA EN LA CRUCETA CALLE URDANETA</t>
  </si>
  <si>
    <t>ARBOL SOBRE LA LINEA EN SECTOR EL CAMAL</t>
  </si>
  <si>
    <t>POR PUENTE VOLADO</t>
  </si>
  <si>
    <t xml:space="preserve">TORRENCIALES AGUACEROS </t>
  </si>
  <si>
    <t>ANTENA SOBRE LA LINEA</t>
  </si>
  <si>
    <t>COMETA EN LA LINEA</t>
  </si>
  <si>
    <t>MILSGRO SUR</t>
  </si>
  <si>
    <t>LAS PIÑAS</t>
  </si>
  <si>
    <t>LINEAS ARRANCADAS</t>
  </si>
  <si>
    <t>REPARACION LINEAS ARRANCADAS</t>
  </si>
  <si>
    <t>ALIM. 100 CAMAS</t>
  </si>
  <si>
    <t>COMETA EN LAS LINEAS</t>
  </si>
  <si>
    <t>ALIM. B - 6</t>
  </si>
  <si>
    <t>CAMBIO DE AISLADOR EN MAL ESTADO</t>
  </si>
  <si>
    <t>PARARRAYOS EN MAL ESTADO EN LA S/E</t>
  </si>
  <si>
    <t>IP</t>
  </si>
  <si>
    <t>MANTENIMIENTO EN PATIOS DE S/E SUR</t>
  </si>
  <si>
    <t>ALIM. B - 9</t>
  </si>
  <si>
    <t>FALLA POR COMETAS</t>
  </si>
  <si>
    <t>FALLA  EN ALIM. VALDEZ - YAGUACHI ( 69 KV )</t>
  </si>
  <si>
    <t>ALIM. LAS PIÑAS</t>
  </si>
  <si>
    <t>POR POSTE CHOCADO</t>
  </si>
  <si>
    <t>POR COMETA EN LA LINEA</t>
  </si>
  <si>
    <t>POR CAIDA DE AVIONETA SOBRE LA LINEA ( 69 KV )</t>
  </si>
  <si>
    <t>S. N. I.</t>
  </si>
  <si>
    <t>SALIDA # 5 ( UNIVERSIDAD )</t>
  </si>
  <si>
    <t>REMODELACION EN LOS PREDIOS UNIVERSITARIOS</t>
  </si>
  <si>
    <t>SALIDAS # 1 ( TIA ), # 3 ( PIÑAS )</t>
  </si>
  <si>
    <t>FALLA EN PATIOS  DEL S.N.I.</t>
  </si>
  <si>
    <t>POR QUEMA DE CANTEROS</t>
  </si>
  <si>
    <t>FALLA SECTOR POZOS DE CHOBO</t>
  </si>
  <si>
    <t>B - 9</t>
  </si>
  <si>
    <t>CAMBIO DE CAJA EN MAL ESTADO</t>
  </si>
  <si>
    <t>EP</t>
  </si>
  <si>
    <t>MANTENIMIENTO EN PATIOS DEL S.N.I.</t>
  </si>
  <si>
    <t>POR BAJA FRECUENCIA</t>
  </si>
  <si>
    <t xml:space="preserve"> POR RAMA SOBRE LA LINEA</t>
  </si>
  <si>
    <t>CAÑA DE CONSTRUCCION SOBRE LA LINEA</t>
  </si>
  <si>
    <t>B - 2 ( 69 KV )</t>
  </si>
  <si>
    <t>FUNDAS PLASTICAS EN LAS LINEAS ( 69 KV )</t>
  </si>
  <si>
    <t>RAMA EN  EN TRAMO SUR - MONTERO B-2 ( 69 KV )</t>
  </si>
  <si>
    <t>CAÑAS SOBRE LA LINEA</t>
  </si>
  <si>
    <t>13.8</t>
  </si>
  <si>
    <t>S.N.I</t>
  </si>
  <si>
    <t>FALLA EN ELIM. L. GARAICOA</t>
  </si>
  <si>
    <t>100 CAMAS</t>
  </si>
  <si>
    <t xml:space="preserve">IF </t>
  </si>
  <si>
    <t>TIRAFUSIBLE QUEMADO</t>
  </si>
  <si>
    <t>POR LLUVIA</t>
  </si>
  <si>
    <t xml:space="preserve">SALIDA # 1 </t>
  </si>
  <si>
    <t>SALIDA  # 3</t>
  </si>
  <si>
    <t>FALLA POR LLOVISNA</t>
  </si>
  <si>
    <t>AV. QUITO</t>
  </si>
  <si>
    <t>CAMBIO DE POSTE POR CIA. PRIVADA</t>
  </si>
  <si>
    <t>FALLA EN LINEA L. GARAICOA</t>
  </si>
  <si>
    <t>FALLA AISLADOR EN MAL ESTADO</t>
  </si>
  <si>
    <t>TRABAJOS DE MANTENIMIENTO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</si>
</sst>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d\-mmm\-yy"/>
    <numFmt numFmtId="187" formatCode="0.000"/>
    <numFmt numFmtId="188" formatCode="0.0"/>
    <numFmt numFmtId="189" formatCode="0.00000"/>
    <numFmt numFmtId="190" formatCode="0.0000"/>
    <numFmt numFmtId="191" formatCode="_-[$€]* #,##0.00_-;\-[$€]* #,##0.00_-;_-[$€]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5" fontId="0" fillId="0" borderId="9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186" fontId="0" fillId="0" borderId="0" xfId="0" applyNumberFormat="1" applyAlignment="1">
      <alignment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9" fontId="0" fillId="0" borderId="20" xfId="22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12" xfId="22" applyBorder="1" applyAlignment="1">
      <alignment horizontal="center"/>
    </xf>
    <xf numFmtId="188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9" fontId="0" fillId="0" borderId="0" xfId="22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15" fontId="0" fillId="0" borderId="25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15" fontId="0" fillId="0" borderId="28" xfId="0" applyNumberFormat="1" applyBorder="1" applyAlignment="1">
      <alignment horizontal="center"/>
    </xf>
    <xf numFmtId="20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20" fontId="0" fillId="0" borderId="30" xfId="0" applyNumberFormat="1" applyBorder="1" applyAlignment="1">
      <alignment horizontal="center"/>
    </xf>
    <xf numFmtId="15" fontId="0" fillId="0" borderId="30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9" fontId="0" fillId="0" borderId="11" xfId="22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15" fontId="3" fillId="0" borderId="17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187" fontId="0" fillId="0" borderId="20" xfId="0" applyNumberForma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9" fontId="0" fillId="0" borderId="9" xfId="22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20" xfId="0" applyNumberFormat="1" applyBorder="1" applyAlignment="1">
      <alignment horizontal="center"/>
    </xf>
    <xf numFmtId="0" fontId="0" fillId="0" borderId="9" xfId="0" applyFill="1" applyBorder="1" applyAlignment="1">
      <alignment/>
    </xf>
    <xf numFmtId="15" fontId="0" fillId="0" borderId="25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/>
    </xf>
    <xf numFmtId="15" fontId="0" fillId="0" borderId="20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9" fontId="0" fillId="0" borderId="36" xfId="22" applyFon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6" xfId="0" applyBorder="1" applyAlignment="1">
      <alignment horizontal="center"/>
    </xf>
    <xf numFmtId="9" fontId="0" fillId="0" borderId="39" xfId="22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0" xfId="0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75" zoomScaleNormal="75" workbookViewId="0" topLeftCell="B7">
      <selection activeCell="F1" sqref="F1"/>
      <selection activeCell="L70" sqref="L70"/>
    </sheetView>
  </sheetViews>
  <sheetFormatPr defaultColWidth="11.421875" defaultRowHeight="12.75"/>
  <cols>
    <col min="7" max="7" width="13.8515625" style="0" customWidth="1"/>
    <col min="9" max="9" width="20.7109375" style="0" customWidth="1"/>
    <col min="10" max="10" width="29.57421875" style="0" customWidth="1"/>
    <col min="17" max="17" width="17.00390625" style="0" customWidth="1"/>
    <col min="18" max="18" width="44.8515625" style="0" customWidth="1"/>
  </cols>
  <sheetData>
    <row r="1" spans="1:19" ht="12.75">
      <c r="A1" s="31" t="s">
        <v>72</v>
      </c>
      <c r="S1" s="5"/>
    </row>
    <row r="2" ht="12.75">
      <c r="S2" s="5"/>
    </row>
    <row r="3" spans="1:19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5"/>
    </row>
    <row r="4" spans="1:19" ht="12.7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13" t="s">
        <v>111</v>
      </c>
      <c r="L4" s="5"/>
      <c r="M4" s="5"/>
      <c r="N4" s="5"/>
      <c r="O4" s="5"/>
      <c r="P4" s="5"/>
      <c r="Q4" s="5"/>
      <c r="R4" s="6"/>
      <c r="S4" s="5"/>
    </row>
    <row r="5" spans="1:19" ht="15.75">
      <c r="A5" s="7" t="s">
        <v>2</v>
      </c>
      <c r="B5" s="8"/>
      <c r="C5" s="8"/>
      <c r="D5" s="9" t="s">
        <v>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"/>
      <c r="S5" s="5"/>
    </row>
    <row r="6" ht="13.5" thickBot="1">
      <c r="S6" s="5"/>
    </row>
    <row r="7" spans="1:19" ht="12.75">
      <c r="A7" s="21"/>
      <c r="B7" s="21" t="s">
        <v>4</v>
      </c>
      <c r="C7" s="21" t="s">
        <v>15</v>
      </c>
      <c r="D7" s="21" t="s">
        <v>19</v>
      </c>
      <c r="E7" s="21" t="s">
        <v>15</v>
      </c>
      <c r="F7" s="21" t="s">
        <v>19</v>
      </c>
      <c r="G7" s="22" t="s">
        <v>24</v>
      </c>
      <c r="H7" s="22" t="s">
        <v>24</v>
      </c>
      <c r="I7" s="21" t="s">
        <v>5</v>
      </c>
      <c r="J7" s="21"/>
      <c r="K7" s="22" t="s">
        <v>7</v>
      </c>
      <c r="L7" s="22" t="s">
        <v>8</v>
      </c>
      <c r="M7" s="23" t="s">
        <v>8</v>
      </c>
      <c r="N7" s="23" t="s">
        <v>127</v>
      </c>
      <c r="O7" s="22" t="s">
        <v>8</v>
      </c>
      <c r="P7" s="24" t="s">
        <v>37</v>
      </c>
      <c r="Q7" s="22" t="s">
        <v>40</v>
      </c>
      <c r="R7" s="22"/>
      <c r="S7" s="5"/>
    </row>
    <row r="8" spans="1:19" ht="12.75">
      <c r="A8" s="25" t="s">
        <v>4</v>
      </c>
      <c r="B8" s="25" t="s">
        <v>13</v>
      </c>
      <c r="C8" s="25" t="s">
        <v>18</v>
      </c>
      <c r="D8" s="25" t="s">
        <v>20</v>
      </c>
      <c r="E8" s="25" t="s">
        <v>22</v>
      </c>
      <c r="F8" s="25" t="s">
        <v>23</v>
      </c>
      <c r="G8" s="25" t="s">
        <v>25</v>
      </c>
      <c r="H8" s="25"/>
      <c r="I8" s="25" t="s">
        <v>27</v>
      </c>
      <c r="J8" s="25" t="s">
        <v>6</v>
      </c>
      <c r="K8" s="25" t="s">
        <v>30</v>
      </c>
      <c r="L8" s="25" t="s">
        <v>9</v>
      </c>
      <c r="M8" s="26" t="s">
        <v>34</v>
      </c>
      <c r="N8" s="26"/>
      <c r="O8" s="25" t="s">
        <v>34</v>
      </c>
      <c r="P8" s="27" t="s">
        <v>38</v>
      </c>
      <c r="Q8" s="25" t="s">
        <v>41</v>
      </c>
      <c r="R8" s="28" t="s">
        <v>12</v>
      </c>
      <c r="S8" s="5"/>
    </row>
    <row r="9" spans="1:19" ht="12.75">
      <c r="A9" s="35"/>
      <c r="B9" s="35" t="s">
        <v>14</v>
      </c>
      <c r="C9" s="35" t="s">
        <v>16</v>
      </c>
      <c r="D9" s="35" t="s">
        <v>21</v>
      </c>
      <c r="E9" s="35" t="s">
        <v>16</v>
      </c>
      <c r="F9" s="35" t="s">
        <v>21</v>
      </c>
      <c r="G9" s="35" t="s">
        <v>26</v>
      </c>
      <c r="H9" s="35"/>
      <c r="I9" s="36" t="s">
        <v>28</v>
      </c>
      <c r="J9" s="35" t="s">
        <v>29</v>
      </c>
      <c r="K9" s="36" t="s">
        <v>31</v>
      </c>
      <c r="L9" s="35" t="s">
        <v>32</v>
      </c>
      <c r="M9" s="33" t="s">
        <v>35</v>
      </c>
      <c r="N9" s="33"/>
      <c r="O9" s="35" t="s">
        <v>10</v>
      </c>
      <c r="P9" s="34" t="s">
        <v>39</v>
      </c>
      <c r="Q9" s="35" t="s">
        <v>11</v>
      </c>
      <c r="R9" s="36" t="s">
        <v>43</v>
      </c>
      <c r="S9" s="5"/>
    </row>
    <row r="10" spans="1:19" ht="13.5" thickBot="1">
      <c r="A10" s="25"/>
      <c r="B10" s="64" t="s">
        <v>17</v>
      </c>
      <c r="C10" s="65"/>
      <c r="D10" s="25"/>
      <c r="E10" s="25"/>
      <c r="F10" s="25"/>
      <c r="G10" s="25"/>
      <c r="H10" s="25"/>
      <c r="I10" s="25"/>
      <c r="J10" s="25"/>
      <c r="K10" s="25"/>
      <c r="L10" s="68" t="s">
        <v>33</v>
      </c>
      <c r="M10" s="69"/>
      <c r="N10" s="69"/>
      <c r="O10" s="68" t="s">
        <v>36</v>
      </c>
      <c r="P10" s="25"/>
      <c r="Q10" s="64" t="s">
        <v>42</v>
      </c>
      <c r="R10" s="25"/>
      <c r="S10" s="5"/>
    </row>
    <row r="11" spans="1:19" ht="12.75">
      <c r="A11" s="46">
        <v>1</v>
      </c>
      <c r="B11" s="47"/>
      <c r="C11" s="48">
        <v>38356</v>
      </c>
      <c r="D11" s="49">
        <v>0.13680555555555554</v>
      </c>
      <c r="E11" s="48">
        <v>38356</v>
      </c>
      <c r="F11" s="49">
        <v>0.1486111111111111</v>
      </c>
      <c r="G11" s="49">
        <v>0.011805555555555555</v>
      </c>
      <c r="H11" s="73">
        <f>17/60</f>
        <v>0.2833333333333333</v>
      </c>
      <c r="I11" s="47" t="s">
        <v>73</v>
      </c>
      <c r="J11" s="47" t="s">
        <v>65</v>
      </c>
      <c r="K11" s="50">
        <v>69</v>
      </c>
      <c r="L11" s="78">
        <f>18000/0.96</f>
        <v>18750</v>
      </c>
      <c r="M11" s="78">
        <f>18000/0.96</f>
        <v>18750</v>
      </c>
      <c r="N11" s="78">
        <f>+M11*H11</f>
        <v>5312.5</v>
      </c>
      <c r="O11" s="37">
        <f>M11/L11</f>
        <v>1</v>
      </c>
      <c r="P11" s="50">
        <v>14109</v>
      </c>
      <c r="Q11" s="50" t="s">
        <v>50</v>
      </c>
      <c r="R11" s="51" t="s">
        <v>124</v>
      </c>
      <c r="S11" s="5"/>
    </row>
    <row r="12" spans="1:19" ht="12.75">
      <c r="A12" s="14">
        <v>2</v>
      </c>
      <c r="B12" s="11"/>
      <c r="C12" s="19">
        <v>38357</v>
      </c>
      <c r="D12" s="20">
        <v>0.8506944444444445</v>
      </c>
      <c r="E12" s="19">
        <v>38357</v>
      </c>
      <c r="F12" s="20">
        <v>0.8944444444444444</v>
      </c>
      <c r="G12" s="20">
        <v>0.04375</v>
      </c>
      <c r="H12" s="74">
        <f>1+0.05</f>
        <v>1.05</v>
      </c>
      <c r="I12" s="11" t="s">
        <v>74</v>
      </c>
      <c r="J12" s="11" t="s">
        <v>74</v>
      </c>
      <c r="K12" s="12">
        <v>13.8</v>
      </c>
      <c r="L12" s="78">
        <f>2000/0.96</f>
        <v>2083.3333333333335</v>
      </c>
      <c r="M12" s="78">
        <f>1400/0.96</f>
        <v>1458.3333333333335</v>
      </c>
      <c r="N12" s="78">
        <f aca="true" t="shared" si="0" ref="N12:N56">+M12*H12</f>
        <v>1531.2500000000002</v>
      </c>
      <c r="O12" s="37">
        <f aca="true" t="shared" si="1" ref="O12:O56">M12/L12</f>
        <v>0.7000000000000001</v>
      </c>
      <c r="P12" s="12">
        <v>2000</v>
      </c>
      <c r="Q12" s="32" t="s">
        <v>50</v>
      </c>
      <c r="R12" s="15" t="s">
        <v>115</v>
      </c>
      <c r="S12" s="5"/>
    </row>
    <row r="13" spans="1:19" ht="12.75">
      <c r="A13" s="14">
        <v>3</v>
      </c>
      <c r="B13" s="11"/>
      <c r="C13" s="19">
        <v>38357</v>
      </c>
      <c r="D13" s="20">
        <v>0.9777777777777777</v>
      </c>
      <c r="E13" s="19">
        <v>38357</v>
      </c>
      <c r="F13" s="20">
        <v>0.9840277777777778</v>
      </c>
      <c r="G13" s="20">
        <v>0.00625</v>
      </c>
      <c r="H13" s="74">
        <v>0.15</v>
      </c>
      <c r="I13" s="11" t="s">
        <v>73</v>
      </c>
      <c r="J13" s="11" t="s">
        <v>65</v>
      </c>
      <c r="K13" s="12">
        <v>69</v>
      </c>
      <c r="L13" s="78">
        <f>15800/0.96</f>
        <v>16458.333333333336</v>
      </c>
      <c r="M13" s="78">
        <f>15800/0.96</f>
        <v>16458.333333333336</v>
      </c>
      <c r="N13" s="78">
        <f t="shared" si="0"/>
        <v>2468.7500000000005</v>
      </c>
      <c r="O13" s="37">
        <f t="shared" si="1"/>
        <v>1</v>
      </c>
      <c r="P13" s="12">
        <v>14109</v>
      </c>
      <c r="Q13" s="32" t="s">
        <v>50</v>
      </c>
      <c r="R13" s="15" t="s">
        <v>115</v>
      </c>
      <c r="S13" s="5"/>
    </row>
    <row r="14" spans="1:19" ht="12.75">
      <c r="A14" s="14">
        <v>4</v>
      </c>
      <c r="B14" s="11"/>
      <c r="C14" s="19">
        <v>38358</v>
      </c>
      <c r="D14" s="20">
        <v>0.3506944444444444</v>
      </c>
      <c r="E14" s="19">
        <v>38358</v>
      </c>
      <c r="F14" s="20">
        <v>0.3548611111111111</v>
      </c>
      <c r="G14" s="20">
        <v>0.004166666666666667</v>
      </c>
      <c r="H14" s="74">
        <v>0.1</v>
      </c>
      <c r="I14" s="11" t="s">
        <v>73</v>
      </c>
      <c r="J14" s="11" t="s">
        <v>65</v>
      </c>
      <c r="K14" s="12">
        <v>69</v>
      </c>
      <c r="L14" s="78">
        <f>12000/0.96</f>
        <v>12500</v>
      </c>
      <c r="M14" s="78">
        <f>12000/0.96</f>
        <v>12500</v>
      </c>
      <c r="N14" s="78">
        <f t="shared" si="0"/>
        <v>1250</v>
      </c>
      <c r="O14" s="37">
        <f t="shared" si="1"/>
        <v>1</v>
      </c>
      <c r="P14" s="12">
        <v>14109</v>
      </c>
      <c r="Q14" s="32" t="s">
        <v>50</v>
      </c>
      <c r="R14" s="15" t="s">
        <v>69</v>
      </c>
      <c r="S14" s="5"/>
    </row>
    <row r="15" spans="1:19" ht="12.75">
      <c r="A15" s="14">
        <v>5</v>
      </c>
      <c r="B15" s="11"/>
      <c r="C15" s="19">
        <v>38358</v>
      </c>
      <c r="D15" s="20">
        <v>0.8020833333333334</v>
      </c>
      <c r="E15" s="19">
        <v>38358</v>
      </c>
      <c r="F15" s="20">
        <v>0.8923611111111112</v>
      </c>
      <c r="G15" s="20">
        <v>0.09027777777777778</v>
      </c>
      <c r="H15" s="74">
        <f>2+0.166666666666667</f>
        <v>2.1666666666666665</v>
      </c>
      <c r="I15" s="11" t="s">
        <v>70</v>
      </c>
      <c r="J15" s="11" t="s">
        <v>75</v>
      </c>
      <c r="K15" s="12">
        <v>13.8</v>
      </c>
      <c r="L15" s="78">
        <f>2900/0.96</f>
        <v>3020.8333333333335</v>
      </c>
      <c r="M15" s="78">
        <f>2900/0.96</f>
        <v>3020.8333333333335</v>
      </c>
      <c r="N15" s="78">
        <f t="shared" si="0"/>
        <v>6545.138888888889</v>
      </c>
      <c r="O15" s="37">
        <f t="shared" si="1"/>
        <v>1</v>
      </c>
      <c r="P15" s="12">
        <v>4256</v>
      </c>
      <c r="Q15" s="32" t="s">
        <v>50</v>
      </c>
      <c r="R15" s="15" t="s">
        <v>76</v>
      </c>
      <c r="S15" s="5"/>
    </row>
    <row r="16" spans="1:19" ht="12.75">
      <c r="A16" s="14">
        <v>6</v>
      </c>
      <c r="B16" s="11"/>
      <c r="C16" s="19">
        <v>38359</v>
      </c>
      <c r="D16" s="20">
        <v>0.4618055555555556</v>
      </c>
      <c r="E16" s="19">
        <v>38359</v>
      </c>
      <c r="F16" s="20">
        <v>0.4791666666666667</v>
      </c>
      <c r="G16" s="20">
        <v>0.017361111111111112</v>
      </c>
      <c r="H16" s="74">
        <v>0.4166666666666667</v>
      </c>
      <c r="I16" s="11" t="s">
        <v>59</v>
      </c>
      <c r="J16" s="11" t="s">
        <v>77</v>
      </c>
      <c r="K16" s="12">
        <v>13.8</v>
      </c>
      <c r="L16" s="78">
        <f>1200/0.96</f>
        <v>1250</v>
      </c>
      <c r="M16" s="78">
        <f>600/0.96</f>
        <v>625</v>
      </c>
      <c r="N16" s="78">
        <f t="shared" si="0"/>
        <v>260.4166666666667</v>
      </c>
      <c r="O16" s="37">
        <f t="shared" si="1"/>
        <v>0.5</v>
      </c>
      <c r="P16" s="12">
        <v>600</v>
      </c>
      <c r="Q16" s="32" t="s">
        <v>50</v>
      </c>
      <c r="R16" s="15" t="s">
        <v>78</v>
      </c>
      <c r="S16" s="5"/>
    </row>
    <row r="17" spans="1:19" ht="12.75">
      <c r="A17" s="14">
        <v>7</v>
      </c>
      <c r="B17" s="11"/>
      <c r="C17" s="19">
        <v>38359</v>
      </c>
      <c r="D17" s="20">
        <v>0.576388888888889</v>
      </c>
      <c r="E17" s="19">
        <v>38359</v>
      </c>
      <c r="F17" s="20">
        <v>0.5833333333333334</v>
      </c>
      <c r="G17" s="20">
        <v>0.006944444444444444</v>
      </c>
      <c r="H17" s="74">
        <v>0.16666666666666666</v>
      </c>
      <c r="I17" s="11" t="s">
        <v>53</v>
      </c>
      <c r="J17" s="11" t="s">
        <v>79</v>
      </c>
      <c r="K17" s="12">
        <v>13.8</v>
      </c>
      <c r="L17" s="78">
        <f>773/0.96</f>
        <v>805.2083333333334</v>
      </c>
      <c r="M17" s="78">
        <f>450/0.96</f>
        <v>468.75</v>
      </c>
      <c r="N17" s="78">
        <f t="shared" si="0"/>
        <v>78.125</v>
      </c>
      <c r="O17" s="37">
        <f t="shared" si="1"/>
        <v>0.5821474773609314</v>
      </c>
      <c r="P17" s="12">
        <v>53</v>
      </c>
      <c r="Q17" s="32" t="s">
        <v>50</v>
      </c>
      <c r="R17" s="15" t="s">
        <v>80</v>
      </c>
      <c r="S17" s="5"/>
    </row>
    <row r="18" spans="1:19" ht="12.75">
      <c r="A18" s="14">
        <v>8</v>
      </c>
      <c r="B18" s="11"/>
      <c r="C18" s="19">
        <v>38361</v>
      </c>
      <c r="D18" s="20">
        <v>0.5694444444444444</v>
      </c>
      <c r="E18" s="19">
        <v>38361</v>
      </c>
      <c r="F18" s="20">
        <v>0.6527777777777778</v>
      </c>
      <c r="G18" s="20">
        <v>0.08333333333333333</v>
      </c>
      <c r="H18" s="74">
        <v>2</v>
      </c>
      <c r="I18" s="11" t="s">
        <v>70</v>
      </c>
      <c r="J18" s="11" t="s">
        <v>54</v>
      </c>
      <c r="K18" s="12">
        <v>13.8</v>
      </c>
      <c r="L18" s="78">
        <f>572/0.96</f>
        <v>595.8333333333334</v>
      </c>
      <c r="M18" s="78">
        <f>300/0.96</f>
        <v>312.5</v>
      </c>
      <c r="N18" s="78">
        <f t="shared" si="0"/>
        <v>625</v>
      </c>
      <c r="O18" s="37">
        <f t="shared" si="1"/>
        <v>0.5244755244755245</v>
      </c>
      <c r="P18" s="12">
        <v>1020</v>
      </c>
      <c r="Q18" s="32" t="s">
        <v>50</v>
      </c>
      <c r="R18" s="15" t="s">
        <v>109</v>
      </c>
      <c r="S18" s="5"/>
    </row>
    <row r="19" spans="1:19" ht="12.75">
      <c r="A19" s="14">
        <v>9</v>
      </c>
      <c r="B19" s="11"/>
      <c r="C19" s="19">
        <v>38361</v>
      </c>
      <c r="D19" s="20">
        <v>0.8652777777777777</v>
      </c>
      <c r="E19" s="19">
        <v>38361</v>
      </c>
      <c r="F19" s="20">
        <v>0.8715277777777778</v>
      </c>
      <c r="G19" s="20">
        <v>0.00625</v>
      </c>
      <c r="H19" s="74">
        <v>0.15</v>
      </c>
      <c r="I19" s="11" t="s">
        <v>73</v>
      </c>
      <c r="J19" s="11" t="s">
        <v>65</v>
      </c>
      <c r="K19" s="12">
        <v>69</v>
      </c>
      <c r="L19" s="78">
        <f>23000/0.96</f>
        <v>23958.333333333336</v>
      </c>
      <c r="M19" s="78">
        <f>23000/0.96</f>
        <v>23958.333333333336</v>
      </c>
      <c r="N19" s="78">
        <f t="shared" si="0"/>
        <v>3593.7500000000005</v>
      </c>
      <c r="O19" s="37">
        <f t="shared" si="1"/>
        <v>1</v>
      </c>
      <c r="P19" s="12">
        <v>14109</v>
      </c>
      <c r="Q19" s="32" t="s">
        <v>50</v>
      </c>
      <c r="R19" s="15" t="s">
        <v>123</v>
      </c>
      <c r="S19" s="5"/>
    </row>
    <row r="20" spans="1:19" ht="12.75">
      <c r="A20" s="14">
        <v>10</v>
      </c>
      <c r="B20" s="11"/>
      <c r="C20" s="19">
        <v>38362</v>
      </c>
      <c r="D20" s="20">
        <v>0.041666666666666664</v>
      </c>
      <c r="E20" s="19">
        <v>38362</v>
      </c>
      <c r="F20" s="20">
        <v>0.44305555555555554</v>
      </c>
      <c r="G20" s="20">
        <v>0.40138888888888885</v>
      </c>
      <c r="H20" s="74">
        <f>9+0.633333333333333</f>
        <v>9.633333333333333</v>
      </c>
      <c r="I20" s="11" t="s">
        <v>81</v>
      </c>
      <c r="J20" s="11" t="s">
        <v>64</v>
      </c>
      <c r="K20" s="12">
        <v>13.8</v>
      </c>
      <c r="L20" s="78">
        <f>1008/0.96</f>
        <v>1050</v>
      </c>
      <c r="M20" s="78">
        <f>800/0.96</f>
        <v>833.3333333333334</v>
      </c>
      <c r="N20" s="78">
        <f t="shared" si="0"/>
        <v>8027.777777777777</v>
      </c>
      <c r="O20" s="37">
        <f t="shared" si="1"/>
        <v>0.7936507936507937</v>
      </c>
      <c r="P20" s="12">
        <v>2001</v>
      </c>
      <c r="Q20" s="12" t="s">
        <v>50</v>
      </c>
      <c r="R20" s="15" t="s">
        <v>82</v>
      </c>
      <c r="S20" s="5"/>
    </row>
    <row r="21" spans="1:19" ht="12.75">
      <c r="A21" s="14">
        <v>11</v>
      </c>
      <c r="B21" s="11"/>
      <c r="C21" s="19">
        <v>38362</v>
      </c>
      <c r="D21" s="20">
        <v>0.49444444444444446</v>
      </c>
      <c r="E21" s="19">
        <v>38362</v>
      </c>
      <c r="F21" s="20">
        <v>0.5784722222222222</v>
      </c>
      <c r="G21" s="20">
        <v>0.08402777777777777</v>
      </c>
      <c r="H21" s="74">
        <f>2+0.0166666666666667</f>
        <v>2.0166666666666666</v>
      </c>
      <c r="I21" s="11" t="s">
        <v>70</v>
      </c>
      <c r="J21" s="11" t="s">
        <v>54</v>
      </c>
      <c r="K21" s="12">
        <v>13.8</v>
      </c>
      <c r="L21" s="78">
        <f>1000/0.96</f>
        <v>1041.6666666666667</v>
      </c>
      <c r="M21" s="78">
        <f>550/0.96</f>
        <v>572.9166666666667</v>
      </c>
      <c r="N21" s="78">
        <f t="shared" si="0"/>
        <v>1155.3819444444446</v>
      </c>
      <c r="O21" s="37">
        <f t="shared" si="1"/>
        <v>0.55</v>
      </c>
      <c r="P21" s="12">
        <v>1020</v>
      </c>
      <c r="Q21" s="12" t="s">
        <v>50</v>
      </c>
      <c r="R21" s="15" t="s">
        <v>83</v>
      </c>
      <c r="S21" s="5"/>
    </row>
    <row r="22" spans="1:19" ht="12.75">
      <c r="A22" s="14">
        <v>12</v>
      </c>
      <c r="B22" s="11"/>
      <c r="C22" s="19">
        <v>38363</v>
      </c>
      <c r="D22" s="20">
        <v>0.14583333333333334</v>
      </c>
      <c r="E22" s="19">
        <v>38363</v>
      </c>
      <c r="F22" s="20">
        <v>0.4125</v>
      </c>
      <c r="G22" s="20">
        <v>0.26666666666666666</v>
      </c>
      <c r="H22" s="74">
        <f>6+0.4</f>
        <v>6.4</v>
      </c>
      <c r="I22" s="11" t="s">
        <v>70</v>
      </c>
      <c r="J22" s="11" t="s">
        <v>54</v>
      </c>
      <c r="K22" s="12">
        <v>13.8</v>
      </c>
      <c r="L22" s="78">
        <f>572/0.96</f>
        <v>595.8333333333334</v>
      </c>
      <c r="M22" s="78">
        <f>400/0.96</f>
        <v>416.6666666666667</v>
      </c>
      <c r="N22" s="78">
        <f t="shared" si="0"/>
        <v>2666.666666666667</v>
      </c>
      <c r="O22" s="37">
        <f t="shared" si="1"/>
        <v>0.6993006993006993</v>
      </c>
      <c r="P22" s="12">
        <v>1020</v>
      </c>
      <c r="Q22" s="12" t="s">
        <v>50</v>
      </c>
      <c r="R22" s="15" t="s">
        <v>60</v>
      </c>
      <c r="S22" s="5"/>
    </row>
    <row r="23" spans="1:19" ht="12.75">
      <c r="A23" s="14">
        <v>13</v>
      </c>
      <c r="B23" s="11"/>
      <c r="C23" s="19">
        <v>38363</v>
      </c>
      <c r="D23" s="20">
        <v>0.2916666666666667</v>
      </c>
      <c r="E23" s="19">
        <v>38363</v>
      </c>
      <c r="F23" s="20">
        <v>0.41875</v>
      </c>
      <c r="G23" s="20">
        <v>0.12708333333333333</v>
      </c>
      <c r="H23" s="74">
        <f>3+0.05</f>
        <v>3.05</v>
      </c>
      <c r="I23" s="11" t="s">
        <v>67</v>
      </c>
      <c r="J23" s="11" t="s">
        <v>84</v>
      </c>
      <c r="K23" s="12">
        <v>13.8</v>
      </c>
      <c r="L23" s="78">
        <f>1789/0.96</f>
        <v>1863.5416666666667</v>
      </c>
      <c r="M23" s="78">
        <f>1100/0.96</f>
        <v>1145.8333333333335</v>
      </c>
      <c r="N23" s="78">
        <f t="shared" si="0"/>
        <v>3494.791666666667</v>
      </c>
      <c r="O23" s="37">
        <f t="shared" si="1"/>
        <v>0.6148686416992734</v>
      </c>
      <c r="P23" s="12">
        <v>2822</v>
      </c>
      <c r="Q23" s="12" t="s">
        <v>50</v>
      </c>
      <c r="R23" s="15" t="s">
        <v>68</v>
      </c>
      <c r="S23" s="5"/>
    </row>
    <row r="24" spans="1:19" ht="12.75">
      <c r="A24" s="14">
        <v>14</v>
      </c>
      <c r="B24" s="11"/>
      <c r="C24" s="19">
        <v>38363</v>
      </c>
      <c r="D24" s="20">
        <v>0.5048611111111111</v>
      </c>
      <c r="E24" s="19">
        <v>38363</v>
      </c>
      <c r="F24" s="20">
        <v>0.513888888888889</v>
      </c>
      <c r="G24" s="20">
        <v>0.009027777777777779</v>
      </c>
      <c r="H24" s="74">
        <v>0.21666666666666667</v>
      </c>
      <c r="I24" s="11" t="s">
        <v>61</v>
      </c>
      <c r="J24" s="11" t="s">
        <v>85</v>
      </c>
      <c r="K24" s="12">
        <v>13.8</v>
      </c>
      <c r="L24" s="78">
        <f>2094/0.96</f>
        <v>2181.25</v>
      </c>
      <c r="M24" s="78">
        <f>1200/0.96</f>
        <v>1250</v>
      </c>
      <c r="N24" s="78">
        <f t="shared" si="0"/>
        <v>270.8333333333333</v>
      </c>
      <c r="O24" s="37">
        <f t="shared" si="1"/>
        <v>0.5730659025787965</v>
      </c>
      <c r="P24" s="12">
        <v>3495</v>
      </c>
      <c r="Q24" s="12" t="s">
        <v>50</v>
      </c>
      <c r="R24" s="63" t="s">
        <v>86</v>
      </c>
      <c r="S24" s="5"/>
    </row>
    <row r="25" spans="1:19" ht="12.75">
      <c r="A25" s="52">
        <v>15</v>
      </c>
      <c r="B25" s="53"/>
      <c r="C25" s="54">
        <v>38365</v>
      </c>
      <c r="D25" s="58">
        <v>0.4583333333333333</v>
      </c>
      <c r="E25" s="59">
        <v>38365</v>
      </c>
      <c r="F25" s="58">
        <v>0.4756944444444444</v>
      </c>
      <c r="G25" s="58">
        <v>0.017361111111111112</v>
      </c>
      <c r="H25" s="75">
        <v>0.4166666666666667</v>
      </c>
      <c r="I25" s="60" t="s">
        <v>67</v>
      </c>
      <c r="J25" s="60" t="s">
        <v>84</v>
      </c>
      <c r="K25" s="61">
        <v>13.8</v>
      </c>
      <c r="L25" s="78">
        <f>1789/0.96</f>
        <v>1863.5416666666667</v>
      </c>
      <c r="M25" s="78">
        <f>1100/0.96</f>
        <v>1145.8333333333335</v>
      </c>
      <c r="N25" s="78">
        <f t="shared" si="0"/>
        <v>477.43055555555566</v>
      </c>
      <c r="O25" s="37">
        <f t="shared" si="1"/>
        <v>0.6148686416992734</v>
      </c>
      <c r="P25" s="61">
        <v>2822</v>
      </c>
      <c r="Q25" s="61" t="s">
        <v>50</v>
      </c>
      <c r="R25" s="62" t="s">
        <v>83</v>
      </c>
      <c r="S25" s="5"/>
    </row>
    <row r="26" spans="1:19" ht="12.75">
      <c r="A26" s="52">
        <v>16</v>
      </c>
      <c r="B26" s="53"/>
      <c r="C26" s="54">
        <v>38365</v>
      </c>
      <c r="D26" s="55">
        <v>0.8819444444444445</v>
      </c>
      <c r="E26" s="54">
        <v>38365</v>
      </c>
      <c r="F26" s="55">
        <v>0.9138888888888889</v>
      </c>
      <c r="G26" s="55">
        <v>0.03194444444444445</v>
      </c>
      <c r="H26" s="76">
        <v>0.7666666666666667</v>
      </c>
      <c r="I26" s="53" t="s">
        <v>74</v>
      </c>
      <c r="J26" s="53" t="s">
        <v>87</v>
      </c>
      <c r="K26" s="56">
        <v>13.8</v>
      </c>
      <c r="L26" s="78">
        <f>2000/0.96</f>
        <v>2083.3333333333335</v>
      </c>
      <c r="M26" s="78">
        <f>2000/0.96</f>
        <v>2083.3333333333335</v>
      </c>
      <c r="N26" s="78">
        <f t="shared" si="0"/>
        <v>1597.2222222222224</v>
      </c>
      <c r="O26" s="37">
        <f t="shared" si="1"/>
        <v>1</v>
      </c>
      <c r="P26" s="56">
        <v>2000</v>
      </c>
      <c r="Q26" s="56" t="s">
        <v>50</v>
      </c>
      <c r="R26" s="57" t="s">
        <v>116</v>
      </c>
      <c r="S26" s="5"/>
    </row>
    <row r="27" spans="1:19" ht="12.75">
      <c r="A27" s="52">
        <v>17</v>
      </c>
      <c r="B27" s="53"/>
      <c r="C27" s="54">
        <v>38366</v>
      </c>
      <c r="D27" s="55">
        <v>0.3333333333333333</v>
      </c>
      <c r="E27" s="54">
        <v>38366</v>
      </c>
      <c r="F27" s="55">
        <v>0.35555555555555557</v>
      </c>
      <c r="G27" s="55">
        <v>0.022222222222222223</v>
      </c>
      <c r="H27" s="76">
        <v>0.5333333333333333</v>
      </c>
      <c r="I27" s="53" t="s">
        <v>61</v>
      </c>
      <c r="J27" s="11" t="s">
        <v>62</v>
      </c>
      <c r="K27" s="56">
        <v>69</v>
      </c>
      <c r="L27" s="78">
        <f>2500/0.96</f>
        <v>2604.166666666667</v>
      </c>
      <c r="M27" s="78">
        <f>2500/0.96</f>
        <v>2604.166666666667</v>
      </c>
      <c r="N27" s="78">
        <f t="shared" si="0"/>
        <v>1388.8888888888891</v>
      </c>
      <c r="O27" s="37">
        <f t="shared" si="1"/>
        <v>1</v>
      </c>
      <c r="P27" s="56">
        <v>6388</v>
      </c>
      <c r="Q27" s="56" t="s">
        <v>50</v>
      </c>
      <c r="R27" s="57" t="s">
        <v>93</v>
      </c>
      <c r="S27" s="5"/>
    </row>
    <row r="28" spans="1:19" ht="12.75">
      <c r="A28" s="52">
        <v>18</v>
      </c>
      <c r="B28" s="53"/>
      <c r="C28" s="54">
        <v>38367</v>
      </c>
      <c r="D28" s="55">
        <v>0.35694444444444445</v>
      </c>
      <c r="E28" s="54">
        <v>38367</v>
      </c>
      <c r="F28" s="55">
        <v>0.4236111111111111</v>
      </c>
      <c r="G28" s="55">
        <v>0.09444444444444444</v>
      </c>
      <c r="H28" s="76">
        <f>2+0.266666666666667</f>
        <v>2.2666666666666666</v>
      </c>
      <c r="I28" s="53" t="s">
        <v>53</v>
      </c>
      <c r="J28" s="53" t="s">
        <v>54</v>
      </c>
      <c r="K28" s="56">
        <v>13.8</v>
      </c>
      <c r="L28" s="78">
        <f>1283/0.96</f>
        <v>1336.4583333333335</v>
      </c>
      <c r="M28" s="78">
        <f>680/0.96</f>
        <v>708.3333333333334</v>
      </c>
      <c r="N28" s="78">
        <f t="shared" si="0"/>
        <v>1605.5555555555557</v>
      </c>
      <c r="O28" s="37">
        <f t="shared" si="1"/>
        <v>0.5300077942322681</v>
      </c>
      <c r="P28" s="56">
        <v>2079</v>
      </c>
      <c r="Q28" s="56" t="s">
        <v>50</v>
      </c>
      <c r="R28" s="57" t="s">
        <v>68</v>
      </c>
      <c r="S28" s="5"/>
    </row>
    <row r="29" spans="1:19" ht="12.75">
      <c r="A29" s="52">
        <v>19</v>
      </c>
      <c r="B29" s="53"/>
      <c r="C29" s="54">
        <v>38367</v>
      </c>
      <c r="D29" s="55">
        <v>0.4305555555555556</v>
      </c>
      <c r="E29" s="54">
        <v>38367</v>
      </c>
      <c r="F29" s="55">
        <v>0.4888888888888889</v>
      </c>
      <c r="G29" s="55">
        <v>0.05833333333333333</v>
      </c>
      <c r="H29" s="76">
        <f>1+0.4</f>
        <v>1.4</v>
      </c>
      <c r="I29" s="53" t="s">
        <v>81</v>
      </c>
      <c r="J29" s="53" t="s">
        <v>88</v>
      </c>
      <c r="K29" s="56">
        <v>13.8</v>
      </c>
      <c r="L29" s="78">
        <f>626/0.96</f>
        <v>652.0833333333334</v>
      </c>
      <c r="M29" s="78">
        <f>450/0.96</f>
        <v>468.75</v>
      </c>
      <c r="N29" s="78">
        <f t="shared" si="0"/>
        <v>656.25</v>
      </c>
      <c r="O29" s="37">
        <f t="shared" si="1"/>
        <v>0.7188498402555911</v>
      </c>
      <c r="P29" s="56">
        <v>350</v>
      </c>
      <c r="Q29" s="56" t="s">
        <v>50</v>
      </c>
      <c r="R29" s="57" t="s">
        <v>89</v>
      </c>
      <c r="S29" s="5"/>
    </row>
    <row r="30" spans="1:19" ht="12.75">
      <c r="A30" s="52">
        <v>20</v>
      </c>
      <c r="B30" s="53"/>
      <c r="C30" s="54">
        <v>38369</v>
      </c>
      <c r="D30" s="55">
        <v>0.40902777777777777</v>
      </c>
      <c r="E30" s="54">
        <v>38369</v>
      </c>
      <c r="F30" s="55">
        <v>0.4708333333333334</v>
      </c>
      <c r="G30" s="55">
        <v>0.06180555555555556</v>
      </c>
      <c r="H30" s="76">
        <f>1+0.483333333333333</f>
        <v>1.4833333333333334</v>
      </c>
      <c r="I30" s="53" t="s">
        <v>81</v>
      </c>
      <c r="J30" s="53" t="s">
        <v>63</v>
      </c>
      <c r="K30" s="56">
        <v>69</v>
      </c>
      <c r="L30" s="78">
        <f>13500/0.96</f>
        <v>14062.5</v>
      </c>
      <c r="M30" s="78">
        <f>13500/0.96</f>
        <v>14062.5</v>
      </c>
      <c r="N30" s="78">
        <f t="shared" si="0"/>
        <v>20859.375</v>
      </c>
      <c r="O30" s="37">
        <f t="shared" si="1"/>
        <v>1</v>
      </c>
      <c r="P30" s="56">
        <v>32057</v>
      </c>
      <c r="Q30" s="56" t="s">
        <v>50</v>
      </c>
      <c r="R30" s="57" t="s">
        <v>125</v>
      </c>
      <c r="S30" s="5"/>
    </row>
    <row r="31" spans="1:19" ht="12.75">
      <c r="A31" s="52">
        <v>21</v>
      </c>
      <c r="B31" s="53"/>
      <c r="C31" s="54">
        <v>38369</v>
      </c>
      <c r="D31" s="55">
        <v>0.7916666666666666</v>
      </c>
      <c r="E31" s="54">
        <v>38369</v>
      </c>
      <c r="F31" s="55">
        <v>0.825</v>
      </c>
      <c r="G31" s="55">
        <v>0.03333333333333333</v>
      </c>
      <c r="H31" s="76">
        <v>0.8</v>
      </c>
      <c r="I31" s="53" t="s">
        <v>90</v>
      </c>
      <c r="J31" s="53" t="s">
        <v>91</v>
      </c>
      <c r="K31" s="56">
        <v>13.8</v>
      </c>
      <c r="L31" s="78">
        <f>800/0.96</f>
        <v>833.3333333333334</v>
      </c>
      <c r="M31" s="78">
        <f>800/0.96</f>
        <v>833.3333333333334</v>
      </c>
      <c r="N31" s="78">
        <f t="shared" si="0"/>
        <v>666.6666666666667</v>
      </c>
      <c r="O31" s="37">
        <f t="shared" si="1"/>
        <v>1</v>
      </c>
      <c r="P31" s="56">
        <v>2619</v>
      </c>
      <c r="Q31" s="56" t="s">
        <v>50</v>
      </c>
      <c r="R31" s="57" t="s">
        <v>117</v>
      </c>
      <c r="S31" s="5"/>
    </row>
    <row r="32" spans="1:19" ht="12.75">
      <c r="A32" s="52">
        <v>22</v>
      </c>
      <c r="B32" s="53"/>
      <c r="C32" s="54">
        <v>38370</v>
      </c>
      <c r="D32" s="55">
        <v>0.517361111111111</v>
      </c>
      <c r="E32" s="54">
        <v>38370</v>
      </c>
      <c r="F32" s="55">
        <v>0.642361111111111</v>
      </c>
      <c r="G32" s="55">
        <v>0.125</v>
      </c>
      <c r="H32" s="76">
        <v>3</v>
      </c>
      <c r="I32" s="53" t="s">
        <v>52</v>
      </c>
      <c r="J32" s="53" t="s">
        <v>92</v>
      </c>
      <c r="K32" s="56">
        <v>69</v>
      </c>
      <c r="L32" s="78">
        <f>5000/0.96</f>
        <v>5208.333333333334</v>
      </c>
      <c r="M32" s="78">
        <f>5000/0.96</f>
        <v>5208.333333333334</v>
      </c>
      <c r="N32" s="78">
        <f t="shared" si="0"/>
        <v>15625.000000000002</v>
      </c>
      <c r="O32" s="37">
        <f t="shared" si="1"/>
        <v>1</v>
      </c>
      <c r="P32" s="56">
        <v>6134</v>
      </c>
      <c r="Q32" s="56" t="s">
        <v>50</v>
      </c>
      <c r="R32" s="57" t="s">
        <v>93</v>
      </c>
      <c r="S32" s="5"/>
    </row>
    <row r="33" spans="1:19" ht="12.75">
      <c r="A33" s="52">
        <v>23</v>
      </c>
      <c r="B33" s="53"/>
      <c r="C33" s="54">
        <v>38371</v>
      </c>
      <c r="D33" s="55">
        <v>0.8125</v>
      </c>
      <c r="E33" s="54">
        <v>38372</v>
      </c>
      <c r="F33" s="55">
        <v>0.025694444444444447</v>
      </c>
      <c r="G33" s="55">
        <v>0.2548611111111111</v>
      </c>
      <c r="H33" s="76">
        <f>6+0.116666666666667</f>
        <v>6.116666666666666</v>
      </c>
      <c r="I33" s="53" t="s">
        <v>61</v>
      </c>
      <c r="J33" s="53" t="s">
        <v>62</v>
      </c>
      <c r="K33" s="56">
        <v>69</v>
      </c>
      <c r="L33" s="78">
        <f>7000/0.96</f>
        <v>7291.666666666667</v>
      </c>
      <c r="M33" s="78">
        <f>7000/0.96</f>
        <v>7291.666666666667</v>
      </c>
      <c r="N33" s="78">
        <f t="shared" si="0"/>
        <v>44600.694444444445</v>
      </c>
      <c r="O33" s="37">
        <f t="shared" si="1"/>
        <v>1</v>
      </c>
      <c r="P33" s="56">
        <v>6388</v>
      </c>
      <c r="Q33" s="56" t="s">
        <v>50</v>
      </c>
      <c r="R33" s="57" t="s">
        <v>118</v>
      </c>
      <c r="S33" s="5"/>
    </row>
    <row r="34" spans="1:19" ht="12.75">
      <c r="A34" s="52">
        <v>24</v>
      </c>
      <c r="B34" s="53"/>
      <c r="C34" s="54">
        <v>38371</v>
      </c>
      <c r="D34" s="55">
        <v>0.96875</v>
      </c>
      <c r="E34" s="54">
        <v>38371</v>
      </c>
      <c r="F34" s="55">
        <v>0.9930555555555555</v>
      </c>
      <c r="G34" s="70" t="s">
        <v>94</v>
      </c>
      <c r="H34" s="76">
        <v>0.5833333333333334</v>
      </c>
      <c r="I34" s="53" t="s">
        <v>61</v>
      </c>
      <c r="J34" s="53" t="s">
        <v>71</v>
      </c>
      <c r="K34" s="56">
        <v>13.8</v>
      </c>
      <c r="L34" s="78">
        <f>1633/0.96</f>
        <v>1701.0416666666667</v>
      </c>
      <c r="M34" s="78">
        <f>700/0.96</f>
        <v>729.1666666666667</v>
      </c>
      <c r="N34" s="78">
        <f t="shared" si="0"/>
        <v>425.3472222222223</v>
      </c>
      <c r="O34" s="37">
        <f t="shared" si="1"/>
        <v>0.4286589099816289</v>
      </c>
      <c r="P34" s="56">
        <v>2027</v>
      </c>
      <c r="Q34" s="56" t="s">
        <v>50</v>
      </c>
      <c r="R34" s="57" t="s">
        <v>95</v>
      </c>
      <c r="S34" s="5"/>
    </row>
    <row r="35" spans="1:19" ht="12.75">
      <c r="A35" s="52">
        <v>25</v>
      </c>
      <c r="B35" s="53"/>
      <c r="C35" s="54">
        <v>38372</v>
      </c>
      <c r="D35" s="55">
        <v>0.4236111111111111</v>
      </c>
      <c r="E35" s="54">
        <v>38372</v>
      </c>
      <c r="F35" s="55">
        <v>0.4375</v>
      </c>
      <c r="G35" s="55">
        <v>0.013888888888888888</v>
      </c>
      <c r="H35" s="76">
        <v>0.3333333333333333</v>
      </c>
      <c r="I35" s="53" t="s">
        <v>51</v>
      </c>
      <c r="J35" s="53" t="s">
        <v>96</v>
      </c>
      <c r="K35" s="56">
        <v>69</v>
      </c>
      <c r="L35" s="78">
        <f>700/0.96</f>
        <v>729.1666666666667</v>
      </c>
      <c r="M35" s="78">
        <f>700/0.96</f>
        <v>729.1666666666667</v>
      </c>
      <c r="N35" s="78">
        <f t="shared" si="0"/>
        <v>243.05555555555557</v>
      </c>
      <c r="O35" s="37">
        <f t="shared" si="1"/>
        <v>1</v>
      </c>
      <c r="P35" s="56">
        <v>2619</v>
      </c>
      <c r="Q35" s="56" t="s">
        <v>50</v>
      </c>
      <c r="R35" s="57" t="s">
        <v>97</v>
      </c>
      <c r="S35" s="5"/>
    </row>
    <row r="36" spans="1:19" ht="12.75">
      <c r="A36" s="52">
        <v>26</v>
      </c>
      <c r="B36" s="53"/>
      <c r="C36" s="54">
        <v>38372</v>
      </c>
      <c r="D36" s="55">
        <v>0.5104166666666666</v>
      </c>
      <c r="E36" s="54">
        <v>38372</v>
      </c>
      <c r="F36" s="55">
        <v>0.5625</v>
      </c>
      <c r="G36" s="55">
        <v>0.052083333333333336</v>
      </c>
      <c r="H36" s="76">
        <f>1+0.25</f>
        <v>1.25</v>
      </c>
      <c r="I36" s="53" t="s">
        <v>61</v>
      </c>
      <c r="J36" s="53" t="s">
        <v>62</v>
      </c>
      <c r="K36" s="56">
        <v>69</v>
      </c>
      <c r="L36" s="78">
        <f>6000/0.96</f>
        <v>6250</v>
      </c>
      <c r="M36" s="78">
        <f>6000/0.96</f>
        <v>6250</v>
      </c>
      <c r="N36" s="78">
        <f t="shared" si="0"/>
        <v>7812.5</v>
      </c>
      <c r="O36" s="37">
        <f t="shared" si="1"/>
        <v>1</v>
      </c>
      <c r="P36" s="56">
        <v>6388</v>
      </c>
      <c r="Q36" s="56" t="s">
        <v>50</v>
      </c>
      <c r="R36" s="57" t="s">
        <v>119</v>
      </c>
      <c r="S36" s="5"/>
    </row>
    <row r="37" spans="1:19" ht="12.75">
      <c r="A37" s="52">
        <v>27</v>
      </c>
      <c r="B37" s="53"/>
      <c r="C37" s="54">
        <v>38373</v>
      </c>
      <c r="D37" s="55">
        <v>0.6986111111111111</v>
      </c>
      <c r="E37" s="54">
        <v>38373</v>
      </c>
      <c r="F37" s="55">
        <v>0.75</v>
      </c>
      <c r="G37" s="55">
        <v>0.051388888888888894</v>
      </c>
      <c r="H37" s="76">
        <f>1+0.233333333333333</f>
        <v>1.2333333333333334</v>
      </c>
      <c r="I37" s="53" t="s">
        <v>59</v>
      </c>
      <c r="J37" s="53" t="s">
        <v>98</v>
      </c>
      <c r="K37" s="56">
        <v>13.8</v>
      </c>
      <c r="L37" s="78">
        <f>2500/0.96</f>
        <v>2604.166666666667</v>
      </c>
      <c r="M37" s="78">
        <f>2500/0.96</f>
        <v>2604.166666666667</v>
      </c>
      <c r="N37" s="78">
        <f t="shared" si="0"/>
        <v>3211.805555555556</v>
      </c>
      <c r="O37" s="37">
        <f t="shared" si="1"/>
        <v>1</v>
      </c>
      <c r="P37" s="56">
        <v>2500</v>
      </c>
      <c r="Q37" s="56" t="s">
        <v>50</v>
      </c>
      <c r="R37" s="57" t="s">
        <v>99</v>
      </c>
      <c r="S37" s="5"/>
    </row>
    <row r="38" spans="1:19" ht="12.75">
      <c r="A38" s="52">
        <v>28</v>
      </c>
      <c r="B38" s="53"/>
      <c r="C38" s="54">
        <v>38374</v>
      </c>
      <c r="D38" s="55">
        <v>0.36319444444444443</v>
      </c>
      <c r="E38" s="54">
        <v>38374</v>
      </c>
      <c r="F38" s="55">
        <v>0.6597222222222222</v>
      </c>
      <c r="G38" s="55">
        <v>0.2965277777777778</v>
      </c>
      <c r="H38" s="76">
        <f>7+0.116666666666667</f>
        <v>7.116666666666666</v>
      </c>
      <c r="I38" s="53" t="s">
        <v>100</v>
      </c>
      <c r="J38" s="53" t="s">
        <v>101</v>
      </c>
      <c r="K38" s="56">
        <v>13.8</v>
      </c>
      <c r="L38" s="78">
        <f>1200/0.96</f>
        <v>1250</v>
      </c>
      <c r="M38" s="78">
        <f>700/0.96</f>
        <v>729.1666666666667</v>
      </c>
      <c r="N38" s="78">
        <f t="shared" si="0"/>
        <v>5189.236111111111</v>
      </c>
      <c r="O38" s="37">
        <f t="shared" si="1"/>
        <v>0.5833333333333334</v>
      </c>
      <c r="P38" s="56">
        <v>1454</v>
      </c>
      <c r="Q38" s="56" t="s">
        <v>50</v>
      </c>
      <c r="R38" s="57" t="s">
        <v>78</v>
      </c>
      <c r="S38" s="5"/>
    </row>
    <row r="39" spans="1:19" ht="12.75">
      <c r="A39" s="52">
        <v>29</v>
      </c>
      <c r="B39" s="53"/>
      <c r="C39" s="54">
        <v>38374</v>
      </c>
      <c r="D39" s="55">
        <v>0.4166666666666667</v>
      </c>
      <c r="E39" s="54">
        <v>38374</v>
      </c>
      <c r="F39" s="55">
        <v>0.5243055555555556</v>
      </c>
      <c r="G39" s="55">
        <v>0.1076388888888889</v>
      </c>
      <c r="H39" s="76">
        <f>2+0.583333333333333</f>
        <v>2.5833333333333335</v>
      </c>
      <c r="I39" s="53" t="s">
        <v>70</v>
      </c>
      <c r="J39" s="53" t="s">
        <v>54</v>
      </c>
      <c r="K39" s="56">
        <v>13.8</v>
      </c>
      <c r="L39" s="78">
        <f>700/0.96</f>
        <v>729.1666666666667</v>
      </c>
      <c r="M39" s="78">
        <f>500/0.96</f>
        <v>520.8333333333334</v>
      </c>
      <c r="N39" s="78">
        <f t="shared" si="0"/>
        <v>1345.4861111111113</v>
      </c>
      <c r="O39" s="37">
        <f t="shared" si="1"/>
        <v>0.7142857142857143</v>
      </c>
      <c r="P39" s="56">
        <v>1020</v>
      </c>
      <c r="Q39" s="56" t="s">
        <v>50</v>
      </c>
      <c r="R39" s="57" t="s">
        <v>60</v>
      </c>
      <c r="S39" s="5"/>
    </row>
    <row r="40" spans="1:19" ht="12.75">
      <c r="A40" s="52">
        <v>30</v>
      </c>
      <c r="B40" s="53"/>
      <c r="C40" s="54">
        <v>38376</v>
      </c>
      <c r="D40" s="55">
        <v>0.8833333333333333</v>
      </c>
      <c r="E40" s="54">
        <v>38376</v>
      </c>
      <c r="F40" s="55">
        <v>0.9944444444444445</v>
      </c>
      <c r="G40" s="55">
        <v>0.1111111111111111</v>
      </c>
      <c r="H40" s="76">
        <f>2+0.666666666666667</f>
        <v>2.6666666666666665</v>
      </c>
      <c r="I40" s="53" t="s">
        <v>73</v>
      </c>
      <c r="J40" s="53" t="s">
        <v>66</v>
      </c>
      <c r="K40" s="56">
        <v>69</v>
      </c>
      <c r="L40" s="78">
        <f>14000/0.96</f>
        <v>14583.333333333334</v>
      </c>
      <c r="M40" s="78">
        <f>14000/0.96</f>
        <v>14583.333333333334</v>
      </c>
      <c r="N40" s="78">
        <f t="shared" si="0"/>
        <v>38888.88888888889</v>
      </c>
      <c r="O40" s="37">
        <f t="shared" si="1"/>
        <v>1</v>
      </c>
      <c r="P40" s="56">
        <v>15746</v>
      </c>
      <c r="Q40" s="56" t="s">
        <v>50</v>
      </c>
      <c r="R40" s="57" t="s">
        <v>120</v>
      </c>
      <c r="S40" s="5"/>
    </row>
    <row r="41" spans="1:19" ht="12.75">
      <c r="A41" s="52">
        <v>31</v>
      </c>
      <c r="B41" s="53"/>
      <c r="C41" s="54">
        <v>38376</v>
      </c>
      <c r="D41" s="55">
        <v>0.9930555555555555</v>
      </c>
      <c r="E41" s="54">
        <v>38377</v>
      </c>
      <c r="F41" s="55">
        <v>0.017361111111111112</v>
      </c>
      <c r="G41" s="55">
        <v>0.024305555555555556</v>
      </c>
      <c r="H41" s="76">
        <v>0.5833333333333334</v>
      </c>
      <c r="I41" s="53" t="s">
        <v>81</v>
      </c>
      <c r="J41" s="53" t="s">
        <v>64</v>
      </c>
      <c r="K41" s="56">
        <v>13.8</v>
      </c>
      <c r="L41" s="78">
        <f>1500/0.96</f>
        <v>1562.5</v>
      </c>
      <c r="M41" s="78">
        <f>700/0.96</f>
        <v>729.1666666666667</v>
      </c>
      <c r="N41" s="78">
        <f t="shared" si="0"/>
        <v>425.3472222222223</v>
      </c>
      <c r="O41" s="37">
        <f t="shared" si="1"/>
        <v>0.46666666666666673</v>
      </c>
      <c r="P41" s="56">
        <v>2001</v>
      </c>
      <c r="Q41" s="56" t="s">
        <v>50</v>
      </c>
      <c r="R41" s="57" t="s">
        <v>121</v>
      </c>
      <c r="S41" s="5"/>
    </row>
    <row r="42" spans="1:19" ht="12.75">
      <c r="A42" s="52">
        <v>32</v>
      </c>
      <c r="B42" s="53"/>
      <c r="C42" s="54">
        <v>38377</v>
      </c>
      <c r="D42" s="55">
        <v>0.04861111111111111</v>
      </c>
      <c r="E42" s="54">
        <v>38377</v>
      </c>
      <c r="F42" s="55">
        <v>0.44027777777777777</v>
      </c>
      <c r="G42" s="55">
        <v>0.4055555555555555</v>
      </c>
      <c r="H42" s="76">
        <f>9+0.733333333333333</f>
        <v>9.733333333333333</v>
      </c>
      <c r="I42" s="53" t="s">
        <v>81</v>
      </c>
      <c r="J42" s="53" t="s">
        <v>55</v>
      </c>
      <c r="K42" s="56">
        <v>13.8</v>
      </c>
      <c r="L42" s="78">
        <f>4000/0.96</f>
        <v>4166.666666666667</v>
      </c>
      <c r="M42" s="78">
        <f>3000/0.96</f>
        <v>3125</v>
      </c>
      <c r="N42" s="78">
        <f t="shared" si="0"/>
        <v>30416.666666666664</v>
      </c>
      <c r="O42" s="37">
        <f t="shared" si="1"/>
        <v>0.75</v>
      </c>
      <c r="P42" s="56">
        <v>7247</v>
      </c>
      <c r="Q42" s="56" t="s">
        <v>50</v>
      </c>
      <c r="R42" s="57" t="s">
        <v>102</v>
      </c>
      <c r="S42" s="5"/>
    </row>
    <row r="43" spans="1:19" ht="12.75">
      <c r="A43" s="52">
        <v>33</v>
      </c>
      <c r="B43" s="53"/>
      <c r="C43" s="54">
        <v>38377</v>
      </c>
      <c r="D43" s="55">
        <v>0.20833333333333334</v>
      </c>
      <c r="E43" s="54">
        <v>38377</v>
      </c>
      <c r="F43" s="55">
        <v>0.40625</v>
      </c>
      <c r="G43" s="55">
        <v>0.19791666666666666</v>
      </c>
      <c r="H43" s="76">
        <f>4+0.75</f>
        <v>4.75</v>
      </c>
      <c r="I43" s="53" t="s">
        <v>51</v>
      </c>
      <c r="J43" s="53" t="s">
        <v>58</v>
      </c>
      <c r="K43" s="56">
        <v>13.8</v>
      </c>
      <c r="L43" s="78">
        <f>1819/0.96</f>
        <v>1894.7916666666667</v>
      </c>
      <c r="M43" s="78">
        <f>1000/0.96</f>
        <v>1041.6666666666667</v>
      </c>
      <c r="N43" s="78">
        <f t="shared" si="0"/>
        <v>4947.916666666667</v>
      </c>
      <c r="O43" s="37">
        <f t="shared" si="1"/>
        <v>0.5497526113249038</v>
      </c>
      <c r="P43" s="56">
        <v>3664</v>
      </c>
      <c r="Q43" s="56" t="s">
        <v>50</v>
      </c>
      <c r="R43" s="57" t="s">
        <v>60</v>
      </c>
      <c r="S43" s="5"/>
    </row>
    <row r="44" spans="1:19" ht="12.75">
      <c r="A44" s="52">
        <v>34</v>
      </c>
      <c r="B44" s="53"/>
      <c r="C44" s="54">
        <v>38377</v>
      </c>
      <c r="D44" s="55">
        <v>0.875</v>
      </c>
      <c r="E44" s="54">
        <v>38377</v>
      </c>
      <c r="F44" s="55">
        <v>0.9236111111111112</v>
      </c>
      <c r="G44" s="55">
        <v>0.04861111111111111</v>
      </c>
      <c r="H44" s="76">
        <f>1+0.166666666666667</f>
        <v>1.1666666666666667</v>
      </c>
      <c r="I44" s="53" t="s">
        <v>61</v>
      </c>
      <c r="J44" s="53" t="s">
        <v>103</v>
      </c>
      <c r="K44" s="56">
        <v>13.8</v>
      </c>
      <c r="L44" s="78">
        <f>850/0.96</f>
        <v>885.4166666666667</v>
      </c>
      <c r="M44" s="78">
        <f>620/0.96</f>
        <v>645.8333333333334</v>
      </c>
      <c r="N44" s="78">
        <f t="shared" si="0"/>
        <v>753.4722222222223</v>
      </c>
      <c r="O44" s="37">
        <f t="shared" si="1"/>
        <v>0.7294117647058823</v>
      </c>
      <c r="P44" s="56">
        <v>2099</v>
      </c>
      <c r="Q44" s="56" t="s">
        <v>50</v>
      </c>
      <c r="R44" s="57" t="s">
        <v>68</v>
      </c>
      <c r="S44" s="5"/>
    </row>
    <row r="45" spans="1:19" ht="12.75">
      <c r="A45" s="52">
        <v>35</v>
      </c>
      <c r="B45" s="53"/>
      <c r="C45" s="54">
        <v>38378</v>
      </c>
      <c r="D45" s="55">
        <v>0.43472222222222223</v>
      </c>
      <c r="E45" s="54">
        <v>38378</v>
      </c>
      <c r="F45" s="55">
        <v>0.4826388888888889</v>
      </c>
      <c r="G45" s="55">
        <v>0.04791666666666666</v>
      </c>
      <c r="H45" s="76">
        <f>1+0.15</f>
        <v>1.15</v>
      </c>
      <c r="I45" s="53" t="s">
        <v>81</v>
      </c>
      <c r="J45" s="53" t="s">
        <v>55</v>
      </c>
      <c r="K45" s="56">
        <v>13.8</v>
      </c>
      <c r="L45" s="78">
        <f>4500/0.96</f>
        <v>4687.5</v>
      </c>
      <c r="M45" s="78">
        <f>3200/0.96</f>
        <v>3333.3333333333335</v>
      </c>
      <c r="N45" s="78">
        <f t="shared" si="0"/>
        <v>3833.333333333333</v>
      </c>
      <c r="O45" s="37">
        <f t="shared" si="1"/>
        <v>0.7111111111111111</v>
      </c>
      <c r="P45" s="56">
        <v>7247</v>
      </c>
      <c r="Q45" s="56" t="s">
        <v>50</v>
      </c>
      <c r="R45" s="57" t="s">
        <v>122</v>
      </c>
      <c r="S45" s="5"/>
    </row>
    <row r="46" spans="1:19" ht="12.75">
      <c r="A46" s="52">
        <v>36</v>
      </c>
      <c r="B46" s="53"/>
      <c r="C46" s="54">
        <v>38378</v>
      </c>
      <c r="D46" s="55">
        <v>0.6354166666666666</v>
      </c>
      <c r="E46" s="54">
        <v>38378</v>
      </c>
      <c r="F46" s="55">
        <v>0.6493055555555556</v>
      </c>
      <c r="G46" s="55">
        <v>0.013888888888888888</v>
      </c>
      <c r="H46" s="76">
        <v>0.3333333333333333</v>
      </c>
      <c r="I46" s="53" t="s">
        <v>59</v>
      </c>
      <c r="J46" s="53" t="s">
        <v>104</v>
      </c>
      <c r="K46" s="56">
        <v>13.8</v>
      </c>
      <c r="L46" s="78">
        <f>3500/0.96</f>
        <v>3645.8333333333335</v>
      </c>
      <c r="M46" s="78">
        <f>2100/0.96</f>
        <v>2187.5</v>
      </c>
      <c r="N46" s="78">
        <f t="shared" si="0"/>
        <v>729.1666666666666</v>
      </c>
      <c r="O46" s="37">
        <f t="shared" si="1"/>
        <v>0.6</v>
      </c>
      <c r="P46" s="56">
        <v>2147</v>
      </c>
      <c r="Q46" s="56" t="s">
        <v>50</v>
      </c>
      <c r="R46" s="57" t="s">
        <v>126</v>
      </c>
      <c r="S46" s="5"/>
    </row>
    <row r="47" spans="1:19" ht="12.75">
      <c r="A47" s="52">
        <v>37</v>
      </c>
      <c r="B47" s="53"/>
      <c r="C47" s="54">
        <v>38378</v>
      </c>
      <c r="D47" s="55">
        <v>0.6354166666666666</v>
      </c>
      <c r="E47" s="54">
        <v>38378</v>
      </c>
      <c r="F47" s="55">
        <v>0.6944444444444445</v>
      </c>
      <c r="G47" s="55">
        <v>0.05902777777777778</v>
      </c>
      <c r="H47" s="76">
        <f>1+0.416666666666667</f>
        <v>1.4166666666666667</v>
      </c>
      <c r="I47" s="53" t="s">
        <v>67</v>
      </c>
      <c r="J47" s="53" t="s">
        <v>105</v>
      </c>
      <c r="K47" s="56">
        <v>13.8</v>
      </c>
      <c r="L47" s="78">
        <f>900/0.96</f>
        <v>937.5</v>
      </c>
      <c r="M47" s="78">
        <f>600/0.96</f>
        <v>625</v>
      </c>
      <c r="N47" s="78">
        <f t="shared" si="0"/>
        <v>885.4166666666667</v>
      </c>
      <c r="O47" s="37">
        <f t="shared" si="1"/>
        <v>0.6666666666666666</v>
      </c>
      <c r="P47" s="56">
        <v>2149</v>
      </c>
      <c r="Q47" s="56" t="s">
        <v>50</v>
      </c>
      <c r="R47" s="57" t="s">
        <v>106</v>
      </c>
      <c r="S47" s="5"/>
    </row>
    <row r="48" spans="1:19" ht="12.75">
      <c r="A48" s="52">
        <v>38</v>
      </c>
      <c r="B48" s="53"/>
      <c r="C48" s="54">
        <v>38379</v>
      </c>
      <c r="D48" s="55">
        <v>0.875</v>
      </c>
      <c r="E48" s="54">
        <v>38379</v>
      </c>
      <c r="F48" s="55">
        <v>0.5333333333333333</v>
      </c>
      <c r="G48" s="55">
        <v>0.6583333333333333</v>
      </c>
      <c r="H48" s="76">
        <f>15+0.8</f>
        <v>15.8</v>
      </c>
      <c r="I48" s="53" t="s">
        <v>70</v>
      </c>
      <c r="J48" s="53" t="s">
        <v>54</v>
      </c>
      <c r="K48" s="56">
        <v>13.8</v>
      </c>
      <c r="L48" s="78">
        <f>800/0.96</f>
        <v>833.3333333333334</v>
      </c>
      <c r="M48" s="78">
        <f>572/0.96</f>
        <v>595.8333333333334</v>
      </c>
      <c r="N48" s="78">
        <f t="shared" si="0"/>
        <v>9414.166666666668</v>
      </c>
      <c r="O48" s="37">
        <f t="shared" si="1"/>
        <v>0.715</v>
      </c>
      <c r="P48" s="56">
        <v>1020</v>
      </c>
      <c r="Q48" s="56" t="s">
        <v>50</v>
      </c>
      <c r="R48" s="57" t="s">
        <v>68</v>
      </c>
      <c r="S48" s="5"/>
    </row>
    <row r="49" spans="1:19" ht="12.75">
      <c r="A49" s="52">
        <v>39</v>
      </c>
      <c r="B49" s="53"/>
      <c r="C49" s="54">
        <v>38380</v>
      </c>
      <c r="D49" s="55">
        <v>0.4375</v>
      </c>
      <c r="E49" s="54">
        <v>38380</v>
      </c>
      <c r="F49" s="55">
        <v>0.4479166666666667</v>
      </c>
      <c r="G49" s="55">
        <v>0.006944444444444444</v>
      </c>
      <c r="H49" s="76">
        <v>0.16666666666666666</v>
      </c>
      <c r="I49" s="53" t="s">
        <v>81</v>
      </c>
      <c r="J49" s="53" t="s">
        <v>55</v>
      </c>
      <c r="K49" s="56">
        <v>13.8</v>
      </c>
      <c r="L49" s="78">
        <f>4000/0.96</f>
        <v>4166.666666666667</v>
      </c>
      <c r="M49" s="78">
        <f>3500/0.96</f>
        <v>3645.8333333333335</v>
      </c>
      <c r="N49" s="78">
        <f t="shared" si="0"/>
        <v>607.6388888888889</v>
      </c>
      <c r="O49" s="37">
        <f t="shared" si="1"/>
        <v>0.875</v>
      </c>
      <c r="P49" s="56">
        <v>7247</v>
      </c>
      <c r="Q49" s="56" t="s">
        <v>56</v>
      </c>
      <c r="R49" s="57" t="s">
        <v>57</v>
      </c>
      <c r="S49" s="5"/>
    </row>
    <row r="50" spans="1:19" ht="12.75">
      <c r="A50" s="52">
        <v>40</v>
      </c>
      <c r="B50" s="53"/>
      <c r="C50" s="54">
        <v>38380</v>
      </c>
      <c r="D50" s="55">
        <v>0.4375</v>
      </c>
      <c r="E50" s="54">
        <v>38380</v>
      </c>
      <c r="F50" s="55">
        <v>0.4479166666666667</v>
      </c>
      <c r="G50" s="55">
        <v>0.006944444444444444</v>
      </c>
      <c r="H50" s="76">
        <v>0.17</v>
      </c>
      <c r="I50" s="53" t="s">
        <v>81</v>
      </c>
      <c r="J50" s="53" t="s">
        <v>64</v>
      </c>
      <c r="K50" s="56">
        <v>13.8</v>
      </c>
      <c r="L50" s="78">
        <f>1008/0.96</f>
        <v>1050</v>
      </c>
      <c r="M50" s="78">
        <f>700/0.96</f>
        <v>729.1666666666667</v>
      </c>
      <c r="N50" s="78">
        <f t="shared" si="0"/>
        <v>123.95833333333336</v>
      </c>
      <c r="O50" s="37">
        <f t="shared" si="1"/>
        <v>0.6944444444444445</v>
      </c>
      <c r="P50" s="56">
        <v>2001</v>
      </c>
      <c r="Q50" s="56" t="s">
        <v>56</v>
      </c>
      <c r="R50" s="57" t="s">
        <v>57</v>
      </c>
      <c r="S50" s="5"/>
    </row>
    <row r="51" spans="1:19" ht="12.75">
      <c r="A51" s="52">
        <v>41</v>
      </c>
      <c r="B51" s="53"/>
      <c r="C51" s="54">
        <v>38380</v>
      </c>
      <c r="D51" s="55">
        <v>0.4375</v>
      </c>
      <c r="E51" s="54">
        <v>38380</v>
      </c>
      <c r="F51" s="55">
        <v>0.4479166666666667</v>
      </c>
      <c r="G51" s="55">
        <v>0.006944444444444444</v>
      </c>
      <c r="H51" s="76">
        <v>0.17</v>
      </c>
      <c r="I51" s="53" t="s">
        <v>59</v>
      </c>
      <c r="J51" s="53" t="s">
        <v>114</v>
      </c>
      <c r="K51" s="56">
        <v>13.8</v>
      </c>
      <c r="L51" s="78">
        <f>800/0.96</f>
        <v>833.3333333333334</v>
      </c>
      <c r="M51" s="78">
        <f>400/0.96</f>
        <v>416.6666666666667</v>
      </c>
      <c r="N51" s="78">
        <f t="shared" si="0"/>
        <v>70.83333333333334</v>
      </c>
      <c r="O51" s="37">
        <f t="shared" si="1"/>
        <v>0.5</v>
      </c>
      <c r="P51" s="56">
        <v>1500</v>
      </c>
      <c r="Q51" s="56" t="s">
        <v>56</v>
      </c>
      <c r="R51" s="57" t="s">
        <v>57</v>
      </c>
      <c r="S51" s="5"/>
    </row>
    <row r="52" spans="1:19" ht="12.75">
      <c r="A52" s="52">
        <v>42</v>
      </c>
      <c r="B52" s="53"/>
      <c r="C52" s="54">
        <v>38380</v>
      </c>
      <c r="D52" s="55">
        <v>0.4375</v>
      </c>
      <c r="E52" s="54">
        <v>38380</v>
      </c>
      <c r="F52" s="55">
        <v>0.4479166666666667</v>
      </c>
      <c r="G52" s="55">
        <v>0.006944444444444444</v>
      </c>
      <c r="H52" s="76">
        <v>0.17</v>
      </c>
      <c r="I52" s="53" t="s">
        <v>112</v>
      </c>
      <c r="J52" s="53" t="s">
        <v>113</v>
      </c>
      <c r="K52" s="56">
        <v>13.8</v>
      </c>
      <c r="L52" s="78">
        <f>1690/0.96</f>
        <v>1760.4166666666667</v>
      </c>
      <c r="M52" s="78">
        <f>700/0.96</f>
        <v>729.1666666666667</v>
      </c>
      <c r="N52" s="78">
        <f t="shared" si="0"/>
        <v>123.95833333333336</v>
      </c>
      <c r="O52" s="37">
        <f t="shared" si="1"/>
        <v>0.41420118343195267</v>
      </c>
      <c r="P52" s="56">
        <v>5727</v>
      </c>
      <c r="Q52" s="56" t="s">
        <v>56</v>
      </c>
      <c r="R52" s="57" t="s">
        <v>57</v>
      </c>
      <c r="S52" s="5"/>
    </row>
    <row r="53" spans="1:19" ht="12.75">
      <c r="A53" s="52">
        <v>43</v>
      </c>
      <c r="B53" s="53"/>
      <c r="C53" s="54">
        <v>38380</v>
      </c>
      <c r="D53" s="55">
        <v>0.4375</v>
      </c>
      <c r="E53" s="54">
        <v>38380</v>
      </c>
      <c r="F53" s="55">
        <v>0.4479166666666667</v>
      </c>
      <c r="G53" s="55">
        <v>0.006944444444444444</v>
      </c>
      <c r="H53" s="76">
        <v>0.17</v>
      </c>
      <c r="I53" s="53" t="s">
        <v>59</v>
      </c>
      <c r="J53" s="53" t="s">
        <v>104</v>
      </c>
      <c r="K53" s="56">
        <v>13.8</v>
      </c>
      <c r="L53" s="78">
        <f>3500/0.96</f>
        <v>3645.8333333333335</v>
      </c>
      <c r="M53" s="78">
        <f>2100/0.96</f>
        <v>2187.5</v>
      </c>
      <c r="N53" s="78">
        <f t="shared" si="0"/>
        <v>371.875</v>
      </c>
      <c r="O53" s="37">
        <f t="shared" si="1"/>
        <v>0.6</v>
      </c>
      <c r="P53" s="56">
        <v>2147</v>
      </c>
      <c r="Q53" s="56" t="s">
        <v>56</v>
      </c>
      <c r="R53" s="57" t="s">
        <v>57</v>
      </c>
      <c r="S53" s="5"/>
    </row>
    <row r="54" spans="1:18" ht="12.75">
      <c r="A54" s="14">
        <v>44</v>
      </c>
      <c r="B54" s="11"/>
      <c r="C54" s="19">
        <v>38381</v>
      </c>
      <c r="D54" s="20">
        <v>0.6458333333333334</v>
      </c>
      <c r="E54" s="19">
        <v>38381</v>
      </c>
      <c r="F54" s="20">
        <v>0.6527777777777778</v>
      </c>
      <c r="G54" s="20">
        <v>0.006944444444444444</v>
      </c>
      <c r="H54" s="74">
        <v>0.17</v>
      </c>
      <c r="I54" s="11" t="s">
        <v>52</v>
      </c>
      <c r="J54" s="11" t="s">
        <v>107</v>
      </c>
      <c r="K54" s="12">
        <v>13.8</v>
      </c>
      <c r="L54" s="74">
        <f>1213/0.96</f>
        <v>1263.5416666666667</v>
      </c>
      <c r="M54" s="74">
        <f>500/0.96</f>
        <v>520.8333333333334</v>
      </c>
      <c r="N54" s="78">
        <f t="shared" si="0"/>
        <v>88.54166666666669</v>
      </c>
      <c r="O54" s="71">
        <f t="shared" si="1"/>
        <v>0.41220115416323166</v>
      </c>
      <c r="P54" s="12">
        <v>1836</v>
      </c>
      <c r="Q54" s="12" t="s">
        <v>50</v>
      </c>
      <c r="R54" s="15" t="s">
        <v>108</v>
      </c>
    </row>
    <row r="55" spans="1:18" ht="12.75">
      <c r="A55" s="72">
        <v>45</v>
      </c>
      <c r="B55" s="60"/>
      <c r="C55" s="59">
        <v>38383</v>
      </c>
      <c r="D55" s="58">
        <v>0.5520833333333334</v>
      </c>
      <c r="E55" s="59">
        <v>38383</v>
      </c>
      <c r="F55" s="58">
        <v>0.607638888888889</v>
      </c>
      <c r="G55" s="58">
        <v>0.052083333333333336</v>
      </c>
      <c r="H55" s="75">
        <v>1.25</v>
      </c>
      <c r="I55" s="60" t="s">
        <v>53</v>
      </c>
      <c r="J55" s="60" t="s">
        <v>79</v>
      </c>
      <c r="K55" s="61">
        <v>13.8</v>
      </c>
      <c r="L55" s="78">
        <f>800/0.96</f>
        <v>833.3333333333334</v>
      </c>
      <c r="M55" s="78">
        <f>500/0.96</f>
        <v>520.8333333333334</v>
      </c>
      <c r="N55" s="78">
        <f t="shared" si="0"/>
        <v>651.0416666666667</v>
      </c>
      <c r="O55" s="37">
        <f t="shared" si="1"/>
        <v>0.625</v>
      </c>
      <c r="P55" s="61">
        <v>53</v>
      </c>
      <c r="Q55" s="61" t="s">
        <v>50</v>
      </c>
      <c r="R55" s="62" t="s">
        <v>110</v>
      </c>
    </row>
    <row r="56" spans="1:18" ht="13.5" thickBot="1">
      <c r="A56" s="66">
        <v>46</v>
      </c>
      <c r="B56" s="16"/>
      <c r="C56" s="29">
        <v>38383</v>
      </c>
      <c r="D56" s="30">
        <v>0.5833333333333334</v>
      </c>
      <c r="E56" s="29">
        <v>38383</v>
      </c>
      <c r="F56" s="30">
        <v>0.6597222222222222</v>
      </c>
      <c r="G56" s="30">
        <v>0.0763888888888889</v>
      </c>
      <c r="H56" s="77">
        <f>1+0.833333333333333</f>
        <v>1.8333333333333335</v>
      </c>
      <c r="I56" s="16" t="s">
        <v>81</v>
      </c>
      <c r="J56" s="16" t="s">
        <v>55</v>
      </c>
      <c r="K56" s="17">
        <v>13.8</v>
      </c>
      <c r="L56" s="77">
        <f>3600/0.96</f>
        <v>3750</v>
      </c>
      <c r="M56" s="77">
        <f>1600/0.96</f>
        <v>1666.6666666666667</v>
      </c>
      <c r="N56" s="78">
        <f t="shared" si="0"/>
        <v>3055.555555555556</v>
      </c>
      <c r="O56" s="39">
        <f t="shared" si="1"/>
        <v>0.4444444444444445</v>
      </c>
      <c r="P56" s="17">
        <v>7247</v>
      </c>
      <c r="Q56" s="17" t="s">
        <v>50</v>
      </c>
      <c r="R56" s="18" t="s">
        <v>68</v>
      </c>
    </row>
    <row r="57" spans="1:18" ht="12.75">
      <c r="A57" s="41"/>
      <c r="B57" s="5"/>
      <c r="C57" s="42"/>
      <c r="D57" s="43"/>
      <c r="E57" s="42"/>
      <c r="F57" s="43"/>
      <c r="G57" s="43"/>
      <c r="H57" s="43"/>
      <c r="I57" s="5"/>
      <c r="J57" s="5"/>
      <c r="K57" s="41"/>
      <c r="L57" s="44"/>
      <c r="M57" s="44">
        <f>SUM(M11:M56)</f>
        <v>165022.9166666667</v>
      </c>
      <c r="N57" s="44">
        <f>SUM(N11:N56)</f>
        <v>238372.6736111111</v>
      </c>
      <c r="O57" s="45"/>
      <c r="P57" s="41"/>
      <c r="Q57" s="41"/>
      <c r="R57" s="5"/>
    </row>
    <row r="58" spans="1:18" ht="12.75">
      <c r="A58" s="41"/>
      <c r="B58" s="5"/>
      <c r="C58" s="42"/>
      <c r="D58" s="43"/>
      <c r="E58" s="42"/>
      <c r="F58" s="43"/>
      <c r="G58" s="43"/>
      <c r="H58" s="43"/>
      <c r="I58" s="5"/>
      <c r="J58" s="5"/>
      <c r="K58" s="41"/>
      <c r="L58" s="44"/>
      <c r="M58" s="44"/>
      <c r="N58" s="44"/>
      <c r="O58" s="45"/>
      <c r="P58" s="41"/>
      <c r="Q58" s="41"/>
      <c r="R58" s="5"/>
    </row>
    <row r="59" spans="1:18" ht="12.75">
      <c r="A59" s="41"/>
      <c r="B59" s="5"/>
      <c r="C59" s="42"/>
      <c r="D59" s="43"/>
      <c r="E59" s="42"/>
      <c r="F59" s="43"/>
      <c r="G59" s="43"/>
      <c r="H59" s="43"/>
      <c r="I59" s="5"/>
      <c r="J59" s="5"/>
      <c r="K59" s="41"/>
      <c r="L59" s="44"/>
      <c r="M59" s="44"/>
      <c r="N59" s="44"/>
      <c r="O59" s="45"/>
      <c r="P59" s="41"/>
      <c r="Q59" s="41"/>
      <c r="R59" s="5"/>
    </row>
    <row r="60" ht="12.75">
      <c r="A60" s="38"/>
    </row>
    <row r="61" spans="1:12" ht="12.75">
      <c r="A61" t="s">
        <v>44</v>
      </c>
      <c r="L61" s="40"/>
    </row>
    <row r="62" ht="12.75">
      <c r="B62" t="s">
        <v>45</v>
      </c>
    </row>
    <row r="63" spans="2:12" ht="12.75">
      <c r="B63" t="s">
        <v>46</v>
      </c>
      <c r="K63" t="s">
        <v>129</v>
      </c>
      <c r="L63" s="79">
        <v>60416.67</v>
      </c>
    </row>
    <row r="64" ht="12.75">
      <c r="B64" t="s">
        <v>47</v>
      </c>
    </row>
    <row r="65" spans="2:12" ht="12.75">
      <c r="B65" t="s">
        <v>48</v>
      </c>
      <c r="K65" t="s">
        <v>128</v>
      </c>
      <c r="L65" s="80">
        <f>+M57/L63</f>
        <v>2.731413642404765</v>
      </c>
    </row>
    <row r="66" spans="2:12" ht="12.75">
      <c r="B66" t="s">
        <v>49</v>
      </c>
      <c r="K66" t="s">
        <v>130</v>
      </c>
      <c r="L66" s="80">
        <f>+N57/L63</f>
        <v>3.9454785179506104</v>
      </c>
    </row>
  </sheetData>
  <printOptions horizontalCentered="1" verticalCentered="1"/>
  <pageMargins left="0.75" right="0.75" top="1" bottom="1" header="0" footer="0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8"/>
  <sheetViews>
    <sheetView workbookViewId="0" topLeftCell="J32">
      <selection activeCell="A89" sqref="A89"/>
      <selection activeCell="A1" sqref="A1:P66"/>
    </sheetView>
  </sheetViews>
  <sheetFormatPr defaultColWidth="11.421875" defaultRowHeight="12.75"/>
  <cols>
    <col min="1" max="1" width="7.7109375" style="0" customWidth="1"/>
    <col min="3" max="7" width="14.7109375" style="0" customWidth="1"/>
    <col min="8" max="8" width="20.421875" style="0" bestFit="1" customWidth="1"/>
    <col min="9" max="9" width="30.8515625" style="0" customWidth="1"/>
    <col min="11" max="11" width="15.7109375" style="0" customWidth="1"/>
    <col min="12" max="12" width="13.140625" style="0" customWidth="1"/>
    <col min="13" max="13" width="12.00390625" style="0" customWidth="1"/>
    <col min="14" max="14" width="12.57421875" style="0" customWidth="1"/>
    <col min="15" max="15" width="15.57421875" style="0" customWidth="1"/>
    <col min="16" max="16" width="47.57421875" style="0" customWidth="1"/>
  </cols>
  <sheetData>
    <row r="1" ht="12.75">
      <c r="A1" s="31" t="s">
        <v>72</v>
      </c>
    </row>
    <row r="3" spans="1:16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1:16" ht="12.75">
      <c r="A4" s="4" t="s">
        <v>1</v>
      </c>
      <c r="B4" s="5"/>
      <c r="C4" s="5"/>
      <c r="D4" s="5"/>
      <c r="E4" s="5"/>
      <c r="F4" s="5"/>
      <c r="G4" s="5"/>
      <c r="H4" s="5"/>
      <c r="I4" s="5"/>
      <c r="J4" s="13" t="s">
        <v>111</v>
      </c>
      <c r="K4" s="5"/>
      <c r="L4" s="5"/>
      <c r="M4" s="5"/>
      <c r="N4" s="5"/>
      <c r="O4" s="5"/>
      <c r="P4" s="6"/>
    </row>
    <row r="5" spans="1:16" ht="15.75">
      <c r="A5" s="7" t="s">
        <v>2</v>
      </c>
      <c r="B5" s="8"/>
      <c r="C5" s="8"/>
      <c r="D5" s="9" t="s">
        <v>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0"/>
    </row>
    <row r="6" ht="13.5" thickBot="1"/>
    <row r="7" spans="1:16" ht="12.75">
      <c r="A7" s="21"/>
      <c r="B7" s="21" t="s">
        <v>4</v>
      </c>
      <c r="C7" s="21" t="s">
        <v>15</v>
      </c>
      <c r="D7" s="21" t="s">
        <v>19</v>
      </c>
      <c r="E7" s="21" t="s">
        <v>15</v>
      </c>
      <c r="F7" s="21" t="s">
        <v>19</v>
      </c>
      <c r="G7" s="22" t="s">
        <v>24</v>
      </c>
      <c r="H7" s="21" t="s">
        <v>5</v>
      </c>
      <c r="I7" s="21"/>
      <c r="J7" s="22" t="s">
        <v>7</v>
      </c>
      <c r="K7" s="22" t="s">
        <v>8</v>
      </c>
      <c r="L7" s="23" t="s">
        <v>8</v>
      </c>
      <c r="M7" s="22" t="s">
        <v>8</v>
      </c>
      <c r="N7" s="24" t="s">
        <v>37</v>
      </c>
      <c r="O7" s="22" t="s">
        <v>40</v>
      </c>
      <c r="P7" s="22"/>
    </row>
    <row r="8" spans="1:16" ht="12.75">
      <c r="A8" s="25" t="s">
        <v>4</v>
      </c>
      <c r="B8" s="25" t="s">
        <v>13</v>
      </c>
      <c r="C8" s="25" t="s">
        <v>18</v>
      </c>
      <c r="D8" s="25" t="s">
        <v>20</v>
      </c>
      <c r="E8" s="25" t="s">
        <v>22</v>
      </c>
      <c r="F8" s="25" t="s">
        <v>23</v>
      </c>
      <c r="G8" s="25" t="s">
        <v>25</v>
      </c>
      <c r="H8" s="25" t="s">
        <v>27</v>
      </c>
      <c r="I8" s="25" t="s">
        <v>6</v>
      </c>
      <c r="J8" s="25" t="s">
        <v>30</v>
      </c>
      <c r="K8" s="25" t="s">
        <v>9</v>
      </c>
      <c r="L8" s="26" t="s">
        <v>34</v>
      </c>
      <c r="M8" s="25" t="s">
        <v>34</v>
      </c>
      <c r="N8" s="27" t="s">
        <v>38</v>
      </c>
      <c r="O8" s="25" t="s">
        <v>41</v>
      </c>
      <c r="P8" s="28" t="s">
        <v>12</v>
      </c>
    </row>
    <row r="9" spans="1:16" ht="12.75">
      <c r="A9" s="35"/>
      <c r="B9" s="35" t="s">
        <v>14</v>
      </c>
      <c r="C9" s="35" t="s">
        <v>16</v>
      </c>
      <c r="D9" s="35" t="s">
        <v>21</v>
      </c>
      <c r="E9" s="35" t="s">
        <v>16</v>
      </c>
      <c r="F9" s="35" t="s">
        <v>21</v>
      </c>
      <c r="G9" s="35" t="s">
        <v>26</v>
      </c>
      <c r="H9" s="36" t="s">
        <v>28</v>
      </c>
      <c r="I9" s="35" t="s">
        <v>29</v>
      </c>
      <c r="J9" s="36" t="s">
        <v>31</v>
      </c>
      <c r="K9" s="35" t="s">
        <v>32</v>
      </c>
      <c r="L9" s="33" t="s">
        <v>35</v>
      </c>
      <c r="M9" s="35" t="s">
        <v>10</v>
      </c>
      <c r="N9" s="34" t="s">
        <v>39</v>
      </c>
      <c r="O9" s="35" t="s">
        <v>11</v>
      </c>
      <c r="P9" s="36" t="s">
        <v>43</v>
      </c>
    </row>
    <row r="10" spans="1:16" ht="13.5" thickBot="1">
      <c r="A10" s="25"/>
      <c r="B10" s="64" t="s">
        <v>17</v>
      </c>
      <c r="C10" s="65"/>
      <c r="D10" s="25"/>
      <c r="E10" s="25"/>
      <c r="F10" s="25"/>
      <c r="G10" s="25"/>
      <c r="H10" s="25"/>
      <c r="I10" s="25"/>
      <c r="J10" s="25"/>
      <c r="K10" s="68" t="s">
        <v>33</v>
      </c>
      <c r="L10" s="69"/>
      <c r="M10" s="68" t="s">
        <v>36</v>
      </c>
      <c r="N10" s="25"/>
      <c r="O10" s="64" t="s">
        <v>42</v>
      </c>
      <c r="P10" s="25"/>
    </row>
    <row r="11" spans="1:16" ht="12.75">
      <c r="A11" s="46">
        <v>1</v>
      </c>
      <c r="B11" s="47"/>
      <c r="C11" s="48">
        <v>38356</v>
      </c>
      <c r="D11" s="49">
        <v>0.13680555555555554</v>
      </c>
      <c r="E11" s="48">
        <v>38356</v>
      </c>
      <c r="F11" s="49">
        <v>0.1486111111111111</v>
      </c>
      <c r="G11" s="49">
        <v>0.011805555555555555</v>
      </c>
      <c r="H11" s="47" t="s">
        <v>73</v>
      </c>
      <c r="I11" s="47" t="s">
        <v>65</v>
      </c>
      <c r="J11" s="50">
        <v>69</v>
      </c>
      <c r="K11" s="67">
        <f>18000/0.96</f>
        <v>18750</v>
      </c>
      <c r="L11" s="67">
        <f>18000/0.96</f>
        <v>18750</v>
      </c>
      <c r="M11" s="37">
        <f>L11/K11</f>
        <v>1</v>
      </c>
      <c r="N11" s="50">
        <v>14109</v>
      </c>
      <c r="O11" s="50" t="s">
        <v>50</v>
      </c>
      <c r="P11" s="51" t="s">
        <v>124</v>
      </c>
    </row>
    <row r="12" spans="1:16" ht="12.75">
      <c r="A12" s="14">
        <v>3</v>
      </c>
      <c r="B12" s="11"/>
      <c r="C12" s="19">
        <v>38357</v>
      </c>
      <c r="D12" s="20">
        <v>0.9777777777777777</v>
      </c>
      <c r="E12" s="19">
        <v>38357</v>
      </c>
      <c r="F12" s="20">
        <v>0.9840277777777778</v>
      </c>
      <c r="G12" s="20">
        <v>0.00625</v>
      </c>
      <c r="H12" s="11" t="s">
        <v>73</v>
      </c>
      <c r="I12" s="11" t="s">
        <v>65</v>
      </c>
      <c r="J12" s="12">
        <v>69</v>
      </c>
      <c r="K12" s="67">
        <f>15800/0.96</f>
        <v>16458.333333333336</v>
      </c>
      <c r="L12" s="67">
        <f>15800/0.96</f>
        <v>16458.333333333336</v>
      </c>
      <c r="M12" s="37">
        <f aca="true" t="shared" si="0" ref="M12:M19">L12/K12</f>
        <v>1</v>
      </c>
      <c r="N12" s="12">
        <v>14109</v>
      </c>
      <c r="O12" s="32" t="s">
        <v>50</v>
      </c>
      <c r="P12" s="15" t="s">
        <v>115</v>
      </c>
    </row>
    <row r="13" spans="1:16" ht="12.75">
      <c r="A13" s="14">
        <v>4</v>
      </c>
      <c r="B13" s="11"/>
      <c r="C13" s="19">
        <v>38358</v>
      </c>
      <c r="D13" s="20">
        <v>0.3506944444444444</v>
      </c>
      <c r="E13" s="19">
        <v>38358</v>
      </c>
      <c r="F13" s="20">
        <v>0.3548611111111111</v>
      </c>
      <c r="G13" s="20">
        <v>0.004166666666666667</v>
      </c>
      <c r="H13" s="11" t="s">
        <v>73</v>
      </c>
      <c r="I13" s="11" t="s">
        <v>65</v>
      </c>
      <c r="J13" s="12">
        <v>69</v>
      </c>
      <c r="K13" s="67">
        <f>12000/0.96</f>
        <v>12500</v>
      </c>
      <c r="L13" s="67">
        <f>12000/0.96</f>
        <v>12500</v>
      </c>
      <c r="M13" s="37">
        <f t="shared" si="0"/>
        <v>1</v>
      </c>
      <c r="N13" s="12">
        <v>14109</v>
      </c>
      <c r="O13" s="32" t="s">
        <v>50</v>
      </c>
      <c r="P13" s="15" t="s">
        <v>69</v>
      </c>
    </row>
    <row r="14" spans="1:16" ht="12.75">
      <c r="A14" s="14">
        <v>6</v>
      </c>
      <c r="B14" s="11"/>
      <c r="C14" s="19">
        <v>38359</v>
      </c>
      <c r="D14" s="20">
        <v>0.4618055555555556</v>
      </c>
      <c r="E14" s="19">
        <v>38359</v>
      </c>
      <c r="F14" s="20">
        <v>0.4791666666666667</v>
      </c>
      <c r="G14" s="20">
        <v>0.017361111111111112</v>
      </c>
      <c r="H14" s="11" t="s">
        <v>59</v>
      </c>
      <c r="I14" s="11" t="s">
        <v>77</v>
      </c>
      <c r="J14" s="12">
        <v>13.8</v>
      </c>
      <c r="K14" s="67">
        <f>1200/0.96</f>
        <v>1250</v>
      </c>
      <c r="L14" s="67">
        <f>600/0.96</f>
        <v>625</v>
      </c>
      <c r="M14" s="37">
        <f t="shared" si="0"/>
        <v>0.5</v>
      </c>
      <c r="N14" s="12">
        <v>600</v>
      </c>
      <c r="O14" s="32" t="s">
        <v>50</v>
      </c>
      <c r="P14" s="15" t="s">
        <v>78</v>
      </c>
    </row>
    <row r="15" spans="1:16" ht="12.75">
      <c r="A15" s="14">
        <v>9</v>
      </c>
      <c r="B15" s="11"/>
      <c r="C15" s="19">
        <v>38361</v>
      </c>
      <c r="D15" s="20">
        <v>0.8652777777777777</v>
      </c>
      <c r="E15" s="19">
        <v>38361</v>
      </c>
      <c r="F15" s="20">
        <v>0.8715277777777778</v>
      </c>
      <c r="G15" s="20">
        <v>0.00625</v>
      </c>
      <c r="H15" s="11" t="s">
        <v>73</v>
      </c>
      <c r="I15" s="11" t="s">
        <v>65</v>
      </c>
      <c r="J15" s="12">
        <v>69</v>
      </c>
      <c r="K15" s="67">
        <f>23000/0.96</f>
        <v>23958.333333333336</v>
      </c>
      <c r="L15" s="67">
        <f>23000/0.96</f>
        <v>23958.333333333336</v>
      </c>
      <c r="M15" s="37">
        <f t="shared" si="0"/>
        <v>1</v>
      </c>
      <c r="N15" s="12">
        <v>14109</v>
      </c>
      <c r="O15" s="32" t="s">
        <v>50</v>
      </c>
      <c r="P15" s="15" t="s">
        <v>123</v>
      </c>
    </row>
    <row r="16" spans="1:25" ht="12.75">
      <c r="A16" s="52">
        <v>27</v>
      </c>
      <c r="B16" s="53"/>
      <c r="C16" s="54">
        <v>38373</v>
      </c>
      <c r="D16" s="55">
        <v>0.6986111111111111</v>
      </c>
      <c r="E16" s="54">
        <v>38373</v>
      </c>
      <c r="F16" s="55">
        <v>0.75</v>
      </c>
      <c r="G16" s="55">
        <v>0.051388888888888894</v>
      </c>
      <c r="H16" s="53" t="s">
        <v>59</v>
      </c>
      <c r="I16" s="53" t="s">
        <v>98</v>
      </c>
      <c r="J16" s="56">
        <v>13.8</v>
      </c>
      <c r="K16" s="67">
        <f>2500/0.96</f>
        <v>2604.166666666667</v>
      </c>
      <c r="L16" s="67">
        <f>2500/0.96</f>
        <v>2604.166666666667</v>
      </c>
      <c r="M16" s="37">
        <f t="shared" si="0"/>
        <v>1</v>
      </c>
      <c r="N16" s="56">
        <v>2500</v>
      </c>
      <c r="O16" s="56" t="s">
        <v>50</v>
      </c>
      <c r="P16" s="57" t="s">
        <v>99</v>
      </c>
      <c r="Q16" s="5"/>
      <c r="R16" s="5"/>
      <c r="S16" s="41"/>
      <c r="T16" s="44"/>
      <c r="U16" s="44"/>
      <c r="V16" s="45"/>
      <c r="W16" s="41"/>
      <c r="X16" s="41"/>
      <c r="Y16" s="5"/>
    </row>
    <row r="17" spans="1:25" ht="12.75">
      <c r="A17" s="52">
        <v>28</v>
      </c>
      <c r="B17" s="53"/>
      <c r="C17" s="54">
        <v>38374</v>
      </c>
      <c r="D17" s="55">
        <v>0.36319444444444443</v>
      </c>
      <c r="E17" s="54">
        <v>38374</v>
      </c>
      <c r="F17" s="55">
        <v>0.6597222222222222</v>
      </c>
      <c r="G17" s="55">
        <v>0.2965277777777778</v>
      </c>
      <c r="H17" s="53" t="s">
        <v>100</v>
      </c>
      <c r="I17" s="53" t="s">
        <v>101</v>
      </c>
      <c r="J17" s="56">
        <v>13.8</v>
      </c>
      <c r="K17" s="67">
        <f>1200/0.96</f>
        <v>1250</v>
      </c>
      <c r="L17" s="67">
        <f>700/0.96</f>
        <v>729.1666666666667</v>
      </c>
      <c r="M17" s="37">
        <f t="shared" si="0"/>
        <v>0.5833333333333334</v>
      </c>
      <c r="N17" s="56">
        <v>1454</v>
      </c>
      <c r="O17" s="56" t="s">
        <v>50</v>
      </c>
      <c r="P17" s="57" t="s">
        <v>78</v>
      </c>
      <c r="Q17" s="5"/>
      <c r="R17" s="5"/>
      <c r="S17" s="41"/>
      <c r="T17" s="44"/>
      <c r="U17" s="44"/>
      <c r="V17" s="45"/>
      <c r="W17" s="41"/>
      <c r="X17" s="41"/>
      <c r="Y17" s="5"/>
    </row>
    <row r="18" spans="1:25" ht="12.75">
      <c r="A18" s="52">
        <v>30</v>
      </c>
      <c r="B18" s="53"/>
      <c r="C18" s="54">
        <v>38376</v>
      </c>
      <c r="D18" s="55">
        <v>0.8833333333333333</v>
      </c>
      <c r="E18" s="54">
        <v>38376</v>
      </c>
      <c r="F18" s="55">
        <v>0.9944444444444445</v>
      </c>
      <c r="G18" s="55">
        <v>0.1111111111111111</v>
      </c>
      <c r="H18" s="53" t="s">
        <v>73</v>
      </c>
      <c r="I18" s="53" t="s">
        <v>66</v>
      </c>
      <c r="J18" s="56">
        <v>69</v>
      </c>
      <c r="K18" s="67">
        <f>14000/0.96</f>
        <v>14583.333333333334</v>
      </c>
      <c r="L18" s="67">
        <f>14000/0.96</f>
        <v>14583.333333333334</v>
      </c>
      <c r="M18" s="37">
        <f t="shared" si="0"/>
        <v>1</v>
      </c>
      <c r="N18" s="56">
        <v>15746</v>
      </c>
      <c r="O18" s="56" t="s">
        <v>50</v>
      </c>
      <c r="P18" s="57" t="s">
        <v>120</v>
      </c>
      <c r="Q18" s="5"/>
      <c r="R18" s="5"/>
      <c r="S18" s="41"/>
      <c r="T18" s="44"/>
      <c r="U18" s="44"/>
      <c r="V18" s="45"/>
      <c r="W18" s="41"/>
      <c r="X18" s="41"/>
      <c r="Y18" s="5"/>
    </row>
    <row r="19" spans="1:25" ht="12.75">
      <c r="A19" s="52">
        <v>36</v>
      </c>
      <c r="B19" s="53"/>
      <c r="C19" s="54">
        <v>38378</v>
      </c>
      <c r="D19" s="55">
        <v>0.6354166666666666</v>
      </c>
      <c r="E19" s="54">
        <v>38378</v>
      </c>
      <c r="F19" s="55">
        <v>0.6493055555555556</v>
      </c>
      <c r="G19" s="55">
        <v>0.013888888888888888</v>
      </c>
      <c r="H19" s="53" t="s">
        <v>59</v>
      </c>
      <c r="I19" s="53" t="s">
        <v>104</v>
      </c>
      <c r="J19" s="56">
        <v>13.8</v>
      </c>
      <c r="K19" s="67">
        <f>3500/0.96</f>
        <v>3645.8333333333335</v>
      </c>
      <c r="L19" s="67">
        <f>2100/0.96</f>
        <v>2187.5</v>
      </c>
      <c r="M19" s="37">
        <f t="shared" si="0"/>
        <v>0.6</v>
      </c>
      <c r="N19" s="56">
        <v>2147</v>
      </c>
      <c r="O19" s="56" t="s">
        <v>50</v>
      </c>
      <c r="P19" s="57" t="s">
        <v>126</v>
      </c>
      <c r="Q19" s="5"/>
      <c r="R19" s="5"/>
      <c r="S19" s="41"/>
      <c r="T19" s="44"/>
      <c r="U19" s="44"/>
      <c r="V19" s="45"/>
      <c r="W19" s="41"/>
      <c r="X19" s="41"/>
      <c r="Y19" s="5"/>
    </row>
    <row r="20" spans="1:25" ht="12.75">
      <c r="A20" s="52">
        <v>41</v>
      </c>
      <c r="B20" s="53"/>
      <c r="C20" s="54">
        <v>38380</v>
      </c>
      <c r="D20" s="55">
        <v>0.4375</v>
      </c>
      <c r="E20" s="54">
        <v>38380</v>
      </c>
      <c r="F20" s="55">
        <v>0.4479166666666667</v>
      </c>
      <c r="G20" s="55">
        <v>0.006944444444444444</v>
      </c>
      <c r="H20" s="53" t="s">
        <v>59</v>
      </c>
      <c r="I20" s="53" t="s">
        <v>114</v>
      </c>
      <c r="J20" s="56">
        <v>13.8</v>
      </c>
      <c r="K20" s="67">
        <f>800/0.96</f>
        <v>833.3333333333334</v>
      </c>
      <c r="L20" s="67">
        <f>400/0.96</f>
        <v>416.6666666666667</v>
      </c>
      <c r="M20" s="37">
        <f>L20/K20</f>
        <v>0.5</v>
      </c>
      <c r="N20" s="56">
        <v>1500</v>
      </c>
      <c r="O20" s="56" t="s">
        <v>56</v>
      </c>
      <c r="P20" s="57" t="s">
        <v>57</v>
      </c>
      <c r="Q20" s="5"/>
      <c r="R20" s="5"/>
      <c r="S20" s="41"/>
      <c r="T20" s="44"/>
      <c r="U20" s="44"/>
      <c r="V20" s="45"/>
      <c r="W20" s="41"/>
      <c r="X20" s="41"/>
      <c r="Y20" s="5"/>
    </row>
    <row r="21" spans="1:25" ht="12.75">
      <c r="A21" s="52">
        <v>43</v>
      </c>
      <c r="B21" s="53"/>
      <c r="C21" s="54">
        <v>38380</v>
      </c>
      <c r="D21" s="55">
        <v>0.4375</v>
      </c>
      <c r="E21" s="54">
        <v>38380</v>
      </c>
      <c r="F21" s="55">
        <v>0.4479166666666667</v>
      </c>
      <c r="G21" s="55">
        <v>0.006944444444444444</v>
      </c>
      <c r="H21" s="53" t="s">
        <v>59</v>
      </c>
      <c r="I21" s="53" t="s">
        <v>104</v>
      </c>
      <c r="J21" s="56">
        <v>13.8</v>
      </c>
      <c r="K21" s="67">
        <f>3500/0.96</f>
        <v>3645.8333333333335</v>
      </c>
      <c r="L21" s="67">
        <f>2100/0.96</f>
        <v>2187.5</v>
      </c>
      <c r="M21" s="37">
        <f>L21/K21</f>
        <v>0.6</v>
      </c>
      <c r="N21" s="56">
        <v>2147</v>
      </c>
      <c r="O21" s="56" t="s">
        <v>56</v>
      </c>
      <c r="P21" s="57" t="s">
        <v>57</v>
      </c>
      <c r="Q21" s="5"/>
      <c r="R21" s="5"/>
      <c r="S21" s="41"/>
      <c r="T21" s="44"/>
      <c r="U21" s="44"/>
      <c r="V21" s="45"/>
      <c r="W21" s="41"/>
      <c r="X21" s="41"/>
      <c r="Y21" s="5"/>
    </row>
    <row r="22" spans="1:18" ht="12.75">
      <c r="A22" s="14">
        <f aca="true" t="shared" si="1" ref="A22:A27">+A21+1</f>
        <v>44</v>
      </c>
      <c r="B22" s="11"/>
      <c r="C22" s="19">
        <v>38393</v>
      </c>
      <c r="D22" s="20">
        <v>0.044444444444444446</v>
      </c>
      <c r="E22" s="19">
        <v>38393</v>
      </c>
      <c r="F22" s="20">
        <v>0.08333333333333333</v>
      </c>
      <c r="G22" s="20">
        <v>0.03888888888888889</v>
      </c>
      <c r="H22" s="74">
        <v>0.9333333333333333</v>
      </c>
      <c r="I22" s="11" t="s">
        <v>59</v>
      </c>
      <c r="J22" s="11" t="s">
        <v>131</v>
      </c>
      <c r="K22" s="12">
        <v>13.8</v>
      </c>
      <c r="L22" s="78">
        <f>3800/0.96</f>
        <v>3958.3333333333335</v>
      </c>
      <c r="M22" s="78">
        <f>2500/0.96</f>
        <v>2604.166666666667</v>
      </c>
      <c r="N22" s="78">
        <f aca="true" t="shared" si="2" ref="N22:N46">+M22*H22</f>
        <v>2430.5555555555557</v>
      </c>
      <c r="O22" s="37">
        <f aca="true" t="shared" si="3" ref="O22:O46">M22/L22</f>
        <v>0.6578947368421053</v>
      </c>
      <c r="P22" s="12">
        <v>7900</v>
      </c>
      <c r="Q22" s="12" t="s">
        <v>50</v>
      </c>
      <c r="R22" s="15" t="s">
        <v>132</v>
      </c>
    </row>
    <row r="23" spans="1:18" ht="12.75">
      <c r="A23" s="14">
        <f t="shared" si="1"/>
        <v>45</v>
      </c>
      <c r="B23" s="53"/>
      <c r="C23" s="54">
        <v>38401</v>
      </c>
      <c r="D23" s="55">
        <v>0.7569444444444445</v>
      </c>
      <c r="E23" s="54">
        <v>38401</v>
      </c>
      <c r="F23" s="55">
        <v>0.7597222222222223</v>
      </c>
      <c r="G23" s="55">
        <v>0.002777777777777778</v>
      </c>
      <c r="H23" s="76">
        <v>0.06666666666666667</v>
      </c>
      <c r="I23" s="53" t="s">
        <v>133</v>
      </c>
      <c r="J23" s="53" t="s">
        <v>131</v>
      </c>
      <c r="K23" s="56">
        <v>13.8</v>
      </c>
      <c r="L23" s="78">
        <f>3800/0.96</f>
        <v>3958.3333333333335</v>
      </c>
      <c r="M23" s="78">
        <f>3500/0.96</f>
        <v>3645.8333333333335</v>
      </c>
      <c r="N23" s="78">
        <f t="shared" si="2"/>
        <v>243.05555555555557</v>
      </c>
      <c r="O23" s="37">
        <f t="shared" si="3"/>
        <v>0.9210526315789473</v>
      </c>
      <c r="P23" s="56">
        <v>7900</v>
      </c>
      <c r="Q23" s="56" t="s">
        <v>50</v>
      </c>
      <c r="R23" s="57" t="s">
        <v>134</v>
      </c>
    </row>
    <row r="24" spans="1:18" ht="12.75">
      <c r="A24" s="14">
        <f t="shared" si="1"/>
        <v>46</v>
      </c>
      <c r="B24" s="53"/>
      <c r="C24" s="54">
        <v>38405</v>
      </c>
      <c r="D24" s="55">
        <v>0.1840277777777778</v>
      </c>
      <c r="E24" s="54">
        <v>38405</v>
      </c>
      <c r="F24" s="55">
        <v>0.3013888888888889</v>
      </c>
      <c r="G24" s="55">
        <v>0.1173611111111111</v>
      </c>
      <c r="H24" s="76">
        <f>2+0.816666666666667</f>
        <v>2.8166666666666664</v>
      </c>
      <c r="I24" s="53" t="s">
        <v>59</v>
      </c>
      <c r="J24" s="53" t="s">
        <v>135</v>
      </c>
      <c r="K24" s="56">
        <v>13.8</v>
      </c>
      <c r="L24" s="78">
        <f>3500/0.96</f>
        <v>3645.8333333333335</v>
      </c>
      <c r="M24" s="78">
        <f>2000/0.96</f>
        <v>2083.3333333333335</v>
      </c>
      <c r="N24" s="78">
        <f t="shared" si="2"/>
        <v>5868.055555555556</v>
      </c>
      <c r="O24" s="37">
        <f t="shared" si="3"/>
        <v>0.5714285714285714</v>
      </c>
      <c r="P24" s="56">
        <v>5647</v>
      </c>
      <c r="Q24" s="56" t="s">
        <v>50</v>
      </c>
      <c r="R24" s="57" t="s">
        <v>136</v>
      </c>
    </row>
    <row r="25" spans="1:18" ht="12.75">
      <c r="A25" s="14">
        <f t="shared" si="1"/>
        <v>47</v>
      </c>
      <c r="B25" s="53"/>
      <c r="C25" s="54">
        <v>38405</v>
      </c>
      <c r="D25" s="55">
        <v>0.8194444444444445</v>
      </c>
      <c r="E25" s="54">
        <v>38405</v>
      </c>
      <c r="F25" s="55">
        <v>0.8597222222222222</v>
      </c>
      <c r="G25" s="55">
        <v>0.04027777777777778</v>
      </c>
      <c r="H25" s="76">
        <v>0.9666666666666667</v>
      </c>
      <c r="I25" s="53" t="s">
        <v>59</v>
      </c>
      <c r="J25" s="53" t="s">
        <v>135</v>
      </c>
      <c r="K25" s="56">
        <v>13.8</v>
      </c>
      <c r="L25" s="78">
        <f>3500/0.96</f>
        <v>3645.8333333333335</v>
      </c>
      <c r="M25" s="78">
        <f>2760/0.96</f>
        <v>2875</v>
      </c>
      <c r="N25" s="78">
        <f t="shared" si="2"/>
        <v>2779.1666666666665</v>
      </c>
      <c r="O25" s="37">
        <f t="shared" si="3"/>
        <v>0.7885714285714286</v>
      </c>
      <c r="P25" s="56">
        <v>5647</v>
      </c>
      <c r="Q25" s="56" t="s">
        <v>50</v>
      </c>
      <c r="R25" s="57" t="s">
        <v>137</v>
      </c>
    </row>
    <row r="26" spans="1:18" ht="12.75">
      <c r="A26" s="14">
        <f t="shared" si="1"/>
        <v>48</v>
      </c>
      <c r="B26" s="53"/>
      <c r="C26" s="54">
        <v>38405</v>
      </c>
      <c r="D26" s="55">
        <v>0.9236111111111112</v>
      </c>
      <c r="E26" s="54">
        <v>38405</v>
      </c>
      <c r="F26" s="55">
        <v>0.96875</v>
      </c>
      <c r="G26" s="55">
        <v>0.04513888888888889</v>
      </c>
      <c r="H26" s="76">
        <f>1+0.0833333333333333</f>
        <v>1.0833333333333333</v>
      </c>
      <c r="I26" s="53" t="s">
        <v>59</v>
      </c>
      <c r="J26" s="53" t="s">
        <v>135</v>
      </c>
      <c r="K26" s="56">
        <v>13.8</v>
      </c>
      <c r="L26" s="78">
        <f>3500/0.96</f>
        <v>3645.8333333333335</v>
      </c>
      <c r="M26" s="78">
        <f>2300/0.96</f>
        <v>2395.8333333333335</v>
      </c>
      <c r="N26" s="78">
        <f t="shared" si="2"/>
        <v>2595.4861111111113</v>
      </c>
      <c r="O26" s="37">
        <f t="shared" si="3"/>
        <v>0.6571428571428571</v>
      </c>
      <c r="P26" s="56">
        <v>5647</v>
      </c>
      <c r="Q26" s="56" t="s">
        <v>50</v>
      </c>
      <c r="R26" s="57" t="s">
        <v>138</v>
      </c>
    </row>
    <row r="27" spans="1:18" ht="12.75">
      <c r="A27" s="14">
        <f t="shared" si="1"/>
        <v>49</v>
      </c>
      <c r="B27" s="53"/>
      <c r="C27" s="54">
        <v>38428</v>
      </c>
      <c r="D27" s="55">
        <v>0.46875</v>
      </c>
      <c r="E27" s="54">
        <v>38428</v>
      </c>
      <c r="F27" s="55">
        <v>0.47222222222222227</v>
      </c>
      <c r="G27" s="55">
        <v>0.003472222222222222</v>
      </c>
      <c r="H27" s="76">
        <v>0.08333333333333333</v>
      </c>
      <c r="I27" s="53" t="s">
        <v>59</v>
      </c>
      <c r="J27" s="53" t="s">
        <v>114</v>
      </c>
      <c r="K27" s="56">
        <v>13.8</v>
      </c>
      <c r="L27" s="78">
        <f>2000/0.96</f>
        <v>2083.3333333333335</v>
      </c>
      <c r="M27" s="78">
        <f>1100/0.96</f>
        <v>1145.8333333333335</v>
      </c>
      <c r="N27" s="78">
        <f t="shared" si="2"/>
        <v>95.48611111111111</v>
      </c>
      <c r="O27" s="37">
        <f t="shared" si="3"/>
        <v>0.55</v>
      </c>
      <c r="P27" s="56">
        <v>1500</v>
      </c>
      <c r="Q27" s="56" t="s">
        <v>56</v>
      </c>
      <c r="R27" s="57" t="s">
        <v>57</v>
      </c>
    </row>
    <row r="28" spans="1:18" ht="12.75">
      <c r="A28" s="14">
        <v>34</v>
      </c>
      <c r="B28" s="53"/>
      <c r="C28" s="54">
        <v>38436</v>
      </c>
      <c r="D28" s="55">
        <v>0.16666666666666666</v>
      </c>
      <c r="E28" s="54">
        <v>38436</v>
      </c>
      <c r="F28" s="55">
        <v>0.3541666666666667</v>
      </c>
      <c r="G28" s="55">
        <v>0.1875</v>
      </c>
      <c r="H28" s="76">
        <v>4.5</v>
      </c>
      <c r="I28" s="53" t="s">
        <v>59</v>
      </c>
      <c r="J28" s="53" t="s">
        <v>114</v>
      </c>
      <c r="K28" s="56">
        <v>13.8</v>
      </c>
      <c r="L28" s="78">
        <f>2500/0.96</f>
        <v>2604.166666666667</v>
      </c>
      <c r="M28" s="78">
        <f>1300/0.96</f>
        <v>1354.1666666666667</v>
      </c>
      <c r="N28" s="78">
        <f t="shared" si="2"/>
        <v>6093.75</v>
      </c>
      <c r="O28" s="37">
        <f t="shared" si="3"/>
        <v>0.52</v>
      </c>
      <c r="P28" s="56">
        <v>2000</v>
      </c>
      <c r="Q28" s="56" t="s">
        <v>50</v>
      </c>
      <c r="R28" s="57" t="s">
        <v>139</v>
      </c>
    </row>
    <row r="29" spans="1:18" ht="12.75">
      <c r="A29" s="14">
        <v>38</v>
      </c>
      <c r="B29" s="53"/>
      <c r="C29" s="54">
        <v>38437</v>
      </c>
      <c r="D29" s="55">
        <v>0.06388888888888888</v>
      </c>
      <c r="E29" s="54">
        <v>38437</v>
      </c>
      <c r="F29" s="55">
        <v>0.07291666666666667</v>
      </c>
      <c r="G29" s="55">
        <v>0.009027777777777779</v>
      </c>
      <c r="H29" s="76">
        <v>0.21666666666666667</v>
      </c>
      <c r="I29" s="53" t="s">
        <v>129</v>
      </c>
      <c r="J29" s="53" t="s">
        <v>65</v>
      </c>
      <c r="K29" s="56">
        <v>69</v>
      </c>
      <c r="L29" s="78">
        <f>11000/0.96</f>
        <v>11458.333333333334</v>
      </c>
      <c r="M29" s="78">
        <f>11000/0.96</f>
        <v>11458.333333333334</v>
      </c>
      <c r="N29" s="78">
        <f t="shared" si="2"/>
        <v>2482.638888888889</v>
      </c>
      <c r="O29" s="37">
        <f t="shared" si="3"/>
        <v>1</v>
      </c>
      <c r="P29" s="56">
        <v>14109</v>
      </c>
      <c r="Q29" s="56" t="s">
        <v>50</v>
      </c>
      <c r="R29" s="57" t="s">
        <v>140</v>
      </c>
    </row>
    <row r="30" spans="1:18" ht="13.5" thickBot="1">
      <c r="A30" s="66">
        <v>44</v>
      </c>
      <c r="B30" s="16"/>
      <c r="C30" s="29">
        <v>38441</v>
      </c>
      <c r="D30" s="30">
        <v>0.5722222222222222</v>
      </c>
      <c r="E30" s="29">
        <v>38441</v>
      </c>
      <c r="F30" s="30">
        <v>0.5930555555555556</v>
      </c>
      <c r="G30" s="30">
        <v>0.020833333333333332</v>
      </c>
      <c r="H30" s="77">
        <v>0.5</v>
      </c>
      <c r="I30" s="16" t="s">
        <v>59</v>
      </c>
      <c r="J30" s="16" t="s">
        <v>114</v>
      </c>
      <c r="K30" s="17">
        <v>13.8</v>
      </c>
      <c r="L30" s="77">
        <f>3200/0.96</f>
        <v>3333.3333333333335</v>
      </c>
      <c r="M30" s="77">
        <f>2200/0.96</f>
        <v>2291.666666666667</v>
      </c>
      <c r="N30" s="77">
        <f t="shared" si="2"/>
        <v>1145.8333333333335</v>
      </c>
      <c r="O30" s="39">
        <f t="shared" si="3"/>
        <v>0.6875000000000001</v>
      </c>
      <c r="P30" s="17">
        <v>2000</v>
      </c>
      <c r="Q30" s="17" t="s">
        <v>50</v>
      </c>
      <c r="R30" s="18" t="s">
        <v>141</v>
      </c>
    </row>
    <row r="31" spans="1:18" ht="12.75">
      <c r="A31" s="14">
        <v>6</v>
      </c>
      <c r="B31" s="11"/>
      <c r="C31" s="19">
        <v>38450</v>
      </c>
      <c r="D31" s="20">
        <v>0.5569444444444445</v>
      </c>
      <c r="E31" s="19">
        <v>38450</v>
      </c>
      <c r="F31" s="20">
        <v>0.5666666666666667</v>
      </c>
      <c r="G31" s="20">
        <v>0.009722222222222222</v>
      </c>
      <c r="H31" s="74">
        <v>0.23333333333333334</v>
      </c>
      <c r="I31" s="11" t="s">
        <v>59</v>
      </c>
      <c r="J31" s="11" t="s">
        <v>104</v>
      </c>
      <c r="K31" s="12">
        <v>13.8</v>
      </c>
      <c r="L31" s="78">
        <f>2500/0.96</f>
        <v>2604.166666666667</v>
      </c>
      <c r="M31" s="78">
        <f>1200/0.96</f>
        <v>1250</v>
      </c>
      <c r="N31" s="78">
        <f t="shared" si="2"/>
        <v>291.6666666666667</v>
      </c>
      <c r="O31" s="37">
        <f t="shared" si="3"/>
        <v>0.4799999999999999</v>
      </c>
      <c r="P31" s="12">
        <v>5647</v>
      </c>
      <c r="Q31" s="32" t="s">
        <v>50</v>
      </c>
      <c r="R31" s="15" t="s">
        <v>68</v>
      </c>
    </row>
    <row r="32" spans="1:18" ht="12.75">
      <c r="A32" s="52">
        <v>18</v>
      </c>
      <c r="B32" s="53"/>
      <c r="C32" s="54">
        <v>38461</v>
      </c>
      <c r="D32" s="55">
        <v>0.7625</v>
      </c>
      <c r="E32" s="54">
        <v>38461</v>
      </c>
      <c r="F32" s="55">
        <v>0.7777777777777778</v>
      </c>
      <c r="G32" s="55">
        <v>0.015277777777777777</v>
      </c>
      <c r="H32" s="76">
        <v>0.36666666666666664</v>
      </c>
      <c r="I32" s="53" t="s">
        <v>59</v>
      </c>
      <c r="J32" s="53" t="s">
        <v>104</v>
      </c>
      <c r="K32" s="56">
        <v>13.8</v>
      </c>
      <c r="L32" s="78">
        <f>2500/0.96</f>
        <v>2604.166666666667</v>
      </c>
      <c r="M32" s="78">
        <f>1800/0.96</f>
        <v>1875</v>
      </c>
      <c r="N32" s="78">
        <f t="shared" si="2"/>
        <v>687.5</v>
      </c>
      <c r="O32" s="37">
        <f t="shared" si="3"/>
        <v>0.7199999999999999</v>
      </c>
      <c r="P32" s="56">
        <v>5647</v>
      </c>
      <c r="Q32" s="56" t="s">
        <v>50</v>
      </c>
      <c r="R32" s="57" t="s">
        <v>142</v>
      </c>
    </row>
    <row r="33" spans="1:18" ht="12.75">
      <c r="A33" s="52">
        <v>21</v>
      </c>
      <c r="B33" s="53"/>
      <c r="C33" s="54">
        <v>38463</v>
      </c>
      <c r="D33" s="55">
        <v>0.40972222222222227</v>
      </c>
      <c r="E33" s="54">
        <v>38463</v>
      </c>
      <c r="F33" s="55">
        <v>0.4145833333333333</v>
      </c>
      <c r="G33" s="55">
        <v>0.004861111111111111</v>
      </c>
      <c r="H33" s="76">
        <v>0.11666666666666667</v>
      </c>
      <c r="I33" s="53" t="s">
        <v>143</v>
      </c>
      <c r="J33" s="53" t="s">
        <v>98</v>
      </c>
      <c r="K33" s="56">
        <v>13.8</v>
      </c>
      <c r="L33" s="78">
        <f>3500/0.96</f>
        <v>3645.8333333333335</v>
      </c>
      <c r="M33" s="78">
        <f>1800/0.96</f>
        <v>1875</v>
      </c>
      <c r="N33" s="78">
        <f t="shared" si="2"/>
        <v>218.75</v>
      </c>
      <c r="O33" s="37">
        <f t="shared" si="3"/>
        <v>0.5142857142857142</v>
      </c>
      <c r="P33" s="56">
        <v>2500</v>
      </c>
      <c r="Q33" s="56" t="s">
        <v>50</v>
      </c>
      <c r="R33" s="57" t="s">
        <v>122</v>
      </c>
    </row>
    <row r="34" spans="1:18" ht="12.75">
      <c r="A34" s="14">
        <v>4</v>
      </c>
      <c r="B34" s="11"/>
      <c r="C34" s="19">
        <v>38479</v>
      </c>
      <c r="D34" s="20">
        <v>0</v>
      </c>
      <c r="E34" s="19">
        <v>38479</v>
      </c>
      <c r="F34" s="20">
        <v>0.013888888888888888</v>
      </c>
      <c r="G34" s="20">
        <v>0.013888888888888888</v>
      </c>
      <c r="H34" s="74">
        <v>0.3333333333333333</v>
      </c>
      <c r="I34" s="11" t="s">
        <v>59</v>
      </c>
      <c r="J34" s="11" t="s">
        <v>144</v>
      </c>
      <c r="K34" s="12">
        <v>13.8</v>
      </c>
      <c r="L34" s="78">
        <f>2500/0.96</f>
        <v>2604.166666666667</v>
      </c>
      <c r="M34" s="78">
        <f>1700/0.96</f>
        <v>1770.8333333333335</v>
      </c>
      <c r="N34" s="78">
        <f t="shared" si="2"/>
        <v>590.2777777777778</v>
      </c>
      <c r="O34" s="37">
        <f t="shared" si="3"/>
        <v>0.6799999999999999</v>
      </c>
      <c r="P34" s="12">
        <v>3500</v>
      </c>
      <c r="Q34" s="32" t="s">
        <v>50</v>
      </c>
      <c r="R34" s="15" t="s">
        <v>145</v>
      </c>
    </row>
    <row r="35" spans="1:18" ht="12.75">
      <c r="A35" s="14">
        <v>5</v>
      </c>
      <c r="B35" s="11"/>
      <c r="C35" s="19">
        <v>38479</v>
      </c>
      <c r="D35" s="20">
        <v>0.38055555555555554</v>
      </c>
      <c r="E35" s="19">
        <v>38479</v>
      </c>
      <c r="F35" s="20">
        <v>0.40625</v>
      </c>
      <c r="G35" s="20">
        <v>0.03125</v>
      </c>
      <c r="H35" s="74">
        <v>0.75</v>
      </c>
      <c r="I35" s="11" t="s">
        <v>59</v>
      </c>
      <c r="J35" s="11" t="s">
        <v>144</v>
      </c>
      <c r="K35" s="12">
        <v>13.8</v>
      </c>
      <c r="L35" s="78">
        <f>2500/0.96</f>
        <v>2604.166666666667</v>
      </c>
      <c r="M35" s="78">
        <f>1350/0.96</f>
        <v>1406.25</v>
      </c>
      <c r="N35" s="78">
        <f t="shared" si="2"/>
        <v>1054.6875</v>
      </c>
      <c r="O35" s="37">
        <f t="shared" si="3"/>
        <v>0.5399999999999999</v>
      </c>
      <c r="P35" s="12">
        <v>3500</v>
      </c>
      <c r="Q35" s="32" t="s">
        <v>50</v>
      </c>
      <c r="R35" s="15" t="s">
        <v>146</v>
      </c>
    </row>
    <row r="36" spans="1:18" ht="12.75">
      <c r="A36" s="14">
        <v>13</v>
      </c>
      <c r="B36" s="11"/>
      <c r="C36" s="19">
        <v>38488</v>
      </c>
      <c r="D36" s="20">
        <v>0.3159722222222222</v>
      </c>
      <c r="E36" s="19">
        <v>38488</v>
      </c>
      <c r="F36" s="20">
        <v>0.3298611111111111</v>
      </c>
      <c r="G36" s="20">
        <v>0.013888888888888888</v>
      </c>
      <c r="H36" s="74">
        <v>0.3333333333333333</v>
      </c>
      <c r="I36" s="11" t="s">
        <v>100</v>
      </c>
      <c r="J36" s="11" t="s">
        <v>147</v>
      </c>
      <c r="K36" s="12">
        <v>13.8</v>
      </c>
      <c r="L36" s="78">
        <f>500/0.96</f>
        <v>520.8333333333334</v>
      </c>
      <c r="M36" s="78">
        <f>300/0.96</f>
        <v>312.5</v>
      </c>
      <c r="N36" s="78">
        <f t="shared" si="2"/>
        <v>104.16666666666666</v>
      </c>
      <c r="O36" s="37">
        <f t="shared" si="3"/>
        <v>0.6</v>
      </c>
      <c r="P36" s="12">
        <v>500</v>
      </c>
      <c r="Q36" s="12" t="s">
        <v>50</v>
      </c>
      <c r="R36" s="15" t="s">
        <v>148</v>
      </c>
    </row>
    <row r="37" spans="1:18" ht="12.75">
      <c r="A37" s="52">
        <v>15</v>
      </c>
      <c r="B37" s="53"/>
      <c r="C37" s="54">
        <v>38491</v>
      </c>
      <c r="D37" s="58">
        <v>0.2736111111111111</v>
      </c>
      <c r="E37" s="59">
        <v>38491</v>
      </c>
      <c r="F37" s="58">
        <v>0.2951388888888889</v>
      </c>
      <c r="G37" s="58">
        <v>0.02152777777777778</v>
      </c>
      <c r="H37" s="75">
        <v>0.5166666666666667</v>
      </c>
      <c r="I37" s="60" t="s">
        <v>59</v>
      </c>
      <c r="J37" s="60" t="s">
        <v>149</v>
      </c>
      <c r="K37" s="61">
        <v>13.8</v>
      </c>
      <c r="L37" s="78">
        <f>4000/0.96</f>
        <v>4166.666666666667</v>
      </c>
      <c r="M37" s="78">
        <f>2300/0.96</f>
        <v>2395.8333333333335</v>
      </c>
      <c r="N37" s="78">
        <f t="shared" si="2"/>
        <v>1237.8472222222224</v>
      </c>
      <c r="O37" s="37">
        <f t="shared" si="3"/>
        <v>0.575</v>
      </c>
      <c r="P37" s="61">
        <v>9454</v>
      </c>
      <c r="Q37" s="61" t="s">
        <v>50</v>
      </c>
      <c r="R37" s="62" t="s">
        <v>150</v>
      </c>
    </row>
    <row r="38" spans="1:18" ht="12.75">
      <c r="A38" s="52">
        <v>25</v>
      </c>
      <c r="B38" s="53"/>
      <c r="C38" s="54">
        <v>38496</v>
      </c>
      <c r="D38" s="55">
        <v>0.6701388888888888</v>
      </c>
      <c r="E38" s="54">
        <v>38496</v>
      </c>
      <c r="F38" s="55">
        <v>0.6833333333333332</v>
      </c>
      <c r="G38" s="55">
        <v>0.013194444444444444</v>
      </c>
      <c r="H38" s="76">
        <v>0.31666666666666665</v>
      </c>
      <c r="I38" s="53" t="s">
        <v>59</v>
      </c>
      <c r="J38" s="53" t="s">
        <v>144</v>
      </c>
      <c r="K38" s="56">
        <v>13.8</v>
      </c>
      <c r="L38" s="78">
        <f>2500/0.96</f>
        <v>2604.166666666667</v>
      </c>
      <c r="M38" s="78">
        <f>1450/0.96</f>
        <v>1510.4166666666667</v>
      </c>
      <c r="N38" s="78">
        <f t="shared" si="2"/>
        <v>478.2986111111111</v>
      </c>
      <c r="O38" s="37">
        <f t="shared" si="3"/>
        <v>0.58</v>
      </c>
      <c r="P38" s="56">
        <v>3500</v>
      </c>
      <c r="Q38" s="56" t="s">
        <v>50</v>
      </c>
      <c r="R38" s="57" t="s">
        <v>151</v>
      </c>
    </row>
    <row r="39" spans="1:18" ht="12.75">
      <c r="A39" s="52">
        <v>26</v>
      </c>
      <c r="B39" s="53"/>
      <c r="C39" s="54">
        <v>38497</v>
      </c>
      <c r="D39" s="55">
        <v>0.2847222222222222</v>
      </c>
      <c r="E39" s="54">
        <v>38497</v>
      </c>
      <c r="F39" s="55">
        <v>0.3576388888888889</v>
      </c>
      <c r="G39" s="55">
        <v>0.07291666666666667</v>
      </c>
      <c r="H39" s="76">
        <v>1.75</v>
      </c>
      <c r="I39" s="53" t="s">
        <v>59</v>
      </c>
      <c r="J39" s="53" t="s">
        <v>149</v>
      </c>
      <c r="K39" s="56">
        <v>13.8</v>
      </c>
      <c r="L39" s="78">
        <f>4500/0.96</f>
        <v>4687.5</v>
      </c>
      <c r="M39" s="78">
        <f>4000/0.96</f>
        <v>4166.666666666667</v>
      </c>
      <c r="N39" s="78">
        <f t="shared" si="2"/>
        <v>7291.666666666667</v>
      </c>
      <c r="O39" s="37">
        <f t="shared" si="3"/>
        <v>0.888888888888889</v>
      </c>
      <c r="P39" s="56">
        <v>9454</v>
      </c>
      <c r="Q39" s="56" t="s">
        <v>152</v>
      </c>
      <c r="R39" s="57" t="s">
        <v>153</v>
      </c>
    </row>
    <row r="40" spans="1:18" ht="12.75">
      <c r="A40" s="52">
        <v>27</v>
      </c>
      <c r="B40" s="53"/>
      <c r="C40" s="54">
        <v>38497</v>
      </c>
      <c r="D40" s="55">
        <v>0.2847222222222222</v>
      </c>
      <c r="E40" s="54">
        <v>38497</v>
      </c>
      <c r="F40" s="55">
        <v>0.37083333333333335</v>
      </c>
      <c r="G40" s="55">
        <v>0.08611111111111112</v>
      </c>
      <c r="H40" s="76">
        <f>2+0.0666666666666667</f>
        <v>2.066666666666667</v>
      </c>
      <c r="I40" s="53" t="s">
        <v>59</v>
      </c>
      <c r="J40" s="53" t="s">
        <v>154</v>
      </c>
      <c r="K40" s="56">
        <v>13.8</v>
      </c>
      <c r="L40" s="78">
        <f>3600/0.96</f>
        <v>3750</v>
      </c>
      <c r="M40" s="78">
        <f>2500/0.96</f>
        <v>2604.166666666667</v>
      </c>
      <c r="N40" s="78">
        <f t="shared" si="2"/>
        <v>5381.944444444445</v>
      </c>
      <c r="O40" s="37">
        <f t="shared" si="3"/>
        <v>0.6944444444444445</v>
      </c>
      <c r="P40" s="56">
        <v>4736</v>
      </c>
      <c r="Q40" s="56" t="s">
        <v>152</v>
      </c>
      <c r="R40" s="57" t="s">
        <v>153</v>
      </c>
    </row>
    <row r="41" spans="1:18" ht="12.75">
      <c r="A41" s="52">
        <v>31</v>
      </c>
      <c r="B41" s="53"/>
      <c r="C41" s="19">
        <v>38502</v>
      </c>
      <c r="D41" s="20">
        <v>0.2604166666666667</v>
      </c>
      <c r="E41" s="19">
        <v>38502</v>
      </c>
      <c r="F41" s="20">
        <v>0.32083333333333336</v>
      </c>
      <c r="G41" s="20">
        <v>0.06041666666666667</v>
      </c>
      <c r="H41" s="74">
        <f>1+0.45</f>
        <v>1.45</v>
      </c>
      <c r="I41" s="11" t="s">
        <v>59</v>
      </c>
      <c r="J41" s="11" t="s">
        <v>154</v>
      </c>
      <c r="K41" s="12">
        <v>13.8</v>
      </c>
      <c r="L41" s="78">
        <f>3600/0.96</f>
        <v>3750</v>
      </c>
      <c r="M41" s="78">
        <f>1800/0.96</f>
        <v>1875</v>
      </c>
      <c r="N41" s="78">
        <f t="shared" si="2"/>
        <v>2718.75</v>
      </c>
      <c r="O41" s="37">
        <f t="shared" si="3"/>
        <v>0.5</v>
      </c>
      <c r="P41" s="12">
        <v>4737</v>
      </c>
      <c r="Q41" s="12" t="s">
        <v>50</v>
      </c>
      <c r="R41" s="15" t="s">
        <v>155</v>
      </c>
    </row>
    <row r="42" spans="1:18" ht="12.75">
      <c r="A42" s="14">
        <v>6</v>
      </c>
      <c r="B42" s="11"/>
      <c r="C42" s="19">
        <v>38506</v>
      </c>
      <c r="D42" s="20">
        <v>0.32083333333333336</v>
      </c>
      <c r="E42" s="19">
        <v>38506</v>
      </c>
      <c r="F42" s="20">
        <v>0.34861111111111115</v>
      </c>
      <c r="G42" s="20">
        <v>0.02638888888888889</v>
      </c>
      <c r="H42" s="74">
        <v>0.6333333333333333</v>
      </c>
      <c r="I42" s="11" t="s">
        <v>129</v>
      </c>
      <c r="J42" s="11" t="s">
        <v>66</v>
      </c>
      <c r="K42" s="12">
        <v>69</v>
      </c>
      <c r="L42" s="81">
        <f>10400/0.96</f>
        <v>10833.333333333334</v>
      </c>
      <c r="M42" s="81">
        <f>10400/0.96</f>
        <v>10833.333333333334</v>
      </c>
      <c r="N42" s="81">
        <f t="shared" si="2"/>
        <v>6861.111111111111</v>
      </c>
      <c r="O42" s="37">
        <f t="shared" si="3"/>
        <v>1</v>
      </c>
      <c r="P42" s="12">
        <v>15746</v>
      </c>
      <c r="Q42" s="32" t="s">
        <v>50</v>
      </c>
      <c r="R42" s="15" t="s">
        <v>156</v>
      </c>
    </row>
    <row r="43" spans="1:18" ht="12.75">
      <c r="A43" s="52">
        <v>22</v>
      </c>
      <c r="B43" s="53"/>
      <c r="C43" s="54">
        <v>38522</v>
      </c>
      <c r="D43" s="55">
        <v>0.3625</v>
      </c>
      <c r="E43" s="54">
        <v>38522</v>
      </c>
      <c r="F43" s="55">
        <v>0.3909722222222222</v>
      </c>
      <c r="G43" s="55">
        <v>0.02847222222222222</v>
      </c>
      <c r="H43" s="76">
        <v>0.6833333333333333</v>
      </c>
      <c r="I43" s="53" t="s">
        <v>59</v>
      </c>
      <c r="J43" s="53" t="s">
        <v>157</v>
      </c>
      <c r="K43" s="56">
        <v>13.8</v>
      </c>
      <c r="L43" s="81">
        <f>2500/0.96</f>
        <v>2604.166666666667</v>
      </c>
      <c r="M43" s="81">
        <f>1800/0.96</f>
        <v>1875</v>
      </c>
      <c r="N43" s="81">
        <f t="shared" si="2"/>
        <v>1281.25</v>
      </c>
      <c r="O43" s="37">
        <f t="shared" si="3"/>
        <v>0.7199999999999999</v>
      </c>
      <c r="P43" s="56">
        <v>1500</v>
      </c>
      <c r="Q43" s="56" t="s">
        <v>50</v>
      </c>
      <c r="R43" s="11" t="s">
        <v>158</v>
      </c>
    </row>
    <row r="44" spans="1:18" ht="12.75">
      <c r="A44" s="52">
        <v>23</v>
      </c>
      <c r="B44" s="53"/>
      <c r="C44" s="54">
        <v>38523</v>
      </c>
      <c r="D44" s="55">
        <v>0.7291666666666666</v>
      </c>
      <c r="E44" s="54">
        <v>38523</v>
      </c>
      <c r="F44" s="55">
        <v>0.75</v>
      </c>
      <c r="G44" s="55">
        <v>0.020833333333333332</v>
      </c>
      <c r="H44" s="76">
        <v>0.5</v>
      </c>
      <c r="I44" s="53" t="s">
        <v>59</v>
      </c>
      <c r="J44" s="53" t="s">
        <v>104</v>
      </c>
      <c r="K44" s="56">
        <v>13.8</v>
      </c>
      <c r="L44" s="81">
        <f>3500/0.96</f>
        <v>3645.8333333333335</v>
      </c>
      <c r="M44" s="81">
        <f>3000/0.96</f>
        <v>3125</v>
      </c>
      <c r="N44" s="81">
        <f t="shared" si="2"/>
        <v>1562.5</v>
      </c>
      <c r="O44" s="37">
        <f t="shared" si="3"/>
        <v>0.8571428571428571</v>
      </c>
      <c r="P44" s="56">
        <v>2000</v>
      </c>
      <c r="Q44" s="56" t="s">
        <v>50</v>
      </c>
      <c r="R44" s="82" t="s">
        <v>122</v>
      </c>
    </row>
    <row r="45" spans="1:18" ht="12.75">
      <c r="A45" s="52">
        <v>28</v>
      </c>
      <c r="B45" s="53"/>
      <c r="C45" s="19">
        <v>38525</v>
      </c>
      <c r="D45" s="20">
        <v>0.6875</v>
      </c>
      <c r="E45" s="19">
        <v>38525</v>
      </c>
      <c r="F45" s="20">
        <v>0.7131944444444445</v>
      </c>
      <c r="G45" s="20">
        <v>0.025694444444444447</v>
      </c>
      <c r="H45" s="74">
        <v>0.6166666666666667</v>
      </c>
      <c r="I45" s="11" t="s">
        <v>59</v>
      </c>
      <c r="J45" s="11" t="s">
        <v>157</v>
      </c>
      <c r="K45" s="12">
        <v>13.8</v>
      </c>
      <c r="L45" s="81">
        <f>2500/0.96</f>
        <v>2604.166666666667</v>
      </c>
      <c r="M45" s="81">
        <f>1200/0.96</f>
        <v>1250</v>
      </c>
      <c r="N45" s="81">
        <f t="shared" si="2"/>
        <v>770.8333333333334</v>
      </c>
      <c r="O45" s="37">
        <f t="shared" si="3"/>
        <v>0.4799999999999999</v>
      </c>
      <c r="P45" s="12">
        <v>1500</v>
      </c>
      <c r="Q45" s="12" t="s">
        <v>50</v>
      </c>
      <c r="R45" s="15" t="s">
        <v>159</v>
      </c>
    </row>
    <row r="46" spans="1:18" ht="13.5" thickBot="1">
      <c r="A46" s="72">
        <v>32</v>
      </c>
      <c r="B46" s="53"/>
      <c r="C46" s="19">
        <v>38531</v>
      </c>
      <c r="D46" s="20">
        <v>0.3277777777777778</v>
      </c>
      <c r="E46" s="19">
        <v>38529</v>
      </c>
      <c r="F46" s="20">
        <v>0.33888888888888885</v>
      </c>
      <c r="G46" s="20">
        <v>0.011111111111111112</v>
      </c>
      <c r="H46" s="74">
        <v>0.26666666666666666</v>
      </c>
      <c r="I46" s="11" t="s">
        <v>129</v>
      </c>
      <c r="J46" s="11" t="s">
        <v>65</v>
      </c>
      <c r="K46" s="12">
        <v>69</v>
      </c>
      <c r="L46" s="81">
        <f>600/0.96</f>
        <v>625</v>
      </c>
      <c r="M46" s="81">
        <f>400/0.96</f>
        <v>416.6666666666667</v>
      </c>
      <c r="N46" s="81">
        <f t="shared" si="2"/>
        <v>111.11111111111111</v>
      </c>
      <c r="O46" s="37">
        <f t="shared" si="3"/>
        <v>0.6666666666666667</v>
      </c>
      <c r="P46" s="12">
        <v>14109</v>
      </c>
      <c r="Q46" s="12" t="s">
        <v>50</v>
      </c>
      <c r="R46" s="15" t="s">
        <v>160</v>
      </c>
    </row>
    <row r="47" spans="1:18" ht="12.75">
      <c r="A47" s="46">
        <v>1</v>
      </c>
      <c r="B47" s="83"/>
      <c r="C47" s="48">
        <v>38535</v>
      </c>
      <c r="D47" s="49">
        <v>0.3159722222222222</v>
      </c>
      <c r="E47" s="48">
        <v>38535</v>
      </c>
      <c r="F47" s="49">
        <v>0.4381944444444445</v>
      </c>
      <c r="G47" s="49">
        <v>0.12222222222222223</v>
      </c>
      <c r="H47" s="73">
        <f>2+0.933333333333333</f>
        <v>2.9333333333333336</v>
      </c>
      <c r="I47" s="47" t="s">
        <v>161</v>
      </c>
      <c r="J47" s="47" t="s">
        <v>65</v>
      </c>
      <c r="K47" s="50">
        <v>69</v>
      </c>
      <c r="L47" s="78">
        <f>15000/0.96</f>
        <v>15625</v>
      </c>
      <c r="M47" s="78">
        <f>15000/0.96</f>
        <v>15625</v>
      </c>
      <c r="N47" s="78">
        <f>+M47*H47</f>
        <v>45833.333333333336</v>
      </c>
      <c r="O47" s="37">
        <f>M47/L47</f>
        <v>1</v>
      </c>
      <c r="P47" s="50"/>
      <c r="Q47" s="50" t="s">
        <v>50</v>
      </c>
      <c r="R47" s="51" t="s">
        <v>69</v>
      </c>
    </row>
    <row r="48" spans="1:18" ht="12.75">
      <c r="A48" s="14">
        <v>10</v>
      </c>
      <c r="B48" s="11"/>
      <c r="C48" s="19">
        <v>38545</v>
      </c>
      <c r="D48" s="20">
        <v>0.3819444444444444</v>
      </c>
      <c r="E48" s="19">
        <v>38545</v>
      </c>
      <c r="F48" s="20">
        <v>0.4861111111111111</v>
      </c>
      <c r="G48" s="20">
        <v>0.10416666666666667</v>
      </c>
      <c r="H48" s="74">
        <v>2.5</v>
      </c>
      <c r="I48" s="11" t="s">
        <v>59</v>
      </c>
      <c r="J48" s="11" t="s">
        <v>162</v>
      </c>
      <c r="K48" s="12">
        <v>13.8</v>
      </c>
      <c r="L48" s="78">
        <f>1500/0.96</f>
        <v>1562.5</v>
      </c>
      <c r="M48" s="78">
        <f>600/0.96</f>
        <v>625</v>
      </c>
      <c r="N48" s="78">
        <f aca="true" t="shared" si="4" ref="N48:N88">+M48*H48</f>
        <v>1562.5</v>
      </c>
      <c r="O48" s="37">
        <f aca="true" t="shared" si="5" ref="O48:O79">M48/L48</f>
        <v>0.4</v>
      </c>
      <c r="P48" s="12"/>
      <c r="Q48" s="12" t="s">
        <v>152</v>
      </c>
      <c r="R48" s="15" t="s">
        <v>163</v>
      </c>
    </row>
    <row r="49" spans="1:18" ht="12.75">
      <c r="A49" s="14">
        <v>11</v>
      </c>
      <c r="B49" s="11"/>
      <c r="C49" s="19">
        <v>38545</v>
      </c>
      <c r="D49" s="20">
        <v>0.4895833333333333</v>
      </c>
      <c r="E49" s="19">
        <v>38545</v>
      </c>
      <c r="F49" s="20">
        <v>0.4930555555555556</v>
      </c>
      <c r="G49" s="20">
        <v>0.003472222222222222</v>
      </c>
      <c r="H49" s="74">
        <v>0.08333333333333333</v>
      </c>
      <c r="I49" s="11" t="s">
        <v>59</v>
      </c>
      <c r="J49" s="11" t="s">
        <v>164</v>
      </c>
      <c r="K49" s="12">
        <v>13.8</v>
      </c>
      <c r="L49" s="78">
        <f>3500/0.96</f>
        <v>3645.8333333333335</v>
      </c>
      <c r="M49" s="78">
        <f>1600/0.96</f>
        <v>1666.6666666666667</v>
      </c>
      <c r="N49" s="78">
        <f t="shared" si="4"/>
        <v>138.88888888888889</v>
      </c>
      <c r="O49" s="37">
        <f t="shared" si="5"/>
        <v>0.45714285714285713</v>
      </c>
      <c r="P49" s="12"/>
      <c r="Q49" s="12" t="s">
        <v>56</v>
      </c>
      <c r="R49" s="15" t="s">
        <v>57</v>
      </c>
    </row>
    <row r="50" spans="1:18" ht="10.5" customHeight="1">
      <c r="A50" s="14">
        <v>9</v>
      </c>
      <c r="B50" s="11"/>
      <c r="C50" s="19">
        <v>38573</v>
      </c>
      <c r="D50" s="20">
        <v>0.3298611111111111</v>
      </c>
      <c r="E50" s="19">
        <v>38573</v>
      </c>
      <c r="F50" s="20">
        <v>0.3819444444444444</v>
      </c>
      <c r="G50" s="20">
        <v>0.052083333333333336</v>
      </c>
      <c r="H50" s="74">
        <f>1+0.25</f>
        <v>1.25</v>
      </c>
      <c r="I50" s="11" t="s">
        <v>129</v>
      </c>
      <c r="J50" s="11" t="s">
        <v>66</v>
      </c>
      <c r="K50" s="12">
        <v>69</v>
      </c>
      <c r="L50" s="78">
        <f>9390/0.96</f>
        <v>9781.25</v>
      </c>
      <c r="M50" s="78">
        <f>9390/0.96</f>
        <v>9781.25</v>
      </c>
      <c r="N50" s="78">
        <f t="shared" si="4"/>
        <v>12226.5625</v>
      </c>
      <c r="O50" s="37">
        <f t="shared" si="5"/>
        <v>1</v>
      </c>
      <c r="P50" s="12">
        <v>15746</v>
      </c>
      <c r="Q50" s="12" t="s">
        <v>50</v>
      </c>
      <c r="R50" s="15" t="s">
        <v>165</v>
      </c>
    </row>
    <row r="51" spans="1:18" ht="12.75">
      <c r="A51" s="14">
        <v>10</v>
      </c>
      <c r="B51" s="11"/>
      <c r="C51" s="19">
        <v>38573</v>
      </c>
      <c r="D51" s="20">
        <v>0.3298611111111111</v>
      </c>
      <c r="E51" s="19">
        <v>38573</v>
      </c>
      <c r="F51" s="20">
        <v>0.375</v>
      </c>
      <c r="G51" s="20">
        <v>0.04513888888888889</v>
      </c>
      <c r="H51" s="74">
        <f>1+0.0833333333333333</f>
        <v>1.0833333333333333</v>
      </c>
      <c r="I51" s="11" t="s">
        <v>129</v>
      </c>
      <c r="J51" s="11" t="s">
        <v>65</v>
      </c>
      <c r="K51" s="12">
        <v>69</v>
      </c>
      <c r="L51" s="78">
        <f>13500/0.96</f>
        <v>14062.5</v>
      </c>
      <c r="M51" s="78">
        <f>13500/0.96</f>
        <v>14062.5</v>
      </c>
      <c r="N51" s="78">
        <f t="shared" si="4"/>
        <v>15234.374999999998</v>
      </c>
      <c r="O51" s="37">
        <f t="shared" si="5"/>
        <v>1</v>
      </c>
      <c r="P51" s="12">
        <v>14109</v>
      </c>
      <c r="Q51" s="12" t="s">
        <v>50</v>
      </c>
      <c r="R51" s="15" t="s">
        <v>165</v>
      </c>
    </row>
    <row r="52" spans="1:18" ht="12.75">
      <c r="A52" s="52">
        <v>19</v>
      </c>
      <c r="B52" s="53"/>
      <c r="C52" s="54">
        <v>38578</v>
      </c>
      <c r="D52" s="55">
        <v>0.5625</v>
      </c>
      <c r="E52" s="54">
        <v>38578</v>
      </c>
      <c r="F52" s="55">
        <v>0.5729166666666666</v>
      </c>
      <c r="G52" s="55">
        <v>0.010416666666666666</v>
      </c>
      <c r="H52" s="76">
        <v>0.25</v>
      </c>
      <c r="I52" s="53" t="s">
        <v>59</v>
      </c>
      <c r="J52" s="53" t="s">
        <v>104</v>
      </c>
      <c r="K52" s="56">
        <v>13.8</v>
      </c>
      <c r="L52" s="78">
        <f>3500/0.96</f>
        <v>3645.8333333333335</v>
      </c>
      <c r="M52" s="78">
        <f>2300/0.96</f>
        <v>2395.8333333333335</v>
      </c>
      <c r="N52" s="78">
        <f t="shared" si="4"/>
        <v>598.9583333333334</v>
      </c>
      <c r="O52" s="37">
        <f t="shared" si="5"/>
        <v>0.6571428571428571</v>
      </c>
      <c r="P52" s="56">
        <v>2147</v>
      </c>
      <c r="Q52" s="56" t="s">
        <v>50</v>
      </c>
      <c r="R52" s="57" t="s">
        <v>166</v>
      </c>
    </row>
    <row r="53" spans="1:18" ht="12.75">
      <c r="A53" s="52">
        <v>22</v>
      </c>
      <c r="B53" s="53"/>
      <c r="C53" s="54">
        <v>38581</v>
      </c>
      <c r="D53" s="55">
        <v>0.7256944444444445</v>
      </c>
      <c r="E53" s="54">
        <v>38581</v>
      </c>
      <c r="F53" s="55">
        <v>0.6666666666666666</v>
      </c>
      <c r="G53" s="55">
        <v>0.013888888888888888</v>
      </c>
      <c r="H53" s="76">
        <v>0.3333333333333333</v>
      </c>
      <c r="I53" s="53" t="s">
        <v>59</v>
      </c>
      <c r="J53" s="53" t="s">
        <v>104</v>
      </c>
      <c r="K53" s="56">
        <v>13.8</v>
      </c>
      <c r="L53" s="78">
        <f>3500/0.96</f>
        <v>3645.8333333333335</v>
      </c>
      <c r="M53" s="78">
        <f>1000/0.96</f>
        <v>1041.6666666666667</v>
      </c>
      <c r="N53" s="78">
        <f t="shared" si="4"/>
        <v>347.22222222222223</v>
      </c>
      <c r="O53" s="37">
        <f t="shared" si="5"/>
        <v>0.2857142857142857</v>
      </c>
      <c r="P53" s="56">
        <v>2147</v>
      </c>
      <c r="Q53" s="56" t="s">
        <v>50</v>
      </c>
      <c r="R53" s="57" t="s">
        <v>167</v>
      </c>
    </row>
    <row r="54" spans="1:18" ht="12.75">
      <c r="A54" s="72">
        <v>29</v>
      </c>
      <c r="B54" s="53"/>
      <c r="C54" s="19">
        <v>38588</v>
      </c>
      <c r="D54" s="20">
        <v>0.5208333333333334</v>
      </c>
      <c r="E54" s="19">
        <v>38588</v>
      </c>
      <c r="F54" s="20">
        <v>0.53125</v>
      </c>
      <c r="G54" s="20">
        <v>0.010416666666666666</v>
      </c>
      <c r="H54" s="74">
        <v>0.25</v>
      </c>
      <c r="I54" s="11" t="s">
        <v>59</v>
      </c>
      <c r="J54" s="11" t="s">
        <v>114</v>
      </c>
      <c r="K54" s="12">
        <v>13.8</v>
      </c>
      <c r="L54" s="78">
        <f>900/0.96</f>
        <v>937.5</v>
      </c>
      <c r="M54" s="78">
        <v>450</v>
      </c>
      <c r="N54" s="78">
        <f t="shared" si="4"/>
        <v>112.5</v>
      </c>
      <c r="O54" s="37">
        <f t="shared" si="5"/>
        <v>0.48</v>
      </c>
      <c r="P54" s="12">
        <v>2000</v>
      </c>
      <c r="Q54" s="12" t="s">
        <v>56</v>
      </c>
      <c r="R54" s="15" t="s">
        <v>57</v>
      </c>
    </row>
    <row r="55" spans="1:18" ht="12.75">
      <c r="A55" s="72">
        <v>30</v>
      </c>
      <c r="B55" s="53"/>
      <c r="C55" s="19">
        <v>38588</v>
      </c>
      <c r="D55" s="20">
        <v>0.5208333333333334</v>
      </c>
      <c r="E55" s="19">
        <v>38588</v>
      </c>
      <c r="F55" s="20">
        <v>0.5277777777777778</v>
      </c>
      <c r="G55" s="20">
        <v>0.006944444444444444</v>
      </c>
      <c r="H55" s="74">
        <v>0.16666666666666666</v>
      </c>
      <c r="I55" s="11" t="s">
        <v>59</v>
      </c>
      <c r="J55" s="11" t="s">
        <v>104</v>
      </c>
      <c r="K55" s="12">
        <v>13.8</v>
      </c>
      <c r="L55" s="78">
        <f>3500/0.96</f>
        <v>3645.8333333333335</v>
      </c>
      <c r="M55" s="78">
        <f>1600/0.96</f>
        <v>1666.6666666666667</v>
      </c>
      <c r="N55" s="78">
        <f t="shared" si="4"/>
        <v>277.77777777777777</v>
      </c>
      <c r="O55" s="37">
        <f t="shared" si="5"/>
        <v>0.45714285714285713</v>
      </c>
      <c r="P55" s="12">
        <v>2147</v>
      </c>
      <c r="Q55" s="12" t="s">
        <v>56</v>
      </c>
      <c r="R55" s="15" t="s">
        <v>57</v>
      </c>
    </row>
    <row r="56" spans="1:18" ht="12.75">
      <c r="A56" s="72">
        <v>34</v>
      </c>
      <c r="B56" s="53"/>
      <c r="C56" s="19">
        <v>38588</v>
      </c>
      <c r="D56" s="20">
        <v>0.5208333333333334</v>
      </c>
      <c r="E56" s="19">
        <v>38588</v>
      </c>
      <c r="F56" s="20">
        <v>0.5277777777777778</v>
      </c>
      <c r="G56" s="20">
        <v>0.006944444444444444</v>
      </c>
      <c r="H56" s="74">
        <v>0.16666666666666666</v>
      </c>
      <c r="I56" s="11" t="s">
        <v>100</v>
      </c>
      <c r="J56" s="11" t="s">
        <v>55</v>
      </c>
      <c r="K56" s="12">
        <v>13.8</v>
      </c>
      <c r="L56" s="78">
        <f>4000/0.96</f>
        <v>4166.666666666667</v>
      </c>
      <c r="M56" s="78">
        <f>2600/0.96</f>
        <v>2708.3333333333335</v>
      </c>
      <c r="N56" s="78">
        <f t="shared" si="4"/>
        <v>451.3888888888889</v>
      </c>
      <c r="O56" s="37">
        <f t="shared" si="5"/>
        <v>0.65</v>
      </c>
      <c r="P56" s="12">
        <v>7243</v>
      </c>
      <c r="Q56" s="12" t="s">
        <v>56</v>
      </c>
      <c r="R56" s="15" t="s">
        <v>57</v>
      </c>
    </row>
    <row r="57" spans="1:18" ht="12.75">
      <c r="A57" s="52">
        <v>35</v>
      </c>
      <c r="B57" s="53"/>
      <c r="C57" s="19">
        <v>38589</v>
      </c>
      <c r="D57" s="20">
        <v>0.40972222222222227</v>
      </c>
      <c r="E57" s="19">
        <v>38589</v>
      </c>
      <c r="F57" s="20">
        <v>0.43402777777777773</v>
      </c>
      <c r="G57" s="20">
        <v>0.024305555555555556</v>
      </c>
      <c r="H57" s="74">
        <v>0.5833333333333334</v>
      </c>
      <c r="I57" s="11" t="s">
        <v>59</v>
      </c>
      <c r="J57" s="11" t="s">
        <v>168</v>
      </c>
      <c r="K57" s="12">
        <v>13.8</v>
      </c>
      <c r="L57" s="78">
        <f>3500/0.96</f>
        <v>3645.8333333333335</v>
      </c>
      <c r="M57" s="78">
        <f>2000/0.96</f>
        <v>2083.3333333333335</v>
      </c>
      <c r="N57" s="78">
        <f t="shared" si="4"/>
        <v>1215.277777777778</v>
      </c>
      <c r="O57" s="37">
        <f t="shared" si="5"/>
        <v>0.5714285714285714</v>
      </c>
      <c r="P57" s="12">
        <v>4737</v>
      </c>
      <c r="Q57" s="12" t="s">
        <v>50</v>
      </c>
      <c r="R57" s="15" t="s">
        <v>169</v>
      </c>
    </row>
    <row r="58" spans="1:18" ht="12.75">
      <c r="A58" s="14">
        <v>3</v>
      </c>
      <c r="B58" s="11"/>
      <c r="C58" s="19">
        <v>38599</v>
      </c>
      <c r="D58" s="20">
        <v>0.34375</v>
      </c>
      <c r="E58" s="19">
        <v>38599</v>
      </c>
      <c r="F58" s="20">
        <v>0.6597222222222222</v>
      </c>
      <c r="G58" s="20">
        <v>0.3368055555555556</v>
      </c>
      <c r="H58" s="74">
        <f>8+0.0833333333333333</f>
        <v>8.083333333333334</v>
      </c>
      <c r="I58" s="11" t="s">
        <v>161</v>
      </c>
      <c r="J58" s="11" t="s">
        <v>65</v>
      </c>
      <c r="K58" s="12">
        <v>69</v>
      </c>
      <c r="L58" s="78">
        <f>13000/0.96</f>
        <v>13541.666666666668</v>
      </c>
      <c r="M58" s="78">
        <f>13000/0.96</f>
        <v>13541.666666666668</v>
      </c>
      <c r="N58" s="78">
        <f t="shared" si="4"/>
        <v>109461.80555555558</v>
      </c>
      <c r="O58" s="37">
        <f t="shared" si="5"/>
        <v>1</v>
      </c>
      <c r="P58" s="12">
        <v>14109</v>
      </c>
      <c r="Q58" s="32" t="s">
        <v>170</v>
      </c>
      <c r="R58" s="15" t="s">
        <v>171</v>
      </c>
    </row>
    <row r="59" spans="1:18" ht="12.75">
      <c r="A59" s="14">
        <v>5</v>
      </c>
      <c r="B59" s="11"/>
      <c r="C59" s="19">
        <v>38599</v>
      </c>
      <c r="D59" s="20">
        <v>0.34375</v>
      </c>
      <c r="E59" s="19">
        <v>38599</v>
      </c>
      <c r="F59" s="20">
        <v>0.7013888888888888</v>
      </c>
      <c r="G59" s="20">
        <v>0.37847222222222227</v>
      </c>
      <c r="H59" s="74">
        <f>9+0.0833333333333333</f>
        <v>9.083333333333334</v>
      </c>
      <c r="I59" s="11" t="s">
        <v>161</v>
      </c>
      <c r="J59" s="11" t="s">
        <v>66</v>
      </c>
      <c r="K59" s="12">
        <v>69</v>
      </c>
      <c r="L59" s="78">
        <f>9000/0.96</f>
        <v>9375</v>
      </c>
      <c r="M59" s="78">
        <f>9000/0.96</f>
        <v>9375</v>
      </c>
      <c r="N59" s="78">
        <f t="shared" si="4"/>
        <v>85156.25</v>
      </c>
      <c r="O59" s="37">
        <f t="shared" si="5"/>
        <v>1</v>
      </c>
      <c r="P59" s="12">
        <v>15746</v>
      </c>
      <c r="Q59" s="32" t="s">
        <v>170</v>
      </c>
      <c r="R59" s="15" t="s">
        <v>171</v>
      </c>
    </row>
    <row r="60" spans="1:18" ht="12.75">
      <c r="A60" s="14">
        <v>6</v>
      </c>
      <c r="B60" s="11"/>
      <c r="C60" s="19">
        <v>38600</v>
      </c>
      <c r="D60" s="20">
        <v>0.23611111111111113</v>
      </c>
      <c r="E60" s="19">
        <v>38600</v>
      </c>
      <c r="F60" s="20">
        <v>0.2388888888888889</v>
      </c>
      <c r="G60" s="20">
        <v>0.002777777777777778</v>
      </c>
      <c r="H60" s="74">
        <v>0.06666666666666667</v>
      </c>
      <c r="I60" s="11" t="s">
        <v>59</v>
      </c>
      <c r="J60" s="11" t="s">
        <v>114</v>
      </c>
      <c r="K60" s="12">
        <v>13.8</v>
      </c>
      <c r="L60" s="78">
        <f>900/0.96</f>
        <v>937.5</v>
      </c>
      <c r="M60" s="78">
        <f>500/0.96</f>
        <v>520.8333333333334</v>
      </c>
      <c r="N60" s="78">
        <f t="shared" si="4"/>
        <v>34.72222222222222</v>
      </c>
      <c r="O60" s="37">
        <f t="shared" si="5"/>
        <v>0.5555555555555556</v>
      </c>
      <c r="P60" s="12">
        <v>2000</v>
      </c>
      <c r="Q60" s="32" t="s">
        <v>56</v>
      </c>
      <c r="R60" s="15" t="s">
        <v>172</v>
      </c>
    </row>
    <row r="61" spans="1:18" ht="12.75">
      <c r="A61" s="14">
        <v>7</v>
      </c>
      <c r="B61" s="11"/>
      <c r="C61" s="19">
        <v>38600</v>
      </c>
      <c r="D61" s="20">
        <v>0.23611111111111113</v>
      </c>
      <c r="E61" s="19">
        <v>38600</v>
      </c>
      <c r="F61" s="20">
        <v>0.2388888888888889</v>
      </c>
      <c r="G61" s="20">
        <v>0.002777777777777778</v>
      </c>
      <c r="H61" s="74">
        <v>0.06666666666666667</v>
      </c>
      <c r="I61" s="11" t="s">
        <v>59</v>
      </c>
      <c r="J61" s="11" t="s">
        <v>98</v>
      </c>
      <c r="K61" s="12">
        <v>13.8</v>
      </c>
      <c r="L61" s="78">
        <f>2500/0.96</f>
        <v>2604.166666666667</v>
      </c>
      <c r="M61" s="78">
        <f>1800/0.96</f>
        <v>1875</v>
      </c>
      <c r="N61" s="78">
        <f t="shared" si="4"/>
        <v>125</v>
      </c>
      <c r="O61" s="37">
        <f t="shared" si="5"/>
        <v>0.7199999999999999</v>
      </c>
      <c r="P61" s="12">
        <v>2500</v>
      </c>
      <c r="Q61" s="32" t="s">
        <v>56</v>
      </c>
      <c r="R61" s="15" t="s">
        <v>172</v>
      </c>
    </row>
    <row r="62" spans="1:18" ht="12.75">
      <c r="A62" s="14">
        <v>10</v>
      </c>
      <c r="B62" s="11"/>
      <c r="C62" s="19">
        <v>38600</v>
      </c>
      <c r="D62" s="20">
        <v>0.25069444444444444</v>
      </c>
      <c r="E62" s="19">
        <v>38600</v>
      </c>
      <c r="F62" s="20">
        <v>0.2534722222222222</v>
      </c>
      <c r="G62" s="20">
        <v>0.003472222222222222</v>
      </c>
      <c r="H62" s="74">
        <v>0.08333333333333333</v>
      </c>
      <c r="I62" s="11" t="s">
        <v>59</v>
      </c>
      <c r="J62" s="11" t="s">
        <v>114</v>
      </c>
      <c r="K62" s="12">
        <v>13.8</v>
      </c>
      <c r="L62" s="78">
        <f>900/0.96</f>
        <v>937.5</v>
      </c>
      <c r="M62" s="78">
        <f>600/0.96</f>
        <v>625</v>
      </c>
      <c r="N62" s="78">
        <f t="shared" si="4"/>
        <v>52.08333333333333</v>
      </c>
      <c r="O62" s="37">
        <f t="shared" si="5"/>
        <v>0.6666666666666666</v>
      </c>
      <c r="P62" s="12">
        <v>2000</v>
      </c>
      <c r="Q62" s="12" t="s">
        <v>56</v>
      </c>
      <c r="R62" s="15" t="s">
        <v>172</v>
      </c>
    </row>
    <row r="63" spans="1:18" ht="12.75">
      <c r="A63" s="14">
        <v>12</v>
      </c>
      <c r="B63" s="11"/>
      <c r="C63" s="19">
        <v>38600</v>
      </c>
      <c r="D63" s="20">
        <v>0.5569444444444445</v>
      </c>
      <c r="E63" s="19">
        <v>38600</v>
      </c>
      <c r="F63" s="20">
        <v>0.5638888888888889</v>
      </c>
      <c r="G63" s="20">
        <v>0.006944444444444444</v>
      </c>
      <c r="H63" s="74">
        <v>0.16666666666666666</v>
      </c>
      <c r="I63" s="11" t="s">
        <v>161</v>
      </c>
      <c r="J63" s="11" t="s">
        <v>66</v>
      </c>
      <c r="K63" s="12">
        <v>69</v>
      </c>
      <c r="L63" s="78">
        <f>9000/0.96</f>
        <v>9375</v>
      </c>
      <c r="M63" s="78">
        <f>9000/0.96</f>
        <v>9375</v>
      </c>
      <c r="N63" s="78">
        <f t="shared" si="4"/>
        <v>1562.5</v>
      </c>
      <c r="O63" s="37">
        <f t="shared" si="5"/>
        <v>1</v>
      </c>
      <c r="P63" s="12">
        <v>15746</v>
      </c>
      <c r="Q63" s="12" t="s">
        <v>50</v>
      </c>
      <c r="R63" s="15" t="s">
        <v>173</v>
      </c>
    </row>
    <row r="64" spans="1:18" ht="12.75">
      <c r="A64" s="84">
        <v>13</v>
      </c>
      <c r="B64" s="85"/>
      <c r="C64" s="86">
        <v>38601</v>
      </c>
      <c r="D64" s="87">
        <v>0.4263888888888889</v>
      </c>
      <c r="E64" s="86">
        <v>38601</v>
      </c>
      <c r="F64" s="87">
        <v>0.4548611111111111</v>
      </c>
      <c r="G64" s="87">
        <v>0.02847222222222222</v>
      </c>
      <c r="H64" s="78">
        <v>0.6833333333333333</v>
      </c>
      <c r="I64" s="85" t="s">
        <v>161</v>
      </c>
      <c r="J64" s="85" t="s">
        <v>66</v>
      </c>
      <c r="K64" s="32">
        <v>69</v>
      </c>
      <c r="L64" s="78">
        <f>9000/0.96</f>
        <v>9375</v>
      </c>
      <c r="M64" s="78">
        <f>9000/0.96</f>
        <v>9375</v>
      </c>
      <c r="N64" s="78">
        <f t="shared" si="4"/>
        <v>6406.25</v>
      </c>
      <c r="O64" s="37">
        <f t="shared" si="5"/>
        <v>1</v>
      </c>
      <c r="P64" s="32">
        <v>15746</v>
      </c>
      <c r="Q64" s="32" t="s">
        <v>50</v>
      </c>
      <c r="R64" s="88" t="s">
        <v>174</v>
      </c>
    </row>
    <row r="65" spans="1:18" ht="12.75">
      <c r="A65" s="14">
        <v>17</v>
      </c>
      <c r="B65" s="53"/>
      <c r="C65" s="19">
        <v>38602</v>
      </c>
      <c r="D65" s="55">
        <v>0.425</v>
      </c>
      <c r="E65" s="19">
        <v>38602</v>
      </c>
      <c r="F65" s="55">
        <v>0.4270833333333333</v>
      </c>
      <c r="G65" s="55">
        <v>0.0020833333333333333</v>
      </c>
      <c r="H65" s="76">
        <v>0.05</v>
      </c>
      <c r="I65" s="53" t="s">
        <v>59</v>
      </c>
      <c r="J65" s="53" t="s">
        <v>114</v>
      </c>
      <c r="K65" s="56">
        <v>13.8</v>
      </c>
      <c r="L65" s="78">
        <f>900/0.96</f>
        <v>937.5</v>
      </c>
      <c r="M65" s="78">
        <f>600/0.96</f>
        <v>625</v>
      </c>
      <c r="N65" s="78">
        <f t="shared" si="4"/>
        <v>31.25</v>
      </c>
      <c r="O65" s="37">
        <f t="shared" si="5"/>
        <v>0.6666666666666666</v>
      </c>
      <c r="P65" s="56">
        <v>2000</v>
      </c>
      <c r="Q65" s="56" t="s">
        <v>56</v>
      </c>
      <c r="R65" s="57" t="s">
        <v>172</v>
      </c>
    </row>
    <row r="66" spans="1:18" ht="12.75">
      <c r="A66" s="14">
        <v>18</v>
      </c>
      <c r="B66" s="53"/>
      <c r="C66" s="19">
        <v>38602</v>
      </c>
      <c r="D66" s="55">
        <v>0.425</v>
      </c>
      <c r="E66" s="19">
        <v>38602</v>
      </c>
      <c r="F66" s="55">
        <v>0.4270833333333333</v>
      </c>
      <c r="G66" s="55">
        <v>0.0020833333333333333</v>
      </c>
      <c r="H66" s="76">
        <v>0.05</v>
      </c>
      <c r="I66" s="53" t="s">
        <v>59</v>
      </c>
      <c r="J66" s="53" t="s">
        <v>98</v>
      </c>
      <c r="K66" s="56">
        <v>13.8</v>
      </c>
      <c r="L66" s="78">
        <f>2500/0.96</f>
        <v>2604.166666666667</v>
      </c>
      <c r="M66" s="78">
        <f>1500/0.96</f>
        <v>1562.5</v>
      </c>
      <c r="N66" s="78">
        <f t="shared" si="4"/>
        <v>78.125</v>
      </c>
      <c r="O66" s="37">
        <f t="shared" si="5"/>
        <v>0.6</v>
      </c>
      <c r="P66" s="56">
        <v>2500</v>
      </c>
      <c r="Q66" s="56" t="s">
        <v>56</v>
      </c>
      <c r="R66" s="57" t="s">
        <v>172</v>
      </c>
    </row>
    <row r="67" spans="1:18" ht="12.75">
      <c r="A67" s="14">
        <v>20</v>
      </c>
      <c r="B67" s="53"/>
      <c r="C67" s="19">
        <v>38602</v>
      </c>
      <c r="D67" s="55">
        <v>0.4291666666666667</v>
      </c>
      <c r="E67" s="19">
        <v>38602</v>
      </c>
      <c r="F67" s="55">
        <v>0.43472222222222223</v>
      </c>
      <c r="G67" s="55">
        <v>0.005555555555555556</v>
      </c>
      <c r="H67" s="76">
        <v>0.13333333333333333</v>
      </c>
      <c r="I67" s="53" t="s">
        <v>59</v>
      </c>
      <c r="J67" s="53" t="s">
        <v>114</v>
      </c>
      <c r="K67" s="56">
        <v>13.8</v>
      </c>
      <c r="L67" s="78">
        <f>9000/0.96</f>
        <v>9375</v>
      </c>
      <c r="M67" s="78">
        <f>700/0.96</f>
        <v>729.1666666666667</v>
      </c>
      <c r="N67" s="78">
        <f t="shared" si="4"/>
        <v>97.22222222222223</v>
      </c>
      <c r="O67" s="37">
        <f t="shared" si="5"/>
        <v>0.07777777777777778</v>
      </c>
      <c r="P67" s="56">
        <v>2000</v>
      </c>
      <c r="Q67" s="56" t="s">
        <v>56</v>
      </c>
      <c r="R67" s="15" t="s">
        <v>172</v>
      </c>
    </row>
    <row r="68" spans="1:18" ht="12.75">
      <c r="A68" s="52">
        <v>21</v>
      </c>
      <c r="B68" s="53"/>
      <c r="C68" s="19">
        <v>38602</v>
      </c>
      <c r="D68" s="55">
        <v>0.4291666666666667</v>
      </c>
      <c r="E68" s="19">
        <v>38602</v>
      </c>
      <c r="F68" s="55">
        <v>0.43472222222222223</v>
      </c>
      <c r="G68" s="55">
        <v>0.005555555555555556</v>
      </c>
      <c r="H68" s="76">
        <v>0.13333333333333333</v>
      </c>
      <c r="I68" s="53" t="s">
        <v>59</v>
      </c>
      <c r="J68" s="53" t="s">
        <v>98</v>
      </c>
      <c r="K68" s="56">
        <v>13.8</v>
      </c>
      <c r="L68" s="78">
        <f>2500/0.96</f>
        <v>2604.166666666667</v>
      </c>
      <c r="M68" s="78">
        <f>1700/0.96</f>
        <v>1770.8333333333335</v>
      </c>
      <c r="N68" s="78">
        <f t="shared" si="4"/>
        <v>236.11111111111111</v>
      </c>
      <c r="O68" s="37">
        <f t="shared" si="5"/>
        <v>0.6799999999999999</v>
      </c>
      <c r="P68" s="56">
        <v>2500</v>
      </c>
      <c r="Q68" s="56" t="s">
        <v>56</v>
      </c>
      <c r="R68" s="89" t="s">
        <v>172</v>
      </c>
    </row>
    <row r="69" spans="1:18" ht="12.75">
      <c r="A69" s="52">
        <v>24</v>
      </c>
      <c r="B69" s="53"/>
      <c r="C69" s="54">
        <v>38604</v>
      </c>
      <c r="D69" s="55">
        <v>0.6180555555555556</v>
      </c>
      <c r="E69" s="54">
        <v>38604</v>
      </c>
      <c r="F69" s="55">
        <v>0.6284722222222222</v>
      </c>
      <c r="G69" s="55">
        <v>0.010416666666666666</v>
      </c>
      <c r="H69" s="76">
        <v>0.25</v>
      </c>
      <c r="I69" s="53" t="s">
        <v>59</v>
      </c>
      <c r="J69" s="53" t="s">
        <v>175</v>
      </c>
      <c r="K69" s="56">
        <v>69</v>
      </c>
      <c r="L69" s="78">
        <f>8000/0.96</f>
        <v>8333.333333333334</v>
      </c>
      <c r="M69" s="78">
        <f>8000/0.96</f>
        <v>8333.333333333334</v>
      </c>
      <c r="N69" s="78">
        <f t="shared" si="4"/>
        <v>2083.3333333333335</v>
      </c>
      <c r="O69" s="37">
        <f t="shared" si="5"/>
        <v>1</v>
      </c>
      <c r="P69" s="56">
        <v>14109</v>
      </c>
      <c r="Q69" s="56" t="s">
        <v>50</v>
      </c>
      <c r="R69" s="57" t="s">
        <v>176</v>
      </c>
    </row>
    <row r="70" spans="1:18" ht="12.75">
      <c r="A70" s="72">
        <v>35</v>
      </c>
      <c r="B70" s="53"/>
      <c r="C70" s="19">
        <v>38623</v>
      </c>
      <c r="D70" s="20">
        <v>0.4666666666666666</v>
      </c>
      <c r="E70" s="19">
        <v>38623</v>
      </c>
      <c r="F70" s="20">
        <v>0.47222222222222227</v>
      </c>
      <c r="G70" s="20">
        <v>0.005555555555555556</v>
      </c>
      <c r="H70" s="74">
        <v>0.13333333333333333</v>
      </c>
      <c r="I70" s="11" t="s">
        <v>161</v>
      </c>
      <c r="J70" s="11" t="s">
        <v>65</v>
      </c>
      <c r="K70" s="12">
        <v>69</v>
      </c>
      <c r="L70" s="78">
        <f>14000/0.96</f>
        <v>14583.333333333334</v>
      </c>
      <c r="M70" s="78">
        <f>14000/0.96</f>
        <v>14583.333333333334</v>
      </c>
      <c r="N70" s="78">
        <f t="shared" si="4"/>
        <v>1944.4444444444446</v>
      </c>
      <c r="O70" s="37">
        <f t="shared" si="5"/>
        <v>1</v>
      </c>
      <c r="P70" s="12">
        <v>14109</v>
      </c>
      <c r="Q70" s="12" t="s">
        <v>50</v>
      </c>
      <c r="R70" s="15" t="s">
        <v>177</v>
      </c>
    </row>
    <row r="71" spans="1:18" ht="12.75">
      <c r="A71" s="52">
        <v>36</v>
      </c>
      <c r="B71" s="53"/>
      <c r="C71" s="19">
        <v>38623</v>
      </c>
      <c r="D71" s="20">
        <v>0.4666666666666666</v>
      </c>
      <c r="E71" s="19">
        <v>38623</v>
      </c>
      <c r="F71" s="20">
        <v>0.49652777777777773</v>
      </c>
      <c r="G71" s="20">
        <v>0.029861111111111113</v>
      </c>
      <c r="H71" s="74">
        <v>0.7166666666666667</v>
      </c>
      <c r="I71" s="11" t="s">
        <v>59</v>
      </c>
      <c r="J71" s="11" t="s">
        <v>175</v>
      </c>
      <c r="K71" s="12">
        <v>69</v>
      </c>
      <c r="L71" s="78">
        <f>8000/0.96</f>
        <v>8333.333333333334</v>
      </c>
      <c r="M71" s="78">
        <f>8000/0.96</f>
        <v>8333.333333333334</v>
      </c>
      <c r="N71" s="78">
        <f t="shared" si="4"/>
        <v>5972.222222222223</v>
      </c>
      <c r="O71" s="37">
        <f t="shared" si="5"/>
        <v>1</v>
      </c>
      <c r="P71" s="12">
        <v>14109</v>
      </c>
      <c r="Q71" s="12" t="s">
        <v>50</v>
      </c>
      <c r="R71" s="15" t="s">
        <v>178</v>
      </c>
    </row>
    <row r="72" spans="1:18" ht="12.75">
      <c r="A72" s="14">
        <v>5</v>
      </c>
      <c r="B72" s="11"/>
      <c r="C72" s="19">
        <v>38631</v>
      </c>
      <c r="D72" s="20">
        <v>0.2027777777777778</v>
      </c>
      <c r="E72" s="19">
        <v>38631</v>
      </c>
      <c r="F72" s="20">
        <v>0.2222222222222222</v>
      </c>
      <c r="G72" s="20">
        <v>0.019444444444444445</v>
      </c>
      <c r="H72" s="74">
        <v>0.4666666666666667</v>
      </c>
      <c r="I72" s="11" t="s">
        <v>59</v>
      </c>
      <c r="J72" s="11" t="s">
        <v>114</v>
      </c>
      <c r="K72" s="12" t="s">
        <v>179</v>
      </c>
      <c r="L72" s="78">
        <f>840/0.96</f>
        <v>875</v>
      </c>
      <c r="M72" s="78">
        <f>400/0.96</f>
        <v>416.6666666666667</v>
      </c>
      <c r="N72" s="78">
        <f t="shared" si="4"/>
        <v>194.44444444444446</v>
      </c>
      <c r="O72" s="37">
        <f t="shared" si="5"/>
        <v>0.4761904761904762</v>
      </c>
      <c r="P72" s="90">
        <v>2000</v>
      </c>
      <c r="Q72" s="12" t="s">
        <v>50</v>
      </c>
      <c r="R72" s="91" t="s">
        <v>155</v>
      </c>
    </row>
    <row r="73" spans="1:18" ht="12.75">
      <c r="A73" s="84">
        <v>13</v>
      </c>
      <c r="B73" s="85"/>
      <c r="C73" s="86">
        <v>38643</v>
      </c>
      <c r="D73" s="87">
        <v>0.39444444444444443</v>
      </c>
      <c r="E73" s="86">
        <v>38643</v>
      </c>
      <c r="F73" s="87">
        <v>0.4131944444444444</v>
      </c>
      <c r="G73" s="87">
        <v>0.01875</v>
      </c>
      <c r="H73" s="78">
        <v>0.45</v>
      </c>
      <c r="I73" s="85" t="s">
        <v>180</v>
      </c>
      <c r="J73" s="85" t="s">
        <v>65</v>
      </c>
      <c r="K73" s="12">
        <v>69</v>
      </c>
      <c r="L73" s="78">
        <f>14000/0.96</f>
        <v>14583.333333333334</v>
      </c>
      <c r="M73" s="78">
        <f>14000/0.96</f>
        <v>14583.333333333334</v>
      </c>
      <c r="N73" s="78">
        <f t="shared" si="4"/>
        <v>6562.5</v>
      </c>
      <c r="O73" s="37">
        <f t="shared" si="5"/>
        <v>1</v>
      </c>
      <c r="P73" s="92">
        <v>14109</v>
      </c>
      <c r="Q73" s="12" t="s">
        <v>50</v>
      </c>
      <c r="R73" s="93" t="s">
        <v>166</v>
      </c>
    </row>
    <row r="74" spans="1:18" ht="12.75">
      <c r="A74" s="14">
        <v>18</v>
      </c>
      <c r="B74" s="53"/>
      <c r="C74" s="19">
        <v>38646</v>
      </c>
      <c r="D74" s="55">
        <v>0.7395833333333334</v>
      </c>
      <c r="E74" s="19">
        <v>38646</v>
      </c>
      <c r="F74" s="55">
        <v>0.7652777777777778</v>
      </c>
      <c r="G74" s="55">
        <v>0.025694444444444447</v>
      </c>
      <c r="H74" s="76">
        <v>0.6166666666666667</v>
      </c>
      <c r="I74" s="53" t="s">
        <v>59</v>
      </c>
      <c r="J74" s="53" t="s">
        <v>104</v>
      </c>
      <c r="K74" s="12" t="s">
        <v>179</v>
      </c>
      <c r="L74" s="78">
        <f>3500/0.96</f>
        <v>3645.8333333333335</v>
      </c>
      <c r="M74" s="78">
        <f>3000/0.96</f>
        <v>3125</v>
      </c>
      <c r="N74" s="78">
        <f t="shared" si="4"/>
        <v>1927.0833333333335</v>
      </c>
      <c r="O74" s="37">
        <f t="shared" si="5"/>
        <v>0.8571428571428571</v>
      </c>
      <c r="P74" s="94">
        <v>2147</v>
      </c>
      <c r="Q74" s="12" t="s">
        <v>50</v>
      </c>
      <c r="R74" s="95" t="s">
        <v>68</v>
      </c>
    </row>
    <row r="75" spans="1:18" ht="12.75">
      <c r="A75" s="52">
        <v>21</v>
      </c>
      <c r="B75" s="53"/>
      <c r="C75" s="54">
        <v>38654</v>
      </c>
      <c r="D75" s="55">
        <v>0.45</v>
      </c>
      <c r="E75" s="54">
        <v>38654</v>
      </c>
      <c r="F75" s="55">
        <v>0.47361111111111115</v>
      </c>
      <c r="G75" s="55">
        <v>0.02361111111111111</v>
      </c>
      <c r="H75" s="76">
        <v>0.5666666666666667</v>
      </c>
      <c r="I75" s="53" t="s">
        <v>180</v>
      </c>
      <c r="J75" s="53" t="s">
        <v>66</v>
      </c>
      <c r="K75" s="12">
        <v>69</v>
      </c>
      <c r="L75" s="78">
        <f>14000/0.96</f>
        <v>14583.333333333334</v>
      </c>
      <c r="M75" s="78">
        <f>14000/0.96</f>
        <v>14583.333333333334</v>
      </c>
      <c r="N75" s="78">
        <f t="shared" si="4"/>
        <v>8263.888888888889</v>
      </c>
      <c r="O75" s="37">
        <f t="shared" si="5"/>
        <v>1</v>
      </c>
      <c r="P75" s="94">
        <v>15746</v>
      </c>
      <c r="Q75" s="12" t="s">
        <v>50</v>
      </c>
      <c r="R75" s="96" t="s">
        <v>181</v>
      </c>
    </row>
    <row r="76" spans="1:18" ht="12.75">
      <c r="A76" s="14">
        <v>4</v>
      </c>
      <c r="B76" s="11"/>
      <c r="C76" s="19">
        <v>38662</v>
      </c>
      <c r="D76" s="20">
        <v>0.611111111111111</v>
      </c>
      <c r="E76" s="19">
        <v>38662</v>
      </c>
      <c r="F76" s="20">
        <v>0.6319444444444444</v>
      </c>
      <c r="G76" s="20">
        <v>0.020833333333333332</v>
      </c>
      <c r="H76" s="74">
        <v>0.5</v>
      </c>
      <c r="I76" s="11" t="s">
        <v>100</v>
      </c>
      <c r="J76" s="11" t="s">
        <v>182</v>
      </c>
      <c r="K76" s="12" t="s">
        <v>179</v>
      </c>
      <c r="L76" s="78">
        <f>600/0.96</f>
        <v>625</v>
      </c>
      <c r="M76" s="78">
        <f>300/0.96</f>
        <v>312.5</v>
      </c>
      <c r="N76" s="78">
        <f t="shared" si="4"/>
        <v>156.25</v>
      </c>
      <c r="O76" s="37">
        <f t="shared" si="5"/>
        <v>0.5</v>
      </c>
      <c r="P76" s="90">
        <v>800</v>
      </c>
      <c r="Q76" s="12" t="s">
        <v>183</v>
      </c>
      <c r="R76" s="91" t="s">
        <v>184</v>
      </c>
    </row>
    <row r="77" spans="1:18" ht="12.75">
      <c r="A77" s="14">
        <v>9</v>
      </c>
      <c r="B77" s="11"/>
      <c r="C77" s="19">
        <v>38663</v>
      </c>
      <c r="D77" s="20">
        <v>0.7916666666666666</v>
      </c>
      <c r="E77" s="19">
        <v>38663</v>
      </c>
      <c r="F77" s="20">
        <v>0.8027777777777777</v>
      </c>
      <c r="G77" s="20">
        <v>0.011111111111111112</v>
      </c>
      <c r="H77" s="74">
        <v>0.26666666666666666</v>
      </c>
      <c r="I77" s="11" t="s">
        <v>100</v>
      </c>
      <c r="J77" s="11" t="s">
        <v>182</v>
      </c>
      <c r="K77" s="12" t="s">
        <v>179</v>
      </c>
      <c r="L77" s="78">
        <f>600/0.96</f>
        <v>625</v>
      </c>
      <c r="M77" s="78">
        <f>600/0.96</f>
        <v>625</v>
      </c>
      <c r="N77" s="78">
        <f t="shared" si="4"/>
        <v>166.66666666666666</v>
      </c>
      <c r="O77" s="37">
        <f t="shared" si="5"/>
        <v>1</v>
      </c>
      <c r="P77" s="90">
        <v>1454</v>
      </c>
      <c r="Q77" s="12" t="s">
        <v>183</v>
      </c>
      <c r="R77" s="91" t="s">
        <v>122</v>
      </c>
    </row>
    <row r="78" spans="1:18" ht="12.75">
      <c r="A78" s="14">
        <v>16</v>
      </c>
      <c r="B78" s="53"/>
      <c r="C78" s="19">
        <v>38674</v>
      </c>
      <c r="D78" s="55">
        <v>0.18333333333333335</v>
      </c>
      <c r="E78" s="19">
        <v>38674</v>
      </c>
      <c r="F78" s="55">
        <v>0.18888888888888888</v>
      </c>
      <c r="G78" s="55">
        <v>0.005555555555555556</v>
      </c>
      <c r="H78" s="76">
        <v>0.13333333333333333</v>
      </c>
      <c r="I78" s="53" t="s">
        <v>129</v>
      </c>
      <c r="J78" s="53" t="s">
        <v>66</v>
      </c>
      <c r="K78" s="12">
        <v>69</v>
      </c>
      <c r="L78" s="78">
        <f>15000/0.96</f>
        <v>15625</v>
      </c>
      <c r="M78" s="78">
        <f>15000/0.96</f>
        <v>15625</v>
      </c>
      <c r="N78" s="78">
        <f t="shared" si="4"/>
        <v>2083.3333333333335</v>
      </c>
      <c r="O78" s="37">
        <f t="shared" si="5"/>
        <v>1</v>
      </c>
      <c r="P78" s="94">
        <v>15746</v>
      </c>
      <c r="Q78" s="12" t="s">
        <v>183</v>
      </c>
      <c r="R78" s="91" t="s">
        <v>185</v>
      </c>
    </row>
    <row r="79" spans="1:18" ht="12.75">
      <c r="A79" s="14">
        <v>3</v>
      </c>
      <c r="B79" s="11"/>
      <c r="C79" s="86">
        <v>38689</v>
      </c>
      <c r="D79" s="87">
        <v>0.6666666666666666</v>
      </c>
      <c r="E79" s="86">
        <v>38689</v>
      </c>
      <c r="F79" s="20">
        <v>0.6965277777777777</v>
      </c>
      <c r="G79" s="20">
        <v>0.029861111111111113</v>
      </c>
      <c r="H79" s="74">
        <v>0.7166666666666667</v>
      </c>
      <c r="I79" s="11" t="s">
        <v>59</v>
      </c>
      <c r="J79" s="11" t="s">
        <v>186</v>
      </c>
      <c r="K79" s="12" t="s">
        <v>179</v>
      </c>
      <c r="L79" s="78">
        <f>900/0.96</f>
        <v>937.5</v>
      </c>
      <c r="M79" s="78">
        <f>400/0.96</f>
        <v>416.6666666666667</v>
      </c>
      <c r="N79" s="78">
        <f t="shared" si="4"/>
        <v>298.61111111111114</v>
      </c>
      <c r="O79" s="37">
        <f t="shared" si="5"/>
        <v>0.4444444444444445</v>
      </c>
      <c r="P79" s="90">
        <v>2000</v>
      </c>
      <c r="Q79" s="12" t="s">
        <v>56</v>
      </c>
      <c r="R79" s="91" t="s">
        <v>57</v>
      </c>
    </row>
    <row r="80" spans="1:18" ht="12.75">
      <c r="A80" s="14">
        <v>4</v>
      </c>
      <c r="B80" s="11"/>
      <c r="C80" s="86">
        <v>38689</v>
      </c>
      <c r="D80" s="87">
        <v>0.6666666666666666</v>
      </c>
      <c r="E80" s="86">
        <v>38689</v>
      </c>
      <c r="F80" s="20">
        <v>0.6965277777777777</v>
      </c>
      <c r="G80" s="20">
        <v>0.029861111111111113</v>
      </c>
      <c r="H80" s="74">
        <v>0.7166666666666667</v>
      </c>
      <c r="I80" s="11" t="s">
        <v>59</v>
      </c>
      <c r="J80" s="11" t="s">
        <v>187</v>
      </c>
      <c r="K80" s="12" t="s">
        <v>179</v>
      </c>
      <c r="L80" s="78">
        <f>2500/0.96</f>
        <v>2604.166666666667</v>
      </c>
      <c r="M80" s="78">
        <f>1800/0.96</f>
        <v>1875</v>
      </c>
      <c r="N80" s="78">
        <f t="shared" si="4"/>
        <v>1343.75</v>
      </c>
      <c r="O80" s="37">
        <f>M80/L80</f>
        <v>0.7199999999999999</v>
      </c>
      <c r="P80" s="90">
        <v>2500</v>
      </c>
      <c r="Q80" s="12" t="s">
        <v>56</v>
      </c>
      <c r="R80" s="91" t="s">
        <v>57</v>
      </c>
    </row>
    <row r="81" spans="1:18" ht="12.75">
      <c r="A81" s="14">
        <v>12</v>
      </c>
      <c r="B81" s="11"/>
      <c r="C81" s="19">
        <v>38693</v>
      </c>
      <c r="D81" s="20">
        <v>0.3013888888888889</v>
      </c>
      <c r="E81" s="19">
        <v>38693</v>
      </c>
      <c r="F81" s="20">
        <v>0.3125</v>
      </c>
      <c r="G81" s="20">
        <v>0.011111111111111112</v>
      </c>
      <c r="H81" s="74">
        <v>0.26666666666666666</v>
      </c>
      <c r="I81" s="11" t="s">
        <v>129</v>
      </c>
      <c r="J81" s="11" t="s">
        <v>66</v>
      </c>
      <c r="K81" s="12">
        <v>69</v>
      </c>
      <c r="L81" s="78">
        <f>16000/0.96</f>
        <v>16666.666666666668</v>
      </c>
      <c r="M81" s="78">
        <f>16000/0.96</f>
        <v>16666.666666666668</v>
      </c>
      <c r="N81" s="78">
        <f t="shared" si="4"/>
        <v>4444.444444444444</v>
      </c>
      <c r="O81" s="37">
        <f aca="true" t="shared" si="6" ref="O81:O87">M81/L81</f>
        <v>1</v>
      </c>
      <c r="P81" s="90">
        <v>15747</v>
      </c>
      <c r="Q81" s="12" t="s">
        <v>183</v>
      </c>
      <c r="R81" s="91" t="s">
        <v>188</v>
      </c>
    </row>
    <row r="82" spans="1:18" ht="12.75">
      <c r="A82" s="14">
        <v>13</v>
      </c>
      <c r="B82" s="11"/>
      <c r="C82" s="19">
        <v>38695</v>
      </c>
      <c r="D82" s="20">
        <v>0.3923611111111111</v>
      </c>
      <c r="E82" s="19">
        <v>38695</v>
      </c>
      <c r="F82" s="20">
        <v>0.6180555555555556</v>
      </c>
      <c r="G82" s="20">
        <v>0.22569444444444445</v>
      </c>
      <c r="H82" s="74">
        <f>5+0.416666666666667</f>
        <v>5.416666666666667</v>
      </c>
      <c r="I82" s="11" t="s">
        <v>100</v>
      </c>
      <c r="J82" s="11" t="s">
        <v>189</v>
      </c>
      <c r="K82" s="12" t="s">
        <v>179</v>
      </c>
      <c r="L82" s="78">
        <f>700/0.96</f>
        <v>729.1666666666667</v>
      </c>
      <c r="M82" s="78">
        <f>400/0.96</f>
        <v>416.6666666666667</v>
      </c>
      <c r="N82" s="78">
        <f t="shared" si="4"/>
        <v>2256.944444444445</v>
      </c>
      <c r="O82" s="37">
        <f t="shared" si="6"/>
        <v>0.5714285714285714</v>
      </c>
      <c r="P82" s="90">
        <v>800</v>
      </c>
      <c r="Q82" s="12" t="s">
        <v>183</v>
      </c>
      <c r="R82" s="91" t="s">
        <v>110</v>
      </c>
    </row>
    <row r="83" spans="1:18" ht="12.75">
      <c r="A83" s="84">
        <v>16</v>
      </c>
      <c r="B83" s="85"/>
      <c r="C83" s="86">
        <v>38699</v>
      </c>
      <c r="D83" s="87">
        <v>0.3888888888888889</v>
      </c>
      <c r="E83" s="86">
        <v>38699</v>
      </c>
      <c r="F83" s="87">
        <v>0.638888888888889</v>
      </c>
      <c r="G83" s="87">
        <v>0.25</v>
      </c>
      <c r="H83" s="78">
        <v>6</v>
      </c>
      <c r="I83" s="85" t="s">
        <v>100</v>
      </c>
      <c r="J83" s="85" t="s">
        <v>189</v>
      </c>
      <c r="K83" s="12" t="s">
        <v>179</v>
      </c>
      <c r="L83" s="78">
        <f>700/0.96</f>
        <v>729.1666666666667</v>
      </c>
      <c r="M83" s="78">
        <f>400/0.96</f>
        <v>416.6666666666667</v>
      </c>
      <c r="N83" s="78">
        <f t="shared" si="4"/>
        <v>2500</v>
      </c>
      <c r="O83" s="37">
        <f t="shared" si="6"/>
        <v>0.5714285714285714</v>
      </c>
      <c r="P83" s="92">
        <v>800</v>
      </c>
      <c r="Q83" s="12" t="s">
        <v>183</v>
      </c>
      <c r="R83" s="93" t="s">
        <v>190</v>
      </c>
    </row>
    <row r="84" spans="1:18" ht="12.75">
      <c r="A84" s="52">
        <v>17</v>
      </c>
      <c r="B84" s="53"/>
      <c r="C84" s="86">
        <v>38704</v>
      </c>
      <c r="D84" s="20">
        <v>0.3125</v>
      </c>
      <c r="E84" s="86">
        <v>38704</v>
      </c>
      <c r="F84" s="20">
        <v>0.3875</v>
      </c>
      <c r="G84" s="20">
        <v>0.075</v>
      </c>
      <c r="H84" s="74">
        <f>1+0.8</f>
        <v>1.8</v>
      </c>
      <c r="I84" s="11" t="s">
        <v>59</v>
      </c>
      <c r="J84" s="11" t="s">
        <v>104</v>
      </c>
      <c r="K84" s="12" t="s">
        <v>179</v>
      </c>
      <c r="L84" s="78">
        <f>3500/0.96</f>
        <v>3645.8333333333335</v>
      </c>
      <c r="M84" s="78">
        <f>2100/0.96</f>
        <v>2187.5</v>
      </c>
      <c r="N84" s="78">
        <f t="shared" si="4"/>
        <v>3937.5</v>
      </c>
      <c r="O84" s="37">
        <f t="shared" si="6"/>
        <v>0.6</v>
      </c>
      <c r="P84" s="90">
        <v>2147</v>
      </c>
      <c r="Q84" s="12" t="s">
        <v>183</v>
      </c>
      <c r="R84" s="91" t="s">
        <v>68</v>
      </c>
    </row>
    <row r="85" spans="1:18" ht="12.75">
      <c r="A85" s="52">
        <v>27</v>
      </c>
      <c r="B85" s="53"/>
      <c r="C85" s="54">
        <v>38712</v>
      </c>
      <c r="D85" s="55">
        <v>0.125</v>
      </c>
      <c r="E85" s="54">
        <v>38712</v>
      </c>
      <c r="F85" s="55">
        <v>0.3819444444444444</v>
      </c>
      <c r="G85" s="55">
        <v>0.2569444444444445</v>
      </c>
      <c r="H85" s="76">
        <f>6+0.166666666666667</f>
        <v>6.166666666666667</v>
      </c>
      <c r="I85" s="53" t="s">
        <v>129</v>
      </c>
      <c r="J85" s="53" t="s">
        <v>66</v>
      </c>
      <c r="K85" s="12" t="s">
        <v>179</v>
      </c>
      <c r="L85" s="78">
        <f>14000/0.96</f>
        <v>14583.333333333334</v>
      </c>
      <c r="M85" s="78">
        <f>14000/0.96</f>
        <v>14583.333333333334</v>
      </c>
      <c r="N85" s="78">
        <f t="shared" si="4"/>
        <v>89930.55555555556</v>
      </c>
      <c r="O85" s="37">
        <f t="shared" si="6"/>
        <v>1</v>
      </c>
      <c r="P85" s="94">
        <v>15747</v>
      </c>
      <c r="Q85" s="12" t="s">
        <v>183</v>
      </c>
      <c r="R85" s="96" t="s">
        <v>191</v>
      </c>
    </row>
    <row r="86" spans="1:18" ht="12.75">
      <c r="A86" s="52">
        <v>30</v>
      </c>
      <c r="B86" s="53"/>
      <c r="C86" s="54">
        <v>38713</v>
      </c>
      <c r="D86" s="55">
        <v>0.009722222222222222</v>
      </c>
      <c r="E86" s="54">
        <v>38713</v>
      </c>
      <c r="F86" s="55">
        <v>0.3590277777777778</v>
      </c>
      <c r="G86" s="55">
        <v>0.36319444444444443</v>
      </c>
      <c r="H86" s="76">
        <f>8+0.716666666666667</f>
        <v>8.716666666666667</v>
      </c>
      <c r="I86" s="53" t="s">
        <v>59</v>
      </c>
      <c r="J86" s="53" t="s">
        <v>104</v>
      </c>
      <c r="K86" s="12" t="s">
        <v>179</v>
      </c>
      <c r="L86" s="78">
        <f>3500/0.96</f>
        <v>3645.8333333333335</v>
      </c>
      <c r="M86" s="78">
        <f>1800/0.96</f>
        <v>1875</v>
      </c>
      <c r="N86" s="78">
        <f t="shared" si="4"/>
        <v>16343.75</v>
      </c>
      <c r="O86" s="37">
        <f t="shared" si="6"/>
        <v>0.5142857142857142</v>
      </c>
      <c r="P86" s="94">
        <v>2147</v>
      </c>
      <c r="Q86" s="12" t="s">
        <v>183</v>
      </c>
      <c r="R86" s="96" t="s">
        <v>11</v>
      </c>
    </row>
    <row r="87" spans="1:18" ht="12.75">
      <c r="A87" s="52">
        <v>31</v>
      </c>
      <c r="B87" s="53"/>
      <c r="C87" s="54">
        <v>38713</v>
      </c>
      <c r="D87" s="55">
        <v>0.3819444444444444</v>
      </c>
      <c r="E87" s="54">
        <v>38713</v>
      </c>
      <c r="F87" s="55">
        <v>0.4125</v>
      </c>
      <c r="G87" s="55">
        <v>0.030555555555555555</v>
      </c>
      <c r="H87" s="76">
        <v>0.7333333333333333</v>
      </c>
      <c r="I87" s="53" t="s">
        <v>59</v>
      </c>
      <c r="J87" s="53" t="s">
        <v>104</v>
      </c>
      <c r="K87" s="12" t="s">
        <v>179</v>
      </c>
      <c r="L87" s="78">
        <f>3500/0.96</f>
        <v>3645.8333333333335</v>
      </c>
      <c r="M87" s="78">
        <f>1900/0.96</f>
        <v>1979.1666666666667</v>
      </c>
      <c r="N87" s="78">
        <f t="shared" si="4"/>
        <v>1451.388888888889</v>
      </c>
      <c r="O87" s="37">
        <f t="shared" si="6"/>
        <v>0.5428571428571428</v>
      </c>
      <c r="P87" s="94">
        <v>2147</v>
      </c>
      <c r="Q87" s="12" t="s">
        <v>183</v>
      </c>
      <c r="R87" s="96" t="s">
        <v>192</v>
      </c>
    </row>
    <row r="88" spans="1:18" ht="12.75">
      <c r="A88" s="52">
        <v>32</v>
      </c>
      <c r="B88" s="53"/>
      <c r="C88" s="54">
        <v>38713</v>
      </c>
      <c r="D88" s="55">
        <v>0.39444444444444443</v>
      </c>
      <c r="E88" s="54">
        <v>38713</v>
      </c>
      <c r="F88" s="55">
        <v>0.46527777777777773</v>
      </c>
      <c r="G88" s="55">
        <v>0.07083333333333333</v>
      </c>
      <c r="H88" s="76">
        <f>1+0.7</f>
        <v>1.7</v>
      </c>
      <c r="I88" s="53" t="s">
        <v>100</v>
      </c>
      <c r="J88" s="53" t="s">
        <v>189</v>
      </c>
      <c r="K88" s="12" t="s">
        <v>179</v>
      </c>
      <c r="L88" s="78">
        <f>700/0.96</f>
        <v>729.1666666666667</v>
      </c>
      <c r="M88" s="78">
        <f>350/0.96</f>
        <v>364.58333333333337</v>
      </c>
      <c r="N88" s="78">
        <f t="shared" si="4"/>
        <v>619.7916666666667</v>
      </c>
      <c r="O88" s="37">
        <f>M88/L88</f>
        <v>0.5</v>
      </c>
      <c r="P88" s="94">
        <v>800</v>
      </c>
      <c r="Q88" s="12" t="s">
        <v>183</v>
      </c>
      <c r="R88" s="96" t="s">
        <v>193</v>
      </c>
    </row>
  </sheetData>
  <printOptions/>
  <pageMargins left="0.75" right="0.75" top="0.68" bottom="1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Jose Guerrero</dc:creator>
  <cp:keywords/>
  <dc:description/>
  <cp:lastModifiedBy>wx</cp:lastModifiedBy>
  <cp:lastPrinted>2005-02-04T15:21:52Z</cp:lastPrinted>
  <dcterms:created xsi:type="dcterms:W3CDTF">2002-06-17T19:37:36Z</dcterms:created>
  <dcterms:modified xsi:type="dcterms:W3CDTF">2006-09-27T21:52:02Z</dcterms:modified>
  <cp:category/>
  <cp:version/>
  <cp:contentType/>
  <cp:contentStatus/>
</cp:coreProperties>
</file>