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45" windowWidth="15195" windowHeight="8445" tabRatio="863" firstSheet="1" activeTab="9"/>
  </bookViews>
  <sheets>
    <sheet name="Act.fijos detalle" sheetId="1" r:id="rId1"/>
    <sheet name="Act.fijos resumen" sheetId="2" r:id="rId2"/>
    <sheet name="Capital d trabajo" sheetId="3" r:id="rId3"/>
    <sheet name="Inversión" sheetId="4" r:id="rId4"/>
    <sheet name="Supstos" sheetId="5" r:id="rId5"/>
    <sheet name="T.Amort" sheetId="6" r:id="rId6"/>
    <sheet name="Costos" sheetId="7" r:id="rId7"/>
    <sheet name="Ingresos" sheetId="8" r:id="rId8"/>
    <sheet name="F.de Caja rent.REC PROP" sheetId="9" r:id="rId9"/>
    <sheet name="F.Caja renT DE INV" sheetId="10" r:id="rId10"/>
    <sheet name="escenarios" sheetId="11" r:id="rId11"/>
    <sheet name="ADMINISTRATIVODS" sheetId="12" state="hidden" r:id="rId12"/>
    <sheet name="Tour Zona Loja-Sur" sheetId="13" state="hidden" r:id="rId13"/>
    <sheet name="Tour Loja" sheetId="14" state="hidden" r:id="rId14"/>
    <sheet name="Tour Loja Caro" sheetId="15" state="hidden" r:id="rId15"/>
    <sheet name="Tour Baños" sheetId="16" state="hidden" r:id="rId16"/>
  </sheets>
  <externalReferences>
    <externalReference r:id="rId19"/>
  </externalReferences>
  <definedNames>
    <definedName name="_xlnm.Print_Area" localSheetId="0">'Act.fijos detalle'!$A$1:$K$69</definedName>
    <definedName name="_xlnm.Print_Area" localSheetId="1">'Act.fijos resumen'!$A$1:$G$29</definedName>
    <definedName name="_xlnm.Print_Area" localSheetId="2">'Capital d trabajo'!$A$1:$E$50</definedName>
    <definedName name="_xlnm.Print_Area" localSheetId="6">'Costos'!$A$2:$J$61</definedName>
    <definedName name="_xlnm.Print_Area" localSheetId="10">'escenarios'!$A$1:$E$18</definedName>
    <definedName name="_xlnm.Print_Area" localSheetId="9">'F.Caja renT DE INV'!$A$2:$G$45</definedName>
    <definedName name="_xlnm.Print_Area" localSheetId="8">'F.de Caja rent.REC PROP'!$A$2:$G$51</definedName>
    <definedName name="_xlnm.Print_Area" localSheetId="7">'Ingresos'!$A$1:$M$34</definedName>
    <definedName name="_xlnm.Print_Area" localSheetId="3">'Inversión'!$A$1:$G$20</definedName>
    <definedName name="_xlnm.Print_Area" localSheetId="4">'Supstos'!$A$1:$D$27</definedName>
    <definedName name="_xlnm.Print_Area" localSheetId="5">'T.Amort'!$A$1:$G$75</definedName>
    <definedName name="_xlnm.Print_Area" localSheetId="12">'Tour Zona Loja-Sur'!$A$1:$Q$30</definedName>
  </definedNames>
  <calcPr fullCalcOnLoad="1"/>
</workbook>
</file>

<file path=xl/sharedStrings.xml><?xml version="1.0" encoding="utf-8"?>
<sst xmlns="http://schemas.openxmlformats.org/spreadsheetml/2006/main" count="691" uniqueCount="412">
  <si>
    <t>RUBROS</t>
  </si>
  <si>
    <t>ENE</t>
  </si>
  <si>
    <t>FEB</t>
  </si>
  <si>
    <t>MAR</t>
  </si>
  <si>
    <t>ABR</t>
  </si>
  <si>
    <t>MAY</t>
  </si>
  <si>
    <t>JUN</t>
  </si>
  <si>
    <t>JUL</t>
  </si>
  <si>
    <t>AGOS</t>
  </si>
  <si>
    <t>SEP</t>
  </si>
  <si>
    <t>OCT</t>
  </si>
  <si>
    <t>NOV</t>
  </si>
  <si>
    <t>DIC</t>
  </si>
  <si>
    <t>TOTAL</t>
  </si>
  <si>
    <t>INGRESOS TOTALES</t>
  </si>
  <si>
    <t>(CANTIDAD  *  PRECIO)</t>
  </si>
  <si>
    <t>Total Gastos Variables</t>
  </si>
  <si>
    <t>Total Gastos Generales</t>
  </si>
  <si>
    <t>Total Ingresos Operacionales</t>
  </si>
  <si>
    <t>Costos Administrativos</t>
  </si>
  <si>
    <t>Por Pax</t>
  </si>
  <si>
    <t>Nómina</t>
  </si>
  <si>
    <t xml:space="preserve">Días </t>
  </si>
  <si>
    <t>Agen - Opera</t>
  </si>
  <si>
    <t>Laborables</t>
  </si>
  <si>
    <t>Paquete</t>
  </si>
  <si>
    <t>Gerente General</t>
  </si>
  <si>
    <t>Contador</t>
  </si>
  <si>
    <t>Counter Internacional</t>
  </si>
  <si>
    <t>P.O.Organización</t>
  </si>
  <si>
    <t>P.O.Asistente</t>
  </si>
  <si>
    <t>Mensajero</t>
  </si>
  <si>
    <t>Servicios</t>
  </si>
  <si>
    <t>Alquiler</t>
  </si>
  <si>
    <t>Luz</t>
  </si>
  <si>
    <t>Teléfono</t>
  </si>
  <si>
    <t>Internet</t>
  </si>
  <si>
    <t>Publicidad</t>
  </si>
  <si>
    <t>Impresiones</t>
  </si>
  <si>
    <t>Cartucho para impresora</t>
  </si>
  <si>
    <t>COSTOS PAQUETES SPA VILCABAMBA - ZAMORA -LOJA - EL CISNE (CLUB DE VIAJES)</t>
  </si>
  <si>
    <t>Género</t>
  </si>
  <si>
    <t>Nombres</t>
  </si>
  <si>
    <t>4 Días - 3 Noches</t>
  </si>
  <si>
    <t>1 pax</t>
  </si>
  <si>
    <t>2 pax</t>
  </si>
  <si>
    <t>10 pax</t>
  </si>
  <si>
    <t>20 pax</t>
  </si>
  <si>
    <t>25 pax</t>
  </si>
  <si>
    <t>30 pax</t>
  </si>
  <si>
    <t>Hospedaje</t>
  </si>
  <si>
    <t>Hostería El Arenal</t>
  </si>
  <si>
    <t>Hostería Madre Tierra</t>
  </si>
  <si>
    <t>Hotel Gran H. Loja</t>
  </si>
  <si>
    <t>Alimentación</t>
  </si>
  <si>
    <t>4 Desayuno Ejecutivo</t>
  </si>
  <si>
    <t>1 No Incluido</t>
  </si>
  <si>
    <t>3 Almuerzo</t>
  </si>
  <si>
    <t>No Incluido</t>
  </si>
  <si>
    <t>3 Cena Completa.</t>
  </si>
  <si>
    <t>Box Lunch</t>
  </si>
  <si>
    <t>Atractivos</t>
  </si>
  <si>
    <t>P.N. Podocarpus.</t>
  </si>
  <si>
    <t>Otros</t>
  </si>
  <si>
    <t>Guías</t>
  </si>
  <si>
    <t>Transporte</t>
  </si>
  <si>
    <t>Bus(Ida y Vuelta)</t>
  </si>
  <si>
    <t>Bus todo el tiempo</t>
  </si>
  <si>
    <t>Imprevistos</t>
  </si>
  <si>
    <t>Ganancia</t>
  </si>
  <si>
    <t>Comisión Agencia</t>
  </si>
  <si>
    <t>Seguro de Viajes</t>
  </si>
  <si>
    <t>PRE.VTA.CLUB</t>
  </si>
  <si>
    <t>Diferencia</t>
  </si>
  <si>
    <t>Precio Vta.Agen</t>
  </si>
  <si>
    <t>3 Días - 2 Noches</t>
  </si>
  <si>
    <t xml:space="preserve">5 pax </t>
  </si>
  <si>
    <t>Hostal Las Americas</t>
  </si>
  <si>
    <t>3 Desayuno Ejecutivo</t>
  </si>
  <si>
    <t>Almuerzo</t>
  </si>
  <si>
    <t>Cena Completa.</t>
  </si>
  <si>
    <t>COSTOS PAQUETES LOJA ECONOMICO DESDE GUAYAQUIL</t>
  </si>
  <si>
    <t>Desayuno Ejecutivo</t>
  </si>
  <si>
    <t>Incluido</t>
  </si>
  <si>
    <t>Precio de Venta Club</t>
  </si>
  <si>
    <t>COSTOS CON SEGURO Y CON BUSES COOP. BAÑOS</t>
  </si>
  <si>
    <t>Hostería Llano Vientos</t>
  </si>
  <si>
    <t xml:space="preserve">2 Desayunos </t>
  </si>
  <si>
    <t>Almuerzos</t>
  </si>
  <si>
    <t xml:space="preserve">2 Cenas </t>
  </si>
  <si>
    <t>3 Box Lunch</t>
  </si>
  <si>
    <t>Res. Fau. Chimborazo</t>
  </si>
  <si>
    <t>Zoológico</t>
  </si>
  <si>
    <t>Pailón del Diablo</t>
  </si>
  <si>
    <t>Tarabita</t>
  </si>
  <si>
    <t xml:space="preserve">Compañías </t>
  </si>
  <si>
    <t>Counter Nacional</t>
  </si>
  <si>
    <t>Quinta de Juan León Mera</t>
  </si>
  <si>
    <t>AÑO 2</t>
  </si>
  <si>
    <t>AÑO 3</t>
  </si>
  <si>
    <t>AÑO 4</t>
  </si>
  <si>
    <t>AÑO 5</t>
  </si>
  <si>
    <t>Precio Venta</t>
  </si>
  <si>
    <t>DESGLOSE</t>
  </si>
  <si>
    <t>% de Costos sobre ventas</t>
  </si>
  <si>
    <t>EGRESOS OPERACIONALES</t>
  </si>
  <si>
    <t>INGRESOS OPERACIONALES</t>
  </si>
  <si>
    <t>Total Gastos Administrativos</t>
  </si>
  <si>
    <t>PAGOS</t>
  </si>
  <si>
    <t>TASA ANUAL</t>
  </si>
  <si>
    <t>PLAZO (En Años)</t>
  </si>
  <si>
    <t>TASA POR PERÍODO</t>
  </si>
  <si>
    <t>No.DE PAGOS</t>
  </si>
  <si>
    <t>INTERÉS</t>
  </si>
  <si>
    <t>CAPITAL</t>
  </si>
  <si>
    <t>DIVIDENDO</t>
  </si>
  <si>
    <t>SALDO</t>
  </si>
  <si>
    <t>MONTO EN DOLARES</t>
  </si>
  <si>
    <t xml:space="preserve">COSTOS PAQUETES LOJA DESDE GUAYAQUIL </t>
  </si>
  <si>
    <t>SUB-TOTAL 1ER AÑO</t>
  </si>
  <si>
    <t>Incremento proyectado en la demanda de turistas</t>
  </si>
  <si>
    <t>MENSUAL</t>
  </si>
  <si>
    <t>Membresia al Internet</t>
  </si>
  <si>
    <t>AÑO 1</t>
  </si>
  <si>
    <t>Permiso  Ministerio de Turismo</t>
  </si>
  <si>
    <t>Permiso Municipal</t>
  </si>
  <si>
    <t>Permiso de Bomberos</t>
  </si>
  <si>
    <t>Permiso de salud</t>
  </si>
  <si>
    <t>TIEMPO</t>
  </si>
  <si>
    <t>Depreciación</t>
  </si>
  <si>
    <t>ENE-MAR</t>
  </si>
  <si>
    <t>ABR-JUN</t>
  </si>
  <si>
    <t>JUL-SEP</t>
  </si>
  <si>
    <t>OCT-DIC</t>
  </si>
  <si>
    <t>Financiamiento</t>
  </si>
  <si>
    <t>Valor en USD</t>
  </si>
  <si>
    <t>%</t>
  </si>
  <si>
    <t>Total</t>
  </si>
  <si>
    <t>Aporte de Accionistas</t>
  </si>
  <si>
    <t>Capital de Trabajo</t>
  </si>
  <si>
    <t>Total Gastos de imptos</t>
  </si>
  <si>
    <t>AÑO 6</t>
  </si>
  <si>
    <t>AÑO 7</t>
  </si>
  <si>
    <t>AÑO 8</t>
  </si>
  <si>
    <t>AÑO 9</t>
  </si>
  <si>
    <t>AÑO 10</t>
  </si>
  <si>
    <t>(Expresado en Dólares)</t>
  </si>
  <si>
    <t>PAGO DE IMPUESTOS</t>
  </si>
  <si>
    <t># PAGOS AL AÑO</t>
  </si>
  <si>
    <t>GASTOS ADMINISTRATIVOS  (personal)</t>
  </si>
  <si>
    <t xml:space="preserve">Seguros </t>
  </si>
  <si>
    <t>precio por servicio</t>
  </si>
  <si>
    <t>VAN</t>
  </si>
  <si>
    <t>TIR</t>
  </si>
  <si>
    <t>tasa estimada de ganancia</t>
  </si>
  <si>
    <t>N=</t>
  </si>
  <si>
    <t>año en que el flujo cambio de signo</t>
  </si>
  <si>
    <t>fa=</t>
  </si>
  <si>
    <t>flujo de efectivo acumulado en el año previo a n</t>
  </si>
  <si>
    <t>fn</t>
  </si>
  <si>
    <t>flujo de neto dfe efectivo en el año n</t>
  </si>
  <si>
    <t>Inversion inicial</t>
  </si>
  <si>
    <t>Gastos preoperacionales</t>
  </si>
  <si>
    <t>Préstamo Bancario</t>
  </si>
  <si>
    <t>ALOJAMIENTO por persona</t>
  </si>
  <si>
    <t>Habitaciones simples/dobles/triples</t>
  </si>
  <si>
    <t>BEBIDAS por persona</t>
  </si>
  <si>
    <t>Alojamiento</t>
  </si>
  <si>
    <t xml:space="preserve">Bebidas </t>
  </si>
  <si>
    <t>número de clientes por trimestre</t>
  </si>
  <si>
    <t>SERVICIOS</t>
  </si>
  <si>
    <t>Bebidas</t>
  </si>
  <si>
    <t>TOTAL CLIENTES POR TRIMESTRE</t>
  </si>
  <si>
    <t>Servicios Básicos (Agua, Luz,etc)</t>
  </si>
  <si>
    <t>Membresía al Internet</t>
  </si>
  <si>
    <t>Suministros de limpieza y papeleria</t>
  </si>
  <si>
    <t>Ama de llaves</t>
  </si>
  <si>
    <t>Tasa de crédito estimada</t>
  </si>
  <si>
    <t xml:space="preserve"> COSTOS VARIABLES TOTALES</t>
  </si>
  <si>
    <t>Supuestos Utilizados</t>
  </si>
  <si>
    <t>TABLA DE AMORTIZACIÓN</t>
  </si>
  <si>
    <t>Cantidad</t>
  </si>
  <si>
    <t>Descripción</t>
  </si>
  <si>
    <t>V. Unitario</t>
  </si>
  <si>
    <t>V. Total</t>
  </si>
  <si>
    <t>Equipos de dotación</t>
  </si>
  <si>
    <t>Congelador 11 pies</t>
  </si>
  <si>
    <t>Refrigerador 18 pies</t>
  </si>
  <si>
    <t>Cocina 6 quemadores</t>
  </si>
  <si>
    <t>Tv Sony 21"</t>
  </si>
  <si>
    <t>Licuadora</t>
  </si>
  <si>
    <t>Tostadora</t>
  </si>
  <si>
    <t>Batidora</t>
  </si>
  <si>
    <t>Lavadora 30lbrs. Whirpool</t>
  </si>
  <si>
    <t>Plancha</t>
  </si>
  <si>
    <t>Juegos de vajilla</t>
  </si>
  <si>
    <t>saleros</t>
  </si>
  <si>
    <t>pimenteros</t>
  </si>
  <si>
    <t>Caja registradora</t>
  </si>
  <si>
    <t>juego de copas/6 piezas c/u</t>
  </si>
  <si>
    <t>ceniceros</t>
  </si>
  <si>
    <t>Equipos de amoblamiento</t>
  </si>
  <si>
    <t>archivador</t>
  </si>
  <si>
    <t>mesas de computador</t>
  </si>
  <si>
    <t>juego de sala de mimbre</t>
  </si>
  <si>
    <t>veladores de mimbre</t>
  </si>
  <si>
    <t>repisa de bar</t>
  </si>
  <si>
    <t>mesas de mimbre/restaurant</t>
  </si>
  <si>
    <t>sillas de mimbre/restaurant</t>
  </si>
  <si>
    <t>camas de 1 1/2 plazas</t>
  </si>
  <si>
    <t>camas de 2 plazas</t>
  </si>
  <si>
    <t>Lámparas de velador</t>
  </si>
  <si>
    <t>Móviles para área del lobby</t>
  </si>
  <si>
    <t>Cortinas para ventanas-habitaciones</t>
  </si>
  <si>
    <t>Lámparas para tumbado-restaurant</t>
  </si>
  <si>
    <t>Closets de mimbre</t>
  </si>
  <si>
    <t>Hamacas para área recreativa</t>
  </si>
  <si>
    <t>Porta-incienso</t>
  </si>
  <si>
    <t>Colchones y Menajes</t>
  </si>
  <si>
    <t>colchones de 2 plazas</t>
  </si>
  <si>
    <t>colchones de 1 1/2 plazas</t>
  </si>
  <si>
    <t>almohadas</t>
  </si>
  <si>
    <t>Equipos de Oficina</t>
  </si>
  <si>
    <t>teléfono-fax</t>
  </si>
  <si>
    <t>Mini componente LG con 5 parlantes</t>
  </si>
  <si>
    <t>Equipos de Computación</t>
  </si>
  <si>
    <t>Computadores</t>
  </si>
  <si>
    <t>Materiales Varios</t>
  </si>
  <si>
    <t>extintores</t>
  </si>
  <si>
    <t>botiquín de primeros auxilios</t>
  </si>
  <si>
    <t>Estructura inicial y obra civil</t>
  </si>
  <si>
    <t>Acabados</t>
  </si>
  <si>
    <t>ALIMENTACIÓN por persona</t>
  </si>
  <si>
    <t>Entradas, fuertes, postres, etc.</t>
  </si>
  <si>
    <t>Impresora multifunción Lexmark</t>
  </si>
  <si>
    <t>Softs y alcohólicas</t>
  </si>
  <si>
    <t>Inflación Proyectada       (Año 2007 en adelante)</t>
  </si>
  <si>
    <t>Jefe de Recepción y Ventas</t>
  </si>
  <si>
    <t>Jefe Financiero</t>
  </si>
  <si>
    <t>Jefe Administrativo y operacional</t>
  </si>
  <si>
    <t>Mesero</t>
  </si>
  <si>
    <t>Conserje-mensajero</t>
  </si>
  <si>
    <t>Miembro de la comunidad (reciclaje)</t>
  </si>
  <si>
    <t>Miembro de la comunidad (cultivo)</t>
  </si>
  <si>
    <t>Cocinero</t>
  </si>
  <si>
    <t>Papelería y suministros varios</t>
  </si>
  <si>
    <t>Mantenimiento de instalaciones</t>
  </si>
  <si>
    <t>Juego de Ollas de Teflon Inoxidable</t>
  </si>
  <si>
    <t>Juegos de Cubiertos</t>
  </si>
  <si>
    <t xml:space="preserve">Copas para helado/6 piezas </t>
  </si>
  <si>
    <t>Mueble de recepción</t>
  </si>
  <si>
    <t>Soporte para televisor</t>
  </si>
  <si>
    <t>Juegos de sábanas de 2 plazas</t>
  </si>
  <si>
    <t>Juegos de sábanas de 1 1/2 plazas</t>
  </si>
  <si>
    <t>Juegos de toallas</t>
  </si>
  <si>
    <t>juegos de vasos 18 piezas.</t>
  </si>
  <si>
    <t>Tachos de basura-baños</t>
  </si>
  <si>
    <t>INVERSIÓN EN ACTIVOS FIJOS</t>
  </si>
  <si>
    <t>DEPRECIACIÓN ANUAL</t>
  </si>
  <si>
    <t>DEPREC.</t>
  </si>
  <si>
    <t>ACUMUL</t>
  </si>
  <si>
    <t>Gasto operativo</t>
  </si>
  <si>
    <t>Pollos</t>
  </si>
  <si>
    <t>Libras de carne fileteada</t>
  </si>
  <si>
    <t>Libras de camarones</t>
  </si>
  <si>
    <t>Libras de concha</t>
  </si>
  <si>
    <t>Libras de carne calamar</t>
  </si>
  <si>
    <t>Libras de pescado</t>
  </si>
  <si>
    <t>Kg. Variedad de quesos</t>
  </si>
  <si>
    <t>Kg. Variedad de embutidos</t>
  </si>
  <si>
    <t>10 kg.Arroz</t>
  </si>
  <si>
    <t>Huevos (docena)</t>
  </si>
  <si>
    <t>Variedad de Frutas</t>
  </si>
  <si>
    <t>Fundas de pan</t>
  </si>
  <si>
    <t>Legumbres varias</t>
  </si>
  <si>
    <t>Helados y aderezos</t>
  </si>
  <si>
    <t>Pack de Colas</t>
  </si>
  <si>
    <t>Pack de Agua natural</t>
  </si>
  <si>
    <t>Pack de Agua mineral</t>
  </si>
  <si>
    <t>Leche ltr.</t>
  </si>
  <si>
    <t>botellas de whisky</t>
  </si>
  <si>
    <t>botellas de vodka</t>
  </si>
  <si>
    <t>botellas de tequila</t>
  </si>
  <si>
    <t>botellas de agua tonica</t>
  </si>
  <si>
    <t>botellas de cocteles</t>
  </si>
  <si>
    <t>Cervezas locales</t>
  </si>
  <si>
    <t>Cervezas importadas</t>
  </si>
  <si>
    <t>fundas de sorbetes (100 unid)</t>
  </si>
  <si>
    <t>servilletas (300unidades c/u)</t>
  </si>
  <si>
    <t>Gastos Preoperacionales</t>
  </si>
  <si>
    <t>Constitución de compañía</t>
  </si>
  <si>
    <t>Permisos municipales,bomberos</t>
  </si>
  <si>
    <t>Software computadora</t>
  </si>
  <si>
    <t>Inversión</t>
  </si>
  <si>
    <t>INVERSIÓN Y FINANCIAMIENTO</t>
  </si>
  <si>
    <t>Monto de inversion de c/accionista</t>
  </si>
  <si>
    <t>Años</t>
  </si>
  <si>
    <t>Accesorios para habit. y restaurant</t>
  </si>
  <si>
    <t>ANEXO # 6</t>
  </si>
  <si>
    <t>ANEXO # 7</t>
  </si>
  <si>
    <t>ANEXO # 8</t>
  </si>
  <si>
    <t>ANEXO # 9</t>
  </si>
  <si>
    <t>ANEXO # 12</t>
  </si>
  <si>
    <t>ANEXO # 13</t>
  </si>
  <si>
    <t>ANEXO # 10</t>
  </si>
  <si>
    <t>ANEXO # 11</t>
  </si>
  <si>
    <t>ANEXO # 17</t>
  </si>
  <si>
    <t>ANEXO # 18</t>
  </si>
  <si>
    <t>Cortinas pequeñas/habitaciones</t>
  </si>
  <si>
    <t>Cortinas medianas/habitaciones</t>
  </si>
  <si>
    <t>Alquiler terreno</t>
  </si>
  <si>
    <t>Alquiler Terreno</t>
  </si>
  <si>
    <t>EDIFICIO</t>
  </si>
  <si>
    <t>Equipos de oficina</t>
  </si>
  <si>
    <t>Equipos de computación</t>
  </si>
  <si>
    <t>Materiales varios</t>
  </si>
  <si>
    <t>Capital de trabajo</t>
  </si>
  <si>
    <t>Valor residual</t>
  </si>
  <si>
    <t>Participación de Trabajadores (15%)</t>
  </si>
  <si>
    <t>Impuesto a la Renta (25%)</t>
  </si>
  <si>
    <t>Depreciación ( - )</t>
  </si>
  <si>
    <t>TOTAL INGRESOS OPERACIONALES</t>
  </si>
  <si>
    <t>TOTAL EGRESOS OPERACIONALES</t>
  </si>
  <si>
    <t xml:space="preserve">FLUJO NETO OPERACIONAL </t>
  </si>
  <si>
    <t>Utilidad antes de Impuestos</t>
  </si>
  <si>
    <t>FLUJO DE CAJA FINAL</t>
  </si>
  <si>
    <t>Años depreciados</t>
  </si>
  <si>
    <t>FLUJO DE CAJA: RENTABILIDAD DE LOS RECURSOS PROPIOS</t>
  </si>
  <si>
    <t>costo de capital ponderado</t>
  </si>
  <si>
    <t>WACC: Weigth average cost of capital</t>
  </si>
  <si>
    <t>TREMA: Tasa de rendimiento mínima aceptable</t>
  </si>
  <si>
    <t>Tasa de corte</t>
  </si>
  <si>
    <t>Forma de financiamiento</t>
  </si>
  <si>
    <t>Deuda</t>
  </si>
  <si>
    <t>Patrimonio</t>
  </si>
  <si>
    <t>Peso</t>
  </si>
  <si>
    <t>Inversión total</t>
  </si>
  <si>
    <t>Valor en $</t>
  </si>
  <si>
    <t>Costo</t>
  </si>
  <si>
    <t>Escudo fiscal</t>
  </si>
  <si>
    <t>Escudo fiscal es el monto de efectivo que dejas de pagar al fisco por la resta ya sea de tu depreciación, amortización y gastos financieros</t>
  </si>
  <si>
    <t>Amortización (activos nominales)</t>
  </si>
  <si>
    <t>Ponderado</t>
  </si>
  <si>
    <t>SRI</t>
  </si>
  <si>
    <t>UDI</t>
  </si>
  <si>
    <t>UAI</t>
  </si>
  <si>
    <t>INTEReses</t>
  </si>
  <si>
    <t>Esta tasa te sirve para descontar tus flujos finales</t>
  </si>
  <si>
    <t>La TIR siempre se acepta en la medida que supere tu costo de capital ponderado</t>
  </si>
  <si>
    <t>La TIR te representa la maxima rentabilidad que puede generar tu negocio</t>
  </si>
  <si>
    <t>Un proyecto se acepta hasta cuando se obtiene un VAN de CERO ( 0)</t>
  </si>
  <si>
    <t>Si yo reemplazo mi tasa de corte por la TIR mi VAN se hará cero, porque la estoy reemplazando con la maxima rentabilidad que me genera mi inversión</t>
  </si>
  <si>
    <t>FLUJO DE CAJA: RENTABILIDAD DE LA INVERSIÓN</t>
  </si>
  <si>
    <t>Colchones y menajes</t>
  </si>
  <si>
    <t xml:space="preserve">Depreciación </t>
  </si>
  <si>
    <t>acumulada</t>
  </si>
  <si>
    <t xml:space="preserve">Valor </t>
  </si>
  <si>
    <t>residual</t>
  </si>
  <si>
    <t>CANTIDAD</t>
  </si>
  <si>
    <t>ANEXO # 6a</t>
  </si>
  <si>
    <t>Descripción de Activos</t>
  </si>
  <si>
    <t>Del 1 al 3 año</t>
  </si>
  <si>
    <t>Año 4 y 5</t>
  </si>
  <si>
    <t xml:space="preserve">Valor anual </t>
  </si>
  <si>
    <t xml:space="preserve">en $ </t>
  </si>
  <si>
    <t>Depreciación de nuevo Eq.Comput</t>
  </si>
  <si>
    <t>*Equipo de computación-3er año</t>
  </si>
  <si>
    <t>*Aumento 5% en compra</t>
  </si>
  <si>
    <t>DEPRECIACIÓN ACUMULADA DE ACTIVOS FIJOS</t>
  </si>
  <si>
    <t>Y VALOR RESIDUAL AL 5TO AÑO</t>
  </si>
  <si>
    <t>DESCRIPCIÓN</t>
  </si>
  <si>
    <t>V. TOTAL</t>
  </si>
  <si>
    <t>Tiempo</t>
  </si>
  <si>
    <t>Amort.anual</t>
  </si>
  <si>
    <t>Recepcionista</t>
  </si>
  <si>
    <t>GASTOS GENERALES</t>
  </si>
  <si>
    <t>GASTOS FINANCIEROS</t>
  </si>
  <si>
    <t>Utilidad después de participación</t>
  </si>
  <si>
    <t>Utilidad después de impuestos</t>
  </si>
  <si>
    <t>Préstamo bancario</t>
  </si>
  <si>
    <t>Capital préstamo bancario</t>
  </si>
  <si>
    <t>Número de clientes por mes</t>
  </si>
  <si>
    <t>ANEXO # 19</t>
  </si>
  <si>
    <t>Sin deuda</t>
  </si>
  <si>
    <t>Con deuda</t>
  </si>
  <si>
    <t>Escudo Fiscal</t>
  </si>
  <si>
    <t>Esto es lo que te ahorras por endeudarte y pagar intereses</t>
  </si>
  <si>
    <t>Prestamo</t>
  </si>
  <si>
    <t>ESCENARIO PESIMISTA</t>
  </si>
  <si>
    <t>ESCENARIO CONSERVADOR</t>
  </si>
  <si>
    <t>Variables Críticas</t>
  </si>
  <si>
    <t>EP</t>
  </si>
  <si>
    <t>EC</t>
  </si>
  <si>
    <t>EO</t>
  </si>
  <si>
    <t>% de ocupación</t>
  </si>
  <si>
    <t>Capacidad Instalada</t>
  </si>
  <si>
    <t>% que consumen alimentos x dia</t>
  </si>
  <si>
    <t>PAYBACK</t>
  </si>
  <si>
    <t>4 AÑOS</t>
  </si>
  <si>
    <t>Año 5</t>
  </si>
  <si>
    <t>Amortización de Gastos Preoperacionales</t>
  </si>
  <si>
    <t>Porcentaje de inversion de c/accionista</t>
  </si>
  <si>
    <t>Monto del crédito bancario</t>
  </si>
  <si>
    <t xml:space="preserve">Escudo </t>
  </si>
  <si>
    <t>fiscal</t>
  </si>
  <si>
    <t>Costo de Capital Ponderado</t>
  </si>
  <si>
    <t>ANEXO # 20</t>
  </si>
  <si>
    <t>Escenarios del proyecto</t>
  </si>
  <si>
    <t>Capacidad máxima restaurant</t>
  </si>
  <si>
    <t>ESCENARIO OPTIMISTA</t>
  </si>
  <si>
    <t>Número de personas x dia</t>
  </si>
  <si>
    <t>V.UNITARIO</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</si>
</sst>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_);[Red]\(&quot;$&quot;#,##0.00\)"/>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quot;$&quot;#,##0.00;[Red]\-&quot;$&quot;#,##0.00"/>
    <numFmt numFmtId="178" formatCode="_-* #,##0.00_-;\-* #,##0.00_-;_-* &quot;-&quot;??_-;_-@_-"/>
    <numFmt numFmtId="179" formatCode="0.0"/>
    <numFmt numFmtId="180" formatCode="0.0000"/>
    <numFmt numFmtId="181" formatCode="_(* #,##0.0000_);_(* \(#,##0.0000\);_(* &quot;-&quot;??_);_(@_)"/>
    <numFmt numFmtId="182" formatCode="_(* #,##0_);_(* \(#,##0\);_(* &quot;-&quot;??_);_(@_)"/>
    <numFmt numFmtId="183" formatCode="_-* #,##0_-;\-* #,##0_-;_-* &quot;-&quot;??_-;_-@_-"/>
    <numFmt numFmtId="184" formatCode="[$$-409]#,##0.00"/>
    <numFmt numFmtId="185" formatCode="[$$-409]#,##0"/>
    <numFmt numFmtId="186" formatCode="[$$-300A]\ #,##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s>
  <fonts count="52">
    <font>
      <sz val="10"/>
      <name val="Arial"/>
      <family val="0"/>
    </font>
    <font>
      <b/>
      <sz val="10"/>
      <name val="Arial"/>
      <family val="2"/>
    </font>
    <font>
      <b/>
      <sz val="9"/>
      <name val="Arial"/>
      <family val="2"/>
    </font>
    <font>
      <sz val="10"/>
      <color indexed="12"/>
      <name val="Arial"/>
      <family val="0"/>
    </font>
    <font>
      <b/>
      <i/>
      <sz val="10"/>
      <name val="Arial"/>
      <family val="2"/>
    </font>
    <font>
      <b/>
      <sz val="12"/>
      <name val="Arial"/>
      <family val="2"/>
    </font>
    <font>
      <b/>
      <sz val="14"/>
      <name val="Arial"/>
      <family val="2"/>
    </font>
    <font>
      <b/>
      <u val="single"/>
      <sz val="10"/>
      <name val="Arial"/>
      <family val="2"/>
    </font>
    <font>
      <b/>
      <sz val="11"/>
      <name val="Arial"/>
      <family val="2"/>
    </font>
    <font>
      <u val="single"/>
      <sz val="10"/>
      <color indexed="12"/>
      <name val="Arial"/>
      <family val="0"/>
    </font>
    <font>
      <u val="single"/>
      <sz val="10"/>
      <color indexed="36"/>
      <name val="Arial"/>
      <family val="0"/>
    </font>
    <font>
      <sz val="12"/>
      <name val="Arial"/>
      <family val="2"/>
    </font>
    <font>
      <b/>
      <sz val="11"/>
      <color indexed="12"/>
      <name val="Arial"/>
      <family val="2"/>
    </font>
    <font>
      <sz val="11"/>
      <name val="Arial"/>
      <family val="2"/>
    </font>
    <font>
      <sz val="11"/>
      <color indexed="12"/>
      <name val="Arial"/>
      <family val="2"/>
    </font>
    <font>
      <b/>
      <sz val="14"/>
      <color indexed="12"/>
      <name val="Arial"/>
      <family val="2"/>
    </font>
    <font>
      <sz val="10"/>
      <color indexed="9"/>
      <name val="Arial"/>
      <family val="2"/>
    </font>
    <font>
      <b/>
      <i/>
      <sz val="12"/>
      <name val="Arial"/>
      <family val="2"/>
    </font>
    <font>
      <i/>
      <sz val="12"/>
      <name val="Arial"/>
      <family val="2"/>
    </font>
    <font>
      <b/>
      <sz val="8"/>
      <name val="Arial"/>
      <family val="2"/>
    </font>
    <font>
      <sz val="8"/>
      <name val="Arial"/>
      <family val="0"/>
    </font>
    <font>
      <sz val="14"/>
      <name val="Arial"/>
      <family val="0"/>
    </font>
    <font>
      <b/>
      <i/>
      <sz val="10"/>
      <color indexed="9"/>
      <name val="Arial"/>
      <family val="0"/>
    </font>
    <font>
      <sz val="11"/>
      <color indexed="9"/>
      <name val="Arial"/>
      <family val="0"/>
    </font>
    <font>
      <sz val="12"/>
      <color indexed="9"/>
      <name val="Arial"/>
      <family val="0"/>
    </font>
    <font>
      <sz val="8"/>
      <color indexed="9"/>
      <name val="Arial"/>
      <family val="2"/>
    </font>
    <font>
      <i/>
      <sz val="10"/>
      <name val="Arial"/>
      <family val="2"/>
    </font>
    <font>
      <sz val="10"/>
      <name val="Times New Roman"/>
      <family val="1"/>
    </font>
    <font>
      <b/>
      <sz val="12"/>
      <name val="Times New Roman"/>
      <family val="1"/>
    </font>
    <font>
      <b/>
      <sz val="10"/>
      <name val="Times New Roman"/>
      <family val="1"/>
    </font>
    <font>
      <b/>
      <sz val="11"/>
      <name val="Times New Roman"/>
      <family val="1"/>
    </font>
    <font>
      <b/>
      <sz val="14"/>
      <name val="Times New Roman"/>
      <family val="1"/>
    </font>
    <font>
      <sz val="11"/>
      <name val="Times New Roman"/>
      <family val="1"/>
    </font>
    <font>
      <b/>
      <sz val="8"/>
      <name val="Times New Roman"/>
      <family val="1"/>
    </font>
    <font>
      <b/>
      <u val="single"/>
      <sz val="10"/>
      <name val="Times New Roman"/>
      <family val="1"/>
    </font>
    <font>
      <b/>
      <sz val="9"/>
      <name val="Times New Roman"/>
      <family val="1"/>
    </font>
    <font>
      <b/>
      <u val="single"/>
      <sz val="12"/>
      <name val="Times New Roman"/>
      <family val="1"/>
    </font>
    <font>
      <sz val="10"/>
      <color indexed="12"/>
      <name val="Times New Roman"/>
      <family val="1"/>
    </font>
    <font>
      <b/>
      <i/>
      <u val="single"/>
      <sz val="12"/>
      <name val="Times New Roman"/>
      <family val="1"/>
    </font>
    <font>
      <sz val="10"/>
      <color indexed="8"/>
      <name val="Times New Roman"/>
      <family val="1"/>
    </font>
    <font>
      <sz val="10"/>
      <color indexed="9"/>
      <name val="Times New Roman"/>
      <family val="1"/>
    </font>
    <font>
      <b/>
      <sz val="10"/>
      <color indexed="18"/>
      <name val="Times New Roman"/>
      <family val="1"/>
    </font>
    <font>
      <sz val="12"/>
      <name val="Times New Roman"/>
      <family val="1"/>
    </font>
    <font>
      <b/>
      <i/>
      <sz val="10"/>
      <name val="Times New Roman"/>
      <family val="1"/>
    </font>
    <font>
      <b/>
      <i/>
      <sz val="9"/>
      <name val="Times New Roman"/>
      <family val="1"/>
    </font>
    <font>
      <b/>
      <i/>
      <sz val="12"/>
      <color indexed="9"/>
      <name val="Times New Roman"/>
      <family val="1"/>
    </font>
    <font>
      <b/>
      <sz val="12"/>
      <color indexed="9"/>
      <name val="Times New Roman"/>
      <family val="1"/>
    </font>
    <font>
      <b/>
      <i/>
      <sz val="12"/>
      <name val="Times New Roman"/>
      <family val="1"/>
    </font>
    <font>
      <b/>
      <i/>
      <sz val="11"/>
      <name val="Times New Roman"/>
      <family val="1"/>
    </font>
    <font>
      <i/>
      <sz val="10"/>
      <name val="Times New Roman"/>
      <family val="1"/>
    </font>
    <font>
      <sz val="12"/>
      <color indexed="9"/>
      <name val="Times New Roman"/>
      <family val="1"/>
    </font>
    <font>
      <sz val="12"/>
      <color indexed="10"/>
      <name val="Times New Roman"/>
      <family val="1"/>
    </font>
  </fonts>
  <fills count="11">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51"/>
        <bgColor indexed="64"/>
      </patternFill>
    </fill>
    <fill>
      <patternFill patternType="solid">
        <fgColor indexed="50"/>
        <bgColor indexed="64"/>
      </patternFill>
    </fill>
    <fill>
      <patternFill patternType="solid">
        <fgColor indexed="49"/>
        <bgColor indexed="64"/>
      </patternFill>
    </fill>
  </fills>
  <borders count="71">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color indexed="63"/>
      </bottom>
    </border>
    <border>
      <left style="medium"/>
      <right>
        <color indexed="63"/>
      </right>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style="thin"/>
      <right style="thin"/>
      <top style="medium"/>
      <bottom>
        <color indexed="63"/>
      </bottom>
    </border>
    <border>
      <left style="medium"/>
      <right style="medium"/>
      <top>
        <color indexed="63"/>
      </top>
      <bottom style="medium"/>
    </border>
    <border>
      <left>
        <color indexed="63"/>
      </left>
      <right style="thin"/>
      <top style="thin"/>
      <bottom style="thin"/>
    </border>
    <border>
      <left style="thin"/>
      <right style="thick"/>
      <top style="medium"/>
      <bottom>
        <color indexed="63"/>
      </bottom>
    </border>
    <border>
      <left style="thin"/>
      <right style="thick"/>
      <top>
        <color indexed="63"/>
      </top>
      <bottom style="thin"/>
    </border>
    <border>
      <left style="thin"/>
      <right>
        <color indexed="63"/>
      </right>
      <top style="thin"/>
      <bottom>
        <color indexed="63"/>
      </bottom>
    </border>
    <border>
      <left style="medium"/>
      <right style="medium"/>
      <top>
        <color indexed="63"/>
      </top>
      <bottom>
        <color indexed="63"/>
      </bottom>
    </border>
    <border>
      <left style="medium"/>
      <right style="medium"/>
      <top style="medium"/>
      <bottom>
        <color indexed="63"/>
      </bottom>
    </border>
    <border>
      <left style="thin"/>
      <right style="thin"/>
      <top style="thin"/>
      <bottom style="double"/>
    </border>
    <border>
      <left style="thin"/>
      <right style="thin"/>
      <top style="medium"/>
      <bottom style="thin"/>
    </border>
    <border>
      <left>
        <color indexed="63"/>
      </left>
      <right style="thin"/>
      <top style="medium"/>
      <bottom style="thin"/>
    </border>
    <border>
      <left style="medium"/>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color indexed="63"/>
      </left>
      <right>
        <color indexed="63"/>
      </right>
      <top>
        <color indexed="63"/>
      </top>
      <bottom style="double"/>
    </border>
    <border>
      <left>
        <color indexed="63"/>
      </left>
      <right style="medium"/>
      <top>
        <color indexed="63"/>
      </top>
      <bottom style="thin"/>
    </border>
    <border>
      <left style="medium"/>
      <right style="thin"/>
      <top>
        <color indexed="63"/>
      </top>
      <bottom>
        <color indexed="63"/>
      </bottom>
    </border>
    <border>
      <left style="medium"/>
      <right style="thin"/>
      <top style="thin"/>
      <bottom style="thin"/>
    </border>
    <border>
      <left>
        <color indexed="63"/>
      </left>
      <right style="medium"/>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color indexed="63"/>
      </bottom>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medium"/>
      <bottom style="medium"/>
    </border>
    <border>
      <left style="medium"/>
      <right style="medium"/>
      <top style="thin"/>
      <bottom>
        <color indexed="63"/>
      </bottom>
    </border>
    <border>
      <left style="medium"/>
      <right style="medium"/>
      <top style="thin"/>
      <bottom style="thin"/>
    </border>
    <border>
      <left>
        <color indexed="63"/>
      </left>
      <right style="thin"/>
      <top>
        <color indexed="63"/>
      </top>
      <bottom style="medium"/>
    </border>
    <border>
      <left style="thin"/>
      <right style="medium"/>
      <top>
        <color indexed="63"/>
      </top>
      <bottom style="thin"/>
    </border>
    <border>
      <left>
        <color indexed="63"/>
      </left>
      <right style="thin"/>
      <top style="medium"/>
      <bottom style="medium"/>
    </border>
    <border>
      <left style="medium"/>
      <right>
        <color indexed="63"/>
      </right>
      <top style="thin"/>
      <bottom style="thin"/>
    </border>
    <border>
      <left style="medium"/>
      <right>
        <color indexed="63"/>
      </right>
      <top style="thin"/>
      <bottom>
        <color indexed="63"/>
      </bottom>
    </border>
    <border>
      <left style="medium"/>
      <right style="medium"/>
      <top style="medium"/>
      <bottom style="thin"/>
    </border>
    <border>
      <left style="thin"/>
      <right>
        <color indexed="63"/>
      </right>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9" fontId="0" fillId="0" borderId="0" applyFont="0" applyFill="0" applyBorder="0" applyAlignment="0" applyProtection="0"/>
  </cellStyleXfs>
  <cellXfs count="794">
    <xf numFmtId="0" fontId="0" fillId="0" borderId="0" xfId="0" applyAlignment="1">
      <alignment/>
    </xf>
    <xf numFmtId="0" fontId="0" fillId="0" borderId="0" xfId="0" applyBorder="1" applyAlignment="1">
      <alignment/>
    </xf>
    <xf numFmtId="0" fontId="0" fillId="0" borderId="1" xfId="0" applyBorder="1" applyAlignment="1">
      <alignment/>
    </xf>
    <xf numFmtId="0" fontId="1" fillId="0" borderId="0" xfId="0" applyFont="1" applyAlignment="1">
      <alignment/>
    </xf>
    <xf numFmtId="0" fontId="0" fillId="0" borderId="2" xfId="0" applyBorder="1" applyAlignment="1">
      <alignment/>
    </xf>
    <xf numFmtId="0" fontId="0" fillId="0" borderId="3" xfId="0" applyBorder="1" applyAlignment="1">
      <alignment/>
    </xf>
    <xf numFmtId="0" fontId="3" fillId="0" borderId="0" xfId="0" applyFont="1" applyAlignment="1">
      <alignment/>
    </xf>
    <xf numFmtId="0" fontId="0" fillId="0" borderId="4" xfId="0" applyBorder="1" applyAlignment="1">
      <alignment/>
    </xf>
    <xf numFmtId="2" fontId="0" fillId="0" borderId="0" xfId="0" applyNumberFormat="1" applyBorder="1" applyAlignment="1">
      <alignment/>
    </xf>
    <xf numFmtId="2" fontId="0" fillId="0" borderId="1" xfId="0" applyNumberFormat="1" applyBorder="1" applyAlignment="1">
      <alignment/>
    </xf>
    <xf numFmtId="2" fontId="0" fillId="0" borderId="0" xfId="0" applyNumberFormat="1" applyAlignment="1">
      <alignment/>
    </xf>
    <xf numFmtId="0" fontId="1" fillId="0" borderId="0" xfId="0" applyFont="1" applyAlignment="1">
      <alignment horizontal="center"/>
    </xf>
    <xf numFmtId="9" fontId="0" fillId="0" borderId="0" xfId="0" applyNumberFormat="1" applyAlignment="1">
      <alignment/>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2" fontId="8" fillId="0" borderId="4" xfId="0" applyNumberFormat="1" applyFont="1" applyBorder="1" applyAlignment="1">
      <alignment horizontal="center" vertical="center"/>
    </xf>
    <xf numFmtId="2" fontId="8" fillId="0" borderId="6" xfId="0" applyNumberFormat="1" applyFont="1" applyBorder="1" applyAlignment="1">
      <alignment horizontal="center" vertical="center"/>
    </xf>
    <xf numFmtId="2" fontId="1" fillId="0" borderId="0" xfId="0" applyNumberFormat="1" applyFont="1" applyAlignment="1">
      <alignment/>
    </xf>
    <xf numFmtId="0" fontId="1" fillId="0" borderId="5" xfId="0" applyFont="1" applyBorder="1" applyAlignment="1">
      <alignment horizontal="center" vertical="center"/>
    </xf>
    <xf numFmtId="0" fontId="1" fillId="0" borderId="4" xfId="0" applyFont="1" applyBorder="1" applyAlignment="1">
      <alignment horizontal="center"/>
    </xf>
    <xf numFmtId="0" fontId="6" fillId="0" borderId="5" xfId="0" applyFont="1" applyBorder="1" applyAlignment="1">
      <alignment horizontal="center" vertical="center"/>
    </xf>
    <xf numFmtId="0" fontId="1" fillId="0" borderId="2" xfId="0" applyFont="1" applyBorder="1" applyAlignment="1">
      <alignment horizontal="center"/>
    </xf>
    <xf numFmtId="0" fontId="0" fillId="0" borderId="2" xfId="0" applyFont="1" applyBorder="1" applyAlignment="1">
      <alignment/>
    </xf>
    <xf numFmtId="2" fontId="0" fillId="0" borderId="2" xfId="0" applyNumberFormat="1" applyBorder="1" applyAlignment="1">
      <alignment/>
    </xf>
    <xf numFmtId="0" fontId="0" fillId="0" borderId="2" xfId="0" applyFill="1" applyBorder="1" applyAlignment="1">
      <alignment/>
    </xf>
    <xf numFmtId="2" fontId="0" fillId="0" borderId="3" xfId="0" applyNumberFormat="1" applyBorder="1" applyAlignment="1">
      <alignment/>
    </xf>
    <xf numFmtId="2" fontId="0" fillId="0" borderId="7" xfId="0" applyNumberFormat="1" applyBorder="1" applyAlignment="1">
      <alignment/>
    </xf>
    <xf numFmtId="9" fontId="0" fillId="0" borderId="2" xfId="0" applyNumberFormat="1" applyBorder="1" applyAlignment="1">
      <alignment/>
    </xf>
    <xf numFmtId="2" fontId="0" fillId="0" borderId="8" xfId="0" applyNumberFormat="1" applyBorder="1" applyAlignment="1">
      <alignment/>
    </xf>
    <xf numFmtId="0" fontId="6" fillId="0" borderId="9" xfId="0" applyFont="1" applyBorder="1" applyAlignment="1">
      <alignment horizontal="center" vertical="center"/>
    </xf>
    <xf numFmtId="0" fontId="6" fillId="0" borderId="10" xfId="0" applyFont="1" applyBorder="1" applyAlignment="1">
      <alignment horizontal="center" vertical="center"/>
    </xf>
    <xf numFmtId="176" fontId="0" fillId="0" borderId="0" xfId="17" applyNumberFormat="1" applyAlignment="1">
      <alignment/>
    </xf>
    <xf numFmtId="176" fontId="5" fillId="0" borderId="4" xfId="17" applyNumberFormat="1" applyFont="1" applyBorder="1" applyAlignment="1">
      <alignment horizontal="center"/>
    </xf>
    <xf numFmtId="182" fontId="0" fillId="0" borderId="0" xfId="17" applyNumberFormat="1" applyAlignment="1">
      <alignment/>
    </xf>
    <xf numFmtId="182" fontId="0" fillId="0" borderId="4" xfId="17" applyNumberFormat="1" applyBorder="1" applyAlignment="1">
      <alignment/>
    </xf>
    <xf numFmtId="182" fontId="5" fillId="0" borderId="6" xfId="17" applyNumberFormat="1" applyFont="1" applyBorder="1" applyAlignment="1">
      <alignment horizontal="center"/>
    </xf>
    <xf numFmtId="182" fontId="4" fillId="0" borderId="11" xfId="17" applyNumberFormat="1" applyFont="1" applyBorder="1" applyAlignment="1">
      <alignment horizontal="center"/>
    </xf>
    <xf numFmtId="182" fontId="0" fillId="0" borderId="12" xfId="17" applyNumberFormat="1" applyBorder="1" applyAlignment="1">
      <alignment/>
    </xf>
    <xf numFmtId="182" fontId="1" fillId="0" borderId="13" xfId="17" applyNumberFormat="1" applyFont="1" applyBorder="1" applyAlignment="1">
      <alignment horizontal="center"/>
    </xf>
    <xf numFmtId="182" fontId="0" fillId="0" borderId="14" xfId="17" applyNumberFormat="1" applyBorder="1" applyAlignment="1">
      <alignment/>
    </xf>
    <xf numFmtId="182" fontId="0" fillId="0" borderId="0" xfId="17" applyNumberFormat="1" applyBorder="1" applyAlignment="1">
      <alignment/>
    </xf>
    <xf numFmtId="182" fontId="0" fillId="0" borderId="0" xfId="17" applyNumberFormat="1" applyBorder="1" applyAlignment="1">
      <alignment horizontal="center"/>
    </xf>
    <xf numFmtId="182" fontId="0" fillId="0" borderId="0" xfId="17" applyNumberFormat="1" applyFont="1" applyBorder="1" applyAlignment="1">
      <alignment/>
    </xf>
    <xf numFmtId="182" fontId="0" fillId="0" borderId="15" xfId="17" applyNumberFormat="1" applyBorder="1" applyAlignment="1">
      <alignment/>
    </xf>
    <xf numFmtId="182" fontId="3" fillId="0" borderId="0" xfId="17" applyNumberFormat="1" applyFont="1" applyBorder="1" applyAlignment="1">
      <alignment/>
    </xf>
    <xf numFmtId="182" fontId="0" fillId="0" borderId="9" xfId="17" applyNumberFormat="1" applyBorder="1" applyAlignment="1">
      <alignment/>
    </xf>
    <xf numFmtId="182" fontId="0" fillId="0" borderId="1" xfId="17" applyNumberFormat="1" applyBorder="1" applyAlignment="1">
      <alignment/>
    </xf>
    <xf numFmtId="182" fontId="0" fillId="0" borderId="1" xfId="17" applyNumberFormat="1" applyBorder="1" applyAlignment="1">
      <alignment horizontal="center"/>
    </xf>
    <xf numFmtId="182" fontId="0" fillId="0" borderId="16" xfId="17" applyNumberFormat="1" applyBorder="1" applyAlignment="1">
      <alignment/>
    </xf>
    <xf numFmtId="182" fontId="0" fillId="0" borderId="15" xfId="17" applyNumberFormat="1" applyBorder="1" applyAlignment="1">
      <alignment horizontal="center"/>
    </xf>
    <xf numFmtId="182" fontId="0" fillId="0" borderId="1" xfId="17" applyNumberFormat="1" applyFont="1" applyBorder="1" applyAlignment="1">
      <alignment horizontal="center"/>
    </xf>
    <xf numFmtId="182" fontId="0" fillId="0" borderId="14" xfId="17" applyNumberFormat="1" applyFont="1" applyBorder="1" applyAlignment="1">
      <alignment/>
    </xf>
    <xf numFmtId="0" fontId="0" fillId="2" borderId="0" xfId="0" applyFill="1" applyAlignment="1">
      <alignment/>
    </xf>
    <xf numFmtId="0" fontId="1" fillId="2" borderId="0" xfId="0" applyFont="1" applyFill="1" applyAlignment="1">
      <alignment horizontal="center"/>
    </xf>
    <xf numFmtId="2" fontId="0" fillId="2" borderId="0" xfId="0" applyNumberFormat="1" applyFill="1" applyAlignment="1">
      <alignment/>
    </xf>
    <xf numFmtId="2" fontId="0" fillId="2" borderId="0" xfId="0" applyNumberFormat="1" applyFill="1" applyBorder="1" applyAlignment="1">
      <alignment/>
    </xf>
    <xf numFmtId="0" fontId="0" fillId="2" borderId="1" xfId="0" applyFill="1" applyBorder="1" applyAlignment="1">
      <alignment/>
    </xf>
    <xf numFmtId="2" fontId="0" fillId="2" borderId="1" xfId="0" applyNumberFormat="1" applyFill="1" applyBorder="1" applyAlignment="1">
      <alignment/>
    </xf>
    <xf numFmtId="9" fontId="0" fillId="2" borderId="0" xfId="0" applyNumberFormat="1" applyFill="1" applyAlignment="1">
      <alignment/>
    </xf>
    <xf numFmtId="0" fontId="8" fillId="2" borderId="0" xfId="0" applyFont="1" applyFill="1" applyAlignment="1">
      <alignment horizontal="center" vertical="center"/>
    </xf>
    <xf numFmtId="0" fontId="8" fillId="2" borderId="5" xfId="0" applyFont="1" applyFill="1" applyBorder="1" applyAlignment="1">
      <alignment horizontal="center" vertical="center"/>
    </xf>
    <xf numFmtId="0" fontId="8" fillId="2" borderId="4" xfId="0" applyFont="1" applyFill="1" applyBorder="1" applyAlignment="1">
      <alignment horizontal="center" vertical="center"/>
    </xf>
    <xf numFmtId="2" fontId="8" fillId="2" borderId="4" xfId="0" applyNumberFormat="1" applyFont="1" applyFill="1" applyBorder="1" applyAlignment="1">
      <alignment horizontal="center" vertical="center"/>
    </xf>
    <xf numFmtId="2" fontId="8" fillId="2" borderId="6" xfId="0" applyNumberFormat="1" applyFont="1" applyFill="1" applyBorder="1" applyAlignment="1">
      <alignment horizontal="center" vertical="center"/>
    </xf>
    <xf numFmtId="0" fontId="1" fillId="2" borderId="0" xfId="0" applyFont="1" applyFill="1" applyAlignment="1">
      <alignment/>
    </xf>
    <xf numFmtId="2" fontId="1" fillId="2" borderId="0" xfId="0" applyNumberFormat="1" applyFont="1" applyFill="1" applyAlignment="1">
      <alignment/>
    </xf>
    <xf numFmtId="9" fontId="0" fillId="2" borderId="0" xfId="21" applyFill="1" applyAlignment="1">
      <alignment/>
    </xf>
    <xf numFmtId="176" fontId="0" fillId="2" borderId="0" xfId="17" applyFill="1" applyAlignment="1">
      <alignment/>
    </xf>
    <xf numFmtId="176" fontId="8" fillId="2" borderId="0" xfId="17" applyFont="1" applyFill="1" applyAlignment="1">
      <alignment horizontal="center" vertical="center"/>
    </xf>
    <xf numFmtId="9" fontId="0" fillId="0" borderId="0" xfId="21" applyAlignment="1">
      <alignment/>
    </xf>
    <xf numFmtId="9" fontId="8" fillId="0" borderId="0" xfId="21" applyFont="1" applyAlignment="1">
      <alignment horizontal="center" vertical="center"/>
    </xf>
    <xf numFmtId="182" fontId="6" fillId="0" borderId="10" xfId="17" applyNumberFormat="1" applyFont="1" applyBorder="1" applyAlignment="1">
      <alignment horizontal="center" vertical="center"/>
    </xf>
    <xf numFmtId="182" fontId="0" fillId="0" borderId="0" xfId="17" applyNumberFormat="1" applyAlignment="1">
      <alignment horizontal="center"/>
    </xf>
    <xf numFmtId="182" fontId="4" fillId="0" borderId="0" xfId="17" applyNumberFormat="1" applyFont="1" applyAlignment="1">
      <alignment/>
    </xf>
    <xf numFmtId="183" fontId="0" fillId="0" borderId="0" xfId="0" applyNumberFormat="1" applyAlignment="1">
      <alignment/>
    </xf>
    <xf numFmtId="0" fontId="14" fillId="0" borderId="0" xfId="0" applyFont="1" applyAlignment="1">
      <alignment horizontal="left" vertical="center"/>
    </xf>
    <xf numFmtId="182" fontId="11" fillId="0" borderId="0" xfId="17" applyNumberFormat="1" applyFont="1" applyAlignment="1">
      <alignment/>
    </xf>
    <xf numFmtId="2" fontId="12" fillId="0" borderId="4" xfId="0" applyNumberFormat="1" applyFont="1" applyBorder="1" applyAlignment="1">
      <alignment horizontal="center" vertical="center"/>
    </xf>
    <xf numFmtId="0" fontId="0" fillId="0" borderId="17" xfId="0" applyBorder="1" applyAlignment="1">
      <alignment/>
    </xf>
    <xf numFmtId="9" fontId="0" fillId="0" borderId="17" xfId="0" applyNumberFormat="1" applyBorder="1" applyAlignment="1">
      <alignment/>
    </xf>
    <xf numFmtId="182" fontId="15" fillId="0" borderId="10" xfId="17" applyNumberFormat="1" applyFont="1" applyBorder="1" applyAlignment="1">
      <alignment horizontal="center" vertical="center"/>
    </xf>
    <xf numFmtId="0" fontId="13" fillId="0" borderId="0" xfId="0" applyFont="1" applyAlignment="1">
      <alignment/>
    </xf>
    <xf numFmtId="0" fontId="0" fillId="0" borderId="0" xfId="0" applyFill="1" applyAlignment="1" applyProtection="1">
      <alignment/>
      <protection locked="0"/>
    </xf>
    <xf numFmtId="176" fontId="13" fillId="0" borderId="0" xfId="0" applyNumberFormat="1" applyFont="1" applyAlignment="1">
      <alignment/>
    </xf>
    <xf numFmtId="182" fontId="13" fillId="0" borderId="0" xfId="17" applyNumberFormat="1" applyFont="1" applyAlignment="1">
      <alignment/>
    </xf>
    <xf numFmtId="182" fontId="18" fillId="0" borderId="0" xfId="17" applyNumberFormat="1" applyFont="1" applyAlignment="1">
      <alignment/>
    </xf>
    <xf numFmtId="182" fontId="17" fillId="0" borderId="0" xfId="17" applyNumberFormat="1" applyFont="1" applyAlignment="1">
      <alignment/>
    </xf>
    <xf numFmtId="0" fontId="13" fillId="0" borderId="0" xfId="0" applyFont="1" applyBorder="1" applyAlignment="1">
      <alignment/>
    </xf>
    <xf numFmtId="0" fontId="20" fillId="0" borderId="0" xfId="0" applyFont="1" applyBorder="1" applyAlignment="1">
      <alignment/>
    </xf>
    <xf numFmtId="0" fontId="0" fillId="0" borderId="0" xfId="0" applyFont="1" applyAlignment="1">
      <alignment/>
    </xf>
    <xf numFmtId="184" fontId="0" fillId="0" borderId="0" xfId="0" applyNumberFormat="1" applyFont="1" applyAlignment="1">
      <alignment horizontal="right"/>
    </xf>
    <xf numFmtId="184" fontId="0" fillId="0" borderId="0" xfId="0" applyNumberFormat="1" applyFont="1" applyAlignment="1">
      <alignment/>
    </xf>
    <xf numFmtId="0" fontId="0" fillId="0" borderId="0" xfId="0" applyFont="1" applyBorder="1" applyAlignment="1">
      <alignment/>
    </xf>
    <xf numFmtId="182" fontId="0" fillId="0" borderId="2" xfId="17" applyNumberFormat="1" applyFont="1" applyBorder="1" applyAlignment="1">
      <alignment/>
    </xf>
    <xf numFmtId="182" fontId="5" fillId="0" borderId="0" xfId="17" applyNumberFormat="1" applyFont="1" applyAlignment="1">
      <alignment horizontal="center"/>
    </xf>
    <xf numFmtId="182" fontId="5" fillId="0" borderId="0" xfId="17" applyNumberFormat="1" applyFont="1" applyAlignment="1">
      <alignment/>
    </xf>
    <xf numFmtId="182" fontId="11" fillId="0" borderId="0" xfId="17" applyNumberFormat="1" applyFont="1" applyAlignment="1">
      <alignment horizontal="center"/>
    </xf>
    <xf numFmtId="182" fontId="5" fillId="0" borderId="0" xfId="17" applyNumberFormat="1" applyFont="1" applyAlignment="1" quotePrefix="1">
      <alignment horizontal="center"/>
    </xf>
    <xf numFmtId="182" fontId="0" fillId="2" borderId="0" xfId="17" applyNumberFormat="1" applyFill="1" applyAlignment="1">
      <alignment/>
    </xf>
    <xf numFmtId="182" fontId="11" fillId="2" borderId="0" xfId="17" applyNumberFormat="1" applyFont="1" applyFill="1" applyAlignment="1">
      <alignment/>
    </xf>
    <xf numFmtId="182" fontId="5" fillId="2" borderId="0" xfId="17" applyNumberFormat="1" applyFont="1" applyFill="1" applyAlignment="1">
      <alignment/>
    </xf>
    <xf numFmtId="182" fontId="5" fillId="2" borderId="0" xfId="17" applyNumberFormat="1" applyFont="1" applyFill="1" applyAlignment="1">
      <alignment horizontal="center"/>
    </xf>
    <xf numFmtId="0" fontId="0" fillId="2" borderId="0" xfId="0" applyFont="1" applyFill="1" applyAlignment="1">
      <alignment/>
    </xf>
    <xf numFmtId="0" fontId="8" fillId="2" borderId="0" xfId="0" applyFont="1" applyFill="1" applyBorder="1" applyAlignment="1">
      <alignment horizontal="center"/>
    </xf>
    <xf numFmtId="176" fontId="8" fillId="2" borderId="0" xfId="0" applyNumberFormat="1" applyFont="1" applyFill="1" applyBorder="1" applyAlignment="1">
      <alignment horizontal="center"/>
    </xf>
    <xf numFmtId="0" fontId="8" fillId="2" borderId="0" xfId="0" applyFont="1" applyFill="1" applyBorder="1" applyAlignment="1">
      <alignment/>
    </xf>
    <xf numFmtId="176" fontId="8" fillId="2" borderId="0" xfId="17" applyNumberFormat="1" applyFont="1" applyFill="1" applyBorder="1" applyAlignment="1">
      <alignment horizontal="center"/>
    </xf>
    <xf numFmtId="182" fontId="8" fillId="2" borderId="0" xfId="17" applyNumberFormat="1" applyFont="1" applyFill="1" applyBorder="1" applyAlignment="1">
      <alignment horizontal="center"/>
    </xf>
    <xf numFmtId="0" fontId="13" fillId="2" borderId="0" xfId="0" applyFont="1" applyFill="1" applyAlignment="1">
      <alignment/>
    </xf>
    <xf numFmtId="0" fontId="13" fillId="2" borderId="0" xfId="0" applyFont="1" applyFill="1" applyBorder="1" applyAlignment="1">
      <alignment/>
    </xf>
    <xf numFmtId="0" fontId="20" fillId="2" borderId="0" xfId="0" applyFont="1" applyFill="1" applyBorder="1" applyAlignment="1">
      <alignment/>
    </xf>
    <xf numFmtId="0" fontId="0" fillId="0" borderId="7" xfId="0" applyBorder="1" applyAlignment="1">
      <alignment/>
    </xf>
    <xf numFmtId="182" fontId="0" fillId="0" borderId="2" xfId="17" applyNumberFormat="1" applyFont="1" applyBorder="1" applyAlignment="1">
      <alignment horizontal="center"/>
    </xf>
    <xf numFmtId="0" fontId="21" fillId="0" borderId="0" xfId="0" applyFont="1" applyAlignment="1">
      <alignment/>
    </xf>
    <xf numFmtId="10" fontId="16" fillId="2" borderId="0" xfId="21" applyNumberFormat="1" applyFont="1" applyFill="1" applyAlignment="1">
      <alignment/>
    </xf>
    <xf numFmtId="182" fontId="16" fillId="2" borderId="0" xfId="17" applyNumberFormat="1" applyFont="1" applyFill="1" applyAlignment="1">
      <alignment/>
    </xf>
    <xf numFmtId="182" fontId="16" fillId="2" borderId="0" xfId="17" applyNumberFormat="1" applyFont="1" applyFill="1" applyAlignment="1">
      <alignment horizontal="center"/>
    </xf>
    <xf numFmtId="182" fontId="22" fillId="2" borderId="0" xfId="17" applyNumberFormat="1" applyFont="1" applyFill="1" applyAlignment="1">
      <alignment/>
    </xf>
    <xf numFmtId="182" fontId="23" fillId="2" borderId="0" xfId="17" applyNumberFormat="1" applyFont="1" applyFill="1" applyAlignment="1">
      <alignment/>
    </xf>
    <xf numFmtId="182" fontId="24" fillId="2" borderId="0" xfId="17" applyNumberFormat="1" applyFont="1" applyFill="1" applyAlignment="1">
      <alignment/>
    </xf>
    <xf numFmtId="182" fontId="24" fillId="2" borderId="0" xfId="17" applyNumberFormat="1" applyFont="1" applyFill="1" applyAlignment="1">
      <alignment wrapText="1"/>
    </xf>
    <xf numFmtId="0" fontId="7" fillId="0" borderId="2" xfId="0" applyFont="1" applyBorder="1" applyAlignment="1">
      <alignment/>
    </xf>
    <xf numFmtId="0" fontId="8" fillId="0" borderId="18" xfId="0" applyFont="1" applyBorder="1" applyAlignment="1">
      <alignment horizontal="center"/>
    </xf>
    <xf numFmtId="2" fontId="0" fillId="0" borderId="2" xfId="0" applyNumberFormat="1" applyBorder="1" applyAlignment="1">
      <alignment horizontal="right"/>
    </xf>
    <xf numFmtId="2" fontId="0" fillId="0" borderId="7" xfId="0" applyNumberFormat="1" applyBorder="1" applyAlignment="1">
      <alignment horizontal="right"/>
    </xf>
    <xf numFmtId="0" fontId="0" fillId="0" borderId="19" xfId="0" applyFill="1" applyBorder="1" applyAlignment="1">
      <alignment/>
    </xf>
    <xf numFmtId="0" fontId="1" fillId="0" borderId="18" xfId="0" applyFont="1" applyBorder="1" applyAlignment="1">
      <alignment/>
    </xf>
    <xf numFmtId="2" fontId="0" fillId="0" borderId="18" xfId="0" applyNumberFormat="1" applyBorder="1" applyAlignment="1">
      <alignment horizontal="right"/>
    </xf>
    <xf numFmtId="2" fontId="0" fillId="0" borderId="8" xfId="0" applyNumberFormat="1" applyBorder="1" applyAlignment="1">
      <alignment horizontal="right"/>
    </xf>
    <xf numFmtId="0" fontId="7" fillId="0" borderId="18" xfId="0" applyFont="1" applyBorder="1" applyAlignment="1">
      <alignment/>
    </xf>
    <xf numFmtId="176" fontId="25" fillId="0" borderId="0" xfId="0" applyNumberFormat="1" applyFont="1" applyFill="1" applyBorder="1" applyAlignment="1">
      <alignment/>
    </xf>
    <xf numFmtId="2" fontId="0" fillId="0" borderId="20" xfId="0" applyNumberFormat="1" applyBorder="1" applyAlignment="1">
      <alignment horizontal="right"/>
    </xf>
    <xf numFmtId="0" fontId="16" fillId="0" borderId="0" xfId="0" applyFont="1" applyFill="1" applyBorder="1" applyAlignment="1">
      <alignment/>
    </xf>
    <xf numFmtId="184" fontId="16" fillId="0" borderId="0" xfId="0" applyNumberFormat="1" applyFont="1" applyFill="1" applyBorder="1" applyAlignment="1">
      <alignment horizontal="right"/>
    </xf>
    <xf numFmtId="182" fontId="19" fillId="3" borderId="21" xfId="17" applyNumberFormat="1" applyFont="1" applyFill="1" applyBorder="1" applyAlignment="1">
      <alignment horizontal="center"/>
    </xf>
    <xf numFmtId="176" fontId="0" fillId="0" borderId="2" xfId="17" applyFont="1" applyBorder="1" applyAlignment="1">
      <alignment/>
    </xf>
    <xf numFmtId="182" fontId="0" fillId="0" borderId="2" xfId="17" applyNumberFormat="1" applyFont="1" applyBorder="1" applyAlignment="1">
      <alignment/>
    </xf>
    <xf numFmtId="182" fontId="0" fillId="4" borderId="1" xfId="17" applyNumberFormat="1" applyFont="1" applyFill="1" applyBorder="1" applyAlignment="1">
      <alignment/>
    </xf>
    <xf numFmtId="182" fontId="1" fillId="4" borderId="22" xfId="17" applyNumberFormat="1" applyFont="1" applyFill="1" applyBorder="1" applyAlignment="1">
      <alignment horizontal="right"/>
    </xf>
    <xf numFmtId="182" fontId="13" fillId="0" borderId="2" xfId="17" applyNumberFormat="1" applyFont="1" applyBorder="1" applyAlignment="1">
      <alignment/>
    </xf>
    <xf numFmtId="0" fontId="13" fillId="0" borderId="2" xfId="0" applyFont="1" applyBorder="1" applyAlignment="1">
      <alignment/>
    </xf>
    <xf numFmtId="182" fontId="19" fillId="0" borderId="2" xfId="17" applyNumberFormat="1" applyFont="1" applyFill="1" applyBorder="1" applyAlignment="1">
      <alignment horizontal="center"/>
    </xf>
    <xf numFmtId="182" fontId="19" fillId="0" borderId="2" xfId="0" applyNumberFormat="1" applyFont="1" applyFill="1" applyBorder="1" applyAlignment="1">
      <alignment horizontal="center"/>
    </xf>
    <xf numFmtId="182" fontId="0" fillId="0" borderId="2" xfId="17" applyNumberFormat="1" applyFont="1" applyFill="1" applyBorder="1" applyAlignment="1">
      <alignment horizontal="center"/>
    </xf>
    <xf numFmtId="182" fontId="13" fillId="2" borderId="0" xfId="17" applyNumberFormat="1" applyFont="1" applyFill="1" applyAlignment="1">
      <alignment/>
    </xf>
    <xf numFmtId="182" fontId="0" fillId="2" borderId="0" xfId="17" applyNumberFormat="1" applyFont="1" applyFill="1" applyAlignment="1">
      <alignment/>
    </xf>
    <xf numFmtId="182" fontId="0" fillId="2" borderId="0" xfId="17" applyNumberFormat="1" applyFont="1" applyFill="1" applyAlignment="1">
      <alignment/>
    </xf>
    <xf numFmtId="0" fontId="0" fillId="0" borderId="18" xfId="0" applyBorder="1" applyAlignment="1">
      <alignment/>
    </xf>
    <xf numFmtId="2" fontId="0" fillId="0" borderId="19" xfId="0" applyNumberFormat="1" applyFill="1" applyBorder="1" applyAlignment="1">
      <alignment horizontal="right"/>
    </xf>
    <xf numFmtId="0" fontId="0" fillId="0" borderId="8" xfId="0" applyBorder="1" applyAlignment="1">
      <alignment/>
    </xf>
    <xf numFmtId="182" fontId="13" fillId="0" borderId="8" xfId="17" applyNumberFormat="1" applyFont="1" applyBorder="1" applyAlignment="1">
      <alignment/>
    </xf>
    <xf numFmtId="182" fontId="0" fillId="0" borderId="8" xfId="17" applyNumberFormat="1" applyFont="1" applyBorder="1" applyAlignment="1">
      <alignment/>
    </xf>
    <xf numFmtId="182" fontId="0" fillId="0" borderId="8" xfId="17" applyNumberFormat="1" applyFont="1" applyBorder="1" applyAlignment="1">
      <alignment/>
    </xf>
    <xf numFmtId="0" fontId="13" fillId="0" borderId="8" xfId="0" applyFont="1" applyBorder="1" applyAlignment="1">
      <alignment/>
    </xf>
    <xf numFmtId="176" fontId="0" fillId="0" borderId="8" xfId="17" applyFont="1" applyBorder="1" applyAlignment="1">
      <alignment/>
    </xf>
    <xf numFmtId="182" fontId="13" fillId="0" borderId="7" xfId="17" applyNumberFormat="1" applyFont="1" applyBorder="1" applyAlignment="1">
      <alignment/>
    </xf>
    <xf numFmtId="182" fontId="0" fillId="0" borderId="7" xfId="17" applyNumberFormat="1" applyFont="1" applyBorder="1" applyAlignment="1">
      <alignment/>
    </xf>
    <xf numFmtId="182" fontId="0" fillId="0" borderId="7" xfId="17" applyNumberFormat="1" applyFont="1" applyBorder="1" applyAlignment="1">
      <alignment/>
    </xf>
    <xf numFmtId="0" fontId="13" fillId="0" borderId="7" xfId="0" applyFont="1" applyBorder="1" applyAlignment="1">
      <alignment/>
    </xf>
    <xf numFmtId="176" fontId="0" fillId="0" borderId="7" xfId="17" applyFont="1" applyBorder="1" applyAlignment="1">
      <alignment/>
    </xf>
    <xf numFmtId="182" fontId="13" fillId="0" borderId="18" xfId="17" applyNumberFormat="1" applyFont="1" applyBorder="1" applyAlignment="1">
      <alignment/>
    </xf>
    <xf numFmtId="182" fontId="0" fillId="0" borderId="18" xfId="17" applyNumberFormat="1" applyFont="1" applyBorder="1" applyAlignment="1">
      <alignment/>
    </xf>
    <xf numFmtId="182" fontId="0" fillId="0" borderId="18" xfId="17" applyNumberFormat="1" applyFont="1" applyBorder="1" applyAlignment="1">
      <alignment/>
    </xf>
    <xf numFmtId="0" fontId="13" fillId="0" borderId="18" xfId="0" applyFont="1" applyBorder="1" applyAlignment="1">
      <alignment/>
    </xf>
    <xf numFmtId="176" fontId="0" fillId="0" borderId="23" xfId="17" applyFont="1" applyBorder="1" applyAlignment="1">
      <alignment/>
    </xf>
    <xf numFmtId="182" fontId="19" fillId="3" borderId="7" xfId="17" applyNumberFormat="1" applyFont="1" applyFill="1" applyBorder="1" applyAlignment="1">
      <alignment horizontal="center"/>
    </xf>
    <xf numFmtId="182" fontId="19" fillId="3" borderId="19" xfId="17" applyNumberFormat="1" applyFont="1" applyFill="1" applyBorder="1" applyAlignment="1">
      <alignment horizontal="center"/>
    </xf>
    <xf numFmtId="0" fontId="19" fillId="3" borderId="24" xfId="0" applyFont="1" applyFill="1" applyBorder="1" applyAlignment="1">
      <alignment horizontal="center"/>
    </xf>
    <xf numFmtId="0" fontId="19" fillId="3" borderId="25" xfId="0" applyFont="1" applyFill="1" applyBorder="1" applyAlignment="1">
      <alignment horizontal="center"/>
    </xf>
    <xf numFmtId="0" fontId="8" fillId="0" borderId="17" xfId="0" applyFont="1" applyBorder="1" applyAlignment="1">
      <alignment horizontal="center"/>
    </xf>
    <xf numFmtId="182" fontId="0" fillId="0" borderId="7" xfId="17" applyNumberFormat="1" applyFont="1" applyBorder="1" applyAlignment="1">
      <alignment horizontal="center"/>
    </xf>
    <xf numFmtId="182" fontId="0" fillId="0" borderId="18" xfId="17" applyNumberFormat="1" applyFont="1" applyBorder="1" applyAlignment="1">
      <alignment horizontal="center"/>
    </xf>
    <xf numFmtId="0" fontId="0" fillId="0" borderId="18" xfId="0" applyFont="1" applyBorder="1" applyAlignment="1">
      <alignment/>
    </xf>
    <xf numFmtId="182" fontId="5" fillId="4" borderId="22" xfId="17" applyNumberFormat="1" applyFont="1" applyFill="1" applyBorder="1" applyAlignment="1">
      <alignment horizontal="center"/>
    </xf>
    <xf numFmtId="182" fontId="5" fillId="4" borderId="22" xfId="17" applyNumberFormat="1" applyFont="1" applyFill="1" applyBorder="1" applyAlignment="1">
      <alignment horizontal="right"/>
    </xf>
    <xf numFmtId="182" fontId="5" fillId="2" borderId="0" xfId="17" applyNumberFormat="1" applyFont="1" applyFill="1" applyBorder="1" applyAlignment="1">
      <alignment/>
    </xf>
    <xf numFmtId="182" fontId="11" fillId="2" borderId="0" xfId="17" applyNumberFormat="1" applyFont="1" applyFill="1" applyBorder="1" applyAlignment="1">
      <alignment/>
    </xf>
    <xf numFmtId="182" fontId="8" fillId="2" borderId="0" xfId="17" applyNumberFormat="1" applyFont="1" applyFill="1" applyBorder="1" applyAlignment="1">
      <alignment horizontal="left"/>
    </xf>
    <xf numFmtId="182" fontId="8" fillId="2" borderId="0" xfId="17" applyNumberFormat="1" applyFont="1" applyFill="1" applyBorder="1" applyAlignment="1" quotePrefix="1">
      <alignment horizontal="center" wrapText="1"/>
    </xf>
    <xf numFmtId="182" fontId="13" fillId="2" borderId="0" xfId="17" applyNumberFormat="1" applyFont="1" applyFill="1" applyBorder="1" applyAlignment="1">
      <alignment/>
    </xf>
    <xf numFmtId="182" fontId="4" fillId="2" borderId="0" xfId="17" applyNumberFormat="1" applyFont="1" applyFill="1" applyBorder="1" applyAlignment="1">
      <alignment/>
    </xf>
    <xf numFmtId="2" fontId="0" fillId="0" borderId="2" xfId="0" applyNumberFormat="1" applyFont="1" applyBorder="1" applyAlignment="1">
      <alignment horizontal="center"/>
    </xf>
    <xf numFmtId="0" fontId="13" fillId="0" borderId="0" xfId="0" applyNumberFormat="1" applyFont="1" applyAlignment="1" applyProtection="1">
      <alignment/>
      <protection hidden="1"/>
    </xf>
    <xf numFmtId="0" fontId="13" fillId="2" borderId="0" xfId="0" applyNumberFormat="1" applyFont="1" applyFill="1" applyBorder="1" applyAlignment="1" applyProtection="1">
      <alignment/>
      <protection hidden="1"/>
    </xf>
    <xf numFmtId="0" fontId="13" fillId="0" borderId="0" xfId="0" applyNumberFormat="1" applyFont="1" applyBorder="1" applyAlignment="1" applyProtection="1">
      <alignment/>
      <protection hidden="1"/>
    </xf>
    <xf numFmtId="0" fontId="8" fillId="0" borderId="20" xfId="0" applyNumberFormat="1" applyFont="1" applyBorder="1" applyAlignment="1" applyProtection="1">
      <alignment horizontal="center"/>
      <protection hidden="1"/>
    </xf>
    <xf numFmtId="0" fontId="8" fillId="0" borderId="26" xfId="0" applyNumberFormat="1" applyFont="1" applyBorder="1" applyAlignment="1" applyProtection="1">
      <alignment horizontal="center"/>
      <protection hidden="1"/>
    </xf>
    <xf numFmtId="0" fontId="0" fillId="0" borderId="7" xfId="0" applyNumberFormat="1" applyFont="1" applyBorder="1" applyAlignment="1" applyProtection="1">
      <alignment horizontal="center"/>
      <protection hidden="1"/>
    </xf>
    <xf numFmtId="0" fontId="0" fillId="0" borderId="2" xfId="0" applyNumberFormat="1" applyFont="1" applyBorder="1" applyAlignment="1" applyProtection="1">
      <alignment horizontal="center"/>
      <protection hidden="1"/>
    </xf>
    <xf numFmtId="0" fontId="0" fillId="0" borderId="2" xfId="0" applyNumberFormat="1" applyFont="1" applyFill="1" applyBorder="1" applyAlignment="1" applyProtection="1">
      <alignment horizontal="center"/>
      <protection hidden="1"/>
    </xf>
    <xf numFmtId="0" fontId="0" fillId="0" borderId="0" xfId="0" applyNumberFormat="1" applyFont="1" applyAlignment="1" applyProtection="1">
      <alignment/>
      <protection hidden="1"/>
    </xf>
    <xf numFmtId="0" fontId="0" fillId="0" borderId="20" xfId="0" applyNumberFormat="1" applyFont="1" applyBorder="1" applyAlignment="1" applyProtection="1">
      <alignment horizontal="center"/>
      <protection hidden="1"/>
    </xf>
    <xf numFmtId="0" fontId="0" fillId="0" borderId="8" xfId="0" applyNumberFormat="1" applyFont="1" applyBorder="1" applyAlignment="1" applyProtection="1">
      <alignment horizontal="center"/>
      <protection hidden="1"/>
    </xf>
    <xf numFmtId="0" fontId="5" fillId="0" borderId="0" xfId="0" applyFont="1" applyAlignment="1" applyProtection="1">
      <alignment/>
      <protection locked="0"/>
    </xf>
    <xf numFmtId="2" fontId="0" fillId="0" borderId="8" xfId="0" applyNumberFormat="1" applyFont="1" applyBorder="1" applyAlignment="1">
      <alignment horizontal="center"/>
    </xf>
    <xf numFmtId="182" fontId="11" fillId="2" borderId="0" xfId="17" applyNumberFormat="1" applyFont="1" applyFill="1" applyAlignment="1">
      <alignment/>
    </xf>
    <xf numFmtId="182" fontId="1" fillId="2" borderId="27" xfId="17" applyNumberFormat="1" applyFont="1" applyFill="1" applyBorder="1" applyAlignment="1">
      <alignment/>
    </xf>
    <xf numFmtId="182" fontId="0" fillId="2" borderId="27" xfId="17" applyNumberFormat="1" applyFont="1" applyFill="1" applyBorder="1" applyAlignment="1">
      <alignment horizontal="center"/>
    </xf>
    <xf numFmtId="182" fontId="1" fillId="2" borderId="0" xfId="17" applyNumberFormat="1" applyFont="1" applyFill="1" applyAlignment="1">
      <alignment horizontal="center"/>
    </xf>
    <xf numFmtId="182" fontId="5" fillId="2" borderId="0" xfId="17" applyNumberFormat="1" applyFont="1" applyFill="1" applyAlignment="1">
      <alignment horizontal="left"/>
    </xf>
    <xf numFmtId="182" fontId="0" fillId="0" borderId="0" xfId="17" applyNumberFormat="1" applyFont="1" applyAlignment="1">
      <alignment/>
    </xf>
    <xf numFmtId="182" fontId="0" fillId="0" borderId="0" xfId="17" applyNumberFormat="1" applyFont="1" applyAlignment="1">
      <alignment/>
    </xf>
    <xf numFmtId="180" fontId="0" fillId="2" borderId="0" xfId="17" applyNumberFormat="1" applyFont="1" applyFill="1" applyAlignment="1">
      <alignment/>
    </xf>
    <xf numFmtId="9" fontId="0" fillId="0" borderId="0" xfId="21" applyFont="1" applyAlignment="1">
      <alignment/>
    </xf>
    <xf numFmtId="182" fontId="1" fillId="2" borderId="5" xfId="17" applyNumberFormat="1" applyFont="1" applyFill="1" applyBorder="1" applyAlignment="1">
      <alignment/>
    </xf>
    <xf numFmtId="182" fontId="5" fillId="2" borderId="4" xfId="17" applyNumberFormat="1" applyFont="1" applyFill="1" applyBorder="1" applyAlignment="1">
      <alignment/>
    </xf>
    <xf numFmtId="182" fontId="1" fillId="2" borderId="28" xfId="17" applyNumberFormat="1" applyFont="1" applyFill="1" applyBorder="1" applyAlignment="1">
      <alignment/>
    </xf>
    <xf numFmtId="182" fontId="1" fillId="2" borderId="22" xfId="17" applyNumberFormat="1" applyFont="1" applyFill="1" applyBorder="1" applyAlignment="1">
      <alignment/>
    </xf>
    <xf numFmtId="182" fontId="11" fillId="2" borderId="28" xfId="17" applyNumberFormat="1" applyFont="1" applyFill="1" applyBorder="1" applyAlignment="1">
      <alignment horizontal="center"/>
    </xf>
    <xf numFmtId="180" fontId="5" fillId="2" borderId="10" xfId="17" applyNumberFormat="1" applyFont="1" applyFill="1" applyBorder="1" applyAlignment="1">
      <alignment/>
    </xf>
    <xf numFmtId="182" fontId="5" fillId="2" borderId="10" xfId="17" applyNumberFormat="1" applyFont="1" applyFill="1" applyBorder="1" applyAlignment="1">
      <alignment/>
    </xf>
    <xf numFmtId="182" fontId="1" fillId="0" borderId="10" xfId="17" applyNumberFormat="1" applyFont="1" applyBorder="1" applyAlignment="1">
      <alignment/>
    </xf>
    <xf numFmtId="182" fontId="1" fillId="0" borderId="0" xfId="17" applyNumberFormat="1" applyFont="1" applyAlignment="1">
      <alignment/>
    </xf>
    <xf numFmtId="182" fontId="0" fillId="0" borderId="0" xfId="17" applyNumberFormat="1" applyAlignment="1">
      <alignment/>
    </xf>
    <xf numFmtId="182" fontId="0" fillId="2" borderId="0" xfId="17" applyNumberFormat="1" applyFill="1" applyAlignment="1">
      <alignment/>
    </xf>
    <xf numFmtId="182" fontId="0" fillId="0" borderId="0" xfId="17" applyNumberFormat="1" applyAlignment="1">
      <alignment horizontal="center"/>
    </xf>
    <xf numFmtId="9" fontId="0" fillId="2" borderId="0" xfId="21" applyFill="1" applyAlignment="1">
      <alignment/>
    </xf>
    <xf numFmtId="9" fontId="0" fillId="2" borderId="27" xfId="21" applyFont="1" applyFill="1" applyBorder="1" applyAlignment="1">
      <alignment horizontal="center"/>
    </xf>
    <xf numFmtId="10" fontId="0" fillId="2" borderId="27" xfId="21" applyNumberFormat="1" applyFont="1" applyFill="1" applyBorder="1" applyAlignment="1">
      <alignment horizontal="center"/>
    </xf>
    <xf numFmtId="9" fontId="0" fillId="2" borderId="22" xfId="21" applyFont="1" applyFill="1" applyBorder="1" applyAlignment="1">
      <alignment horizontal="center"/>
    </xf>
    <xf numFmtId="182" fontId="0" fillId="2" borderId="22" xfId="17" applyNumberFormat="1" applyFont="1" applyFill="1" applyBorder="1" applyAlignment="1">
      <alignment horizontal="center"/>
    </xf>
    <xf numFmtId="0" fontId="8" fillId="2" borderId="0" xfId="0" applyFont="1" applyFill="1" applyBorder="1" applyAlignment="1">
      <alignment/>
    </xf>
    <xf numFmtId="182" fontId="26" fillId="0" borderId="0" xfId="17" applyNumberFormat="1" applyFont="1" applyAlignment="1">
      <alignment/>
    </xf>
    <xf numFmtId="176" fontId="20" fillId="0" borderId="0" xfId="0" applyNumberFormat="1" applyFont="1" applyFill="1" applyBorder="1" applyAlignment="1">
      <alignment/>
    </xf>
    <xf numFmtId="176" fontId="0" fillId="2" borderId="0" xfId="0" applyNumberFormat="1" applyFont="1" applyFill="1" applyAlignment="1">
      <alignment/>
    </xf>
    <xf numFmtId="9" fontId="1" fillId="5" borderId="6" xfId="21" applyFont="1" applyFill="1" applyBorder="1" applyAlignment="1">
      <alignment horizontal="center"/>
    </xf>
    <xf numFmtId="0" fontId="13" fillId="2" borderId="0" xfId="0" applyNumberFormat="1" applyFont="1" applyFill="1" applyAlignment="1" applyProtection="1">
      <alignment/>
      <protection hidden="1"/>
    </xf>
    <xf numFmtId="0" fontId="5" fillId="2" borderId="0" xfId="0" applyFont="1" applyFill="1" applyAlignment="1">
      <alignment/>
    </xf>
    <xf numFmtId="182" fontId="5" fillId="0" borderId="0" xfId="17" applyNumberFormat="1" applyFont="1" applyBorder="1" applyAlignment="1">
      <alignment horizontal="center"/>
    </xf>
    <xf numFmtId="0" fontId="0" fillId="0" borderId="0" xfId="0" applyFill="1" applyBorder="1" applyAlignment="1">
      <alignment/>
    </xf>
    <xf numFmtId="0" fontId="1" fillId="0" borderId="0" xfId="0" applyFont="1" applyFill="1" applyBorder="1" applyAlignment="1">
      <alignment horizontal="center"/>
    </xf>
    <xf numFmtId="2"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0" fontId="0" fillId="0" borderId="0" xfId="0" applyFill="1" applyBorder="1" applyAlignment="1">
      <alignment horizontal="center"/>
    </xf>
    <xf numFmtId="2" fontId="0" fillId="0" borderId="0" xfId="17" applyNumberFormat="1" applyFont="1" applyFill="1" applyBorder="1" applyAlignment="1">
      <alignment horizontal="center"/>
    </xf>
    <xf numFmtId="2" fontId="1" fillId="0" borderId="0" xfId="0" applyNumberFormat="1" applyFont="1" applyFill="1" applyBorder="1" applyAlignment="1">
      <alignment horizontal="right"/>
    </xf>
    <xf numFmtId="182" fontId="0" fillId="0" borderId="0" xfId="17" applyNumberFormat="1" applyFont="1" applyFill="1" applyBorder="1" applyAlignment="1">
      <alignment horizontal="center"/>
    </xf>
    <xf numFmtId="178" fontId="0" fillId="0" borderId="0" xfId="0" applyNumberFormat="1" applyFill="1" applyBorder="1" applyAlignment="1">
      <alignment/>
    </xf>
    <xf numFmtId="0" fontId="6" fillId="0" borderId="0" xfId="0" applyFont="1" applyFill="1" applyBorder="1" applyAlignment="1">
      <alignment/>
    </xf>
    <xf numFmtId="179" fontId="1" fillId="0" borderId="0" xfId="0" applyNumberFormat="1" applyFont="1" applyFill="1" applyBorder="1" applyAlignment="1">
      <alignment/>
    </xf>
    <xf numFmtId="172" fontId="0" fillId="0" borderId="0" xfId="0" applyNumberFormat="1" applyFill="1" applyBorder="1" applyAlignment="1">
      <alignment/>
    </xf>
    <xf numFmtId="0" fontId="1" fillId="0" borderId="0" xfId="0" applyFont="1" applyFill="1" applyBorder="1" applyAlignment="1">
      <alignment/>
    </xf>
    <xf numFmtId="177" fontId="1" fillId="0" borderId="0" xfId="0" applyNumberFormat="1" applyFont="1" applyFill="1" applyBorder="1" applyAlignment="1">
      <alignment/>
    </xf>
    <xf numFmtId="0" fontId="21" fillId="0" borderId="0" xfId="0" applyFont="1" applyFill="1" applyBorder="1" applyAlignment="1">
      <alignment/>
    </xf>
    <xf numFmtId="10" fontId="1" fillId="0" borderId="0" xfId="0" applyNumberFormat="1" applyFont="1" applyFill="1" applyBorder="1" applyAlignment="1">
      <alignment/>
    </xf>
    <xf numFmtId="182" fontId="5" fillId="0" borderId="0" xfId="17" applyNumberFormat="1" applyFont="1" applyAlignment="1">
      <alignment/>
    </xf>
    <xf numFmtId="0" fontId="11" fillId="0" borderId="0" xfId="0" applyFont="1" applyFill="1" applyBorder="1" applyAlignment="1">
      <alignment/>
    </xf>
    <xf numFmtId="182" fontId="5" fillId="0" borderId="0" xfId="17" applyNumberFormat="1" applyFont="1" applyFill="1" applyBorder="1" applyAlignment="1">
      <alignment vertical="center"/>
    </xf>
    <xf numFmtId="0" fontId="8" fillId="0" borderId="0" xfId="0" applyFont="1" applyFill="1" applyBorder="1" applyAlignment="1">
      <alignment horizontal="center"/>
    </xf>
    <xf numFmtId="2" fontId="0" fillId="0" borderId="0" xfId="0" applyNumberFormat="1" applyFill="1" applyBorder="1" applyAlignment="1">
      <alignment horizontal="right"/>
    </xf>
    <xf numFmtId="0" fontId="21" fillId="0" borderId="0" xfId="0" applyFont="1" applyBorder="1" applyAlignment="1">
      <alignment wrapText="1"/>
    </xf>
    <xf numFmtId="0" fontId="27" fillId="0" borderId="0" xfId="0" applyFont="1" applyAlignment="1">
      <alignment/>
    </xf>
    <xf numFmtId="0" fontId="28" fillId="0" borderId="0" xfId="0" applyFont="1" applyAlignment="1">
      <alignment horizontal="center"/>
    </xf>
    <xf numFmtId="182" fontId="29" fillId="4" borderId="7" xfId="17" applyNumberFormat="1" applyFont="1" applyFill="1" applyBorder="1" applyAlignment="1">
      <alignment/>
    </xf>
    <xf numFmtId="0" fontId="30" fillId="4" borderId="7" xfId="0" applyFont="1" applyFill="1" applyBorder="1" applyAlignment="1">
      <alignment horizontal="center"/>
    </xf>
    <xf numFmtId="0" fontId="27" fillId="0" borderId="7" xfId="0" applyFont="1" applyBorder="1" applyAlignment="1">
      <alignment horizontal="center"/>
    </xf>
    <xf numFmtId="0" fontId="29" fillId="0" borderId="7" xfId="0" applyFont="1" applyBorder="1" applyAlignment="1">
      <alignment/>
    </xf>
    <xf numFmtId="2" fontId="27" fillId="0" borderId="7" xfId="0" applyNumberFormat="1" applyFont="1" applyBorder="1" applyAlignment="1">
      <alignment horizontal="right"/>
    </xf>
    <xf numFmtId="0" fontId="27" fillId="0" borderId="2" xfId="0" applyFont="1" applyBorder="1" applyAlignment="1">
      <alignment horizontal="center"/>
    </xf>
    <xf numFmtId="0" fontId="27" fillId="0" borderId="2" xfId="0" applyFont="1" applyBorder="1" applyAlignment="1">
      <alignment/>
    </xf>
    <xf numFmtId="2" fontId="27" fillId="0" borderId="2" xfId="0" applyNumberFormat="1" applyFont="1" applyBorder="1" applyAlignment="1">
      <alignment horizontal="right"/>
    </xf>
    <xf numFmtId="0" fontId="27" fillId="0" borderId="2" xfId="0" applyNumberFormat="1" applyFont="1" applyBorder="1" applyAlignment="1">
      <alignment horizontal="right"/>
    </xf>
    <xf numFmtId="0" fontId="31" fillId="6" borderId="2" xfId="0" applyFont="1" applyFill="1" applyBorder="1" applyAlignment="1">
      <alignment horizontal="center"/>
    </xf>
    <xf numFmtId="2" fontId="28" fillId="6" borderId="29" xfId="0" applyNumberFormat="1" applyFont="1" applyFill="1" applyBorder="1" applyAlignment="1">
      <alignment horizontal="right"/>
    </xf>
    <xf numFmtId="0" fontId="31" fillId="0" borderId="0" xfId="0" applyFont="1" applyFill="1" applyBorder="1" applyAlignment="1">
      <alignment horizontal="center"/>
    </xf>
    <xf numFmtId="2" fontId="28" fillId="0" borderId="0" xfId="0" applyNumberFormat="1" applyFont="1" applyBorder="1" applyAlignment="1">
      <alignment horizontal="right"/>
    </xf>
    <xf numFmtId="0" fontId="30" fillId="4" borderId="2" xfId="0" applyFont="1" applyFill="1" applyBorder="1" applyAlignment="1">
      <alignment horizontal="center"/>
    </xf>
    <xf numFmtId="2" fontId="27" fillId="0" borderId="2" xfId="0" applyNumberFormat="1" applyFont="1" applyBorder="1" applyAlignment="1">
      <alignment/>
    </xf>
    <xf numFmtId="0" fontId="27" fillId="0" borderId="0" xfId="0" applyFont="1" applyBorder="1" applyAlignment="1">
      <alignment/>
    </xf>
    <xf numFmtId="2" fontId="31" fillId="6" borderId="2" xfId="0" applyNumberFormat="1" applyFont="1" applyFill="1" applyBorder="1" applyAlignment="1">
      <alignment horizontal="center"/>
    </xf>
    <xf numFmtId="0" fontId="28" fillId="2" borderId="0" xfId="0" applyFont="1" applyFill="1" applyBorder="1" applyAlignment="1">
      <alignment/>
    </xf>
    <xf numFmtId="0" fontId="29" fillId="3" borderId="5" xfId="0" applyFont="1" applyFill="1" applyBorder="1" applyAlignment="1">
      <alignment horizontal="center"/>
    </xf>
    <xf numFmtId="0" fontId="29" fillId="3" borderId="6" xfId="0" applyFont="1" applyFill="1" applyBorder="1" applyAlignment="1">
      <alignment horizontal="center"/>
    </xf>
    <xf numFmtId="0" fontId="29" fillId="3" borderId="10" xfId="0" applyFont="1" applyFill="1" applyBorder="1" applyAlignment="1">
      <alignment horizontal="center"/>
    </xf>
    <xf numFmtId="2" fontId="27" fillId="4" borderId="30" xfId="0" applyNumberFormat="1" applyFont="1" applyFill="1" applyBorder="1" applyAlignment="1">
      <alignment/>
    </xf>
    <xf numFmtId="0" fontId="27" fillId="4" borderId="30" xfId="0" applyFont="1" applyFill="1" applyBorder="1" applyAlignment="1">
      <alignment/>
    </xf>
    <xf numFmtId="0" fontId="27" fillId="4" borderId="31" xfId="0" applyFont="1" applyFill="1" applyBorder="1" applyAlignment="1">
      <alignment/>
    </xf>
    <xf numFmtId="0" fontId="32" fillId="2" borderId="0" xfId="0" applyNumberFormat="1" applyFont="1" applyFill="1" applyBorder="1" applyAlignment="1" applyProtection="1">
      <alignment/>
      <protection hidden="1"/>
    </xf>
    <xf numFmtId="0" fontId="30" fillId="2" borderId="0" xfId="0" applyFont="1" applyFill="1" applyBorder="1" applyAlignment="1">
      <alignment horizontal="center"/>
    </xf>
    <xf numFmtId="176" fontId="30" fillId="2" borderId="0" xfId="0" applyNumberFormat="1" applyFont="1" applyFill="1" applyBorder="1" applyAlignment="1">
      <alignment horizontal="center"/>
    </xf>
    <xf numFmtId="0" fontId="32" fillId="0" borderId="0" xfId="0" applyNumberFormat="1" applyFont="1" applyBorder="1" applyAlignment="1" applyProtection="1">
      <alignment/>
      <protection hidden="1"/>
    </xf>
    <xf numFmtId="0" fontId="30" fillId="2" borderId="0" xfId="0" applyFont="1" applyFill="1" applyBorder="1" applyAlignment="1">
      <alignment/>
    </xf>
    <xf numFmtId="176" fontId="30" fillId="2" borderId="0" xfId="17" applyNumberFormat="1" applyFont="1" applyFill="1" applyBorder="1" applyAlignment="1">
      <alignment horizontal="center"/>
    </xf>
    <xf numFmtId="182" fontId="30" fillId="2" borderId="0" xfId="17" applyNumberFormat="1" applyFont="1" applyFill="1" applyBorder="1" applyAlignment="1">
      <alignment horizontal="center"/>
    </xf>
    <xf numFmtId="0" fontId="33" fillId="3" borderId="32" xfId="17" applyNumberFormat="1" applyFont="1" applyFill="1" applyBorder="1" applyAlignment="1" applyProtection="1">
      <alignment horizontal="center"/>
      <protection hidden="1"/>
    </xf>
    <xf numFmtId="182" fontId="33" fillId="3" borderId="21" xfId="17" applyNumberFormat="1" applyFont="1" applyFill="1" applyBorder="1" applyAlignment="1">
      <alignment horizontal="center"/>
    </xf>
    <xf numFmtId="182" fontId="33" fillId="3" borderId="12" xfId="17" applyNumberFormat="1" applyFont="1" applyFill="1" applyBorder="1" applyAlignment="1">
      <alignment horizontal="center"/>
    </xf>
    <xf numFmtId="0" fontId="30" fillId="0" borderId="20" xfId="0" applyNumberFormat="1" applyFont="1" applyBorder="1" applyAlignment="1" applyProtection="1">
      <alignment horizontal="center"/>
      <protection hidden="1"/>
    </xf>
    <xf numFmtId="0" fontId="30" fillId="0" borderId="18" xfId="0" applyFont="1" applyBorder="1" applyAlignment="1">
      <alignment horizontal="center"/>
    </xf>
    <xf numFmtId="182" fontId="27" fillId="0" borderId="2" xfId="17" applyNumberFormat="1" applyFont="1" applyFill="1" applyBorder="1" applyAlignment="1">
      <alignment horizontal="center"/>
    </xf>
    <xf numFmtId="182" fontId="27" fillId="0" borderId="7" xfId="17" applyNumberFormat="1" applyFont="1" applyBorder="1" applyAlignment="1">
      <alignment/>
    </xf>
    <xf numFmtId="176" fontId="27" fillId="0" borderId="7" xfId="17" applyFont="1" applyBorder="1" applyAlignment="1">
      <alignment/>
    </xf>
    <xf numFmtId="0" fontId="30" fillId="0" borderId="26" xfId="0" applyNumberFormat="1" applyFont="1" applyBorder="1" applyAlignment="1" applyProtection="1">
      <alignment horizontal="center"/>
      <protection hidden="1"/>
    </xf>
    <xf numFmtId="0" fontId="27" fillId="0" borderId="8" xfId="0" applyFont="1" applyBorder="1" applyAlignment="1">
      <alignment/>
    </xf>
    <xf numFmtId="0" fontId="30" fillId="0" borderId="17" xfId="0" applyFont="1" applyBorder="1" applyAlignment="1">
      <alignment horizontal="center"/>
    </xf>
    <xf numFmtId="2" fontId="27" fillId="0" borderId="8" xfId="0" applyNumberFormat="1" applyFont="1" applyBorder="1" applyAlignment="1">
      <alignment horizontal="center"/>
    </xf>
    <xf numFmtId="0" fontId="34" fillId="0" borderId="18" xfId="0" applyFont="1" applyBorder="1" applyAlignment="1">
      <alignment/>
    </xf>
    <xf numFmtId="2" fontId="27" fillId="0" borderId="18" xfId="0" applyNumberFormat="1" applyFont="1" applyBorder="1" applyAlignment="1">
      <alignment horizontal="right"/>
    </xf>
    <xf numFmtId="182" fontId="27" fillId="0" borderId="18" xfId="17" applyNumberFormat="1" applyFont="1" applyBorder="1" applyAlignment="1">
      <alignment horizontal="center"/>
    </xf>
    <xf numFmtId="182" fontId="27" fillId="0" borderId="18" xfId="17" applyNumberFormat="1" applyFont="1" applyBorder="1" applyAlignment="1">
      <alignment/>
    </xf>
    <xf numFmtId="182" fontId="27" fillId="0" borderId="18" xfId="17" applyNumberFormat="1" applyFont="1" applyBorder="1" applyAlignment="1">
      <alignment/>
    </xf>
    <xf numFmtId="176" fontId="27" fillId="0" borderId="23" xfId="17" applyFont="1" applyBorder="1" applyAlignment="1">
      <alignment/>
    </xf>
    <xf numFmtId="0" fontId="27" fillId="0" borderId="7" xfId="0" applyNumberFormat="1" applyFont="1" applyBorder="1" applyAlignment="1" applyProtection="1">
      <alignment horizontal="center"/>
      <protection hidden="1"/>
    </xf>
    <xf numFmtId="0" fontId="27" fillId="0" borderId="7" xfId="0" applyFont="1" applyBorder="1" applyAlignment="1">
      <alignment/>
    </xf>
    <xf numFmtId="182" fontId="27" fillId="0" borderId="7" xfId="17" applyNumberFormat="1" applyFont="1" applyBorder="1" applyAlignment="1">
      <alignment horizontal="center"/>
    </xf>
    <xf numFmtId="0" fontId="27" fillId="0" borderId="2" xfId="0" applyNumberFormat="1" applyFont="1" applyBorder="1" applyAlignment="1" applyProtection="1">
      <alignment horizontal="center"/>
      <protection hidden="1"/>
    </xf>
    <xf numFmtId="182" fontId="27" fillId="0" borderId="2" xfId="17" applyNumberFormat="1" applyFont="1" applyBorder="1" applyAlignment="1">
      <alignment horizontal="center"/>
    </xf>
    <xf numFmtId="182" fontId="27" fillId="0" borderId="2" xfId="17" applyNumberFormat="1" applyFont="1" applyBorder="1" applyAlignment="1">
      <alignment/>
    </xf>
    <xf numFmtId="176" fontId="27" fillId="0" borderId="2" xfId="17" applyFont="1" applyBorder="1" applyAlignment="1">
      <alignment/>
    </xf>
    <xf numFmtId="0" fontId="27" fillId="0" borderId="2" xfId="0" applyNumberFormat="1" applyFont="1" applyFill="1" applyBorder="1" applyAlignment="1" applyProtection="1">
      <alignment horizontal="center"/>
      <protection hidden="1"/>
    </xf>
    <xf numFmtId="0" fontId="27" fillId="0" borderId="2" xfId="0" applyFont="1" applyFill="1" applyBorder="1" applyAlignment="1">
      <alignment/>
    </xf>
    <xf numFmtId="2" fontId="27" fillId="0" borderId="20" xfId="0" applyNumberFormat="1" applyFont="1" applyBorder="1" applyAlignment="1">
      <alignment horizontal="right"/>
    </xf>
    <xf numFmtId="0" fontId="34" fillId="0" borderId="2" xfId="0" applyFont="1" applyBorder="1" applyAlignment="1">
      <alignment/>
    </xf>
    <xf numFmtId="182" fontId="33" fillId="0" borderId="2" xfId="17" applyNumberFormat="1" applyFont="1" applyFill="1" applyBorder="1" applyAlignment="1">
      <alignment horizontal="center"/>
    </xf>
    <xf numFmtId="182" fontId="27" fillId="0" borderId="2" xfId="17" applyNumberFormat="1" applyFont="1" applyBorder="1" applyAlignment="1">
      <alignment/>
    </xf>
    <xf numFmtId="0" fontId="27" fillId="0" borderId="19" xfId="0" applyFont="1" applyFill="1" applyBorder="1" applyAlignment="1">
      <alignment/>
    </xf>
    <xf numFmtId="2" fontId="27" fillId="0" borderId="19" xfId="0" applyNumberFormat="1" applyFont="1" applyFill="1" applyBorder="1" applyAlignment="1">
      <alignment horizontal="right"/>
    </xf>
    <xf numFmtId="0" fontId="27" fillId="0" borderId="20" xfId="0" applyNumberFormat="1" applyFont="1" applyBorder="1" applyAlignment="1" applyProtection="1">
      <alignment horizontal="center"/>
      <protection hidden="1"/>
    </xf>
    <xf numFmtId="182" fontId="32" fillId="0" borderId="2" xfId="17" applyNumberFormat="1" applyFont="1" applyBorder="1" applyAlignment="1">
      <alignment/>
    </xf>
    <xf numFmtId="2" fontId="27" fillId="0" borderId="8" xfId="0" applyNumberFormat="1" applyFont="1" applyBorder="1" applyAlignment="1">
      <alignment horizontal="right"/>
    </xf>
    <xf numFmtId="0" fontId="27" fillId="0" borderId="18" xfId="0" applyFont="1" applyBorder="1" applyAlignment="1">
      <alignment/>
    </xf>
    <xf numFmtId="0" fontId="27" fillId="0" borderId="8" xfId="0" applyNumberFormat="1" applyFont="1" applyBorder="1" applyAlignment="1" applyProtection="1">
      <alignment horizontal="center"/>
      <protection hidden="1"/>
    </xf>
    <xf numFmtId="182" fontId="32" fillId="0" borderId="8" xfId="17" applyNumberFormat="1" applyFont="1" applyBorder="1" applyAlignment="1">
      <alignment/>
    </xf>
    <xf numFmtId="182" fontId="27" fillId="0" borderId="8" xfId="17" applyNumberFormat="1" applyFont="1" applyBorder="1" applyAlignment="1">
      <alignment/>
    </xf>
    <xf numFmtId="182" fontId="27" fillId="0" borderId="8" xfId="17" applyNumberFormat="1" applyFont="1" applyBorder="1" applyAlignment="1">
      <alignment/>
    </xf>
    <xf numFmtId="176" fontId="27" fillId="0" borderId="8" xfId="17" applyFont="1" applyBorder="1" applyAlignment="1">
      <alignment/>
    </xf>
    <xf numFmtId="0" fontId="29" fillId="0" borderId="18" xfId="0" applyFont="1" applyBorder="1" applyAlignment="1">
      <alignment/>
    </xf>
    <xf numFmtId="182" fontId="32" fillId="0" borderId="18" xfId="17" applyNumberFormat="1" applyFont="1" applyBorder="1" applyAlignment="1">
      <alignment/>
    </xf>
    <xf numFmtId="182" fontId="32" fillId="0" borderId="7" xfId="17" applyNumberFormat="1" applyFont="1" applyBorder="1" applyAlignment="1">
      <alignment/>
    </xf>
    <xf numFmtId="182" fontId="27" fillId="0" borderId="7" xfId="17" applyNumberFormat="1" applyFont="1" applyBorder="1" applyAlignment="1">
      <alignment/>
    </xf>
    <xf numFmtId="0" fontId="27" fillId="0" borderId="0" xfId="0" applyNumberFormat="1" applyFont="1" applyAlignment="1" applyProtection="1">
      <alignment/>
      <protection hidden="1"/>
    </xf>
    <xf numFmtId="0" fontId="30" fillId="0" borderId="33" xfId="0" applyNumberFormat="1" applyFont="1" applyBorder="1" applyAlignment="1" applyProtection="1">
      <alignment horizontal="center"/>
      <protection hidden="1"/>
    </xf>
    <xf numFmtId="0" fontId="30" fillId="0" borderId="34" xfId="0" applyFont="1" applyBorder="1" applyAlignment="1">
      <alignment horizontal="center"/>
    </xf>
    <xf numFmtId="2" fontId="27" fillId="0" borderId="7" xfId="0" applyNumberFormat="1" applyFont="1" applyBorder="1" applyAlignment="1">
      <alignment horizontal="center"/>
    </xf>
    <xf numFmtId="182" fontId="27" fillId="0" borderId="7" xfId="17" applyNumberFormat="1" applyFont="1" applyFill="1" applyBorder="1" applyAlignment="1">
      <alignment horizontal="center"/>
    </xf>
    <xf numFmtId="0" fontId="33" fillId="3" borderId="35" xfId="0" applyFont="1" applyFill="1" applyBorder="1" applyAlignment="1">
      <alignment horizontal="center"/>
    </xf>
    <xf numFmtId="0" fontId="33" fillId="3" borderId="36" xfId="17" applyNumberFormat="1" applyFont="1" applyFill="1" applyBorder="1" applyAlignment="1" applyProtection="1">
      <alignment/>
      <protection hidden="1"/>
    </xf>
    <xf numFmtId="182" fontId="33" fillId="3" borderId="37" xfId="17" applyNumberFormat="1" applyFont="1" applyFill="1" applyBorder="1" applyAlignment="1">
      <alignment/>
    </xf>
    <xf numFmtId="182" fontId="33" fillId="3" borderId="1" xfId="17" applyNumberFormat="1" applyFont="1" applyFill="1" applyBorder="1" applyAlignment="1">
      <alignment horizontal="center"/>
    </xf>
    <xf numFmtId="182" fontId="33" fillId="3" borderId="37" xfId="17" applyNumberFormat="1" applyFont="1" applyFill="1" applyBorder="1" applyAlignment="1">
      <alignment horizontal="center"/>
    </xf>
    <xf numFmtId="0" fontId="33" fillId="3" borderId="38" xfId="0" applyFont="1" applyFill="1" applyBorder="1" applyAlignment="1">
      <alignment horizontal="center"/>
    </xf>
    <xf numFmtId="182" fontId="27" fillId="0" borderId="19" xfId="17" applyNumberFormat="1" applyFont="1" applyBorder="1" applyAlignment="1">
      <alignment/>
    </xf>
    <xf numFmtId="182" fontId="28" fillId="4" borderId="10" xfId="17" applyNumberFormat="1" applyFont="1" applyFill="1" applyBorder="1" applyAlignment="1">
      <alignment horizontal="center"/>
    </xf>
    <xf numFmtId="182" fontId="28" fillId="4" borderId="10" xfId="17" applyNumberFormat="1" applyFont="1" applyFill="1" applyBorder="1" applyAlignment="1">
      <alignment horizontal="right"/>
    </xf>
    <xf numFmtId="182" fontId="27" fillId="4" borderId="4" xfId="17" applyNumberFormat="1" applyFont="1" applyFill="1" applyBorder="1" applyAlignment="1">
      <alignment/>
    </xf>
    <xf numFmtId="182" fontId="29" fillId="4" borderId="10" xfId="17" applyNumberFormat="1" applyFont="1" applyFill="1" applyBorder="1" applyAlignment="1">
      <alignment horizontal="right"/>
    </xf>
    <xf numFmtId="0" fontId="32" fillId="2" borderId="0" xfId="0" applyFont="1" applyFill="1" applyAlignment="1">
      <alignment/>
    </xf>
    <xf numFmtId="0" fontId="28" fillId="2" borderId="0" xfId="0" applyFont="1" applyFill="1" applyAlignment="1">
      <alignment/>
    </xf>
    <xf numFmtId="0" fontId="30" fillId="3" borderId="28" xfId="0" applyFont="1" applyFill="1" applyBorder="1" applyAlignment="1">
      <alignment vertical="center"/>
    </xf>
    <xf numFmtId="0" fontId="29" fillId="3" borderId="12" xfId="0" applyFont="1" applyFill="1" applyBorder="1" applyAlignment="1">
      <alignment horizontal="center"/>
    </xf>
    <xf numFmtId="0" fontId="30" fillId="3" borderId="28" xfId="0" applyFont="1" applyFill="1" applyBorder="1" applyAlignment="1">
      <alignment horizontal="center"/>
    </xf>
    <xf numFmtId="0" fontId="30" fillId="3" borderId="22" xfId="0" applyFont="1" applyFill="1" applyBorder="1" applyAlignment="1">
      <alignment horizontal="center" vertical="center"/>
    </xf>
    <xf numFmtId="0" fontId="29" fillId="3" borderId="1" xfId="0" applyFont="1" applyFill="1" applyBorder="1" applyAlignment="1">
      <alignment horizontal="center"/>
    </xf>
    <xf numFmtId="1" fontId="30" fillId="3" borderId="22" xfId="0" applyNumberFormat="1" applyFont="1" applyFill="1" applyBorder="1" applyAlignment="1">
      <alignment horizontal="center"/>
    </xf>
    <xf numFmtId="0" fontId="27" fillId="2" borderId="32" xfId="0" applyFont="1" applyFill="1" applyBorder="1" applyAlignment="1">
      <alignment horizontal="center"/>
    </xf>
    <xf numFmtId="2" fontId="27" fillId="2" borderId="12" xfId="0" applyNumberFormat="1" applyFont="1" applyFill="1" applyBorder="1" applyAlignment="1">
      <alignment horizontal="center"/>
    </xf>
    <xf numFmtId="176" fontId="27" fillId="2" borderId="21" xfId="0" applyNumberFormat="1" applyFont="1" applyFill="1" applyBorder="1" applyAlignment="1">
      <alignment/>
    </xf>
    <xf numFmtId="0" fontId="27" fillId="2" borderId="12" xfId="0" applyFont="1" applyFill="1" applyBorder="1" applyAlignment="1">
      <alignment/>
    </xf>
    <xf numFmtId="0" fontId="27" fillId="2" borderId="21" xfId="0" applyFont="1" applyFill="1" applyBorder="1" applyAlignment="1">
      <alignment/>
    </xf>
    <xf numFmtId="0" fontId="27" fillId="2" borderId="13" xfId="0" applyFont="1" applyFill="1" applyBorder="1" applyAlignment="1">
      <alignment/>
    </xf>
    <xf numFmtId="0" fontId="27" fillId="2" borderId="39" xfId="0" applyFont="1" applyFill="1" applyBorder="1" applyAlignment="1">
      <alignment horizontal="center"/>
    </xf>
    <xf numFmtId="2" fontId="27" fillId="2" borderId="40" xfId="0" applyNumberFormat="1" applyFont="1" applyFill="1" applyBorder="1" applyAlignment="1">
      <alignment horizontal="center"/>
    </xf>
    <xf numFmtId="176" fontId="27" fillId="2" borderId="7" xfId="0" applyNumberFormat="1" applyFont="1" applyFill="1" applyBorder="1" applyAlignment="1">
      <alignment/>
    </xf>
    <xf numFmtId="0" fontId="27" fillId="2" borderId="34" xfId="0" applyFont="1" applyFill="1" applyBorder="1" applyAlignment="1">
      <alignment/>
    </xf>
    <xf numFmtId="0" fontId="27" fillId="2" borderId="7" xfId="0" applyFont="1" applyFill="1" applyBorder="1" applyAlignment="1">
      <alignment/>
    </xf>
    <xf numFmtId="0" fontId="27" fillId="2" borderId="41" xfId="0" applyFont="1" applyFill="1" applyBorder="1" applyAlignment="1">
      <alignment/>
    </xf>
    <xf numFmtId="0" fontId="29" fillId="2" borderId="42" xfId="0" applyFont="1" applyFill="1" applyBorder="1" applyAlignment="1">
      <alignment horizontal="center"/>
    </xf>
    <xf numFmtId="2" fontId="27" fillId="2" borderId="0" xfId="0" applyNumberFormat="1" applyFont="1" applyFill="1" applyBorder="1" applyAlignment="1">
      <alignment horizontal="center"/>
    </xf>
    <xf numFmtId="182" fontId="27" fillId="2" borderId="19" xfId="0" applyNumberFormat="1" applyFont="1" applyFill="1" applyBorder="1" applyAlignment="1">
      <alignment horizontal="center"/>
    </xf>
    <xf numFmtId="171" fontId="27" fillId="2" borderId="0" xfId="0" applyNumberFormat="1" applyFont="1" applyFill="1" applyBorder="1" applyAlignment="1">
      <alignment horizontal="center"/>
    </xf>
    <xf numFmtId="1" fontId="27" fillId="2" borderId="19" xfId="0" applyNumberFormat="1" applyFont="1" applyFill="1" applyBorder="1" applyAlignment="1">
      <alignment/>
    </xf>
    <xf numFmtId="1" fontId="27" fillId="2" borderId="15" xfId="0" applyNumberFormat="1" applyFont="1" applyFill="1" applyBorder="1" applyAlignment="1">
      <alignment/>
    </xf>
    <xf numFmtId="0" fontId="27" fillId="2" borderId="43" xfId="0" applyFont="1" applyFill="1" applyBorder="1" applyAlignment="1">
      <alignment horizontal="center"/>
    </xf>
    <xf numFmtId="2" fontId="27" fillId="2" borderId="18" xfId="0" applyNumberFormat="1" applyFont="1" applyFill="1" applyBorder="1" applyAlignment="1">
      <alignment horizontal="center"/>
    </xf>
    <xf numFmtId="182" fontId="27" fillId="2" borderId="2" xfId="0" applyNumberFormat="1" applyFont="1" applyFill="1" applyBorder="1" applyAlignment="1">
      <alignment horizontal="center"/>
    </xf>
    <xf numFmtId="171" fontId="27" fillId="2" borderId="18" xfId="0" applyNumberFormat="1" applyFont="1" applyFill="1" applyBorder="1" applyAlignment="1">
      <alignment horizontal="center"/>
    </xf>
    <xf numFmtId="2" fontId="27" fillId="2" borderId="2" xfId="0" applyNumberFormat="1" applyFont="1" applyFill="1" applyBorder="1" applyAlignment="1">
      <alignment/>
    </xf>
    <xf numFmtId="1" fontId="27" fillId="2" borderId="44" xfId="0" applyNumberFormat="1" applyFont="1" applyFill="1" applyBorder="1" applyAlignment="1">
      <alignment/>
    </xf>
    <xf numFmtId="0" fontId="27" fillId="2" borderId="42" xfId="0" applyFont="1" applyFill="1" applyBorder="1" applyAlignment="1">
      <alignment horizontal="center"/>
    </xf>
    <xf numFmtId="2" fontId="27" fillId="2" borderId="19" xfId="0" applyNumberFormat="1" applyFont="1" applyFill="1" applyBorder="1" applyAlignment="1">
      <alignment/>
    </xf>
    <xf numFmtId="1" fontId="27" fillId="2" borderId="2" xfId="0" applyNumberFormat="1" applyFont="1" applyFill="1" applyBorder="1" applyAlignment="1">
      <alignment/>
    </xf>
    <xf numFmtId="0" fontId="27" fillId="2" borderId="36" xfId="0" applyFont="1" applyFill="1" applyBorder="1" applyAlignment="1">
      <alignment horizontal="center"/>
    </xf>
    <xf numFmtId="2" fontId="27" fillId="2" borderId="1" xfId="0" applyNumberFormat="1" applyFont="1" applyFill="1" applyBorder="1" applyAlignment="1">
      <alignment horizontal="center"/>
    </xf>
    <xf numFmtId="182" fontId="27" fillId="2" borderId="37" xfId="0" applyNumberFormat="1" applyFont="1" applyFill="1" applyBorder="1" applyAlignment="1">
      <alignment horizontal="center"/>
    </xf>
    <xf numFmtId="171" fontId="27" fillId="2" borderId="1" xfId="0" applyNumberFormat="1" applyFont="1" applyFill="1" applyBorder="1" applyAlignment="1">
      <alignment horizontal="center"/>
    </xf>
    <xf numFmtId="1" fontId="27" fillId="2" borderId="37" xfId="0" applyNumberFormat="1" applyFont="1" applyFill="1" applyBorder="1" applyAlignment="1">
      <alignment/>
    </xf>
    <xf numFmtId="1" fontId="27" fillId="2" borderId="16" xfId="0" applyNumberFormat="1" applyFont="1" applyFill="1" applyBorder="1" applyAlignment="1">
      <alignment/>
    </xf>
    <xf numFmtId="0" fontId="27" fillId="2" borderId="0" xfId="0" applyFont="1" applyFill="1" applyBorder="1" applyAlignment="1">
      <alignment horizontal="center"/>
    </xf>
    <xf numFmtId="171" fontId="29" fillId="4" borderId="16" xfId="0" applyNumberFormat="1" applyFont="1" applyFill="1" applyBorder="1" applyAlignment="1">
      <alignment horizontal="center"/>
    </xf>
    <xf numFmtId="171" fontId="29" fillId="4" borderId="10" xfId="0" applyNumberFormat="1" applyFont="1" applyFill="1" applyBorder="1" applyAlignment="1">
      <alignment horizontal="center"/>
    </xf>
    <xf numFmtId="0" fontId="32" fillId="0" borderId="0" xfId="0" applyFont="1" applyAlignment="1">
      <alignment/>
    </xf>
    <xf numFmtId="0" fontId="29" fillId="4" borderId="10" xfId="0" applyFont="1" applyFill="1" applyBorder="1" applyAlignment="1">
      <alignment horizontal="center"/>
    </xf>
    <xf numFmtId="0" fontId="35" fillId="2" borderId="0" xfId="0" applyFont="1" applyFill="1" applyBorder="1" applyAlignment="1">
      <alignment horizontal="left"/>
    </xf>
    <xf numFmtId="182" fontId="29" fillId="3" borderId="5" xfId="17" applyNumberFormat="1" applyFont="1" applyFill="1" applyBorder="1" applyAlignment="1">
      <alignment/>
    </xf>
    <xf numFmtId="182" fontId="33" fillId="3" borderId="4" xfId="17" applyNumberFormat="1" applyFont="1" applyFill="1" applyBorder="1" applyAlignment="1">
      <alignment horizontal="center"/>
    </xf>
    <xf numFmtId="9" fontId="33" fillId="3" borderId="4" xfId="21" applyFont="1" applyFill="1" applyBorder="1" applyAlignment="1">
      <alignment horizontal="center"/>
    </xf>
    <xf numFmtId="182" fontId="29" fillId="4" borderId="5" xfId="17" applyNumberFormat="1" applyFont="1" applyFill="1" applyBorder="1" applyAlignment="1">
      <alignment/>
    </xf>
    <xf numFmtId="182" fontId="33" fillId="4" borderId="4" xfId="17" applyNumberFormat="1" applyFont="1" applyFill="1" applyBorder="1" applyAlignment="1">
      <alignment horizontal="center"/>
    </xf>
    <xf numFmtId="9" fontId="33" fillId="4" borderId="6" xfId="21" applyFont="1" applyFill="1" applyBorder="1" applyAlignment="1">
      <alignment horizontal="center"/>
    </xf>
    <xf numFmtId="182" fontId="27" fillId="2" borderId="14" xfId="17" applyNumberFormat="1" applyFont="1" applyFill="1" applyBorder="1" applyAlignment="1">
      <alignment/>
    </xf>
    <xf numFmtId="2" fontId="27" fillId="2" borderId="0" xfId="17" applyNumberFormat="1" applyFont="1" applyFill="1" applyBorder="1" applyAlignment="1">
      <alignment/>
    </xf>
    <xf numFmtId="9" fontId="27" fillId="2" borderId="0" xfId="21" applyFont="1" applyFill="1" applyBorder="1" applyAlignment="1">
      <alignment horizontal="center"/>
    </xf>
    <xf numFmtId="9" fontId="27" fillId="2" borderId="15" xfId="21" applyFont="1" applyFill="1" applyBorder="1" applyAlignment="1">
      <alignment horizontal="center"/>
    </xf>
    <xf numFmtId="2" fontId="27" fillId="2" borderId="1" xfId="17" applyNumberFormat="1" applyFont="1" applyFill="1" applyBorder="1" applyAlignment="1">
      <alignment/>
    </xf>
    <xf numFmtId="182" fontId="27" fillId="0" borderId="14" xfId="17" applyNumberFormat="1" applyFont="1" applyBorder="1" applyAlignment="1">
      <alignment/>
    </xf>
    <xf numFmtId="182" fontId="27" fillId="2" borderId="0" xfId="17" applyNumberFormat="1" applyFont="1" applyFill="1" applyBorder="1" applyAlignment="1">
      <alignment/>
    </xf>
    <xf numFmtId="9" fontId="27" fillId="0" borderId="15" xfId="21" applyFont="1" applyBorder="1" applyAlignment="1">
      <alignment horizontal="center"/>
    </xf>
    <xf numFmtId="182" fontId="29" fillId="2" borderId="9" xfId="17" applyNumberFormat="1" applyFont="1" applyFill="1" applyBorder="1" applyAlignment="1">
      <alignment/>
    </xf>
    <xf numFmtId="9" fontId="27" fillId="2" borderId="1" xfId="21" applyFont="1" applyFill="1" applyBorder="1" applyAlignment="1">
      <alignment horizontal="center"/>
    </xf>
    <xf numFmtId="9" fontId="27" fillId="2" borderId="16" xfId="21" applyFont="1" applyFill="1" applyBorder="1" applyAlignment="1">
      <alignment horizontal="center"/>
    </xf>
    <xf numFmtId="2" fontId="29" fillId="4" borderId="2" xfId="17" applyNumberFormat="1" applyFont="1" applyFill="1" applyBorder="1" applyAlignment="1">
      <alignment/>
    </xf>
    <xf numFmtId="9" fontId="29" fillId="4" borderId="2" xfId="21" applyFont="1" applyFill="1" applyBorder="1" applyAlignment="1">
      <alignment horizontal="center"/>
    </xf>
    <xf numFmtId="0" fontId="37" fillId="0" borderId="0" xfId="0" applyFont="1" applyAlignment="1">
      <alignment/>
    </xf>
    <xf numFmtId="0" fontId="38" fillId="0" borderId="0" xfId="0" applyFont="1" applyAlignment="1">
      <alignment/>
    </xf>
    <xf numFmtId="0" fontId="37" fillId="0" borderId="0" xfId="0" applyFont="1" applyAlignment="1" quotePrefix="1">
      <alignment/>
    </xf>
    <xf numFmtId="0" fontId="29" fillId="4" borderId="28" xfId="0" applyFont="1" applyFill="1" applyBorder="1" applyAlignment="1">
      <alignment horizontal="center"/>
    </xf>
    <xf numFmtId="0" fontId="29" fillId="4" borderId="28" xfId="0" applyFont="1" applyFill="1" applyBorder="1" applyAlignment="1">
      <alignment horizontal="center" wrapText="1"/>
    </xf>
    <xf numFmtId="0" fontId="29" fillId="2" borderId="11" xfId="0" applyFont="1" applyFill="1" applyBorder="1" applyAlignment="1">
      <alignment/>
    </xf>
    <xf numFmtId="0" fontId="33" fillId="2" borderId="28" xfId="0" applyFont="1" applyFill="1" applyBorder="1" applyAlignment="1">
      <alignment horizontal="center" wrapText="1"/>
    </xf>
    <xf numFmtId="0" fontId="27" fillId="2" borderId="14" xfId="0" applyFont="1" applyFill="1" applyBorder="1" applyAlignment="1">
      <alignment/>
    </xf>
    <xf numFmtId="9" fontId="27" fillId="2" borderId="22" xfId="21" applyFont="1" applyFill="1" applyBorder="1" applyAlignment="1">
      <alignment horizontal="center"/>
    </xf>
    <xf numFmtId="0" fontId="29" fillId="0" borderId="11" xfId="0" applyFont="1" applyBorder="1" applyAlignment="1">
      <alignment/>
    </xf>
    <xf numFmtId="9" fontId="33" fillId="0" borderId="28" xfId="21" applyFont="1" applyBorder="1" applyAlignment="1">
      <alignment horizontal="center" wrapText="1"/>
    </xf>
    <xf numFmtId="0" fontId="29" fillId="0" borderId="14" xfId="0" applyFont="1" applyBorder="1" applyAlignment="1">
      <alignment/>
    </xf>
    <xf numFmtId="9" fontId="33" fillId="0" borderId="27" xfId="21" applyFont="1" applyBorder="1" applyAlignment="1">
      <alignment horizontal="center" wrapText="1"/>
    </xf>
    <xf numFmtId="0" fontId="27" fillId="0" borderId="14" xfId="0" applyFont="1" applyBorder="1" applyAlignment="1">
      <alignment/>
    </xf>
    <xf numFmtId="9" fontId="27" fillId="0" borderId="22" xfId="21" applyFont="1" applyBorder="1" applyAlignment="1">
      <alignment horizontal="center"/>
    </xf>
    <xf numFmtId="0" fontId="27" fillId="0" borderId="9" xfId="0" applyFont="1" applyBorder="1" applyAlignment="1">
      <alignment/>
    </xf>
    <xf numFmtId="0" fontId="27" fillId="0" borderId="0" xfId="0" applyFont="1" applyAlignment="1">
      <alignment horizontal="center"/>
    </xf>
    <xf numFmtId="0" fontId="29" fillId="0" borderId="10" xfId="0" applyFont="1" applyBorder="1" applyAlignment="1">
      <alignment wrapText="1"/>
    </xf>
    <xf numFmtId="10" fontId="27" fillId="0" borderId="10" xfId="21" applyNumberFormat="1" applyFont="1" applyBorder="1" applyAlignment="1" quotePrefix="1">
      <alignment horizontal="center"/>
    </xf>
    <xf numFmtId="9" fontId="27" fillId="0" borderId="10" xfId="21" applyFont="1" applyBorder="1" applyAlignment="1" quotePrefix="1">
      <alignment horizontal="center"/>
    </xf>
    <xf numFmtId="0" fontId="29" fillId="0" borderId="10" xfId="0" applyFont="1" applyBorder="1" applyAlignment="1">
      <alignment/>
    </xf>
    <xf numFmtId="2" fontId="27" fillId="0" borderId="10" xfId="17" applyNumberFormat="1" applyFont="1" applyBorder="1" applyAlignment="1" quotePrefix="1">
      <alignment horizontal="center"/>
    </xf>
    <xf numFmtId="0" fontId="29" fillId="0" borderId="0" xfId="0" applyFont="1" applyAlignment="1">
      <alignment/>
    </xf>
    <xf numFmtId="181" fontId="27" fillId="0" borderId="0" xfId="17" applyNumberFormat="1" applyFont="1" applyAlignment="1">
      <alignment/>
    </xf>
    <xf numFmtId="0" fontId="27" fillId="2" borderId="0" xfId="0" applyFont="1" applyFill="1" applyAlignment="1" applyProtection="1">
      <alignment/>
      <protection locked="0"/>
    </xf>
    <xf numFmtId="0" fontId="29" fillId="2" borderId="26" xfId="0" applyFont="1" applyFill="1" applyBorder="1" applyAlignment="1" applyProtection="1">
      <alignment/>
      <protection/>
    </xf>
    <xf numFmtId="185" fontId="29" fillId="2" borderId="8" xfId="0" applyNumberFormat="1" applyFont="1" applyFill="1" applyBorder="1" applyAlignment="1" applyProtection="1">
      <alignment/>
      <protection/>
    </xf>
    <xf numFmtId="0" fontId="27" fillId="2" borderId="0" xfId="0" applyFont="1" applyFill="1" applyAlignment="1" applyProtection="1">
      <alignment/>
      <protection/>
    </xf>
    <xf numFmtId="0" fontId="29" fillId="2" borderId="20" xfId="0" applyFont="1" applyFill="1" applyBorder="1" applyAlignment="1" applyProtection="1">
      <alignment/>
      <protection/>
    </xf>
    <xf numFmtId="10" fontId="39" fillId="2" borderId="2" xfId="0" applyNumberFormat="1" applyFont="1" applyFill="1" applyBorder="1" applyAlignment="1" applyProtection="1">
      <alignment/>
      <protection/>
    </xf>
    <xf numFmtId="0" fontId="29" fillId="2" borderId="33" xfId="0" applyFont="1" applyFill="1" applyBorder="1" applyAlignment="1" applyProtection="1">
      <alignment/>
      <protection/>
    </xf>
    <xf numFmtId="10" fontId="27" fillId="2" borderId="7" xfId="0" applyNumberFormat="1" applyFont="1" applyFill="1" applyBorder="1" applyAlignment="1" applyProtection="1">
      <alignment/>
      <protection/>
    </xf>
    <xf numFmtId="0" fontId="40" fillId="2" borderId="0" xfId="0" applyFont="1" applyFill="1" applyAlignment="1" applyProtection="1">
      <alignment/>
      <protection/>
    </xf>
    <xf numFmtId="0" fontId="41" fillId="2" borderId="7" xfId="0" applyNumberFormat="1" applyFont="1" applyFill="1" applyBorder="1" applyAlignment="1" applyProtection="1">
      <alignment/>
      <protection/>
    </xf>
    <xf numFmtId="0" fontId="29" fillId="2" borderId="2" xfId="0" applyFont="1" applyFill="1" applyBorder="1" applyAlignment="1" applyProtection="1">
      <alignment/>
      <protection/>
    </xf>
    <xf numFmtId="3" fontId="41" fillId="2" borderId="23" xfId="0" applyNumberFormat="1" applyFont="1" applyFill="1" applyBorder="1" applyAlignment="1" applyProtection="1">
      <alignment horizontal="right"/>
      <protection/>
    </xf>
    <xf numFmtId="0" fontId="29" fillId="2" borderId="7" xfId="0" applyFont="1" applyFill="1" applyBorder="1" applyAlignment="1" applyProtection="1">
      <alignment/>
      <protection/>
    </xf>
    <xf numFmtId="0" fontId="27" fillId="2" borderId="45" xfId="0" applyFont="1" applyFill="1" applyBorder="1" applyAlignment="1" applyProtection="1">
      <alignment horizontal="right"/>
      <protection/>
    </xf>
    <xf numFmtId="0" fontId="29" fillId="3" borderId="20" xfId="0" applyFont="1" applyFill="1" applyBorder="1" applyAlignment="1" applyProtection="1">
      <alignment horizontal="center"/>
      <protection locked="0"/>
    </xf>
    <xf numFmtId="0" fontId="29" fillId="3" borderId="2" xfId="0" applyFont="1" applyFill="1" applyBorder="1" applyAlignment="1" applyProtection="1">
      <alignment horizontal="center"/>
      <protection locked="0"/>
    </xf>
    <xf numFmtId="0" fontId="29" fillId="3" borderId="23" xfId="0" applyFont="1" applyFill="1" applyBorder="1" applyAlignment="1" applyProtection="1">
      <alignment horizontal="center"/>
      <protection locked="0"/>
    </xf>
    <xf numFmtId="3" fontId="27" fillId="0" borderId="46" xfId="17" applyNumberFormat="1" applyFont="1" applyFill="1" applyBorder="1" applyAlignment="1" applyProtection="1">
      <alignment horizontal="center"/>
      <protection locked="0"/>
    </xf>
    <xf numFmtId="3" fontId="27" fillId="0" borderId="19" xfId="0" applyNumberFormat="1" applyFont="1" applyFill="1" applyBorder="1" applyAlignment="1" applyProtection="1">
      <alignment/>
      <protection locked="0"/>
    </xf>
    <xf numFmtId="3" fontId="29" fillId="0" borderId="47" xfId="0" applyNumberFormat="1" applyFont="1" applyFill="1" applyBorder="1" applyAlignment="1" applyProtection="1">
      <alignment/>
      <protection locked="0"/>
    </xf>
    <xf numFmtId="3" fontId="27" fillId="0" borderId="47" xfId="0" applyNumberFormat="1" applyFont="1" applyFill="1" applyBorder="1" applyAlignment="1" applyProtection="1">
      <alignment/>
      <protection locked="0"/>
    </xf>
    <xf numFmtId="3" fontId="27" fillId="0" borderId="46" xfId="17" applyNumberFormat="1" applyFont="1" applyFill="1" applyBorder="1" applyAlignment="1" applyProtection="1">
      <alignment horizontal="center"/>
      <protection/>
    </xf>
    <xf numFmtId="182" fontId="29" fillId="4" borderId="2" xfId="17" applyNumberFormat="1" applyFont="1" applyFill="1" applyBorder="1" applyAlignment="1" applyProtection="1">
      <alignment/>
      <protection locked="0"/>
    </xf>
    <xf numFmtId="182" fontId="42" fillId="3" borderId="0" xfId="17" applyNumberFormat="1" applyFont="1" applyFill="1" applyAlignment="1">
      <alignment/>
    </xf>
    <xf numFmtId="182" fontId="29" fillId="3" borderId="10" xfId="17" applyNumberFormat="1" applyFont="1" applyFill="1" applyBorder="1" applyAlignment="1">
      <alignment horizontal="center"/>
    </xf>
    <xf numFmtId="182" fontId="42" fillId="0" borderId="0" xfId="17" applyNumberFormat="1" applyFont="1" applyAlignment="1">
      <alignment/>
    </xf>
    <xf numFmtId="182" fontId="28" fillId="2" borderId="0" xfId="17" applyNumberFormat="1" applyFont="1" applyFill="1" applyAlignment="1">
      <alignment horizontal="center"/>
    </xf>
    <xf numFmtId="182" fontId="30" fillId="2" borderId="0" xfId="17" applyNumberFormat="1" applyFont="1" applyFill="1" applyAlignment="1">
      <alignment horizontal="center"/>
    </xf>
    <xf numFmtId="182" fontId="28" fillId="2" borderId="0" xfId="17" applyNumberFormat="1" applyFont="1" applyFill="1" applyAlignment="1">
      <alignment/>
    </xf>
    <xf numFmtId="182" fontId="29" fillId="3" borderId="10" xfId="17" applyNumberFormat="1" applyFont="1" applyFill="1" applyBorder="1" applyAlignment="1">
      <alignment horizontal="left"/>
    </xf>
    <xf numFmtId="182" fontId="35" fillId="3" borderId="6" xfId="17" applyNumberFormat="1" applyFont="1" applyFill="1" applyBorder="1" applyAlignment="1">
      <alignment horizontal="center" wrapText="1"/>
    </xf>
    <xf numFmtId="182" fontId="27" fillId="0" borderId="48" xfId="17" applyNumberFormat="1" applyFont="1" applyBorder="1" applyAlignment="1">
      <alignment/>
    </xf>
    <xf numFmtId="182" fontId="43" fillId="4" borderId="5" xfId="17" applyNumberFormat="1" applyFont="1" applyFill="1" applyBorder="1" applyAlignment="1">
      <alignment/>
    </xf>
    <xf numFmtId="182" fontId="27" fillId="4" borderId="49" xfId="17" applyNumberFormat="1" applyFont="1" applyFill="1" applyBorder="1" applyAlignment="1">
      <alignment/>
    </xf>
    <xf numFmtId="182" fontId="27" fillId="4" borderId="50" xfId="17" applyNumberFormat="1" applyFont="1" applyFill="1" applyBorder="1" applyAlignment="1">
      <alignment/>
    </xf>
    <xf numFmtId="182" fontId="28" fillId="0" borderId="0" xfId="17" applyNumberFormat="1" applyFont="1" applyBorder="1" applyAlignment="1">
      <alignment horizontal="center"/>
    </xf>
    <xf numFmtId="182" fontId="29" fillId="3" borderId="51" xfId="17" applyNumberFormat="1" applyFont="1" applyFill="1" applyBorder="1" applyAlignment="1">
      <alignment horizontal="center"/>
    </xf>
    <xf numFmtId="182" fontId="35" fillId="3" borderId="51" xfId="17" applyNumberFormat="1" applyFont="1" applyFill="1" applyBorder="1" applyAlignment="1">
      <alignment horizontal="center" wrapText="1"/>
    </xf>
    <xf numFmtId="182" fontId="27" fillId="0" borderId="27" xfId="17" applyNumberFormat="1" applyFont="1" applyBorder="1" applyAlignment="1">
      <alignment/>
    </xf>
    <xf numFmtId="182" fontId="27" fillId="0" borderId="42" xfId="17" applyNumberFormat="1" applyFont="1" applyFill="1" applyBorder="1" applyAlignment="1">
      <alignment/>
    </xf>
    <xf numFmtId="182" fontId="27" fillId="0" borderId="42" xfId="17" applyNumberFormat="1" applyFont="1" applyBorder="1" applyAlignment="1">
      <alignment/>
    </xf>
    <xf numFmtId="182" fontId="27" fillId="0" borderId="47" xfId="17" applyNumberFormat="1" applyFont="1" applyBorder="1" applyAlignment="1">
      <alignment/>
    </xf>
    <xf numFmtId="182" fontId="27" fillId="0" borderId="15" xfId="17" applyNumberFormat="1" applyFont="1" applyBorder="1" applyAlignment="1">
      <alignment/>
    </xf>
    <xf numFmtId="182" fontId="44" fillId="4" borderId="10" xfId="17" applyNumberFormat="1" applyFont="1" applyFill="1" applyBorder="1" applyAlignment="1">
      <alignment/>
    </xf>
    <xf numFmtId="182" fontId="27" fillId="4" borderId="10" xfId="17" applyNumberFormat="1" applyFont="1" applyFill="1" applyBorder="1" applyAlignment="1">
      <alignment/>
    </xf>
    <xf numFmtId="182" fontId="27" fillId="4" borderId="5" xfId="17" applyNumberFormat="1" applyFont="1" applyFill="1" applyBorder="1" applyAlignment="1">
      <alignment/>
    </xf>
    <xf numFmtId="182" fontId="27" fillId="4" borderId="6" xfId="17" applyNumberFormat="1" applyFont="1" applyFill="1" applyBorder="1" applyAlignment="1">
      <alignment/>
    </xf>
    <xf numFmtId="182" fontId="30" fillId="2" borderId="0" xfId="17" applyNumberFormat="1" applyFont="1" applyFill="1" applyAlignment="1">
      <alignment/>
    </xf>
    <xf numFmtId="182" fontId="35" fillId="3" borderId="10" xfId="17" applyNumberFormat="1" applyFont="1" applyFill="1" applyBorder="1" applyAlignment="1">
      <alignment horizontal="center"/>
    </xf>
    <xf numFmtId="182" fontId="35" fillId="3" borderId="10" xfId="17" applyNumberFormat="1" applyFont="1" applyFill="1" applyBorder="1" applyAlignment="1">
      <alignment horizontal="center" wrapText="1"/>
    </xf>
    <xf numFmtId="182" fontId="35" fillId="3" borderId="13" xfId="17" applyNumberFormat="1" applyFont="1" applyFill="1" applyBorder="1" applyAlignment="1">
      <alignment horizontal="center"/>
    </xf>
    <xf numFmtId="182" fontId="35" fillId="3" borderId="28" xfId="17" applyNumberFormat="1" applyFont="1" applyFill="1" applyBorder="1" applyAlignment="1">
      <alignment horizontal="center"/>
    </xf>
    <xf numFmtId="182" fontId="27" fillId="0" borderId="28" xfId="17" applyNumberFormat="1" applyFont="1" applyBorder="1" applyAlignment="1">
      <alignment/>
    </xf>
    <xf numFmtId="182" fontId="27" fillId="0" borderId="21" xfId="17" applyNumberFormat="1" applyFont="1" applyBorder="1" applyAlignment="1">
      <alignment/>
    </xf>
    <xf numFmtId="182" fontId="27" fillId="0" borderId="0" xfId="17" applyNumberFormat="1" applyFont="1" applyBorder="1" applyAlignment="1">
      <alignment/>
    </xf>
    <xf numFmtId="182" fontId="27" fillId="0" borderId="9" xfId="17" applyNumberFormat="1" applyFont="1" applyBorder="1" applyAlignment="1">
      <alignment/>
    </xf>
    <xf numFmtId="182" fontId="43" fillId="4" borderId="10" xfId="17" applyNumberFormat="1" applyFont="1" applyFill="1" applyBorder="1" applyAlignment="1">
      <alignment/>
    </xf>
    <xf numFmtId="182" fontId="27" fillId="4" borderId="51" xfId="17" applyNumberFormat="1" applyFont="1" applyFill="1" applyBorder="1" applyAlignment="1">
      <alignment/>
    </xf>
    <xf numFmtId="182" fontId="42" fillId="2" borderId="0" xfId="17" applyNumberFormat="1" applyFont="1" applyFill="1" applyAlignment="1">
      <alignment/>
    </xf>
    <xf numFmtId="182" fontId="29" fillId="3" borderId="10" xfId="17" applyNumberFormat="1" applyFont="1" applyFill="1" applyBorder="1" applyAlignment="1" quotePrefix="1">
      <alignment horizontal="center" wrapText="1"/>
    </xf>
    <xf numFmtId="2" fontId="27" fillId="0" borderId="27" xfId="17" applyNumberFormat="1" applyFont="1" applyBorder="1" applyAlignment="1">
      <alignment/>
    </xf>
    <xf numFmtId="2" fontId="27" fillId="4" borderId="10" xfId="17" applyNumberFormat="1" applyFont="1" applyFill="1" applyBorder="1" applyAlignment="1">
      <alignment/>
    </xf>
    <xf numFmtId="182" fontId="28" fillId="0" borderId="0" xfId="17" applyNumberFormat="1" applyFont="1" applyAlignment="1">
      <alignment/>
    </xf>
    <xf numFmtId="182" fontId="28" fillId="3" borderId="10" xfId="17" applyNumberFormat="1" applyFont="1" applyFill="1" applyBorder="1" applyAlignment="1">
      <alignment horizontal="left"/>
    </xf>
    <xf numFmtId="182" fontId="28" fillId="3" borderId="51" xfId="17" applyNumberFormat="1" applyFont="1" applyFill="1" applyBorder="1" applyAlignment="1">
      <alignment horizontal="center"/>
    </xf>
    <xf numFmtId="182" fontId="28" fillId="3" borderId="4" xfId="17" applyNumberFormat="1" applyFont="1" applyFill="1" applyBorder="1" applyAlignment="1">
      <alignment horizontal="center"/>
    </xf>
    <xf numFmtId="182" fontId="28" fillId="3" borderId="49" xfId="17" applyNumberFormat="1" applyFont="1" applyFill="1" applyBorder="1" applyAlignment="1">
      <alignment horizontal="center"/>
    </xf>
    <xf numFmtId="182" fontId="28" fillId="3" borderId="6" xfId="17" applyNumberFormat="1" applyFont="1" applyFill="1" applyBorder="1" applyAlignment="1">
      <alignment horizontal="center"/>
    </xf>
    <xf numFmtId="182" fontId="42" fillId="0" borderId="52" xfId="17" applyNumberFormat="1" applyFont="1" applyBorder="1" applyAlignment="1">
      <alignment/>
    </xf>
    <xf numFmtId="182" fontId="42" fillId="0" borderId="0" xfId="17" applyNumberFormat="1" applyFont="1" applyBorder="1" applyAlignment="1">
      <alignment/>
    </xf>
    <xf numFmtId="182" fontId="42" fillId="0" borderId="19" xfId="17" applyNumberFormat="1" applyFont="1" applyBorder="1" applyAlignment="1">
      <alignment/>
    </xf>
    <xf numFmtId="182" fontId="42" fillId="0" borderId="48" xfId="17" applyNumberFormat="1" applyFont="1" applyBorder="1" applyAlignment="1">
      <alignment/>
    </xf>
    <xf numFmtId="182" fontId="42" fillId="0" borderId="43" xfId="17" applyNumberFormat="1" applyFont="1" applyBorder="1" applyAlignment="1">
      <alignment/>
    </xf>
    <xf numFmtId="182" fontId="42" fillId="0" borderId="2" xfId="17" applyNumberFormat="1" applyFont="1" applyBorder="1" applyAlignment="1">
      <alignment/>
    </xf>
    <xf numFmtId="182" fontId="42" fillId="0" borderId="53" xfId="17" applyNumberFormat="1" applyFont="1" applyBorder="1" applyAlignment="1">
      <alignment/>
    </xf>
    <xf numFmtId="182" fontId="42" fillId="0" borderId="54" xfId="17" applyNumberFormat="1" applyFont="1" applyBorder="1" applyAlignment="1">
      <alignment/>
    </xf>
    <xf numFmtId="182" fontId="42" fillId="0" borderId="3" xfId="17" applyNumberFormat="1" applyFont="1" applyBorder="1" applyAlignment="1">
      <alignment/>
    </xf>
    <xf numFmtId="182" fontId="42" fillId="0" borderId="55" xfId="17" applyNumberFormat="1" applyFont="1" applyBorder="1" applyAlignment="1">
      <alignment/>
    </xf>
    <xf numFmtId="182" fontId="29" fillId="3" borderId="4" xfId="17" applyNumberFormat="1" applyFont="1" applyFill="1" applyBorder="1" applyAlignment="1">
      <alignment horizontal="center"/>
    </xf>
    <xf numFmtId="182" fontId="29" fillId="3" borderId="49" xfId="17" applyNumberFormat="1" applyFont="1" applyFill="1" applyBorder="1" applyAlignment="1">
      <alignment horizontal="center"/>
    </xf>
    <xf numFmtId="182" fontId="29" fillId="3" borderId="56" xfId="17" applyNumberFormat="1" applyFont="1" applyFill="1" applyBorder="1" applyAlignment="1">
      <alignment horizontal="center"/>
    </xf>
    <xf numFmtId="182" fontId="29" fillId="3" borderId="56" xfId="17" applyNumberFormat="1" applyFont="1" applyFill="1" applyBorder="1" applyAlignment="1">
      <alignment horizontal="center" wrapText="1"/>
    </xf>
    <xf numFmtId="182" fontId="29" fillId="3" borderId="6" xfId="17" applyNumberFormat="1" applyFont="1" applyFill="1" applyBorder="1" applyAlignment="1">
      <alignment horizontal="center"/>
    </xf>
    <xf numFmtId="182" fontId="42" fillId="0" borderId="57" xfId="17" applyNumberFormat="1" applyFont="1" applyBorder="1" applyAlignment="1">
      <alignment/>
    </xf>
    <xf numFmtId="182" fontId="42" fillId="0" borderId="47" xfId="17" applyNumberFormat="1" applyFont="1" applyBorder="1" applyAlignment="1">
      <alignment/>
    </xf>
    <xf numFmtId="182" fontId="42" fillId="0" borderId="15" xfId="17" applyNumberFormat="1" applyFont="1" applyBorder="1" applyAlignment="1">
      <alignment/>
    </xf>
    <xf numFmtId="182" fontId="42" fillId="0" borderId="58" xfId="17" applyNumberFormat="1" applyFont="1" applyBorder="1" applyAlignment="1">
      <alignment/>
    </xf>
    <xf numFmtId="182" fontId="42" fillId="0" borderId="23" xfId="17" applyNumberFormat="1" applyFont="1" applyBorder="1" applyAlignment="1">
      <alignment/>
    </xf>
    <xf numFmtId="9" fontId="28" fillId="0" borderId="0" xfId="21" applyFont="1" applyAlignment="1">
      <alignment/>
    </xf>
    <xf numFmtId="182" fontId="42" fillId="0" borderId="22" xfId="17" applyNumberFormat="1" applyFont="1" applyBorder="1" applyAlignment="1">
      <alignment/>
    </xf>
    <xf numFmtId="182" fontId="42" fillId="0" borderId="59" xfId="17" applyNumberFormat="1" applyFont="1" applyBorder="1" applyAlignment="1">
      <alignment/>
    </xf>
    <xf numFmtId="182" fontId="42" fillId="0" borderId="37" xfId="17" applyNumberFormat="1" applyFont="1" applyBorder="1" applyAlignment="1">
      <alignment/>
    </xf>
    <xf numFmtId="182" fontId="42" fillId="0" borderId="1" xfId="17" applyNumberFormat="1" applyFont="1" applyBorder="1" applyAlignment="1">
      <alignment/>
    </xf>
    <xf numFmtId="182" fontId="42" fillId="0" borderId="16" xfId="17" applyNumberFormat="1" applyFont="1" applyBorder="1" applyAlignment="1">
      <alignment/>
    </xf>
    <xf numFmtId="182" fontId="45" fillId="0" borderId="0" xfId="17" applyNumberFormat="1" applyFont="1" applyFill="1" applyBorder="1" applyAlignment="1">
      <alignment/>
    </xf>
    <xf numFmtId="182" fontId="46" fillId="0" borderId="0" xfId="17" applyNumberFormat="1" applyFont="1" applyFill="1" applyBorder="1" applyAlignment="1">
      <alignment/>
    </xf>
    <xf numFmtId="182" fontId="28" fillId="2" borderId="0" xfId="17" applyNumberFormat="1" applyFont="1" applyFill="1" applyAlignment="1" quotePrefix="1">
      <alignment/>
    </xf>
    <xf numFmtId="182" fontId="29" fillId="3" borderId="5" xfId="17" applyNumberFormat="1" applyFont="1" applyFill="1" applyBorder="1" applyAlignment="1">
      <alignment horizontal="center"/>
    </xf>
    <xf numFmtId="182" fontId="29" fillId="3" borderId="4" xfId="17" applyNumberFormat="1" applyFont="1" applyFill="1" applyBorder="1" applyAlignment="1">
      <alignment horizontal="center" wrapText="1"/>
    </xf>
    <xf numFmtId="182" fontId="42" fillId="0" borderId="0" xfId="17" applyNumberFormat="1" applyFont="1" applyAlignment="1">
      <alignment horizontal="center"/>
    </xf>
    <xf numFmtId="182" fontId="42" fillId="0" borderId="39" xfId="17" applyNumberFormat="1" applyFont="1" applyBorder="1" applyAlignment="1">
      <alignment/>
    </xf>
    <xf numFmtId="2" fontId="42" fillId="0" borderId="7" xfId="17" applyNumberFormat="1" applyFont="1" applyBorder="1" applyAlignment="1">
      <alignment/>
    </xf>
    <xf numFmtId="2" fontId="42" fillId="0" borderId="60" xfId="17" applyNumberFormat="1" applyFont="1" applyBorder="1" applyAlignment="1">
      <alignment/>
    </xf>
    <xf numFmtId="2" fontId="42" fillId="0" borderId="2" xfId="17" applyNumberFormat="1" applyFont="1" applyBorder="1" applyAlignment="1">
      <alignment/>
    </xf>
    <xf numFmtId="2" fontId="42" fillId="0" borderId="53" xfId="17" applyNumberFormat="1" applyFont="1" applyBorder="1" applyAlignment="1">
      <alignment/>
    </xf>
    <xf numFmtId="182" fontId="42" fillId="2" borderId="9" xfId="17" applyNumberFormat="1" applyFont="1" applyFill="1" applyBorder="1" applyAlignment="1">
      <alignment/>
    </xf>
    <xf numFmtId="182" fontId="42" fillId="2" borderId="1" xfId="17" applyNumberFormat="1" applyFont="1" applyFill="1" applyBorder="1" applyAlignment="1">
      <alignment/>
    </xf>
    <xf numFmtId="182" fontId="42" fillId="2" borderId="16" xfId="17" applyNumberFormat="1" applyFont="1" applyFill="1" applyBorder="1" applyAlignment="1">
      <alignment/>
    </xf>
    <xf numFmtId="182" fontId="29" fillId="3" borderId="61" xfId="17" applyNumberFormat="1" applyFont="1" applyFill="1" applyBorder="1" applyAlignment="1">
      <alignment horizontal="center"/>
    </xf>
    <xf numFmtId="182" fontId="29" fillId="3" borderId="49" xfId="17" applyNumberFormat="1" applyFont="1" applyFill="1" applyBorder="1" applyAlignment="1">
      <alignment horizontal="center" wrapText="1"/>
    </xf>
    <xf numFmtId="182" fontId="32" fillId="0" borderId="27" xfId="17" applyNumberFormat="1" applyFont="1" applyBorder="1" applyAlignment="1">
      <alignment/>
    </xf>
    <xf numFmtId="182" fontId="32" fillId="0" borderId="58" xfId="17" applyNumberFormat="1" applyFont="1" applyBorder="1" applyAlignment="1">
      <alignment/>
    </xf>
    <xf numFmtId="182" fontId="47" fillId="4" borderId="51" xfId="17" applyNumberFormat="1" applyFont="1" applyFill="1" applyBorder="1" applyAlignment="1">
      <alignment/>
    </xf>
    <xf numFmtId="182" fontId="47" fillId="4" borderId="49" xfId="17" applyNumberFormat="1" applyFont="1" applyFill="1" applyBorder="1" applyAlignment="1">
      <alignment/>
    </xf>
    <xf numFmtId="182" fontId="47" fillId="4" borderId="50" xfId="17" applyNumberFormat="1" applyFont="1" applyFill="1" applyBorder="1" applyAlignment="1">
      <alignment/>
    </xf>
    <xf numFmtId="182" fontId="27" fillId="2" borderId="9" xfId="17" applyNumberFormat="1" applyFont="1" applyFill="1" applyBorder="1" applyAlignment="1">
      <alignment/>
    </xf>
    <xf numFmtId="182" fontId="27" fillId="2" borderId="1" xfId="17" applyNumberFormat="1" applyFont="1" applyFill="1" applyBorder="1" applyAlignment="1">
      <alignment/>
    </xf>
    <xf numFmtId="182" fontId="27" fillId="2" borderId="16" xfId="17" applyNumberFormat="1" applyFont="1" applyFill="1" applyBorder="1" applyAlignment="1">
      <alignment/>
    </xf>
    <xf numFmtId="182" fontId="30" fillId="3" borderId="10" xfId="17" applyNumberFormat="1" applyFont="1" applyFill="1" applyBorder="1" applyAlignment="1">
      <alignment horizontal="center"/>
    </xf>
    <xf numFmtId="0" fontId="30" fillId="3" borderId="10" xfId="17" applyNumberFormat="1" applyFont="1" applyFill="1" applyBorder="1" applyAlignment="1">
      <alignment horizontal="center"/>
    </xf>
    <xf numFmtId="0" fontId="30" fillId="3" borderId="10" xfId="17" applyNumberFormat="1" applyFont="1" applyFill="1" applyBorder="1" applyAlignment="1">
      <alignment horizontal="center" wrapText="1"/>
    </xf>
    <xf numFmtId="0" fontId="30" fillId="3" borderId="6" xfId="17" applyNumberFormat="1" applyFont="1" applyFill="1" applyBorder="1" applyAlignment="1">
      <alignment horizontal="center"/>
    </xf>
    <xf numFmtId="0" fontId="30" fillId="3" borderId="4" xfId="17" applyNumberFormat="1" applyFont="1" applyFill="1" applyBorder="1" applyAlignment="1">
      <alignment horizontal="center"/>
    </xf>
    <xf numFmtId="182" fontId="34" fillId="2" borderId="14" xfId="17" applyNumberFormat="1" applyFont="1" applyFill="1" applyBorder="1" applyAlignment="1">
      <alignment horizontal="center"/>
    </xf>
    <xf numFmtId="182" fontId="34" fillId="2" borderId="28" xfId="17" applyNumberFormat="1" applyFont="1" applyFill="1" applyBorder="1" applyAlignment="1">
      <alignment/>
    </xf>
    <xf numFmtId="182" fontId="27" fillId="2" borderId="28" xfId="17" applyNumberFormat="1" applyFont="1" applyFill="1" applyBorder="1" applyAlignment="1">
      <alignment horizontal="center"/>
    </xf>
    <xf numFmtId="182" fontId="27" fillId="2" borderId="0" xfId="17" applyNumberFormat="1" applyFont="1" applyFill="1" applyBorder="1" applyAlignment="1">
      <alignment horizontal="center"/>
    </xf>
    <xf numFmtId="182" fontId="27" fillId="2" borderId="27" xfId="17" applyNumberFormat="1" applyFont="1" applyFill="1" applyBorder="1" applyAlignment="1">
      <alignment horizontal="center"/>
    </xf>
    <xf numFmtId="182" fontId="27" fillId="2" borderId="14" xfId="17" applyNumberFormat="1" applyFont="1" applyFill="1" applyBorder="1" applyAlignment="1">
      <alignment horizontal="center"/>
    </xf>
    <xf numFmtId="182" fontId="27" fillId="2" borderId="27" xfId="17" applyNumberFormat="1" applyFont="1" applyFill="1" applyBorder="1" applyAlignment="1">
      <alignment/>
    </xf>
    <xf numFmtId="182" fontId="29" fillId="4" borderId="62" xfId="17" applyNumberFormat="1" applyFont="1" applyFill="1" applyBorder="1" applyAlignment="1">
      <alignment horizontal="center"/>
    </xf>
    <xf numFmtId="182" fontId="29" fillId="4" borderId="58" xfId="17" applyNumberFormat="1" applyFont="1" applyFill="1" applyBorder="1" applyAlignment="1">
      <alignment/>
    </xf>
    <xf numFmtId="182" fontId="29" fillId="4" borderId="58" xfId="17" applyNumberFormat="1" applyFont="1" applyFill="1" applyBorder="1" applyAlignment="1">
      <alignment horizontal="center"/>
    </xf>
    <xf numFmtId="182" fontId="29" fillId="4" borderId="18" xfId="17" applyNumberFormat="1" applyFont="1" applyFill="1" applyBorder="1" applyAlignment="1">
      <alignment horizontal="center"/>
    </xf>
    <xf numFmtId="182" fontId="34" fillId="2" borderId="27" xfId="17" applyNumberFormat="1" applyFont="1" applyFill="1" applyBorder="1" applyAlignment="1">
      <alignment/>
    </xf>
    <xf numFmtId="182" fontId="29" fillId="3" borderId="63" xfId="17" applyNumberFormat="1" applyFont="1" applyFill="1" applyBorder="1" applyAlignment="1">
      <alignment horizontal="center"/>
    </xf>
    <xf numFmtId="182" fontId="29" fillId="3" borderId="57" xfId="17" applyNumberFormat="1" applyFont="1" applyFill="1" applyBorder="1" applyAlignment="1">
      <alignment/>
    </xf>
    <xf numFmtId="182" fontId="29" fillId="3" borderId="57" xfId="17" applyNumberFormat="1" applyFont="1" applyFill="1" applyBorder="1" applyAlignment="1">
      <alignment horizontal="center"/>
    </xf>
    <xf numFmtId="182" fontId="29" fillId="3" borderId="17" xfId="17" applyNumberFormat="1" applyFont="1" applyFill="1" applyBorder="1" applyAlignment="1">
      <alignment horizontal="center"/>
    </xf>
    <xf numFmtId="182" fontId="48" fillId="4" borderId="5" xfId="17" applyNumberFormat="1" applyFont="1" applyFill="1" applyBorder="1" applyAlignment="1">
      <alignment horizontal="center"/>
    </xf>
    <xf numFmtId="182" fontId="48" fillId="4" borderId="10" xfId="17" applyNumberFormat="1" applyFont="1" applyFill="1" applyBorder="1" applyAlignment="1">
      <alignment/>
    </xf>
    <xf numFmtId="182" fontId="48" fillId="4" borderId="4" xfId="17" applyNumberFormat="1" applyFont="1" applyFill="1" applyBorder="1" applyAlignment="1">
      <alignment/>
    </xf>
    <xf numFmtId="182" fontId="29" fillId="3" borderId="14" xfId="17" applyNumberFormat="1" applyFont="1" applyFill="1" applyBorder="1" applyAlignment="1">
      <alignment horizontal="center"/>
    </xf>
    <xf numFmtId="182" fontId="27" fillId="3" borderId="27" xfId="17" applyNumberFormat="1" applyFont="1" applyFill="1" applyBorder="1" applyAlignment="1">
      <alignment/>
    </xf>
    <xf numFmtId="182" fontId="29" fillId="3" borderId="27" xfId="17" applyNumberFormat="1" applyFont="1" applyFill="1" applyBorder="1" applyAlignment="1">
      <alignment/>
    </xf>
    <xf numFmtId="182" fontId="29" fillId="3" borderId="0" xfId="17" applyNumberFormat="1" applyFont="1" applyFill="1" applyBorder="1" applyAlignment="1">
      <alignment/>
    </xf>
    <xf numFmtId="182" fontId="29" fillId="2" borderId="11" xfId="17" applyNumberFormat="1" applyFont="1" applyFill="1" applyBorder="1" applyAlignment="1">
      <alignment horizontal="center"/>
    </xf>
    <xf numFmtId="182" fontId="29" fillId="2" borderId="28" xfId="17" applyNumberFormat="1" applyFont="1" applyFill="1" applyBorder="1" applyAlignment="1">
      <alignment/>
    </xf>
    <xf numFmtId="182" fontId="29" fillId="2" borderId="12" xfId="17" applyNumberFormat="1" applyFont="1" applyFill="1" applyBorder="1" applyAlignment="1">
      <alignment/>
    </xf>
    <xf numFmtId="182" fontId="29" fillId="2" borderId="14" xfId="17" applyNumberFormat="1" applyFont="1" applyFill="1" applyBorder="1" applyAlignment="1">
      <alignment horizontal="center"/>
    </xf>
    <xf numFmtId="182" fontId="29" fillId="2" borderId="27" xfId="17" applyNumberFormat="1" applyFont="1" applyFill="1" applyBorder="1" applyAlignment="1">
      <alignment/>
    </xf>
    <xf numFmtId="182" fontId="43" fillId="4" borderId="9" xfId="17" applyNumberFormat="1" applyFont="1" applyFill="1" applyBorder="1" applyAlignment="1">
      <alignment horizontal="center"/>
    </xf>
    <xf numFmtId="182" fontId="43" fillId="4" borderId="22" xfId="17" applyNumberFormat="1" applyFont="1" applyFill="1" applyBorder="1" applyAlignment="1">
      <alignment/>
    </xf>
    <xf numFmtId="1" fontId="43" fillId="4" borderId="22" xfId="17" applyNumberFormat="1" applyFont="1" applyFill="1" applyBorder="1" applyAlignment="1">
      <alignment/>
    </xf>
    <xf numFmtId="182" fontId="27" fillId="2" borderId="28" xfId="17" applyNumberFormat="1" applyFont="1" applyFill="1" applyBorder="1" applyAlignment="1">
      <alignment/>
    </xf>
    <xf numFmtId="182" fontId="27" fillId="2" borderId="12" xfId="17" applyNumberFormat="1" applyFont="1" applyFill="1" applyBorder="1" applyAlignment="1">
      <alignment/>
    </xf>
    <xf numFmtId="182" fontId="43" fillId="3" borderId="9" xfId="17" applyNumberFormat="1" applyFont="1" applyFill="1" applyBorder="1" applyAlignment="1">
      <alignment horizontal="center"/>
    </xf>
    <xf numFmtId="182" fontId="49" fillId="3" borderId="22" xfId="17" applyNumberFormat="1" applyFont="1" applyFill="1" applyBorder="1" applyAlignment="1">
      <alignment/>
    </xf>
    <xf numFmtId="182" fontId="43" fillId="3" borderId="22" xfId="17" applyNumberFormat="1" applyFont="1" applyFill="1" applyBorder="1" applyAlignment="1">
      <alignment/>
    </xf>
    <xf numFmtId="182" fontId="43" fillId="3" borderId="1" xfId="17" applyNumberFormat="1" applyFont="1" applyFill="1" applyBorder="1" applyAlignment="1">
      <alignment/>
    </xf>
    <xf numFmtId="182" fontId="27" fillId="2" borderId="11" xfId="17" applyNumberFormat="1" applyFont="1" applyFill="1" applyBorder="1" applyAlignment="1">
      <alignment/>
    </xf>
    <xf numFmtId="182" fontId="27" fillId="2" borderId="13" xfId="17" applyNumberFormat="1" applyFont="1" applyFill="1" applyBorder="1" applyAlignment="1">
      <alignment/>
    </xf>
    <xf numFmtId="182" fontId="27" fillId="4" borderId="9" xfId="17" applyNumberFormat="1" applyFont="1" applyFill="1" applyBorder="1" applyAlignment="1">
      <alignment/>
    </xf>
    <xf numFmtId="182" fontId="43" fillId="4" borderId="9" xfId="17" applyNumberFormat="1" applyFont="1" applyFill="1" applyBorder="1" applyAlignment="1">
      <alignment/>
    </xf>
    <xf numFmtId="182" fontId="43" fillId="4" borderId="1" xfId="17" applyNumberFormat="1" applyFont="1" applyFill="1" applyBorder="1" applyAlignment="1">
      <alignment/>
    </xf>
    <xf numFmtId="182" fontId="43" fillId="4" borderId="16" xfId="17" applyNumberFormat="1" applyFont="1" applyFill="1" applyBorder="1" applyAlignment="1">
      <alignment/>
    </xf>
    <xf numFmtId="182" fontId="27" fillId="2" borderId="15" xfId="17" applyNumberFormat="1" applyFont="1" applyFill="1" applyBorder="1" applyAlignment="1">
      <alignment/>
    </xf>
    <xf numFmtId="182" fontId="29" fillId="3" borderId="11" xfId="17" applyNumberFormat="1" applyFont="1" applyFill="1" applyBorder="1" applyAlignment="1">
      <alignment horizontal="center"/>
    </xf>
    <xf numFmtId="182" fontId="27" fillId="3" borderId="28" xfId="17" applyNumberFormat="1" applyFont="1" applyFill="1" applyBorder="1" applyAlignment="1">
      <alignment/>
    </xf>
    <xf numFmtId="9" fontId="27" fillId="2" borderId="5" xfId="21" applyFont="1" applyFill="1" applyBorder="1" applyAlignment="1">
      <alignment/>
    </xf>
    <xf numFmtId="182" fontId="27" fillId="2" borderId="10" xfId="17" applyNumberFormat="1" applyFont="1" applyFill="1" applyBorder="1" applyAlignment="1">
      <alignment/>
    </xf>
    <xf numFmtId="2" fontId="27" fillId="2" borderId="4" xfId="17" applyNumberFormat="1" applyFont="1" applyFill="1" applyBorder="1" applyAlignment="1">
      <alignment/>
    </xf>
    <xf numFmtId="182" fontId="27" fillId="2" borderId="6" xfId="17" applyNumberFormat="1" applyFont="1" applyFill="1" applyBorder="1" applyAlignment="1">
      <alignment/>
    </xf>
    <xf numFmtId="182" fontId="27" fillId="3" borderId="10" xfId="17" applyNumberFormat="1" applyFont="1" applyFill="1" applyBorder="1" applyAlignment="1">
      <alignment/>
    </xf>
    <xf numFmtId="182" fontId="27" fillId="2" borderId="22" xfId="17" applyNumberFormat="1" applyFont="1" applyFill="1" applyBorder="1" applyAlignment="1">
      <alignment/>
    </xf>
    <xf numFmtId="182" fontId="29" fillId="3" borderId="9" xfId="17" applyNumberFormat="1" applyFont="1" applyFill="1" applyBorder="1" applyAlignment="1">
      <alignment horizontal="center"/>
    </xf>
    <xf numFmtId="182" fontId="27" fillId="3" borderId="22" xfId="17" applyNumberFormat="1" applyFont="1" applyFill="1" applyBorder="1" applyAlignment="1">
      <alignment/>
    </xf>
    <xf numFmtId="182" fontId="27" fillId="2" borderId="5" xfId="17" applyNumberFormat="1" applyFont="1" applyFill="1" applyBorder="1" applyAlignment="1">
      <alignment/>
    </xf>
    <xf numFmtId="182" fontId="27" fillId="2" borderId="4" xfId="17" applyNumberFormat="1" applyFont="1" applyFill="1" applyBorder="1" applyAlignment="1">
      <alignment/>
    </xf>
    <xf numFmtId="182" fontId="29" fillId="3" borderId="10" xfId="17" applyNumberFormat="1" applyFont="1" applyFill="1" applyBorder="1" applyAlignment="1">
      <alignment/>
    </xf>
    <xf numFmtId="182" fontId="29" fillId="4" borderId="14" xfId="17" applyNumberFormat="1" applyFont="1" applyFill="1" applyBorder="1" applyAlignment="1">
      <alignment horizontal="center"/>
    </xf>
    <xf numFmtId="182" fontId="42" fillId="2" borderId="22" xfId="17" applyNumberFormat="1" applyFont="1" applyFill="1" applyBorder="1" applyAlignment="1">
      <alignment/>
    </xf>
    <xf numFmtId="182" fontId="29" fillId="4" borderId="16" xfId="17" applyNumberFormat="1" applyFont="1" applyFill="1" applyBorder="1" applyAlignment="1">
      <alignment/>
    </xf>
    <xf numFmtId="182" fontId="28" fillId="6" borderId="5" xfId="17" applyNumberFormat="1" applyFont="1" applyFill="1" applyBorder="1" applyAlignment="1">
      <alignment horizontal="center"/>
    </xf>
    <xf numFmtId="182" fontId="28" fillId="6" borderId="10" xfId="17" applyNumberFormat="1" applyFont="1" applyFill="1" applyBorder="1" applyAlignment="1">
      <alignment/>
    </xf>
    <xf numFmtId="182" fontId="28" fillId="6" borderId="4" xfId="17" applyNumberFormat="1" applyFont="1" applyFill="1" applyBorder="1" applyAlignment="1">
      <alignment/>
    </xf>
    <xf numFmtId="182" fontId="29" fillId="2" borderId="0" xfId="17" applyNumberFormat="1" applyFont="1" applyFill="1" applyAlignment="1">
      <alignment horizontal="center"/>
    </xf>
    <xf numFmtId="182" fontId="40" fillId="2" borderId="0" xfId="17" applyNumberFormat="1" applyFont="1" applyFill="1" applyAlignment="1">
      <alignment/>
    </xf>
    <xf numFmtId="182" fontId="50" fillId="2" borderId="0" xfId="17" applyNumberFormat="1" applyFont="1" applyFill="1" applyAlignment="1">
      <alignment/>
    </xf>
    <xf numFmtId="182" fontId="27" fillId="0" borderId="0" xfId="17" applyNumberFormat="1" applyFont="1" applyAlignment="1">
      <alignment/>
    </xf>
    <xf numFmtId="180" fontId="42" fillId="2" borderId="0" xfId="17" applyNumberFormat="1" applyFont="1" applyFill="1" applyAlignment="1">
      <alignment/>
    </xf>
    <xf numFmtId="182" fontId="27" fillId="2" borderId="0" xfId="17" applyNumberFormat="1" applyFont="1" applyFill="1" applyAlignment="1">
      <alignment/>
    </xf>
    <xf numFmtId="182" fontId="51" fillId="2" borderId="0" xfId="17" applyNumberFormat="1" applyFont="1" applyFill="1" applyAlignment="1">
      <alignment/>
    </xf>
    <xf numFmtId="180" fontId="50" fillId="2" borderId="0" xfId="17" applyNumberFormat="1" applyFont="1" applyFill="1" applyAlignment="1">
      <alignment/>
    </xf>
    <xf numFmtId="182" fontId="30" fillId="3" borderId="28" xfId="17" applyNumberFormat="1" applyFont="1" applyFill="1" applyBorder="1" applyAlignment="1">
      <alignment horizontal="center" vertical="center"/>
    </xf>
    <xf numFmtId="182" fontId="30" fillId="3" borderId="22" xfId="17" applyNumberFormat="1" applyFont="1" applyFill="1" applyBorder="1" applyAlignment="1">
      <alignment horizontal="center" vertical="center"/>
    </xf>
    <xf numFmtId="182" fontId="29" fillId="2" borderId="64" xfId="17" applyNumberFormat="1" applyFont="1" applyFill="1" applyBorder="1" applyAlignment="1">
      <alignment horizontal="left"/>
    </xf>
    <xf numFmtId="182" fontId="27" fillId="2" borderId="64" xfId="17" applyNumberFormat="1" applyFont="1" applyFill="1" applyBorder="1" applyAlignment="1">
      <alignment horizontal="center"/>
    </xf>
    <xf numFmtId="9" fontId="27" fillId="2" borderId="64" xfId="21" applyFont="1" applyFill="1" applyBorder="1" applyAlignment="1">
      <alignment horizontal="center"/>
    </xf>
    <xf numFmtId="10" fontId="27" fillId="2" borderId="64" xfId="21" applyNumberFormat="1" applyFont="1" applyFill="1" applyBorder="1" applyAlignment="1">
      <alignment horizontal="center"/>
    </xf>
    <xf numFmtId="182" fontId="29" fillId="2" borderId="27" xfId="17" applyNumberFormat="1" applyFont="1" applyFill="1" applyBorder="1" applyAlignment="1">
      <alignment horizontal="left"/>
    </xf>
    <xf numFmtId="9" fontId="27" fillId="2" borderId="27" xfId="21" applyFont="1" applyFill="1" applyBorder="1" applyAlignment="1">
      <alignment horizontal="center"/>
    </xf>
    <xf numFmtId="182" fontId="29" fillId="2" borderId="10" xfId="17" applyNumberFormat="1" applyFont="1" applyFill="1" applyBorder="1" applyAlignment="1">
      <alignment horizontal="left"/>
    </xf>
    <xf numFmtId="182" fontId="29" fillId="2" borderId="10" xfId="17" applyNumberFormat="1" applyFont="1" applyFill="1" applyBorder="1" applyAlignment="1">
      <alignment horizontal="center"/>
    </xf>
    <xf numFmtId="9" fontId="29" fillId="2" borderId="10" xfId="21" applyFont="1" applyFill="1" applyBorder="1" applyAlignment="1">
      <alignment horizontal="center"/>
    </xf>
    <xf numFmtId="182" fontId="27" fillId="2" borderId="10" xfId="17" applyNumberFormat="1" applyFont="1" applyFill="1" applyBorder="1" applyAlignment="1">
      <alignment horizontal="center"/>
    </xf>
    <xf numFmtId="9" fontId="29" fillId="5" borderId="6" xfId="21" applyFont="1" applyFill="1" applyBorder="1" applyAlignment="1">
      <alignment horizontal="center"/>
    </xf>
    <xf numFmtId="1" fontId="43" fillId="3" borderId="22" xfId="17" applyNumberFormat="1" applyFont="1" applyFill="1" applyBorder="1" applyAlignment="1">
      <alignment/>
    </xf>
    <xf numFmtId="182" fontId="43" fillId="4" borderId="14" xfId="17" applyNumberFormat="1" applyFont="1" applyFill="1" applyBorder="1" applyAlignment="1">
      <alignment horizontal="center"/>
    </xf>
    <xf numFmtId="182" fontId="43" fillId="4" borderId="14" xfId="17" applyNumberFormat="1" applyFont="1" applyFill="1" applyBorder="1" applyAlignment="1">
      <alignment/>
    </xf>
    <xf numFmtId="182" fontId="43" fillId="4" borderId="27" xfId="17" applyNumberFormat="1" applyFont="1" applyFill="1" applyBorder="1" applyAlignment="1">
      <alignment/>
    </xf>
    <xf numFmtId="182" fontId="43" fillId="4" borderId="0" xfId="17" applyNumberFormat="1" applyFont="1" applyFill="1" applyBorder="1" applyAlignment="1">
      <alignment/>
    </xf>
    <xf numFmtId="182" fontId="43" fillId="3" borderId="14" xfId="17" applyNumberFormat="1" applyFont="1" applyFill="1" applyBorder="1" applyAlignment="1">
      <alignment horizontal="center"/>
    </xf>
    <xf numFmtId="182" fontId="43" fillId="3" borderId="14" xfId="17" applyNumberFormat="1" applyFont="1" applyFill="1" applyBorder="1" applyAlignment="1">
      <alignment/>
    </xf>
    <xf numFmtId="182" fontId="43" fillId="3" borderId="27" xfId="17" applyNumberFormat="1" applyFont="1" applyFill="1" applyBorder="1" applyAlignment="1">
      <alignment/>
    </xf>
    <xf numFmtId="182" fontId="43" fillId="3" borderId="0" xfId="17" applyNumberFormat="1" applyFont="1" applyFill="1" applyBorder="1" applyAlignment="1">
      <alignment/>
    </xf>
    <xf numFmtId="9" fontId="27" fillId="2" borderId="27" xfId="21" applyFont="1" applyFill="1" applyBorder="1" applyAlignment="1">
      <alignment/>
    </xf>
    <xf numFmtId="2" fontId="27" fillId="2" borderId="27" xfId="17" applyNumberFormat="1" applyFont="1" applyFill="1" applyBorder="1" applyAlignment="1">
      <alignment/>
    </xf>
    <xf numFmtId="0" fontId="28" fillId="0" borderId="0" xfId="0" applyFont="1" applyFill="1" applyBorder="1" applyAlignment="1">
      <alignment horizontal="center"/>
    </xf>
    <xf numFmtId="182" fontId="28" fillId="7" borderId="10" xfId="17" applyNumberFormat="1" applyFont="1" applyFill="1" applyBorder="1" applyAlignment="1">
      <alignment/>
    </xf>
    <xf numFmtId="182" fontId="28" fillId="0" borderId="0" xfId="17" applyNumberFormat="1" applyFont="1" applyBorder="1" applyAlignment="1">
      <alignment/>
    </xf>
    <xf numFmtId="182" fontId="28" fillId="8" borderId="6" xfId="17" applyNumberFormat="1" applyFont="1" applyFill="1" applyBorder="1" applyAlignment="1">
      <alignment horizontal="center"/>
    </xf>
    <xf numFmtId="182" fontId="28" fillId="8" borderId="10" xfId="17" applyNumberFormat="1" applyFont="1" applyFill="1" applyBorder="1" applyAlignment="1">
      <alignment horizontal="center"/>
    </xf>
    <xf numFmtId="182" fontId="42" fillId="0" borderId="14" xfId="17" applyNumberFormat="1" applyFont="1" applyBorder="1" applyAlignment="1">
      <alignment/>
    </xf>
    <xf numFmtId="9" fontId="42" fillId="4" borderId="28" xfId="21" applyFont="1" applyFill="1" applyBorder="1" applyAlignment="1">
      <alignment horizontal="center"/>
    </xf>
    <xf numFmtId="182" fontId="42" fillId="2" borderId="14" xfId="17" applyNumberFormat="1" applyFont="1" applyFill="1" applyBorder="1" applyAlignment="1">
      <alignment/>
    </xf>
    <xf numFmtId="182" fontId="42" fillId="2" borderId="15" xfId="17" applyNumberFormat="1" applyFont="1" applyFill="1" applyBorder="1" applyAlignment="1">
      <alignment/>
    </xf>
    <xf numFmtId="0" fontId="42" fillId="4" borderId="27" xfId="17" applyNumberFormat="1" applyFont="1" applyFill="1" applyBorder="1" applyAlignment="1">
      <alignment horizontal="center"/>
    </xf>
    <xf numFmtId="9" fontId="42" fillId="4" borderId="22" xfId="21" applyFont="1" applyFill="1" applyBorder="1" applyAlignment="1">
      <alignment horizontal="center"/>
    </xf>
    <xf numFmtId="182" fontId="42" fillId="2" borderId="0" xfId="17" applyNumberFormat="1" applyFont="1" applyFill="1" applyBorder="1" applyAlignment="1">
      <alignment/>
    </xf>
    <xf numFmtId="9" fontId="42" fillId="0" borderId="0" xfId="21" applyFont="1" applyFill="1" applyBorder="1" applyAlignment="1">
      <alignment horizontal="center"/>
    </xf>
    <xf numFmtId="186" fontId="42" fillId="5" borderId="5" xfId="17" applyNumberFormat="1" applyFont="1" applyFill="1" applyBorder="1" applyAlignment="1">
      <alignment horizontal="center"/>
    </xf>
    <xf numFmtId="186" fontId="42" fillId="5" borderId="10" xfId="17" applyNumberFormat="1" applyFont="1" applyFill="1" applyBorder="1" applyAlignment="1">
      <alignment horizontal="center"/>
    </xf>
    <xf numFmtId="186" fontId="42" fillId="5" borderId="6" xfId="17" applyNumberFormat="1" applyFont="1" applyFill="1" applyBorder="1" applyAlignment="1">
      <alignment horizontal="center"/>
    </xf>
    <xf numFmtId="9" fontId="42" fillId="5" borderId="1" xfId="21" applyFont="1" applyFill="1" applyBorder="1" applyAlignment="1">
      <alignment horizontal="center"/>
    </xf>
    <xf numFmtId="9" fontId="42" fillId="5" borderId="22" xfId="21" applyFont="1" applyFill="1" applyBorder="1" applyAlignment="1">
      <alignment horizontal="center"/>
    </xf>
    <xf numFmtId="9" fontId="42" fillId="5" borderId="16" xfId="21" applyNumberFormat="1" applyFont="1" applyFill="1" applyBorder="1" applyAlignment="1">
      <alignment horizontal="center"/>
    </xf>
    <xf numFmtId="0" fontId="1" fillId="2" borderId="0" xfId="0" applyFont="1" applyFill="1" applyBorder="1" applyAlignment="1">
      <alignment horizontal="center"/>
    </xf>
    <xf numFmtId="1" fontId="29" fillId="4" borderId="28" xfId="0" applyNumberFormat="1" applyFont="1" applyFill="1" applyBorder="1" applyAlignment="1">
      <alignment horizontal="center" vertical="center"/>
    </xf>
    <xf numFmtId="1" fontId="29" fillId="4" borderId="22" xfId="0" applyNumberFormat="1" applyFont="1" applyFill="1" applyBorder="1" applyAlignment="1">
      <alignment horizontal="center" vertical="center"/>
    </xf>
    <xf numFmtId="171" fontId="29" fillId="3" borderId="6" xfId="0" applyNumberFormat="1" applyFont="1" applyFill="1" applyBorder="1" applyAlignment="1">
      <alignment horizontal="center"/>
    </xf>
    <xf numFmtId="0" fontId="29" fillId="3" borderId="9" xfId="0" applyFont="1" applyFill="1" applyBorder="1" applyAlignment="1">
      <alignment horizontal="center"/>
    </xf>
    <xf numFmtId="0" fontId="29" fillId="3" borderId="16" xfId="0" applyFont="1" applyFill="1" applyBorder="1" applyAlignment="1">
      <alignment horizontal="center"/>
    </xf>
    <xf numFmtId="182" fontId="1" fillId="3" borderId="21" xfId="17" applyNumberFormat="1" applyFont="1" applyFill="1" applyBorder="1" applyAlignment="1">
      <alignment horizontal="center" vertical="center"/>
    </xf>
    <xf numFmtId="182" fontId="1" fillId="3" borderId="7" xfId="17" applyNumberFormat="1" applyFont="1" applyFill="1" applyBorder="1" applyAlignment="1">
      <alignment horizontal="center" vertical="center"/>
    </xf>
    <xf numFmtId="0" fontId="19" fillId="4" borderId="5" xfId="0" applyFont="1" applyFill="1" applyBorder="1" applyAlignment="1">
      <alignment horizontal="center"/>
    </xf>
    <xf numFmtId="0" fontId="19" fillId="4" borderId="4" xfId="0" applyFont="1" applyFill="1" applyBorder="1" applyAlignment="1">
      <alignment horizontal="center"/>
    </xf>
    <xf numFmtId="0" fontId="19" fillId="4" borderId="6" xfId="0" applyFont="1" applyFill="1" applyBorder="1" applyAlignment="1">
      <alignment horizontal="center"/>
    </xf>
    <xf numFmtId="171" fontId="29" fillId="3" borderId="5" xfId="0" applyNumberFormat="1" applyFont="1" applyFill="1" applyBorder="1" applyAlignment="1">
      <alignment horizontal="center"/>
    </xf>
    <xf numFmtId="0" fontId="42" fillId="0" borderId="0" xfId="0" applyFont="1" applyAlignment="1">
      <alignment/>
    </xf>
    <xf numFmtId="0" fontId="42" fillId="0" borderId="0" xfId="0" applyFont="1" applyFill="1" applyAlignment="1" applyProtection="1">
      <alignment/>
      <protection locked="0"/>
    </xf>
    <xf numFmtId="3" fontId="16" fillId="0" borderId="0" xfId="0" applyNumberFormat="1" applyFont="1" applyFill="1" applyAlignment="1" applyProtection="1">
      <alignment/>
      <protection locked="0"/>
    </xf>
    <xf numFmtId="0" fontId="16" fillId="0" borderId="0" xfId="0" applyFont="1" applyFill="1" applyAlignment="1" applyProtection="1">
      <alignment/>
      <protection locked="0"/>
    </xf>
    <xf numFmtId="182" fontId="50" fillId="0" borderId="0" xfId="17" applyNumberFormat="1" applyFont="1" applyBorder="1" applyAlignment="1">
      <alignment/>
    </xf>
    <xf numFmtId="2" fontId="50" fillId="0" borderId="0" xfId="17" applyNumberFormat="1" applyFont="1" applyBorder="1" applyAlignment="1">
      <alignment/>
    </xf>
    <xf numFmtId="182" fontId="29" fillId="3" borderId="28" xfId="17" applyNumberFormat="1" applyFont="1" applyFill="1" applyBorder="1" applyAlignment="1">
      <alignment horizontal="center"/>
    </xf>
    <xf numFmtId="182" fontId="50" fillId="0" borderId="0" xfId="17" applyNumberFormat="1" applyFont="1" applyBorder="1" applyAlignment="1" applyProtection="1">
      <alignment/>
      <protection locked="0"/>
    </xf>
    <xf numFmtId="0" fontId="28" fillId="0" borderId="0" xfId="0" applyFont="1" applyAlignment="1">
      <alignment horizontal="center"/>
    </xf>
    <xf numFmtId="182" fontId="29" fillId="3" borderId="21" xfId="17" applyNumberFormat="1" applyFont="1" applyFill="1" applyBorder="1" applyAlignment="1">
      <alignment horizontal="center" vertical="center"/>
    </xf>
    <xf numFmtId="182" fontId="29" fillId="3" borderId="37" xfId="17" applyNumberFormat="1" applyFont="1" applyFill="1" applyBorder="1" applyAlignment="1">
      <alignment horizontal="center" vertical="center"/>
    </xf>
    <xf numFmtId="0" fontId="28" fillId="2" borderId="0" xfId="0" applyFont="1" applyFill="1" applyBorder="1" applyAlignment="1">
      <alignment horizontal="center"/>
    </xf>
    <xf numFmtId="0" fontId="33" fillId="4" borderId="5" xfId="0" applyFont="1" applyFill="1" applyBorder="1" applyAlignment="1">
      <alignment horizontal="center"/>
    </xf>
    <xf numFmtId="0" fontId="33" fillId="4" borderId="4" xfId="0" applyFont="1" applyFill="1" applyBorder="1" applyAlignment="1">
      <alignment horizontal="center"/>
    </xf>
    <xf numFmtId="0" fontId="33" fillId="4" borderId="6" xfId="0" applyFont="1" applyFill="1" applyBorder="1" applyAlignment="1">
      <alignment horizontal="center"/>
    </xf>
    <xf numFmtId="0" fontId="28" fillId="2" borderId="0" xfId="0" applyFont="1" applyFill="1" applyAlignment="1">
      <alignment horizontal="center"/>
    </xf>
    <xf numFmtId="0" fontId="30" fillId="3" borderId="28" xfId="0" applyFont="1" applyFill="1" applyBorder="1" applyAlignment="1">
      <alignment horizontal="center" vertical="center"/>
    </xf>
    <xf numFmtId="0" fontId="27" fillId="3" borderId="22" xfId="0" applyFont="1" applyFill="1" applyBorder="1" applyAlignment="1">
      <alignment horizontal="center" vertical="center"/>
    </xf>
    <xf numFmtId="176" fontId="30" fillId="3" borderId="28" xfId="0" applyNumberFormat="1" applyFont="1" applyFill="1" applyBorder="1" applyAlignment="1">
      <alignment horizontal="center" vertical="center"/>
    </xf>
    <xf numFmtId="0" fontId="30" fillId="3" borderId="5" xfId="0" applyFont="1" applyFill="1" applyBorder="1" applyAlignment="1">
      <alignment horizontal="center"/>
    </xf>
    <xf numFmtId="0" fontId="30" fillId="3" borderId="6" xfId="0" applyFont="1" applyFill="1" applyBorder="1" applyAlignment="1">
      <alignment horizontal="center"/>
    </xf>
    <xf numFmtId="0" fontId="19" fillId="3" borderId="32" xfId="17" applyNumberFormat="1" applyFont="1" applyFill="1" applyBorder="1" applyAlignment="1" applyProtection="1">
      <alignment vertical="center"/>
      <protection hidden="1"/>
    </xf>
    <xf numFmtId="0" fontId="0" fillId="0" borderId="39" xfId="0" applyBorder="1" applyAlignment="1">
      <alignment vertical="center"/>
    </xf>
    <xf numFmtId="182" fontId="2" fillId="3" borderId="21" xfId="17" applyNumberFormat="1" applyFont="1" applyFill="1" applyBorder="1" applyAlignment="1">
      <alignment horizontal="center" vertical="center"/>
    </xf>
    <xf numFmtId="182" fontId="2" fillId="3" borderId="7" xfId="17" applyNumberFormat="1" applyFont="1" applyFill="1" applyBorder="1" applyAlignment="1">
      <alignment horizontal="center" vertical="center"/>
    </xf>
    <xf numFmtId="1" fontId="30" fillId="4" borderId="28" xfId="0" applyNumberFormat="1" applyFont="1" applyFill="1" applyBorder="1" applyAlignment="1">
      <alignment horizontal="center" vertical="center"/>
    </xf>
    <xf numFmtId="1" fontId="30" fillId="4" borderId="22" xfId="0" applyNumberFormat="1" applyFont="1" applyFill="1" applyBorder="1" applyAlignment="1">
      <alignment horizontal="center" vertical="center"/>
    </xf>
    <xf numFmtId="0" fontId="29" fillId="3" borderId="5" xfId="0" applyFont="1" applyFill="1" applyBorder="1" applyAlignment="1">
      <alignment horizontal="center"/>
    </xf>
    <xf numFmtId="0" fontId="29" fillId="3" borderId="6" xfId="0" applyFont="1" applyFill="1" applyBorder="1" applyAlignment="1">
      <alignment horizontal="center"/>
    </xf>
    <xf numFmtId="0" fontId="27" fillId="4" borderId="65" xfId="0" applyFont="1" applyFill="1" applyBorder="1" applyAlignment="1">
      <alignment horizontal="center"/>
    </xf>
    <xf numFmtId="0" fontId="27" fillId="4" borderId="31" xfId="0" applyFont="1" applyFill="1" applyBorder="1" applyAlignment="1">
      <alignment horizontal="center"/>
    </xf>
    <xf numFmtId="0" fontId="30" fillId="4" borderId="65" xfId="0" applyFont="1" applyFill="1" applyBorder="1" applyAlignment="1">
      <alignment horizontal="center"/>
    </xf>
    <xf numFmtId="0" fontId="30" fillId="4" borderId="31" xfId="0" applyFont="1" applyFill="1" applyBorder="1" applyAlignment="1">
      <alignment horizontal="center"/>
    </xf>
    <xf numFmtId="0" fontId="27" fillId="0" borderId="20" xfId="0" applyFont="1" applyBorder="1" applyAlignment="1">
      <alignment horizontal="center"/>
    </xf>
    <xf numFmtId="0" fontId="27" fillId="0" borderId="23" xfId="0" applyFont="1" applyBorder="1" applyAlignment="1">
      <alignment horizontal="center"/>
    </xf>
    <xf numFmtId="182" fontId="5" fillId="0" borderId="0" xfId="17" applyNumberFormat="1" applyFont="1" applyFill="1" applyBorder="1" applyAlignment="1">
      <alignment horizontal="center" vertical="center"/>
    </xf>
    <xf numFmtId="0" fontId="8" fillId="0" borderId="0" xfId="0" applyFont="1" applyFill="1" applyBorder="1" applyAlignment="1">
      <alignment horizontal="center"/>
    </xf>
    <xf numFmtId="182" fontId="28" fillId="3" borderId="5" xfId="17" applyNumberFormat="1" applyFont="1" applyFill="1" applyBorder="1" applyAlignment="1">
      <alignment horizontal="center" vertical="center"/>
    </xf>
    <xf numFmtId="182" fontId="28" fillId="3" borderId="4" xfId="17" applyNumberFormat="1" applyFont="1" applyFill="1" applyBorder="1" applyAlignment="1">
      <alignment horizontal="center" vertical="center"/>
    </xf>
    <xf numFmtId="182" fontId="28" fillId="3" borderId="6" xfId="17" applyNumberFormat="1" applyFont="1" applyFill="1" applyBorder="1" applyAlignment="1">
      <alignment horizontal="center" vertical="center"/>
    </xf>
    <xf numFmtId="0" fontId="36" fillId="0" borderId="0" xfId="0" applyFont="1" applyAlignment="1">
      <alignment horizontal="center" vertical="center"/>
    </xf>
    <xf numFmtId="9" fontId="29" fillId="3" borderId="20" xfId="21" applyFont="1" applyFill="1" applyBorder="1" applyAlignment="1">
      <alignment horizontal="center"/>
    </xf>
    <xf numFmtId="9" fontId="29" fillId="3" borderId="18" xfId="21" applyFont="1" applyFill="1" applyBorder="1" applyAlignment="1">
      <alignment horizontal="center"/>
    </xf>
    <xf numFmtId="9" fontId="29" fillId="3" borderId="23" xfId="21" applyFont="1" applyFill="1" applyBorder="1" applyAlignment="1">
      <alignment horizontal="center"/>
    </xf>
    <xf numFmtId="0" fontId="38" fillId="3" borderId="5" xfId="0" applyFont="1" applyFill="1" applyBorder="1" applyAlignment="1">
      <alignment horizontal="center"/>
    </xf>
    <xf numFmtId="0" fontId="38" fillId="3" borderId="6" xfId="0" applyFont="1" applyFill="1" applyBorder="1" applyAlignment="1">
      <alignment horizontal="center"/>
    </xf>
    <xf numFmtId="9" fontId="27" fillId="0" borderId="28" xfId="0" applyNumberFormat="1" applyFont="1" applyBorder="1" applyAlignment="1">
      <alignment horizontal="center"/>
    </xf>
    <xf numFmtId="9" fontId="27" fillId="0" borderId="22" xfId="0" applyNumberFormat="1" applyFont="1" applyBorder="1" applyAlignment="1">
      <alignment horizontal="center"/>
    </xf>
    <xf numFmtId="0" fontId="29" fillId="0" borderId="28" xfId="0" applyFont="1" applyBorder="1" applyAlignment="1">
      <alignment horizontal="left"/>
    </xf>
    <xf numFmtId="0" fontId="29" fillId="0" borderId="22" xfId="0" applyFont="1" applyBorder="1" applyAlignment="1">
      <alignment horizontal="left"/>
    </xf>
    <xf numFmtId="0" fontId="28" fillId="0" borderId="0" xfId="0" applyFont="1" applyAlignment="1" applyProtection="1">
      <alignment horizontal="center"/>
      <protection locked="0"/>
    </xf>
    <xf numFmtId="0" fontId="31" fillId="4" borderId="66" xfId="0" applyFont="1" applyFill="1" applyBorder="1" applyAlignment="1" applyProtection="1">
      <alignment horizontal="center"/>
      <protection locked="0"/>
    </xf>
    <xf numFmtId="0" fontId="31" fillId="4" borderId="67" xfId="0" applyFont="1" applyFill="1" applyBorder="1" applyAlignment="1" applyProtection="1">
      <alignment horizontal="center"/>
      <protection locked="0"/>
    </xf>
    <xf numFmtId="0" fontId="31" fillId="4" borderId="68" xfId="0" applyFont="1" applyFill="1" applyBorder="1" applyAlignment="1" applyProtection="1">
      <alignment horizontal="center"/>
      <protection locked="0"/>
    </xf>
    <xf numFmtId="182" fontId="28" fillId="0" borderId="0" xfId="17" applyNumberFormat="1" applyFont="1" applyBorder="1" applyAlignment="1">
      <alignment horizontal="center"/>
    </xf>
    <xf numFmtId="182" fontId="28" fillId="2" borderId="0" xfId="17" applyNumberFormat="1" applyFont="1" applyFill="1" applyAlignment="1">
      <alignment horizontal="center"/>
    </xf>
    <xf numFmtId="182" fontId="30" fillId="2" borderId="0" xfId="17" applyNumberFormat="1" applyFont="1" applyFill="1" applyAlignment="1">
      <alignment horizontal="center"/>
    </xf>
    <xf numFmtId="182" fontId="5" fillId="2" borderId="0" xfId="17" applyNumberFormat="1" applyFont="1" applyFill="1" applyBorder="1" applyAlignment="1">
      <alignment horizontal="center"/>
    </xf>
    <xf numFmtId="182" fontId="28" fillId="2" borderId="0" xfId="17" applyNumberFormat="1" applyFont="1" applyFill="1" applyAlignment="1" quotePrefix="1">
      <alignment horizontal="center"/>
    </xf>
    <xf numFmtId="180" fontId="30" fillId="3" borderId="28" xfId="17" applyNumberFormat="1" applyFont="1" applyFill="1" applyBorder="1" applyAlignment="1">
      <alignment horizontal="center"/>
    </xf>
    <xf numFmtId="180" fontId="30" fillId="3" borderId="22" xfId="17" applyNumberFormat="1" applyFont="1" applyFill="1" applyBorder="1" applyAlignment="1">
      <alignment horizontal="center"/>
    </xf>
    <xf numFmtId="182" fontId="28" fillId="9" borderId="5" xfId="17" applyNumberFormat="1" applyFont="1" applyFill="1" applyBorder="1" applyAlignment="1">
      <alignment horizontal="center"/>
    </xf>
    <xf numFmtId="182" fontId="28" fillId="9" borderId="4" xfId="17" applyNumberFormat="1" applyFont="1" applyFill="1" applyBorder="1" applyAlignment="1">
      <alignment horizontal="center"/>
    </xf>
    <xf numFmtId="182" fontId="28" fillId="9" borderId="6" xfId="17" applyNumberFormat="1" applyFont="1" applyFill="1" applyBorder="1" applyAlignment="1">
      <alignment horizontal="center"/>
    </xf>
    <xf numFmtId="182" fontId="28" fillId="3" borderId="28" xfId="17" applyNumberFormat="1" applyFont="1" applyFill="1" applyBorder="1" applyAlignment="1">
      <alignment horizontal="center"/>
    </xf>
    <xf numFmtId="182" fontId="28" fillId="3" borderId="22" xfId="17" applyNumberFormat="1" applyFont="1" applyFill="1" applyBorder="1" applyAlignment="1">
      <alignment horizontal="center"/>
    </xf>
    <xf numFmtId="182" fontId="28" fillId="2" borderId="11" xfId="17" applyNumberFormat="1" applyFont="1" applyFill="1" applyBorder="1" applyAlignment="1">
      <alignment horizontal="center"/>
    </xf>
    <xf numFmtId="182" fontId="28" fillId="2" borderId="12" xfId="17" applyNumberFormat="1" applyFont="1" applyFill="1" applyBorder="1" applyAlignment="1">
      <alignment horizontal="center"/>
    </xf>
    <xf numFmtId="182" fontId="28" fillId="2" borderId="13" xfId="17" applyNumberFormat="1" applyFont="1" applyFill="1" applyBorder="1" applyAlignment="1">
      <alignment horizontal="center"/>
    </xf>
    <xf numFmtId="182" fontId="28" fillId="2" borderId="14" xfId="17" applyNumberFormat="1" applyFont="1" applyFill="1" applyBorder="1" applyAlignment="1">
      <alignment horizontal="center"/>
    </xf>
    <xf numFmtId="182" fontId="28" fillId="2" borderId="0" xfId="17" applyNumberFormat="1" applyFont="1" applyFill="1" applyBorder="1" applyAlignment="1">
      <alignment horizontal="center"/>
    </xf>
    <xf numFmtId="182" fontId="28" fillId="2" borderId="15" xfId="17" applyNumberFormat="1" applyFont="1" applyFill="1" applyBorder="1" applyAlignment="1">
      <alignment horizontal="center"/>
    </xf>
    <xf numFmtId="182" fontId="28" fillId="0" borderId="0" xfId="17" applyNumberFormat="1" applyFont="1" applyAlignment="1">
      <alignment horizontal="center"/>
    </xf>
    <xf numFmtId="182" fontId="28" fillId="3" borderId="5" xfId="17" applyNumberFormat="1" applyFont="1" applyFill="1" applyBorder="1" applyAlignment="1">
      <alignment horizontal="center"/>
    </xf>
    <xf numFmtId="182" fontId="28" fillId="3" borderId="6" xfId="17" applyNumberFormat="1" applyFont="1" applyFill="1" applyBorder="1" applyAlignment="1">
      <alignment horizontal="center"/>
    </xf>
    <xf numFmtId="182" fontId="28" fillId="7" borderId="5" xfId="17" applyNumberFormat="1" applyFont="1" applyFill="1" applyBorder="1" applyAlignment="1">
      <alignment horizontal="center"/>
    </xf>
    <xf numFmtId="182" fontId="28" fillId="7" borderId="6" xfId="17" applyNumberFormat="1" applyFont="1" applyFill="1" applyBorder="1" applyAlignment="1">
      <alignment horizontal="center"/>
    </xf>
    <xf numFmtId="0" fontId="28" fillId="0" borderId="0" xfId="0" applyFont="1" applyFill="1" applyBorder="1" applyAlignment="1">
      <alignment horizontal="center"/>
    </xf>
    <xf numFmtId="0" fontId="5" fillId="0" borderId="0" xfId="0" applyFont="1" applyFill="1" applyBorder="1" applyAlignment="1">
      <alignment horizontal="center"/>
    </xf>
    <xf numFmtId="182" fontId="28" fillId="7" borderId="9" xfId="17" applyNumberFormat="1" applyFont="1" applyFill="1" applyBorder="1" applyAlignment="1">
      <alignment horizontal="center"/>
    </xf>
    <xf numFmtId="182" fontId="28" fillId="7" borderId="16" xfId="17" applyNumberFormat="1" applyFont="1" applyFill="1" applyBorder="1" applyAlignment="1">
      <alignment horizontal="center"/>
    </xf>
    <xf numFmtId="182" fontId="28" fillId="8" borderId="5" xfId="17" applyNumberFormat="1" applyFont="1" applyFill="1" applyBorder="1" applyAlignment="1">
      <alignment horizontal="center"/>
    </xf>
    <xf numFmtId="182" fontId="28" fillId="8" borderId="6" xfId="17" applyNumberFormat="1" applyFont="1" applyFill="1" applyBorder="1" applyAlignment="1">
      <alignment horizontal="center"/>
    </xf>
    <xf numFmtId="182" fontId="5" fillId="0" borderId="5" xfId="17" applyNumberFormat="1" applyFont="1" applyBorder="1" applyAlignment="1">
      <alignment horizontal="center"/>
    </xf>
    <xf numFmtId="182" fontId="5" fillId="0" borderId="4" xfId="17" applyNumberFormat="1" applyFont="1" applyBorder="1" applyAlignment="1">
      <alignment horizontal="center"/>
    </xf>
    <xf numFmtId="182" fontId="0" fillId="0" borderId="5" xfId="17" applyNumberFormat="1" applyBorder="1" applyAlignment="1">
      <alignment horizontal="center"/>
    </xf>
    <xf numFmtId="182" fontId="0" fillId="0" borderId="4" xfId="17" applyNumberFormat="1" applyBorder="1" applyAlignment="1">
      <alignment horizontal="center"/>
    </xf>
    <xf numFmtId="182" fontId="0" fillId="0" borderId="6" xfId="17" applyNumberFormat="1" applyBorder="1" applyAlignment="1">
      <alignment horizontal="center"/>
    </xf>
    <xf numFmtId="0" fontId="6" fillId="2" borderId="0" xfId="0" applyFont="1" applyFill="1" applyAlignment="1">
      <alignment horizontal="center"/>
    </xf>
    <xf numFmtId="0" fontId="7" fillId="2" borderId="0" xfId="0" applyFont="1" applyFill="1" applyAlignment="1">
      <alignment horizontal="center"/>
    </xf>
    <xf numFmtId="0" fontId="1" fillId="2" borderId="0" xfId="0" applyFont="1" applyFill="1" applyAlignment="1">
      <alignment horizontal="center"/>
    </xf>
    <xf numFmtId="0" fontId="6"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20" xfId="0" applyFont="1" applyBorder="1" applyAlignment="1">
      <alignment horizontal="center"/>
    </xf>
    <xf numFmtId="0" fontId="1" fillId="0" borderId="23" xfId="0" applyFont="1" applyBorder="1" applyAlignment="1">
      <alignment horizontal="center"/>
    </xf>
    <xf numFmtId="0" fontId="7" fillId="0" borderId="20" xfId="0" applyFont="1" applyBorder="1" applyAlignment="1">
      <alignment horizontal="center"/>
    </xf>
    <xf numFmtId="0" fontId="7" fillId="0" borderId="23" xfId="0" applyFont="1" applyBorder="1" applyAlignment="1">
      <alignment horizontal="center"/>
    </xf>
    <xf numFmtId="182" fontId="31" fillId="3" borderId="5" xfId="17" applyNumberFormat="1" applyFont="1" applyFill="1" applyBorder="1" applyAlignment="1">
      <alignment horizontal="center"/>
    </xf>
    <xf numFmtId="182" fontId="31" fillId="3" borderId="6" xfId="17" applyNumberFormat="1" applyFont="1" applyFill="1" applyBorder="1" applyAlignment="1">
      <alignment horizontal="center"/>
    </xf>
    <xf numFmtId="182" fontId="28" fillId="10" borderId="10" xfId="17" applyNumberFormat="1" applyFont="1" applyFill="1" applyBorder="1" applyAlignment="1">
      <alignment horizontal="center"/>
    </xf>
    <xf numFmtId="9" fontId="28" fillId="10" borderId="22" xfId="21" applyFont="1" applyFill="1" applyBorder="1" applyAlignment="1">
      <alignment horizontal="center"/>
    </xf>
    <xf numFmtId="186" fontId="28" fillId="10" borderId="10" xfId="17" applyNumberFormat="1"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68</xdr:row>
      <xdr:rowOff>19050</xdr:rowOff>
    </xdr:from>
    <xdr:to>
      <xdr:col>4</xdr:col>
      <xdr:colOff>561975</xdr:colOff>
      <xdr:row>83</xdr:row>
      <xdr:rowOff>152400</xdr:rowOff>
    </xdr:to>
    <xdr:sp>
      <xdr:nvSpPr>
        <xdr:cNvPr id="1" name="Rectangle 1"/>
        <xdr:cNvSpPr>
          <a:spLocks/>
        </xdr:cNvSpPr>
      </xdr:nvSpPr>
      <xdr:spPr>
        <a:xfrm>
          <a:off x="752475" y="12744450"/>
          <a:ext cx="5400675" cy="2562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El flujo de caja que mide la rentabilidad de la inversion toma en cuenta TODA LA INVERSION independiente de cómo esta sea finanaciada.
El flujo de caja que mide la rentabilidad de los recursos propios toma en cuenta solo la inversión que es realizada por los accionistas, y en este flujo se incorpora el prestamo bancario con el pago de los intereses anuales y la amortización del capital
Cada tipo de flujo de caja deberá ser descontado (traer los flujos fianles de caja al año cero) a diferentes tasas.
El que mide la rentabilidad de la inversión desscontara los flujos al 20% de rentabilidad ya que se toma lo que los accionistas estarían dispuestos a obtener de retorno de su inversión
El que mide la rentabilidad de los recursos propios toma en cuanta la tasa ponderada de capital, que inorpora los distintos tipos de financiamientos con sus respectivos pesos.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250;blico\Formulacion%20y%20evaluacion%20de%20Proyectos\Copia%20de%20hostal%20bar%20halc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ivos fijos"/>
      <sheetName val="Inversión"/>
      <sheetName val="Supuestos"/>
      <sheetName val="Ingresos"/>
      <sheetName val="Costos"/>
      <sheetName val="Desglose Administrativo"/>
      <sheetName val="Tabla de Amortizacion"/>
      <sheetName val="Flujo de Caja"/>
      <sheetName val="punto de equilibrio"/>
      <sheetName val="van"/>
      <sheetName val="ADMINISTRATIVODS"/>
      <sheetName val="Tour Zona Loja-Sur"/>
      <sheetName val="Tour Loja"/>
      <sheetName val="Tour Loja Caro"/>
      <sheetName val="Tour Baños"/>
    </sheetNames>
    <sheetDataSet>
      <sheetData sheetId="2">
        <row r="8">
          <cell r="A8" t="str">
            <v>ALOJAMIENTO por persona</v>
          </cell>
        </row>
      </sheetData>
      <sheetData sheetId="3">
        <row r="31">
          <cell r="A31" t="str">
            <v>Alojamiento</v>
          </cell>
        </row>
        <row r="32">
          <cell r="A32" t="str">
            <v>Bebidas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15"/>
  <sheetViews>
    <sheetView workbookViewId="0" topLeftCell="A1">
      <selection activeCell="J15" sqref="J15"/>
    </sheetView>
  </sheetViews>
  <sheetFormatPr defaultColWidth="11.421875" defaultRowHeight="12.75"/>
  <cols>
    <col min="1" max="1" width="8.28125" style="183" customWidth="1"/>
    <col min="2" max="2" width="30.57421875" style="82" customWidth="1"/>
    <col min="3" max="3" width="9.421875" style="82" customWidth="1"/>
    <col min="4" max="4" width="10.00390625" style="84" customWidth="1"/>
    <col min="5" max="10" width="6.7109375" style="82" customWidth="1"/>
    <col min="11" max="11" width="10.7109375" style="82" customWidth="1"/>
    <col min="12" max="16384" width="22.00390625" style="82" customWidth="1"/>
  </cols>
  <sheetData>
    <row r="1" ht="15.75">
      <c r="K1" s="686"/>
    </row>
    <row r="2" spans="1:11" ht="15.75">
      <c r="A2" s="694" t="s">
        <v>298</v>
      </c>
      <c r="B2" s="694"/>
      <c r="C2" s="694"/>
      <c r="D2" s="694"/>
      <c r="E2" s="694"/>
      <c r="F2" s="694"/>
      <c r="G2" s="694"/>
      <c r="H2" s="694"/>
      <c r="I2" s="694"/>
      <c r="J2" s="694"/>
      <c r="K2" s="694"/>
    </row>
    <row r="3" spans="1:12" ht="26.25" customHeight="1">
      <c r="A3" s="278"/>
      <c r="B3" s="697" t="s">
        <v>257</v>
      </c>
      <c r="C3" s="697"/>
      <c r="D3" s="697"/>
      <c r="E3" s="697"/>
      <c r="F3" s="697"/>
      <c r="G3" s="697"/>
      <c r="H3" s="697"/>
      <c r="I3" s="697"/>
      <c r="J3" s="697"/>
      <c r="K3" s="697"/>
      <c r="L3" s="109"/>
    </row>
    <row r="4" spans="1:12" ht="9.75" customHeight="1" thickBot="1">
      <c r="A4" s="278"/>
      <c r="B4" s="279"/>
      <c r="C4" s="279"/>
      <c r="D4" s="280"/>
      <c r="E4" s="279"/>
      <c r="F4" s="279"/>
      <c r="G4" s="279"/>
      <c r="H4" s="279"/>
      <c r="I4" s="279"/>
      <c r="J4" s="279"/>
      <c r="K4" s="279"/>
      <c r="L4" s="109"/>
    </row>
    <row r="5" spans="1:12" s="88" customFormat="1" ht="15.75" thickBot="1">
      <c r="A5" s="281"/>
      <c r="B5" s="282"/>
      <c r="C5" s="282"/>
      <c r="D5" s="283"/>
      <c r="E5" s="284"/>
      <c r="F5" s="698" t="s">
        <v>258</v>
      </c>
      <c r="G5" s="699"/>
      <c r="H5" s="699"/>
      <c r="I5" s="699"/>
      <c r="J5" s="700"/>
      <c r="K5" s="279"/>
      <c r="L5" s="110"/>
    </row>
    <row r="6" spans="1:12" s="89" customFormat="1" ht="21" customHeight="1">
      <c r="A6" s="285" t="s">
        <v>358</v>
      </c>
      <c r="B6" s="695" t="s">
        <v>370</v>
      </c>
      <c r="C6" s="286" t="s">
        <v>411</v>
      </c>
      <c r="D6" s="286" t="s">
        <v>371</v>
      </c>
      <c r="E6" s="287" t="s">
        <v>128</v>
      </c>
      <c r="F6" s="286" t="s">
        <v>123</v>
      </c>
      <c r="G6" s="286" t="s">
        <v>98</v>
      </c>
      <c r="H6" s="286" t="s">
        <v>99</v>
      </c>
      <c r="I6" s="286" t="s">
        <v>100</v>
      </c>
      <c r="J6" s="286" t="s">
        <v>101</v>
      </c>
      <c r="K6" s="336" t="s">
        <v>259</v>
      </c>
      <c r="L6" s="111"/>
    </row>
    <row r="7" spans="1:12" s="89" customFormat="1" ht="11.25" customHeight="1" thickBot="1">
      <c r="A7" s="337"/>
      <c r="B7" s="696"/>
      <c r="C7" s="338"/>
      <c r="D7" s="338"/>
      <c r="E7" s="339"/>
      <c r="F7" s="340"/>
      <c r="G7" s="340"/>
      <c r="H7" s="340"/>
      <c r="I7" s="340"/>
      <c r="J7" s="340"/>
      <c r="K7" s="341" t="s">
        <v>260</v>
      </c>
      <c r="L7" s="111"/>
    </row>
    <row r="8" spans="1:12" s="89" customFormat="1" ht="14.25" customHeight="1">
      <c r="A8" s="332"/>
      <c r="B8" s="304" t="s">
        <v>230</v>
      </c>
      <c r="C8" s="333"/>
      <c r="D8" s="334">
        <v>18000</v>
      </c>
      <c r="E8" s="335">
        <v>10</v>
      </c>
      <c r="F8" s="291">
        <f>D8/E8</f>
        <v>1800</v>
      </c>
      <c r="G8" s="335">
        <f aca="true" t="shared" si="0" ref="G8:J9">F8</f>
        <v>1800</v>
      </c>
      <c r="H8" s="335">
        <f t="shared" si="0"/>
        <v>1800</v>
      </c>
      <c r="I8" s="335">
        <f t="shared" si="0"/>
        <v>1800</v>
      </c>
      <c r="J8" s="335">
        <f t="shared" si="0"/>
        <v>1800</v>
      </c>
      <c r="K8" s="292">
        <f>SUM(F8:J8)</f>
        <v>9000</v>
      </c>
      <c r="L8" s="111"/>
    </row>
    <row r="9" spans="1:12" s="89" customFormat="1" ht="14.25" customHeight="1">
      <c r="A9" s="293"/>
      <c r="B9" s="294" t="s">
        <v>231</v>
      </c>
      <c r="C9" s="295"/>
      <c r="D9" s="296">
        <v>2000</v>
      </c>
      <c r="E9" s="290">
        <v>10</v>
      </c>
      <c r="F9" s="291">
        <f>D9/E9</f>
        <v>200</v>
      </c>
      <c r="G9" s="290">
        <f t="shared" si="0"/>
        <v>200</v>
      </c>
      <c r="H9" s="290">
        <f t="shared" si="0"/>
        <v>200</v>
      </c>
      <c r="I9" s="290">
        <f t="shared" si="0"/>
        <v>200</v>
      </c>
      <c r="J9" s="290">
        <f t="shared" si="0"/>
        <v>200</v>
      </c>
      <c r="K9" s="292">
        <f>SUM(F9:J9)</f>
        <v>1000</v>
      </c>
      <c r="L9" s="111"/>
    </row>
    <row r="10" spans="1:12" s="90" customFormat="1" ht="13.5" customHeight="1">
      <c r="A10" s="288"/>
      <c r="B10" s="297" t="s">
        <v>185</v>
      </c>
      <c r="C10" s="289"/>
      <c r="D10" s="298"/>
      <c r="E10" s="299"/>
      <c r="F10" s="300"/>
      <c r="G10" s="301"/>
      <c r="H10" s="301"/>
      <c r="I10" s="301"/>
      <c r="J10" s="301"/>
      <c r="K10" s="302"/>
      <c r="L10" s="225"/>
    </row>
    <row r="11" spans="1:12" s="90" customFormat="1" ht="13.5" customHeight="1">
      <c r="A11" s="303">
        <v>1</v>
      </c>
      <c r="B11" s="304" t="s">
        <v>186</v>
      </c>
      <c r="C11" s="258">
        <v>873.41</v>
      </c>
      <c r="D11" s="258">
        <f aca="true" t="shared" si="1" ref="D11:D28">(A11*C11)</f>
        <v>873.41</v>
      </c>
      <c r="E11" s="305">
        <v>10</v>
      </c>
      <c r="F11" s="291">
        <f aca="true" t="shared" si="2" ref="F11:F28">D11/E11</f>
        <v>87.341</v>
      </c>
      <c r="G11" s="291">
        <f aca="true" t="shared" si="3" ref="G11:J12">F11</f>
        <v>87.341</v>
      </c>
      <c r="H11" s="291">
        <f t="shared" si="3"/>
        <v>87.341</v>
      </c>
      <c r="I11" s="291">
        <f t="shared" si="3"/>
        <v>87.341</v>
      </c>
      <c r="J11" s="291">
        <f t="shared" si="3"/>
        <v>87.341</v>
      </c>
      <c r="K11" s="292">
        <f aca="true" t="shared" si="4" ref="K11:K28">SUM(F11:J11)</f>
        <v>436.705</v>
      </c>
      <c r="L11" s="103"/>
    </row>
    <row r="12" spans="1:11" s="90" customFormat="1" ht="13.5" customHeight="1">
      <c r="A12" s="306">
        <v>1</v>
      </c>
      <c r="B12" s="260" t="s">
        <v>187</v>
      </c>
      <c r="C12" s="261">
        <v>1000</v>
      </c>
      <c r="D12" s="261">
        <f t="shared" si="1"/>
        <v>1000</v>
      </c>
      <c r="E12" s="307">
        <v>10</v>
      </c>
      <c r="F12" s="308">
        <f t="shared" si="2"/>
        <v>100</v>
      </c>
      <c r="G12" s="308">
        <f t="shared" si="3"/>
        <v>100</v>
      </c>
      <c r="H12" s="308">
        <f t="shared" si="3"/>
        <v>100</v>
      </c>
      <c r="I12" s="308">
        <f t="shared" si="3"/>
        <v>100</v>
      </c>
      <c r="J12" s="308">
        <f t="shared" si="3"/>
        <v>100</v>
      </c>
      <c r="K12" s="309">
        <f t="shared" si="4"/>
        <v>500</v>
      </c>
    </row>
    <row r="13" spans="1:11" s="90" customFormat="1" ht="13.5" customHeight="1">
      <c r="A13" s="306">
        <v>1</v>
      </c>
      <c r="B13" s="260" t="s">
        <v>188</v>
      </c>
      <c r="C13" s="261">
        <v>502.7</v>
      </c>
      <c r="D13" s="261">
        <f t="shared" si="1"/>
        <v>502.7</v>
      </c>
      <c r="E13" s="307">
        <v>10</v>
      </c>
      <c r="F13" s="308">
        <f t="shared" si="2"/>
        <v>50.269999999999996</v>
      </c>
      <c r="G13" s="308">
        <f aca="true" t="shared" si="5" ref="G13:J28">F13</f>
        <v>50.269999999999996</v>
      </c>
      <c r="H13" s="308">
        <f t="shared" si="5"/>
        <v>50.269999999999996</v>
      </c>
      <c r="I13" s="308">
        <f t="shared" si="5"/>
        <v>50.269999999999996</v>
      </c>
      <c r="J13" s="308">
        <f t="shared" si="5"/>
        <v>50.269999999999996</v>
      </c>
      <c r="K13" s="309">
        <f t="shared" si="4"/>
        <v>251.34999999999997</v>
      </c>
    </row>
    <row r="14" spans="1:11" s="90" customFormat="1" ht="13.5" customHeight="1">
      <c r="A14" s="310">
        <v>1</v>
      </c>
      <c r="B14" s="311" t="s">
        <v>190</v>
      </c>
      <c r="C14" s="258">
        <v>40</v>
      </c>
      <c r="D14" s="261">
        <f t="shared" si="1"/>
        <v>40</v>
      </c>
      <c r="E14" s="307">
        <v>10</v>
      </c>
      <c r="F14" s="308">
        <f t="shared" si="2"/>
        <v>4</v>
      </c>
      <c r="G14" s="308">
        <f t="shared" si="5"/>
        <v>4</v>
      </c>
      <c r="H14" s="308">
        <f t="shared" si="5"/>
        <v>4</v>
      </c>
      <c r="I14" s="308">
        <f t="shared" si="5"/>
        <v>4</v>
      </c>
      <c r="J14" s="308">
        <f t="shared" si="5"/>
        <v>4</v>
      </c>
      <c r="K14" s="309">
        <f t="shared" si="4"/>
        <v>20</v>
      </c>
    </row>
    <row r="15" spans="1:11" s="90" customFormat="1" ht="13.5" customHeight="1">
      <c r="A15" s="310">
        <v>1</v>
      </c>
      <c r="B15" s="311" t="s">
        <v>191</v>
      </c>
      <c r="C15" s="261">
        <v>30</v>
      </c>
      <c r="D15" s="261">
        <f t="shared" si="1"/>
        <v>30</v>
      </c>
      <c r="E15" s="307">
        <v>10</v>
      </c>
      <c r="F15" s="308">
        <f t="shared" si="2"/>
        <v>3</v>
      </c>
      <c r="G15" s="308">
        <f t="shared" si="5"/>
        <v>3</v>
      </c>
      <c r="H15" s="308">
        <f t="shared" si="5"/>
        <v>3</v>
      </c>
      <c r="I15" s="308">
        <f t="shared" si="5"/>
        <v>3</v>
      </c>
      <c r="J15" s="308">
        <f t="shared" si="5"/>
        <v>3</v>
      </c>
      <c r="K15" s="309">
        <f t="shared" si="4"/>
        <v>15</v>
      </c>
    </row>
    <row r="16" spans="1:11" s="90" customFormat="1" ht="13.5" customHeight="1">
      <c r="A16" s="310">
        <v>1</v>
      </c>
      <c r="B16" s="311" t="s">
        <v>192</v>
      </c>
      <c r="C16" s="261">
        <v>55.12</v>
      </c>
      <c r="D16" s="261">
        <f t="shared" si="1"/>
        <v>55.12</v>
      </c>
      <c r="E16" s="307">
        <v>10</v>
      </c>
      <c r="F16" s="308">
        <f t="shared" si="2"/>
        <v>5.512</v>
      </c>
      <c r="G16" s="308">
        <f t="shared" si="5"/>
        <v>5.512</v>
      </c>
      <c r="H16" s="308">
        <f t="shared" si="5"/>
        <v>5.512</v>
      </c>
      <c r="I16" s="308">
        <f t="shared" si="5"/>
        <v>5.512</v>
      </c>
      <c r="J16" s="308">
        <f t="shared" si="5"/>
        <v>5.512</v>
      </c>
      <c r="K16" s="309">
        <f t="shared" si="4"/>
        <v>27.56</v>
      </c>
    </row>
    <row r="17" spans="1:11" s="90" customFormat="1" ht="13.5" customHeight="1">
      <c r="A17" s="310">
        <v>1</v>
      </c>
      <c r="B17" s="311" t="s">
        <v>193</v>
      </c>
      <c r="C17" s="261">
        <v>873.41</v>
      </c>
      <c r="D17" s="261">
        <f t="shared" si="1"/>
        <v>873.41</v>
      </c>
      <c r="E17" s="307">
        <v>10</v>
      </c>
      <c r="F17" s="308">
        <f t="shared" si="2"/>
        <v>87.341</v>
      </c>
      <c r="G17" s="308">
        <f t="shared" si="5"/>
        <v>87.341</v>
      </c>
      <c r="H17" s="308">
        <f t="shared" si="5"/>
        <v>87.341</v>
      </c>
      <c r="I17" s="308">
        <f t="shared" si="5"/>
        <v>87.341</v>
      </c>
      <c r="J17" s="308">
        <f t="shared" si="5"/>
        <v>87.341</v>
      </c>
      <c r="K17" s="309">
        <f t="shared" si="4"/>
        <v>436.705</v>
      </c>
    </row>
    <row r="18" spans="1:11" s="90" customFormat="1" ht="13.5" customHeight="1">
      <c r="A18" s="310">
        <v>1</v>
      </c>
      <c r="B18" s="311" t="s">
        <v>194</v>
      </c>
      <c r="C18" s="261">
        <v>18</v>
      </c>
      <c r="D18" s="261">
        <f t="shared" si="1"/>
        <v>18</v>
      </c>
      <c r="E18" s="307">
        <v>10</v>
      </c>
      <c r="F18" s="308">
        <f t="shared" si="2"/>
        <v>1.8</v>
      </c>
      <c r="G18" s="308">
        <f t="shared" si="5"/>
        <v>1.8</v>
      </c>
      <c r="H18" s="308">
        <f t="shared" si="5"/>
        <v>1.8</v>
      </c>
      <c r="I18" s="308">
        <f t="shared" si="5"/>
        <v>1.8</v>
      </c>
      <c r="J18" s="308">
        <f t="shared" si="5"/>
        <v>1.8</v>
      </c>
      <c r="K18" s="309">
        <f t="shared" si="4"/>
        <v>9</v>
      </c>
    </row>
    <row r="19" spans="1:11" s="90" customFormat="1" ht="13.5" customHeight="1">
      <c r="A19" s="310">
        <v>4</v>
      </c>
      <c r="B19" s="311" t="s">
        <v>195</v>
      </c>
      <c r="C19" s="261">
        <v>9.99</v>
      </c>
      <c r="D19" s="261">
        <f t="shared" si="1"/>
        <v>39.96</v>
      </c>
      <c r="E19" s="307">
        <v>10</v>
      </c>
      <c r="F19" s="308">
        <f t="shared" si="2"/>
        <v>3.996</v>
      </c>
      <c r="G19" s="308">
        <f t="shared" si="5"/>
        <v>3.996</v>
      </c>
      <c r="H19" s="308">
        <f t="shared" si="5"/>
        <v>3.996</v>
      </c>
      <c r="I19" s="308">
        <f t="shared" si="5"/>
        <v>3.996</v>
      </c>
      <c r="J19" s="308">
        <f t="shared" si="5"/>
        <v>3.996</v>
      </c>
      <c r="K19" s="309">
        <f t="shared" si="4"/>
        <v>19.98</v>
      </c>
    </row>
    <row r="20" spans="1:11" s="90" customFormat="1" ht="13.5" customHeight="1">
      <c r="A20" s="310">
        <v>3</v>
      </c>
      <c r="B20" s="311" t="s">
        <v>247</v>
      </c>
      <c r="C20" s="261">
        <v>19.99</v>
      </c>
      <c r="D20" s="261">
        <f t="shared" si="1"/>
        <v>59.97</v>
      </c>
      <c r="E20" s="307">
        <v>10</v>
      </c>
      <c r="F20" s="308">
        <f t="shared" si="2"/>
        <v>5.997</v>
      </c>
      <c r="G20" s="308">
        <f t="shared" si="5"/>
        <v>5.997</v>
      </c>
      <c r="H20" s="308">
        <f t="shared" si="5"/>
        <v>5.997</v>
      </c>
      <c r="I20" s="308">
        <f t="shared" si="5"/>
        <v>5.997</v>
      </c>
      <c r="J20" s="308">
        <f t="shared" si="5"/>
        <v>5.997</v>
      </c>
      <c r="K20" s="309">
        <f t="shared" si="4"/>
        <v>29.985</v>
      </c>
    </row>
    <row r="21" spans="1:11" s="90" customFormat="1" ht="13.5" customHeight="1">
      <c r="A21" s="306">
        <v>3</v>
      </c>
      <c r="B21" s="260" t="s">
        <v>248</v>
      </c>
      <c r="C21" s="261">
        <v>12</v>
      </c>
      <c r="D21" s="261">
        <f t="shared" si="1"/>
        <v>36</v>
      </c>
      <c r="E21" s="307">
        <v>10</v>
      </c>
      <c r="F21" s="308">
        <f t="shared" si="2"/>
        <v>3.6</v>
      </c>
      <c r="G21" s="308">
        <f t="shared" si="5"/>
        <v>3.6</v>
      </c>
      <c r="H21" s="308">
        <f t="shared" si="5"/>
        <v>3.6</v>
      </c>
      <c r="I21" s="308">
        <f t="shared" si="5"/>
        <v>3.6</v>
      </c>
      <c r="J21" s="308">
        <f t="shared" si="5"/>
        <v>3.6</v>
      </c>
      <c r="K21" s="309">
        <f t="shared" si="4"/>
        <v>18</v>
      </c>
    </row>
    <row r="22" spans="1:11" s="90" customFormat="1" ht="13.5" customHeight="1">
      <c r="A22" s="306">
        <v>5</v>
      </c>
      <c r="B22" s="260" t="s">
        <v>196</v>
      </c>
      <c r="C22" s="261">
        <v>1.5</v>
      </c>
      <c r="D22" s="261">
        <f t="shared" si="1"/>
        <v>7.5</v>
      </c>
      <c r="E22" s="307">
        <v>10</v>
      </c>
      <c r="F22" s="308">
        <f t="shared" si="2"/>
        <v>0.75</v>
      </c>
      <c r="G22" s="308">
        <f t="shared" si="5"/>
        <v>0.75</v>
      </c>
      <c r="H22" s="308">
        <f t="shared" si="5"/>
        <v>0.75</v>
      </c>
      <c r="I22" s="308">
        <f t="shared" si="5"/>
        <v>0.75</v>
      </c>
      <c r="J22" s="308">
        <f t="shared" si="5"/>
        <v>0.75</v>
      </c>
      <c r="K22" s="309">
        <f t="shared" si="4"/>
        <v>3.75</v>
      </c>
    </row>
    <row r="23" spans="1:11" s="90" customFormat="1" ht="13.5" customHeight="1">
      <c r="A23" s="306">
        <v>5</v>
      </c>
      <c r="B23" s="260" t="s">
        <v>197</v>
      </c>
      <c r="C23" s="261">
        <v>1.5</v>
      </c>
      <c r="D23" s="261">
        <f t="shared" si="1"/>
        <v>7.5</v>
      </c>
      <c r="E23" s="307">
        <v>10</v>
      </c>
      <c r="F23" s="308">
        <f t="shared" si="2"/>
        <v>0.75</v>
      </c>
      <c r="G23" s="308">
        <f t="shared" si="5"/>
        <v>0.75</v>
      </c>
      <c r="H23" s="308">
        <f t="shared" si="5"/>
        <v>0.75</v>
      </c>
      <c r="I23" s="308">
        <f t="shared" si="5"/>
        <v>0.75</v>
      </c>
      <c r="J23" s="308">
        <f t="shared" si="5"/>
        <v>0.75</v>
      </c>
      <c r="K23" s="309">
        <f t="shared" si="4"/>
        <v>3.75</v>
      </c>
    </row>
    <row r="24" spans="1:11" s="90" customFormat="1" ht="12.75" hidden="1">
      <c r="A24" s="306">
        <v>1</v>
      </c>
      <c r="B24" s="260" t="s">
        <v>198</v>
      </c>
      <c r="C24" s="261"/>
      <c r="D24" s="261">
        <f t="shared" si="1"/>
        <v>0</v>
      </c>
      <c r="E24" s="307">
        <v>10</v>
      </c>
      <c r="F24" s="308">
        <f t="shared" si="2"/>
        <v>0</v>
      </c>
      <c r="G24" s="308">
        <f t="shared" si="5"/>
        <v>0</v>
      </c>
      <c r="H24" s="308">
        <f t="shared" si="5"/>
        <v>0</v>
      </c>
      <c r="I24" s="308">
        <f t="shared" si="5"/>
        <v>0</v>
      </c>
      <c r="J24" s="308">
        <f t="shared" si="5"/>
        <v>0</v>
      </c>
      <c r="K24" s="309">
        <f t="shared" si="4"/>
        <v>0</v>
      </c>
    </row>
    <row r="25" spans="1:11" s="90" customFormat="1" ht="12.75">
      <c r="A25" s="306">
        <v>2</v>
      </c>
      <c r="B25" s="260" t="s">
        <v>249</v>
      </c>
      <c r="C25" s="261">
        <v>6.99</v>
      </c>
      <c r="D25" s="312">
        <f t="shared" si="1"/>
        <v>13.98</v>
      </c>
      <c r="E25" s="307">
        <v>10</v>
      </c>
      <c r="F25" s="308">
        <f t="shared" si="2"/>
        <v>1.3980000000000001</v>
      </c>
      <c r="G25" s="308">
        <f t="shared" si="5"/>
        <v>1.3980000000000001</v>
      </c>
      <c r="H25" s="308">
        <f t="shared" si="5"/>
        <v>1.3980000000000001</v>
      </c>
      <c r="I25" s="308">
        <f t="shared" si="5"/>
        <v>1.3980000000000001</v>
      </c>
      <c r="J25" s="308">
        <f t="shared" si="5"/>
        <v>1.3980000000000001</v>
      </c>
      <c r="K25" s="309">
        <f t="shared" si="4"/>
        <v>6.99</v>
      </c>
    </row>
    <row r="26" spans="1:15" s="92" customFormat="1" ht="12.75">
      <c r="A26" s="306">
        <v>5</v>
      </c>
      <c r="B26" s="260" t="s">
        <v>199</v>
      </c>
      <c r="C26" s="261">
        <v>5</v>
      </c>
      <c r="D26" s="312">
        <f t="shared" si="1"/>
        <v>25</v>
      </c>
      <c r="E26" s="307">
        <v>10</v>
      </c>
      <c r="F26" s="308">
        <f t="shared" si="2"/>
        <v>2.5</v>
      </c>
      <c r="G26" s="308">
        <f t="shared" si="5"/>
        <v>2.5</v>
      </c>
      <c r="H26" s="308">
        <f t="shared" si="5"/>
        <v>2.5</v>
      </c>
      <c r="I26" s="308">
        <f t="shared" si="5"/>
        <v>2.5</v>
      </c>
      <c r="J26" s="308">
        <f t="shared" si="5"/>
        <v>2.5</v>
      </c>
      <c r="K26" s="309">
        <f t="shared" si="4"/>
        <v>12.5</v>
      </c>
      <c r="L26" s="91"/>
      <c r="M26" s="91"/>
      <c r="N26" s="91"/>
      <c r="O26" s="91"/>
    </row>
    <row r="27" spans="1:12" s="90" customFormat="1" ht="12.75">
      <c r="A27" s="306">
        <v>5</v>
      </c>
      <c r="B27" s="260" t="s">
        <v>255</v>
      </c>
      <c r="C27" s="261">
        <v>11.98</v>
      </c>
      <c r="D27" s="312">
        <f t="shared" si="1"/>
        <v>59.900000000000006</v>
      </c>
      <c r="E27" s="307">
        <v>10</v>
      </c>
      <c r="F27" s="308">
        <f t="shared" si="2"/>
        <v>5.99</v>
      </c>
      <c r="G27" s="308">
        <f t="shared" si="5"/>
        <v>5.99</v>
      </c>
      <c r="H27" s="308">
        <f t="shared" si="5"/>
        <v>5.99</v>
      </c>
      <c r="I27" s="308">
        <f t="shared" si="5"/>
        <v>5.99</v>
      </c>
      <c r="J27" s="308">
        <f t="shared" si="5"/>
        <v>5.99</v>
      </c>
      <c r="K27" s="309">
        <f t="shared" si="4"/>
        <v>29.950000000000003</v>
      </c>
      <c r="L27" s="103"/>
    </row>
    <row r="28" spans="1:12" s="90" customFormat="1" ht="12.75">
      <c r="A28" s="306">
        <v>5</v>
      </c>
      <c r="B28" s="260" t="s">
        <v>200</v>
      </c>
      <c r="C28" s="261">
        <v>2.5</v>
      </c>
      <c r="D28" s="312">
        <f t="shared" si="1"/>
        <v>12.5</v>
      </c>
      <c r="E28" s="307">
        <v>10</v>
      </c>
      <c r="F28" s="308">
        <f t="shared" si="2"/>
        <v>1.25</v>
      </c>
      <c r="G28" s="308">
        <f t="shared" si="5"/>
        <v>1.25</v>
      </c>
      <c r="H28" s="308">
        <f t="shared" si="5"/>
        <v>1.25</v>
      </c>
      <c r="I28" s="308">
        <f t="shared" si="5"/>
        <v>1.25</v>
      </c>
      <c r="J28" s="308">
        <f t="shared" si="5"/>
        <v>1.25</v>
      </c>
      <c r="K28" s="309">
        <f t="shared" si="4"/>
        <v>6.25</v>
      </c>
      <c r="L28" s="103"/>
    </row>
    <row r="29" spans="1:19" s="93" customFormat="1" ht="12.75">
      <c r="A29" s="306"/>
      <c r="B29" s="313" t="s">
        <v>201</v>
      </c>
      <c r="C29" s="261"/>
      <c r="D29" s="312"/>
      <c r="E29" s="314"/>
      <c r="F29" s="314"/>
      <c r="G29" s="308"/>
      <c r="H29" s="308"/>
      <c r="I29" s="308"/>
      <c r="J29" s="308"/>
      <c r="K29" s="309"/>
      <c r="L29" s="224"/>
      <c r="M29" s="89"/>
      <c r="N29" s="89"/>
      <c r="O29" s="89"/>
      <c r="P29" s="89"/>
      <c r="Q29" s="89"/>
      <c r="R29" s="89"/>
      <c r="S29" s="89"/>
    </row>
    <row r="30" spans="1:12" s="90" customFormat="1" ht="12.75">
      <c r="A30" s="306">
        <v>1</v>
      </c>
      <c r="B30" s="260" t="s">
        <v>250</v>
      </c>
      <c r="C30" s="261">
        <v>250</v>
      </c>
      <c r="D30" s="312">
        <f aca="true" t="shared" si="6" ref="D30:D52">(A30*C30)</f>
        <v>250</v>
      </c>
      <c r="E30" s="290">
        <v>7</v>
      </c>
      <c r="F30" s="308">
        <f aca="true" t="shared" si="7" ref="F30:F52">D30/E30</f>
        <v>35.714285714285715</v>
      </c>
      <c r="G30" s="308">
        <f aca="true" t="shared" si="8" ref="G30:J43">F30</f>
        <v>35.714285714285715</v>
      </c>
      <c r="H30" s="308">
        <f t="shared" si="8"/>
        <v>35.714285714285715</v>
      </c>
      <c r="I30" s="308">
        <f t="shared" si="8"/>
        <v>35.714285714285715</v>
      </c>
      <c r="J30" s="308">
        <f t="shared" si="8"/>
        <v>35.714285714285715</v>
      </c>
      <c r="K30" s="309">
        <f aca="true" t="shared" si="9" ref="K30:K52">SUM(F30:J30)</f>
        <v>178.57142857142858</v>
      </c>
      <c r="L30" s="133"/>
    </row>
    <row r="31" spans="1:12" s="90" customFormat="1" ht="12.75">
      <c r="A31" s="306">
        <v>1</v>
      </c>
      <c r="B31" s="260" t="s">
        <v>202</v>
      </c>
      <c r="C31" s="261">
        <v>50</v>
      </c>
      <c r="D31" s="312">
        <f t="shared" si="6"/>
        <v>50</v>
      </c>
      <c r="E31" s="290">
        <v>7</v>
      </c>
      <c r="F31" s="308">
        <f t="shared" si="7"/>
        <v>7.142857142857143</v>
      </c>
      <c r="G31" s="308">
        <f t="shared" si="8"/>
        <v>7.142857142857143</v>
      </c>
      <c r="H31" s="308">
        <f t="shared" si="8"/>
        <v>7.142857142857143</v>
      </c>
      <c r="I31" s="308">
        <f t="shared" si="8"/>
        <v>7.142857142857143</v>
      </c>
      <c r="J31" s="308">
        <f t="shared" si="8"/>
        <v>7.142857142857143</v>
      </c>
      <c r="K31" s="309">
        <f t="shared" si="9"/>
        <v>35.714285714285715</v>
      </c>
      <c r="L31" s="133"/>
    </row>
    <row r="32" spans="1:19" s="92" customFormat="1" ht="12.75">
      <c r="A32" s="306">
        <v>2</v>
      </c>
      <c r="B32" s="260" t="s">
        <v>203</v>
      </c>
      <c r="C32" s="261">
        <v>60</v>
      </c>
      <c r="D32" s="312">
        <f t="shared" si="6"/>
        <v>120</v>
      </c>
      <c r="E32" s="290">
        <v>7</v>
      </c>
      <c r="F32" s="308">
        <f t="shared" si="7"/>
        <v>17.142857142857142</v>
      </c>
      <c r="G32" s="308">
        <f t="shared" si="8"/>
        <v>17.142857142857142</v>
      </c>
      <c r="H32" s="308">
        <f t="shared" si="8"/>
        <v>17.142857142857142</v>
      </c>
      <c r="I32" s="308">
        <f t="shared" si="8"/>
        <v>17.142857142857142</v>
      </c>
      <c r="J32" s="308">
        <f t="shared" si="8"/>
        <v>17.142857142857142</v>
      </c>
      <c r="K32" s="309">
        <f t="shared" si="9"/>
        <v>85.71428571428571</v>
      </c>
      <c r="L32" s="134"/>
      <c r="M32" s="91"/>
      <c r="N32" s="91"/>
      <c r="O32" s="91"/>
      <c r="P32" s="91"/>
      <c r="Q32" s="91"/>
      <c r="R32" s="91"/>
      <c r="S32" s="91"/>
    </row>
    <row r="33" spans="1:19" s="92" customFormat="1" ht="12.75">
      <c r="A33" s="306">
        <v>1</v>
      </c>
      <c r="B33" s="260" t="s">
        <v>251</v>
      </c>
      <c r="C33" s="261">
        <v>24.99</v>
      </c>
      <c r="D33" s="312">
        <f t="shared" si="6"/>
        <v>24.99</v>
      </c>
      <c r="E33" s="290">
        <v>7</v>
      </c>
      <c r="F33" s="308">
        <f t="shared" si="7"/>
        <v>3.57</v>
      </c>
      <c r="G33" s="308">
        <f t="shared" si="8"/>
        <v>3.57</v>
      </c>
      <c r="H33" s="308">
        <f t="shared" si="8"/>
        <v>3.57</v>
      </c>
      <c r="I33" s="308">
        <f t="shared" si="8"/>
        <v>3.57</v>
      </c>
      <c r="J33" s="308">
        <f t="shared" si="8"/>
        <v>3.57</v>
      </c>
      <c r="K33" s="309">
        <f t="shared" si="9"/>
        <v>17.849999999999998</v>
      </c>
      <c r="L33" s="134"/>
      <c r="M33" s="91"/>
      <c r="N33" s="91"/>
      <c r="O33" s="91"/>
      <c r="P33" s="91"/>
      <c r="Q33" s="91"/>
      <c r="R33" s="91"/>
      <c r="S33" s="91"/>
    </row>
    <row r="34" spans="1:11" s="90" customFormat="1" ht="12.75">
      <c r="A34" s="306">
        <v>1</v>
      </c>
      <c r="B34" s="260" t="s">
        <v>204</v>
      </c>
      <c r="C34" s="261">
        <v>200</v>
      </c>
      <c r="D34" s="312">
        <f t="shared" si="6"/>
        <v>200</v>
      </c>
      <c r="E34" s="290">
        <v>7</v>
      </c>
      <c r="F34" s="308">
        <f t="shared" si="7"/>
        <v>28.571428571428573</v>
      </c>
      <c r="G34" s="315">
        <f t="shared" si="8"/>
        <v>28.571428571428573</v>
      </c>
      <c r="H34" s="315">
        <f t="shared" si="8"/>
        <v>28.571428571428573</v>
      </c>
      <c r="I34" s="315">
        <f t="shared" si="8"/>
        <v>28.571428571428573</v>
      </c>
      <c r="J34" s="315">
        <f t="shared" si="8"/>
        <v>28.571428571428573</v>
      </c>
      <c r="K34" s="309">
        <f t="shared" si="9"/>
        <v>142.85714285714286</v>
      </c>
    </row>
    <row r="35" spans="1:11" s="90" customFormat="1" ht="12.75">
      <c r="A35" s="306">
        <v>28</v>
      </c>
      <c r="B35" s="260" t="s">
        <v>205</v>
      </c>
      <c r="C35" s="261">
        <v>100</v>
      </c>
      <c r="D35" s="312">
        <f t="shared" si="6"/>
        <v>2800</v>
      </c>
      <c r="E35" s="290">
        <v>7</v>
      </c>
      <c r="F35" s="308">
        <f t="shared" si="7"/>
        <v>400</v>
      </c>
      <c r="G35" s="315">
        <f t="shared" si="8"/>
        <v>400</v>
      </c>
      <c r="H35" s="315">
        <f t="shared" si="8"/>
        <v>400</v>
      </c>
      <c r="I35" s="315">
        <f t="shared" si="8"/>
        <v>400</v>
      </c>
      <c r="J35" s="315">
        <f t="shared" si="8"/>
        <v>400</v>
      </c>
      <c r="K35" s="309">
        <f t="shared" si="9"/>
        <v>2000</v>
      </c>
    </row>
    <row r="36" spans="1:11" s="90" customFormat="1" ht="12.75">
      <c r="A36" s="306">
        <v>1</v>
      </c>
      <c r="B36" s="260" t="s">
        <v>206</v>
      </c>
      <c r="C36" s="261">
        <v>100</v>
      </c>
      <c r="D36" s="312">
        <f t="shared" si="6"/>
        <v>100</v>
      </c>
      <c r="E36" s="290">
        <v>7</v>
      </c>
      <c r="F36" s="308">
        <f t="shared" si="7"/>
        <v>14.285714285714286</v>
      </c>
      <c r="G36" s="315">
        <f t="shared" si="8"/>
        <v>14.285714285714286</v>
      </c>
      <c r="H36" s="315">
        <f t="shared" si="8"/>
        <v>14.285714285714286</v>
      </c>
      <c r="I36" s="315">
        <f t="shared" si="8"/>
        <v>14.285714285714286</v>
      </c>
      <c r="J36" s="315">
        <f t="shared" si="8"/>
        <v>14.285714285714286</v>
      </c>
      <c r="K36" s="309">
        <f t="shared" si="9"/>
        <v>71.42857142857143</v>
      </c>
    </row>
    <row r="37" spans="1:11" s="90" customFormat="1" ht="12.75">
      <c r="A37" s="306">
        <v>5</v>
      </c>
      <c r="B37" s="260" t="s">
        <v>207</v>
      </c>
      <c r="C37" s="261">
        <v>50</v>
      </c>
      <c r="D37" s="312">
        <f t="shared" si="6"/>
        <v>250</v>
      </c>
      <c r="E37" s="290">
        <v>7</v>
      </c>
      <c r="F37" s="308">
        <f t="shared" si="7"/>
        <v>35.714285714285715</v>
      </c>
      <c r="G37" s="315">
        <f t="shared" si="8"/>
        <v>35.714285714285715</v>
      </c>
      <c r="H37" s="315">
        <f t="shared" si="8"/>
        <v>35.714285714285715</v>
      </c>
      <c r="I37" s="315">
        <f t="shared" si="8"/>
        <v>35.714285714285715</v>
      </c>
      <c r="J37" s="315">
        <f t="shared" si="8"/>
        <v>35.714285714285715</v>
      </c>
      <c r="K37" s="309">
        <f t="shared" si="9"/>
        <v>178.57142857142858</v>
      </c>
    </row>
    <row r="38" spans="1:11" s="90" customFormat="1" ht="12.75">
      <c r="A38" s="306">
        <v>25</v>
      </c>
      <c r="B38" s="260" t="s">
        <v>208</v>
      </c>
      <c r="C38" s="261">
        <v>20</v>
      </c>
      <c r="D38" s="312">
        <f t="shared" si="6"/>
        <v>500</v>
      </c>
      <c r="E38" s="290">
        <v>7</v>
      </c>
      <c r="F38" s="308">
        <f t="shared" si="7"/>
        <v>71.42857142857143</v>
      </c>
      <c r="G38" s="315">
        <f t="shared" si="8"/>
        <v>71.42857142857143</v>
      </c>
      <c r="H38" s="315">
        <f t="shared" si="8"/>
        <v>71.42857142857143</v>
      </c>
      <c r="I38" s="315">
        <f t="shared" si="8"/>
        <v>71.42857142857143</v>
      </c>
      <c r="J38" s="315">
        <f t="shared" si="8"/>
        <v>71.42857142857143</v>
      </c>
      <c r="K38" s="309">
        <f t="shared" si="9"/>
        <v>357.14285714285717</v>
      </c>
    </row>
    <row r="39" spans="1:11" s="90" customFormat="1" ht="12.75">
      <c r="A39" s="306">
        <v>26</v>
      </c>
      <c r="B39" s="260" t="s">
        <v>209</v>
      </c>
      <c r="C39" s="261">
        <v>150</v>
      </c>
      <c r="D39" s="261">
        <f t="shared" si="6"/>
        <v>3900</v>
      </c>
      <c r="E39" s="290">
        <v>7</v>
      </c>
      <c r="F39" s="308">
        <f t="shared" si="7"/>
        <v>557.1428571428571</v>
      </c>
      <c r="G39" s="315">
        <f t="shared" si="8"/>
        <v>557.1428571428571</v>
      </c>
      <c r="H39" s="315">
        <f t="shared" si="8"/>
        <v>557.1428571428571</v>
      </c>
      <c r="I39" s="315">
        <f t="shared" si="8"/>
        <v>557.1428571428571</v>
      </c>
      <c r="J39" s="315">
        <f t="shared" si="8"/>
        <v>557.1428571428571</v>
      </c>
      <c r="K39" s="309">
        <f t="shared" si="9"/>
        <v>2785.7142857142853</v>
      </c>
    </row>
    <row r="40" spans="1:11" s="90" customFormat="1" ht="12.75">
      <c r="A40" s="306">
        <v>7</v>
      </c>
      <c r="B40" s="260" t="s">
        <v>210</v>
      </c>
      <c r="C40" s="261">
        <v>220</v>
      </c>
      <c r="D40" s="261">
        <f t="shared" si="6"/>
        <v>1540</v>
      </c>
      <c r="E40" s="290">
        <v>7</v>
      </c>
      <c r="F40" s="308">
        <f t="shared" si="7"/>
        <v>220</v>
      </c>
      <c r="G40" s="315">
        <f t="shared" si="8"/>
        <v>220</v>
      </c>
      <c r="H40" s="315">
        <f t="shared" si="8"/>
        <v>220</v>
      </c>
      <c r="I40" s="315">
        <f t="shared" si="8"/>
        <v>220</v>
      </c>
      <c r="J40" s="315">
        <f t="shared" si="8"/>
        <v>220</v>
      </c>
      <c r="K40" s="309">
        <f t="shared" si="9"/>
        <v>1100</v>
      </c>
    </row>
    <row r="41" spans="1:11" s="90" customFormat="1" ht="12.75">
      <c r="A41" s="306">
        <v>28</v>
      </c>
      <c r="B41" s="260" t="s">
        <v>211</v>
      </c>
      <c r="C41" s="261">
        <v>6</v>
      </c>
      <c r="D41" s="261">
        <f t="shared" si="6"/>
        <v>168</v>
      </c>
      <c r="E41" s="290">
        <v>7</v>
      </c>
      <c r="F41" s="308">
        <f t="shared" si="7"/>
        <v>24</v>
      </c>
      <c r="G41" s="315">
        <f t="shared" si="8"/>
        <v>24</v>
      </c>
      <c r="H41" s="315">
        <f t="shared" si="8"/>
        <v>24</v>
      </c>
      <c r="I41" s="315">
        <f t="shared" si="8"/>
        <v>24</v>
      </c>
      <c r="J41" s="315">
        <f t="shared" si="8"/>
        <v>24</v>
      </c>
      <c r="K41" s="309">
        <f t="shared" si="9"/>
        <v>120</v>
      </c>
    </row>
    <row r="42" spans="1:11" s="90" customFormat="1" ht="12.75">
      <c r="A42" s="306">
        <v>2</v>
      </c>
      <c r="B42" s="260" t="s">
        <v>214</v>
      </c>
      <c r="C42" s="261">
        <v>9</v>
      </c>
      <c r="D42" s="261">
        <f t="shared" si="6"/>
        <v>18</v>
      </c>
      <c r="E42" s="290">
        <v>7</v>
      </c>
      <c r="F42" s="308">
        <f t="shared" si="7"/>
        <v>2.5714285714285716</v>
      </c>
      <c r="G42" s="315">
        <f t="shared" si="8"/>
        <v>2.5714285714285716</v>
      </c>
      <c r="H42" s="315">
        <f t="shared" si="8"/>
        <v>2.5714285714285716</v>
      </c>
      <c r="I42" s="315">
        <f t="shared" si="8"/>
        <v>2.5714285714285716</v>
      </c>
      <c r="J42" s="315">
        <f t="shared" si="8"/>
        <v>2.5714285714285716</v>
      </c>
      <c r="K42" s="309">
        <f t="shared" si="9"/>
        <v>12.857142857142858</v>
      </c>
    </row>
    <row r="43" spans="1:11" s="90" customFormat="1" ht="12.75">
      <c r="A43" s="306">
        <v>16</v>
      </c>
      <c r="B43" s="260" t="s">
        <v>215</v>
      </c>
      <c r="C43" s="261">
        <v>100</v>
      </c>
      <c r="D43" s="261">
        <f t="shared" si="6"/>
        <v>1600</v>
      </c>
      <c r="E43" s="290">
        <v>7</v>
      </c>
      <c r="F43" s="308">
        <f t="shared" si="7"/>
        <v>228.57142857142858</v>
      </c>
      <c r="G43" s="315">
        <f t="shared" si="8"/>
        <v>228.57142857142858</v>
      </c>
      <c r="H43" s="315">
        <f t="shared" si="8"/>
        <v>228.57142857142858</v>
      </c>
      <c r="I43" s="315">
        <f t="shared" si="8"/>
        <v>228.57142857142858</v>
      </c>
      <c r="J43" s="315">
        <f t="shared" si="8"/>
        <v>228.57142857142858</v>
      </c>
      <c r="K43" s="309">
        <f t="shared" si="9"/>
        <v>1142.857142857143</v>
      </c>
    </row>
    <row r="44" spans="1:11" s="90" customFormat="1" ht="12.75">
      <c r="A44" s="306">
        <v>6</v>
      </c>
      <c r="B44" s="260" t="s">
        <v>212</v>
      </c>
      <c r="C44" s="261">
        <v>10</v>
      </c>
      <c r="D44" s="261">
        <f t="shared" si="6"/>
        <v>60</v>
      </c>
      <c r="E44" s="290">
        <v>7</v>
      </c>
      <c r="F44" s="308">
        <f t="shared" si="7"/>
        <v>8.571428571428571</v>
      </c>
      <c r="G44" s="315">
        <f aca="true" t="shared" si="10" ref="G44:J52">F44</f>
        <v>8.571428571428571</v>
      </c>
      <c r="H44" s="315">
        <f t="shared" si="10"/>
        <v>8.571428571428571</v>
      </c>
      <c r="I44" s="315">
        <f t="shared" si="10"/>
        <v>8.571428571428571</v>
      </c>
      <c r="J44" s="315">
        <f t="shared" si="10"/>
        <v>8.571428571428571</v>
      </c>
      <c r="K44" s="309">
        <f t="shared" si="9"/>
        <v>42.857142857142854</v>
      </c>
    </row>
    <row r="45" spans="1:11" s="90" customFormat="1" ht="12.75">
      <c r="A45" s="306">
        <v>20</v>
      </c>
      <c r="B45" s="260" t="s">
        <v>297</v>
      </c>
      <c r="C45" s="261">
        <v>6</v>
      </c>
      <c r="D45" s="261">
        <f t="shared" si="6"/>
        <v>120</v>
      </c>
      <c r="E45" s="290">
        <v>7</v>
      </c>
      <c r="F45" s="308">
        <f t="shared" si="7"/>
        <v>17.142857142857142</v>
      </c>
      <c r="G45" s="315">
        <f t="shared" si="10"/>
        <v>17.142857142857142</v>
      </c>
      <c r="H45" s="315">
        <f t="shared" si="10"/>
        <v>17.142857142857142</v>
      </c>
      <c r="I45" s="315">
        <f t="shared" si="10"/>
        <v>17.142857142857142</v>
      </c>
      <c r="J45" s="315">
        <f t="shared" si="10"/>
        <v>17.142857142857142</v>
      </c>
      <c r="K45" s="309">
        <f t="shared" si="9"/>
        <v>85.71428571428571</v>
      </c>
    </row>
    <row r="46" spans="1:19" s="92" customFormat="1" ht="12.75">
      <c r="A46" s="310">
        <v>1</v>
      </c>
      <c r="B46" s="311" t="s">
        <v>189</v>
      </c>
      <c r="C46" s="261">
        <v>407</v>
      </c>
      <c r="D46" s="312">
        <f t="shared" si="6"/>
        <v>407</v>
      </c>
      <c r="E46" s="290">
        <v>7</v>
      </c>
      <c r="F46" s="308">
        <f t="shared" si="7"/>
        <v>58.142857142857146</v>
      </c>
      <c r="G46" s="308">
        <f t="shared" si="10"/>
        <v>58.142857142857146</v>
      </c>
      <c r="H46" s="308">
        <f t="shared" si="10"/>
        <v>58.142857142857146</v>
      </c>
      <c r="I46" s="308">
        <f t="shared" si="10"/>
        <v>58.142857142857146</v>
      </c>
      <c r="J46" s="308">
        <f t="shared" si="10"/>
        <v>58.142857142857146</v>
      </c>
      <c r="K46" s="309">
        <f t="shared" si="9"/>
        <v>290.7142857142857</v>
      </c>
      <c r="L46" s="134"/>
      <c r="M46" s="91"/>
      <c r="N46" s="91"/>
      <c r="O46" s="91"/>
      <c r="P46" s="91"/>
      <c r="Q46" s="91"/>
      <c r="R46" s="91"/>
      <c r="S46" s="91"/>
    </row>
    <row r="47" spans="1:11" s="90" customFormat="1" ht="12.75">
      <c r="A47" s="306">
        <v>16</v>
      </c>
      <c r="B47" s="260" t="s">
        <v>308</v>
      </c>
      <c r="C47" s="261">
        <v>2.5</v>
      </c>
      <c r="D47" s="261">
        <f t="shared" si="6"/>
        <v>40</v>
      </c>
      <c r="E47" s="290">
        <v>7</v>
      </c>
      <c r="F47" s="308">
        <f t="shared" si="7"/>
        <v>5.714285714285714</v>
      </c>
      <c r="G47" s="308">
        <f t="shared" si="10"/>
        <v>5.714285714285714</v>
      </c>
      <c r="H47" s="308">
        <f t="shared" si="10"/>
        <v>5.714285714285714</v>
      </c>
      <c r="I47" s="308">
        <f t="shared" si="10"/>
        <v>5.714285714285714</v>
      </c>
      <c r="J47" s="308">
        <f t="shared" si="10"/>
        <v>5.714285714285714</v>
      </c>
      <c r="K47" s="309">
        <f t="shared" si="9"/>
        <v>28.571428571428573</v>
      </c>
    </row>
    <row r="48" spans="1:11" s="90" customFormat="1" ht="12.75">
      <c r="A48" s="306">
        <v>16</v>
      </c>
      <c r="B48" s="260" t="s">
        <v>309</v>
      </c>
      <c r="C48" s="261">
        <v>6</v>
      </c>
      <c r="D48" s="261">
        <f t="shared" si="6"/>
        <v>96</v>
      </c>
      <c r="E48" s="290">
        <v>7</v>
      </c>
      <c r="F48" s="308">
        <f t="shared" si="7"/>
        <v>13.714285714285714</v>
      </c>
      <c r="G48" s="308">
        <f t="shared" si="10"/>
        <v>13.714285714285714</v>
      </c>
      <c r="H48" s="308">
        <f t="shared" si="10"/>
        <v>13.714285714285714</v>
      </c>
      <c r="I48" s="308">
        <f t="shared" si="10"/>
        <v>13.714285714285714</v>
      </c>
      <c r="J48" s="308">
        <f t="shared" si="10"/>
        <v>13.714285714285714</v>
      </c>
      <c r="K48" s="309">
        <f t="shared" si="9"/>
        <v>68.57142857142857</v>
      </c>
    </row>
    <row r="49" spans="1:11" s="90" customFormat="1" ht="12.75">
      <c r="A49" s="306">
        <v>16</v>
      </c>
      <c r="B49" s="260" t="s">
        <v>213</v>
      </c>
      <c r="C49" s="261">
        <v>8</v>
      </c>
      <c r="D49" s="261">
        <f t="shared" si="6"/>
        <v>128</v>
      </c>
      <c r="E49" s="290">
        <v>7</v>
      </c>
      <c r="F49" s="308">
        <f t="shared" si="7"/>
        <v>18.285714285714285</v>
      </c>
      <c r="G49" s="308">
        <f t="shared" si="10"/>
        <v>18.285714285714285</v>
      </c>
      <c r="H49" s="308">
        <f t="shared" si="10"/>
        <v>18.285714285714285</v>
      </c>
      <c r="I49" s="308">
        <f t="shared" si="10"/>
        <v>18.285714285714285</v>
      </c>
      <c r="J49" s="308">
        <f t="shared" si="10"/>
        <v>18.285714285714285</v>
      </c>
      <c r="K49" s="309">
        <f t="shared" si="9"/>
        <v>91.42857142857142</v>
      </c>
    </row>
    <row r="50" spans="1:11" s="90" customFormat="1" ht="12.75">
      <c r="A50" s="306">
        <v>5</v>
      </c>
      <c r="B50" s="260" t="s">
        <v>216</v>
      </c>
      <c r="C50" s="261">
        <v>8.5</v>
      </c>
      <c r="D50" s="261">
        <f t="shared" si="6"/>
        <v>42.5</v>
      </c>
      <c r="E50" s="290">
        <v>7</v>
      </c>
      <c r="F50" s="308">
        <f t="shared" si="7"/>
        <v>6.071428571428571</v>
      </c>
      <c r="G50" s="315">
        <f t="shared" si="10"/>
        <v>6.071428571428571</v>
      </c>
      <c r="H50" s="315">
        <f t="shared" si="10"/>
        <v>6.071428571428571</v>
      </c>
      <c r="I50" s="315">
        <f t="shared" si="10"/>
        <v>6.071428571428571</v>
      </c>
      <c r="J50" s="315">
        <f t="shared" si="10"/>
        <v>6.071428571428571</v>
      </c>
      <c r="K50" s="309">
        <f t="shared" si="9"/>
        <v>30.357142857142854</v>
      </c>
    </row>
    <row r="51" spans="1:11" s="90" customFormat="1" ht="12.75">
      <c r="A51" s="306">
        <v>5</v>
      </c>
      <c r="B51" s="311" t="s">
        <v>217</v>
      </c>
      <c r="C51" s="260">
        <v>2.5</v>
      </c>
      <c r="D51" s="261">
        <f t="shared" si="6"/>
        <v>12.5</v>
      </c>
      <c r="E51" s="290">
        <v>7</v>
      </c>
      <c r="F51" s="308">
        <f t="shared" si="7"/>
        <v>1.7857142857142858</v>
      </c>
      <c r="G51" s="315">
        <f t="shared" si="10"/>
        <v>1.7857142857142858</v>
      </c>
      <c r="H51" s="315">
        <f t="shared" si="10"/>
        <v>1.7857142857142858</v>
      </c>
      <c r="I51" s="315">
        <f t="shared" si="10"/>
        <v>1.7857142857142858</v>
      </c>
      <c r="J51" s="315">
        <f t="shared" si="10"/>
        <v>1.7857142857142858</v>
      </c>
      <c r="K51" s="309">
        <f t="shared" si="9"/>
        <v>8.928571428571429</v>
      </c>
    </row>
    <row r="52" spans="1:11" ht="14.25">
      <c r="A52" s="306">
        <v>20</v>
      </c>
      <c r="B52" s="316" t="s">
        <v>256</v>
      </c>
      <c r="C52" s="317">
        <v>3</v>
      </c>
      <c r="D52" s="261">
        <f t="shared" si="6"/>
        <v>60</v>
      </c>
      <c r="E52" s="290">
        <v>7</v>
      </c>
      <c r="F52" s="308">
        <f t="shared" si="7"/>
        <v>8.571428571428571</v>
      </c>
      <c r="G52" s="315">
        <f t="shared" si="10"/>
        <v>8.571428571428571</v>
      </c>
      <c r="H52" s="315">
        <f t="shared" si="10"/>
        <v>8.571428571428571</v>
      </c>
      <c r="I52" s="315">
        <f t="shared" si="10"/>
        <v>8.571428571428571</v>
      </c>
      <c r="J52" s="315">
        <f t="shared" si="10"/>
        <v>8.571428571428571</v>
      </c>
      <c r="K52" s="309">
        <f t="shared" si="9"/>
        <v>42.857142857142854</v>
      </c>
    </row>
    <row r="53" spans="1:12" ht="15">
      <c r="A53" s="318"/>
      <c r="B53" s="297" t="s">
        <v>218</v>
      </c>
      <c r="C53" s="298"/>
      <c r="D53" s="261"/>
      <c r="E53" s="319"/>
      <c r="F53" s="308"/>
      <c r="G53" s="315"/>
      <c r="H53" s="319"/>
      <c r="I53" s="319"/>
      <c r="J53" s="319"/>
      <c r="K53" s="309"/>
      <c r="L53" s="84"/>
    </row>
    <row r="54" spans="1:11" ht="15">
      <c r="A54" s="303">
        <v>7</v>
      </c>
      <c r="B54" s="304" t="s">
        <v>219</v>
      </c>
      <c r="C54" s="258">
        <v>80</v>
      </c>
      <c r="D54" s="261">
        <f aca="true" t="shared" si="11" ref="D54:D59">(A54*C54)</f>
        <v>560</v>
      </c>
      <c r="E54" s="319">
        <v>5</v>
      </c>
      <c r="F54" s="308">
        <f aca="true" t="shared" si="12" ref="F54:F59">D54/E54</f>
        <v>112</v>
      </c>
      <c r="G54" s="315">
        <f aca="true" t="shared" si="13" ref="G54:J55">F54</f>
        <v>112</v>
      </c>
      <c r="H54" s="315">
        <f t="shared" si="13"/>
        <v>112</v>
      </c>
      <c r="I54" s="315">
        <f t="shared" si="13"/>
        <v>112</v>
      </c>
      <c r="J54" s="315">
        <f t="shared" si="13"/>
        <v>112</v>
      </c>
      <c r="K54" s="309">
        <f aca="true" t="shared" si="14" ref="K54:K59">SUM(F54:J54)</f>
        <v>560</v>
      </c>
    </row>
    <row r="55" spans="1:11" ht="15">
      <c r="A55" s="306">
        <v>26</v>
      </c>
      <c r="B55" s="260" t="s">
        <v>220</v>
      </c>
      <c r="C55" s="261">
        <v>60</v>
      </c>
      <c r="D55" s="261">
        <f t="shared" si="11"/>
        <v>1560</v>
      </c>
      <c r="E55" s="319">
        <v>5</v>
      </c>
      <c r="F55" s="308">
        <f t="shared" si="12"/>
        <v>312</v>
      </c>
      <c r="G55" s="315">
        <f t="shared" si="13"/>
        <v>312</v>
      </c>
      <c r="H55" s="315">
        <f t="shared" si="13"/>
        <v>312</v>
      </c>
      <c r="I55" s="315">
        <f t="shared" si="13"/>
        <v>312</v>
      </c>
      <c r="J55" s="315">
        <f t="shared" si="13"/>
        <v>312</v>
      </c>
      <c r="K55" s="309">
        <f t="shared" si="14"/>
        <v>1560</v>
      </c>
    </row>
    <row r="56" spans="1:11" ht="15">
      <c r="A56" s="306">
        <v>40</v>
      </c>
      <c r="B56" s="260" t="s">
        <v>221</v>
      </c>
      <c r="C56" s="261">
        <v>3.99</v>
      </c>
      <c r="D56" s="261">
        <f t="shared" si="11"/>
        <v>159.60000000000002</v>
      </c>
      <c r="E56" s="319">
        <v>5</v>
      </c>
      <c r="F56" s="308">
        <f t="shared" si="12"/>
        <v>31.920000000000005</v>
      </c>
      <c r="G56" s="315">
        <f aca="true" t="shared" si="15" ref="G56:J59">F56</f>
        <v>31.920000000000005</v>
      </c>
      <c r="H56" s="315">
        <f t="shared" si="15"/>
        <v>31.920000000000005</v>
      </c>
      <c r="I56" s="315">
        <f t="shared" si="15"/>
        <v>31.920000000000005</v>
      </c>
      <c r="J56" s="315">
        <f t="shared" si="15"/>
        <v>31.920000000000005</v>
      </c>
      <c r="K56" s="309">
        <f t="shared" si="14"/>
        <v>159.60000000000002</v>
      </c>
    </row>
    <row r="57" spans="1:11" ht="15">
      <c r="A57" s="306">
        <v>30</v>
      </c>
      <c r="B57" s="260" t="s">
        <v>253</v>
      </c>
      <c r="C57" s="320">
        <v>18</v>
      </c>
      <c r="D57" s="261">
        <f t="shared" si="11"/>
        <v>540</v>
      </c>
      <c r="E57" s="319">
        <v>5</v>
      </c>
      <c r="F57" s="308">
        <f t="shared" si="12"/>
        <v>108</v>
      </c>
      <c r="G57" s="315">
        <f t="shared" si="15"/>
        <v>108</v>
      </c>
      <c r="H57" s="315">
        <f t="shared" si="15"/>
        <v>108</v>
      </c>
      <c r="I57" s="315">
        <f t="shared" si="15"/>
        <v>108</v>
      </c>
      <c r="J57" s="315">
        <f t="shared" si="15"/>
        <v>108</v>
      </c>
      <c r="K57" s="309">
        <f t="shared" si="14"/>
        <v>540</v>
      </c>
    </row>
    <row r="58" spans="1:11" ht="15">
      <c r="A58" s="306">
        <v>10</v>
      </c>
      <c r="B58" s="321" t="s">
        <v>252</v>
      </c>
      <c r="C58" s="261">
        <v>20</v>
      </c>
      <c r="D58" s="261">
        <f t="shared" si="11"/>
        <v>200</v>
      </c>
      <c r="E58" s="319">
        <v>5</v>
      </c>
      <c r="F58" s="308">
        <f t="shared" si="12"/>
        <v>40</v>
      </c>
      <c r="G58" s="315">
        <f t="shared" si="15"/>
        <v>40</v>
      </c>
      <c r="H58" s="315">
        <f t="shared" si="15"/>
        <v>40</v>
      </c>
      <c r="I58" s="315">
        <f t="shared" si="15"/>
        <v>40</v>
      </c>
      <c r="J58" s="315">
        <f t="shared" si="15"/>
        <v>40</v>
      </c>
      <c r="K58" s="309">
        <f t="shared" si="14"/>
        <v>200</v>
      </c>
    </row>
    <row r="59" spans="1:11" ht="15">
      <c r="A59" s="306">
        <v>45</v>
      </c>
      <c r="B59" s="321" t="s">
        <v>254</v>
      </c>
      <c r="C59" s="261">
        <v>12</v>
      </c>
      <c r="D59" s="261">
        <f t="shared" si="11"/>
        <v>540</v>
      </c>
      <c r="E59" s="319">
        <v>5</v>
      </c>
      <c r="F59" s="308">
        <f t="shared" si="12"/>
        <v>108</v>
      </c>
      <c r="G59" s="315">
        <f t="shared" si="15"/>
        <v>108</v>
      </c>
      <c r="H59" s="315">
        <f t="shared" si="15"/>
        <v>108</v>
      </c>
      <c r="I59" s="315">
        <f t="shared" si="15"/>
        <v>108</v>
      </c>
      <c r="J59" s="315">
        <f t="shared" si="15"/>
        <v>108</v>
      </c>
      <c r="K59" s="309">
        <f t="shared" si="14"/>
        <v>540</v>
      </c>
    </row>
    <row r="60" spans="1:12" ht="15">
      <c r="A60" s="318"/>
      <c r="B60" s="297" t="s">
        <v>222</v>
      </c>
      <c r="C60" s="298"/>
      <c r="D60" s="261"/>
      <c r="E60" s="319"/>
      <c r="F60" s="308"/>
      <c r="G60" s="315"/>
      <c r="H60" s="319"/>
      <c r="I60" s="319"/>
      <c r="J60" s="319"/>
      <c r="K60" s="309"/>
      <c r="L60" s="84"/>
    </row>
    <row r="61" spans="1:11" ht="15">
      <c r="A61" s="306">
        <v>1</v>
      </c>
      <c r="B61" s="260" t="s">
        <v>223</v>
      </c>
      <c r="C61" s="261">
        <v>250</v>
      </c>
      <c r="D61" s="261">
        <f>(A61*C61)</f>
        <v>250</v>
      </c>
      <c r="E61" s="319">
        <v>10</v>
      </c>
      <c r="F61" s="308">
        <f>D61/E61</f>
        <v>25</v>
      </c>
      <c r="G61" s="315">
        <f aca="true" t="shared" si="16" ref="G61:J62">F61</f>
        <v>25</v>
      </c>
      <c r="H61" s="315">
        <f t="shared" si="16"/>
        <v>25</v>
      </c>
      <c r="I61" s="315">
        <f t="shared" si="16"/>
        <v>25</v>
      </c>
      <c r="J61" s="315">
        <f t="shared" si="16"/>
        <v>25</v>
      </c>
      <c r="K61" s="309">
        <f>SUM(F61:J61)</f>
        <v>125</v>
      </c>
    </row>
    <row r="62" spans="1:11" ht="15">
      <c r="A62" s="322">
        <v>1</v>
      </c>
      <c r="B62" s="294" t="s">
        <v>224</v>
      </c>
      <c r="C62" s="320">
        <v>784.19</v>
      </c>
      <c r="D62" s="320">
        <f>(A62*C62)</f>
        <v>784.19</v>
      </c>
      <c r="E62" s="323">
        <v>10</v>
      </c>
      <c r="F62" s="324">
        <f>D62/E62</f>
        <v>78.41900000000001</v>
      </c>
      <c r="G62" s="325">
        <f t="shared" si="16"/>
        <v>78.41900000000001</v>
      </c>
      <c r="H62" s="325">
        <f t="shared" si="16"/>
        <v>78.41900000000001</v>
      </c>
      <c r="I62" s="325">
        <f t="shared" si="16"/>
        <v>78.41900000000001</v>
      </c>
      <c r="J62" s="325">
        <f t="shared" si="16"/>
        <v>78.41900000000001</v>
      </c>
      <c r="K62" s="326">
        <f>SUM(F62:J62)</f>
        <v>392.095</v>
      </c>
    </row>
    <row r="63" spans="1:12" ht="15">
      <c r="A63" s="318"/>
      <c r="B63" s="327" t="s">
        <v>225</v>
      </c>
      <c r="C63" s="298"/>
      <c r="D63" s="298"/>
      <c r="E63" s="328"/>
      <c r="F63" s="300"/>
      <c r="G63" s="301"/>
      <c r="H63" s="328"/>
      <c r="I63" s="328"/>
      <c r="J63" s="328"/>
      <c r="K63" s="302"/>
      <c r="L63" s="84"/>
    </row>
    <row r="64" spans="1:11" ht="15">
      <c r="A64" s="303">
        <v>3</v>
      </c>
      <c r="B64" s="304" t="s">
        <v>226</v>
      </c>
      <c r="C64" s="258">
        <v>600</v>
      </c>
      <c r="D64" s="258">
        <f>(A64*C64)</f>
        <v>1800</v>
      </c>
      <c r="E64" s="329">
        <v>3</v>
      </c>
      <c r="F64" s="291">
        <f>D64/E64</f>
        <v>600</v>
      </c>
      <c r="G64" s="330">
        <f>F64</f>
        <v>600</v>
      </c>
      <c r="H64" s="330">
        <f>G64</f>
        <v>600</v>
      </c>
      <c r="I64" s="330">
        <f>H64*1.05</f>
        <v>630</v>
      </c>
      <c r="J64" s="330">
        <f>I64</f>
        <v>630</v>
      </c>
      <c r="K64" s="292">
        <f>I64+J64</f>
        <v>1260</v>
      </c>
    </row>
    <row r="65" spans="1:11" ht="15">
      <c r="A65" s="322">
        <v>1</v>
      </c>
      <c r="B65" s="294" t="s">
        <v>234</v>
      </c>
      <c r="C65" s="320">
        <v>80</v>
      </c>
      <c r="D65" s="320">
        <f>(A65*C65)</f>
        <v>80</v>
      </c>
      <c r="E65" s="323">
        <v>3</v>
      </c>
      <c r="F65" s="324">
        <f>D65/E65</f>
        <v>26.666666666666668</v>
      </c>
      <c r="G65" s="325">
        <f>F65</f>
        <v>26.666666666666668</v>
      </c>
      <c r="H65" s="325">
        <f>G65</f>
        <v>26.666666666666668</v>
      </c>
      <c r="I65" s="325">
        <f>H65*1.05</f>
        <v>28.000000000000004</v>
      </c>
      <c r="J65" s="325">
        <f>I65</f>
        <v>28.000000000000004</v>
      </c>
      <c r="K65" s="292">
        <f>I65+J65</f>
        <v>56.00000000000001</v>
      </c>
    </row>
    <row r="66" spans="1:12" ht="15">
      <c r="A66" s="318"/>
      <c r="B66" s="327" t="s">
        <v>227</v>
      </c>
      <c r="C66" s="298"/>
      <c r="D66" s="298"/>
      <c r="E66" s="328"/>
      <c r="F66" s="300"/>
      <c r="G66" s="301"/>
      <c r="H66" s="328"/>
      <c r="I66" s="328"/>
      <c r="J66" s="328"/>
      <c r="K66" s="302"/>
      <c r="L66" s="84"/>
    </row>
    <row r="67" spans="1:11" ht="15">
      <c r="A67" s="303">
        <v>2</v>
      </c>
      <c r="B67" s="304" t="s">
        <v>228</v>
      </c>
      <c r="C67" s="258">
        <v>45</v>
      </c>
      <c r="D67" s="258">
        <f>(A67*C67)</f>
        <v>90</v>
      </c>
      <c r="E67" s="329">
        <v>5</v>
      </c>
      <c r="F67" s="324">
        <f>D67/E67</f>
        <v>18</v>
      </c>
      <c r="G67" s="330">
        <f aca="true" t="shared" si="17" ref="G67:J68">F67</f>
        <v>18</v>
      </c>
      <c r="H67" s="330">
        <f t="shared" si="17"/>
        <v>18</v>
      </c>
      <c r="I67" s="330">
        <f t="shared" si="17"/>
        <v>18</v>
      </c>
      <c r="J67" s="330">
        <f t="shared" si="17"/>
        <v>18</v>
      </c>
      <c r="K67" s="292">
        <f>SUM(F67:J67)</f>
        <v>90</v>
      </c>
    </row>
    <row r="68" spans="1:11" ht="15.75" thickBot="1">
      <c r="A68" s="306">
        <v>1</v>
      </c>
      <c r="B68" s="260" t="s">
        <v>229</v>
      </c>
      <c r="C68" s="320">
        <v>30</v>
      </c>
      <c r="D68" s="320">
        <f>(A68*C68)</f>
        <v>30</v>
      </c>
      <c r="E68" s="323">
        <v>5</v>
      </c>
      <c r="F68" s="324">
        <f>D68/E68</f>
        <v>6</v>
      </c>
      <c r="G68" s="342">
        <f t="shared" si="17"/>
        <v>6</v>
      </c>
      <c r="H68" s="342">
        <f t="shared" si="17"/>
        <v>6</v>
      </c>
      <c r="I68" s="342">
        <f t="shared" si="17"/>
        <v>6</v>
      </c>
      <c r="J68" s="342">
        <f t="shared" si="17"/>
        <v>6</v>
      </c>
      <c r="K68" s="326">
        <f>SUM(F68:J68)</f>
        <v>30</v>
      </c>
    </row>
    <row r="69" spans="1:11" ht="16.5" thickBot="1">
      <c r="A69" s="331"/>
      <c r="B69" s="252"/>
      <c r="C69" s="343" t="s">
        <v>137</v>
      </c>
      <c r="D69" s="344">
        <f>SUM(D8:D68)</f>
        <v>42735.73</v>
      </c>
      <c r="E69" s="345"/>
      <c r="F69" s="346">
        <f aca="true" t="shared" si="18" ref="F69:K69">SUM(F8:F68)</f>
        <v>5615.356380952381</v>
      </c>
      <c r="G69" s="346">
        <f t="shared" si="18"/>
        <v>5615.356380952381</v>
      </c>
      <c r="H69" s="346">
        <f t="shared" si="18"/>
        <v>5615.356380952381</v>
      </c>
      <c r="I69" s="346">
        <f t="shared" si="18"/>
        <v>5646.689714285714</v>
      </c>
      <c r="J69" s="346">
        <f t="shared" si="18"/>
        <v>5646.689714285714</v>
      </c>
      <c r="K69" s="346">
        <f t="shared" si="18"/>
        <v>26259.448571428566</v>
      </c>
    </row>
    <row r="70" spans="4:10" ht="14.25">
      <c r="D70" s="85"/>
      <c r="E70" s="85"/>
      <c r="F70" s="85"/>
      <c r="G70" s="85"/>
      <c r="H70" s="85"/>
      <c r="I70" s="85"/>
      <c r="J70" s="85"/>
    </row>
    <row r="71" spans="4:10" ht="14.25">
      <c r="D71" s="85"/>
      <c r="E71" s="85"/>
      <c r="F71" s="85"/>
      <c r="G71" s="85"/>
      <c r="H71" s="85"/>
      <c r="I71" s="85"/>
      <c r="J71" s="85"/>
    </row>
    <row r="72" spans="4:10" ht="14.25">
      <c r="D72" s="85"/>
      <c r="E72" s="85"/>
      <c r="F72" s="85"/>
      <c r="G72" s="85"/>
      <c r="H72" s="85"/>
      <c r="I72" s="85"/>
      <c r="J72" s="85"/>
    </row>
    <row r="73" spans="4:10" ht="14.25">
      <c r="D73" s="85"/>
      <c r="E73" s="85"/>
      <c r="F73" s="85"/>
      <c r="G73" s="85"/>
      <c r="H73" s="85"/>
      <c r="I73" s="85"/>
      <c r="J73" s="85"/>
    </row>
    <row r="74" spans="4:10" ht="14.25">
      <c r="D74" s="85"/>
      <c r="E74" s="85"/>
      <c r="F74" s="85"/>
      <c r="G74" s="85"/>
      <c r="H74" s="85"/>
      <c r="I74" s="85"/>
      <c r="J74" s="85"/>
    </row>
    <row r="75" spans="4:10" ht="14.25">
      <c r="D75" s="85"/>
      <c r="E75" s="85"/>
      <c r="F75" s="85"/>
      <c r="G75" s="85"/>
      <c r="H75" s="85"/>
      <c r="I75" s="85"/>
      <c r="J75" s="85"/>
    </row>
    <row r="76" spans="4:10" ht="14.25">
      <c r="D76" s="85"/>
      <c r="E76" s="85"/>
      <c r="F76" s="85"/>
      <c r="G76" s="85"/>
      <c r="H76" s="85"/>
      <c r="I76" s="85"/>
      <c r="J76" s="85"/>
    </row>
    <row r="77" spans="4:10" ht="14.25">
      <c r="D77" s="85"/>
      <c r="E77" s="85"/>
      <c r="F77" s="85"/>
      <c r="G77" s="85"/>
      <c r="H77" s="85"/>
      <c r="I77" s="85"/>
      <c r="J77" s="85"/>
    </row>
    <row r="78" spans="4:10" ht="14.25">
      <c r="D78" s="85"/>
      <c r="E78" s="85"/>
      <c r="F78" s="85"/>
      <c r="G78" s="85"/>
      <c r="H78" s="85"/>
      <c r="I78" s="85"/>
      <c r="J78" s="85"/>
    </row>
    <row r="79" spans="4:10" ht="14.25">
      <c r="D79" s="85"/>
      <c r="E79" s="85"/>
      <c r="F79" s="85"/>
      <c r="G79" s="85"/>
      <c r="H79" s="85"/>
      <c r="I79" s="85"/>
      <c r="J79" s="85"/>
    </row>
    <row r="80" spans="4:10" ht="14.25">
      <c r="D80" s="85"/>
      <c r="E80" s="85"/>
      <c r="F80" s="85"/>
      <c r="G80" s="85"/>
      <c r="H80" s="85"/>
      <c r="I80" s="85"/>
      <c r="J80" s="85"/>
    </row>
    <row r="81" spans="4:10" ht="14.25">
      <c r="D81" s="85"/>
      <c r="E81" s="85"/>
      <c r="F81" s="85"/>
      <c r="G81" s="85"/>
      <c r="H81" s="85"/>
      <c r="I81" s="85"/>
      <c r="J81" s="85"/>
    </row>
    <row r="82" spans="4:10" ht="14.25">
      <c r="D82" s="85"/>
      <c r="E82" s="85"/>
      <c r="F82" s="85"/>
      <c r="G82" s="85"/>
      <c r="H82" s="85"/>
      <c r="I82" s="85"/>
      <c r="J82" s="85"/>
    </row>
    <row r="83" spans="4:10" ht="14.25">
      <c r="D83" s="85"/>
      <c r="E83" s="85"/>
      <c r="F83" s="85"/>
      <c r="G83" s="85"/>
      <c r="H83" s="85"/>
      <c r="I83" s="85"/>
      <c r="J83" s="85"/>
    </row>
    <row r="84" spans="4:10" ht="14.25">
      <c r="D84" s="85"/>
      <c r="E84" s="85"/>
      <c r="F84" s="85"/>
      <c r="G84" s="85"/>
      <c r="H84" s="85"/>
      <c r="I84" s="85"/>
      <c r="J84" s="85"/>
    </row>
    <row r="85" spans="4:10" ht="14.25">
      <c r="D85" s="85"/>
      <c r="E85" s="85"/>
      <c r="F85" s="85"/>
      <c r="G85" s="85"/>
      <c r="H85" s="85"/>
      <c r="I85" s="85"/>
      <c r="J85" s="85"/>
    </row>
    <row r="86" spans="4:10" ht="14.25">
      <c r="D86" s="85"/>
      <c r="E86" s="85"/>
      <c r="F86" s="85"/>
      <c r="G86" s="85"/>
      <c r="H86" s="85"/>
      <c r="I86" s="85"/>
      <c r="J86" s="85"/>
    </row>
    <row r="87" spans="4:10" ht="14.25">
      <c r="D87" s="85"/>
      <c r="E87" s="85"/>
      <c r="F87" s="85"/>
      <c r="G87" s="85"/>
      <c r="H87" s="85"/>
      <c r="I87" s="85"/>
      <c r="J87" s="85"/>
    </row>
    <row r="88" spans="4:10" ht="14.25">
      <c r="D88" s="85"/>
      <c r="E88" s="85"/>
      <c r="F88" s="85"/>
      <c r="G88" s="85"/>
      <c r="H88" s="85"/>
      <c r="I88" s="85"/>
      <c r="J88" s="85"/>
    </row>
    <row r="89" spans="4:10" ht="14.25">
      <c r="D89" s="85"/>
      <c r="E89" s="85"/>
      <c r="F89" s="85"/>
      <c r="G89" s="85"/>
      <c r="H89" s="85"/>
      <c r="I89" s="85"/>
      <c r="J89" s="85"/>
    </row>
    <row r="90" spans="4:10" ht="14.25">
      <c r="D90" s="85"/>
      <c r="E90" s="85"/>
      <c r="F90" s="85"/>
      <c r="G90" s="85"/>
      <c r="H90" s="85"/>
      <c r="I90" s="85"/>
      <c r="J90" s="85"/>
    </row>
    <row r="91" spans="4:10" ht="14.25">
      <c r="D91" s="85"/>
      <c r="E91" s="85"/>
      <c r="F91" s="85"/>
      <c r="G91" s="85"/>
      <c r="H91" s="85"/>
      <c r="I91" s="85"/>
      <c r="J91" s="85"/>
    </row>
    <row r="92" spans="4:10" ht="14.25">
      <c r="D92" s="85"/>
      <c r="E92" s="85"/>
      <c r="F92" s="85"/>
      <c r="G92" s="85"/>
      <c r="H92" s="85"/>
      <c r="I92" s="85"/>
      <c r="J92" s="85"/>
    </row>
    <row r="93" spans="4:10" ht="14.25">
      <c r="D93" s="85"/>
      <c r="E93" s="85"/>
      <c r="F93" s="85"/>
      <c r="G93" s="85"/>
      <c r="H93" s="85"/>
      <c r="I93" s="85"/>
      <c r="J93" s="85"/>
    </row>
    <row r="94" spans="4:10" ht="14.25">
      <c r="D94" s="85"/>
      <c r="E94" s="85"/>
      <c r="F94" s="85"/>
      <c r="G94" s="85"/>
      <c r="H94" s="85"/>
      <c r="I94" s="85"/>
      <c r="J94" s="85"/>
    </row>
    <row r="95" spans="4:10" ht="14.25">
      <c r="D95" s="85"/>
      <c r="E95" s="85"/>
      <c r="F95" s="85"/>
      <c r="G95" s="85"/>
      <c r="H95" s="85"/>
      <c r="I95" s="85"/>
      <c r="J95" s="85"/>
    </row>
    <row r="96" spans="4:10" ht="14.25">
      <c r="D96" s="85"/>
      <c r="E96" s="85"/>
      <c r="F96" s="85"/>
      <c r="G96" s="85"/>
      <c r="H96" s="85"/>
      <c r="I96" s="85"/>
      <c r="J96" s="85"/>
    </row>
    <row r="97" spans="4:10" ht="14.25">
      <c r="D97" s="85"/>
      <c r="E97" s="85"/>
      <c r="F97" s="85"/>
      <c r="G97" s="85"/>
      <c r="H97" s="85"/>
      <c r="I97" s="85"/>
      <c r="J97" s="85"/>
    </row>
    <row r="98" spans="4:10" ht="14.25">
      <c r="D98" s="85"/>
      <c r="E98" s="85"/>
      <c r="F98" s="85"/>
      <c r="G98" s="85"/>
      <c r="H98" s="85"/>
      <c r="I98" s="85"/>
      <c r="J98" s="85"/>
    </row>
    <row r="99" spans="4:10" ht="14.25">
      <c r="D99" s="85"/>
      <c r="E99" s="85"/>
      <c r="F99" s="85"/>
      <c r="G99" s="85"/>
      <c r="H99" s="85"/>
      <c r="I99" s="85"/>
      <c r="J99" s="85"/>
    </row>
    <row r="100" spans="4:10" ht="14.25">
      <c r="D100" s="85"/>
      <c r="E100" s="85"/>
      <c r="F100" s="85"/>
      <c r="G100" s="85"/>
      <c r="H100" s="85"/>
      <c r="I100" s="85"/>
      <c r="J100" s="85"/>
    </row>
    <row r="101" spans="4:10" ht="14.25">
      <c r="D101" s="85"/>
      <c r="E101" s="85"/>
      <c r="F101" s="85"/>
      <c r="G101" s="85"/>
      <c r="H101" s="85"/>
      <c r="I101" s="85"/>
      <c r="J101" s="85"/>
    </row>
    <row r="102" spans="4:10" ht="14.25">
      <c r="D102" s="85"/>
      <c r="E102" s="85"/>
      <c r="F102" s="85"/>
      <c r="G102" s="85"/>
      <c r="H102" s="85"/>
      <c r="I102" s="85"/>
      <c r="J102" s="85"/>
    </row>
    <row r="103" spans="4:10" ht="14.25">
      <c r="D103" s="85"/>
      <c r="E103" s="85"/>
      <c r="F103" s="85"/>
      <c r="G103" s="85"/>
      <c r="H103" s="85"/>
      <c r="I103" s="85"/>
      <c r="J103" s="85"/>
    </row>
    <row r="104" spans="4:10" ht="14.25">
      <c r="D104" s="85"/>
      <c r="E104" s="85"/>
      <c r="F104" s="85"/>
      <c r="G104" s="85"/>
      <c r="H104" s="85"/>
      <c r="I104" s="85"/>
      <c r="J104" s="85"/>
    </row>
    <row r="105" spans="4:10" ht="14.25">
      <c r="D105" s="85"/>
      <c r="E105" s="85"/>
      <c r="F105" s="85"/>
      <c r="G105" s="85"/>
      <c r="H105" s="85"/>
      <c r="I105" s="85"/>
      <c r="J105" s="85"/>
    </row>
    <row r="106" spans="4:10" ht="14.25">
      <c r="D106" s="85"/>
      <c r="E106" s="85"/>
      <c r="F106" s="85"/>
      <c r="G106" s="85"/>
      <c r="H106" s="85"/>
      <c r="I106" s="85"/>
      <c r="J106" s="85"/>
    </row>
    <row r="107" spans="4:10" ht="14.25">
      <c r="D107" s="85"/>
      <c r="E107" s="85"/>
      <c r="F107" s="85"/>
      <c r="G107" s="85"/>
      <c r="H107" s="85"/>
      <c r="I107" s="85"/>
      <c r="J107" s="85"/>
    </row>
    <row r="108" spans="4:10" ht="14.25">
      <c r="D108" s="85"/>
      <c r="E108" s="85"/>
      <c r="F108" s="85"/>
      <c r="G108" s="85"/>
      <c r="H108" s="85"/>
      <c r="I108" s="85"/>
      <c r="J108" s="85"/>
    </row>
    <row r="109" spans="4:10" ht="14.25">
      <c r="D109" s="85"/>
      <c r="E109" s="85"/>
      <c r="F109" s="85"/>
      <c r="G109" s="85"/>
      <c r="H109" s="85"/>
      <c r="I109" s="85"/>
      <c r="J109" s="85"/>
    </row>
    <row r="110" spans="4:10" ht="14.25">
      <c r="D110" s="85"/>
      <c r="E110" s="85"/>
      <c r="F110" s="85"/>
      <c r="G110" s="85"/>
      <c r="H110" s="85"/>
      <c r="I110" s="85"/>
      <c r="J110" s="85"/>
    </row>
    <row r="111" spans="4:10" ht="14.25">
      <c r="D111" s="85"/>
      <c r="E111" s="85"/>
      <c r="F111" s="85"/>
      <c r="G111" s="85"/>
      <c r="H111" s="85"/>
      <c r="I111" s="85"/>
      <c r="J111" s="85"/>
    </row>
    <row r="112" spans="4:10" ht="14.25">
      <c r="D112" s="85"/>
      <c r="E112" s="85"/>
      <c r="F112" s="85"/>
      <c r="G112" s="85"/>
      <c r="H112" s="85"/>
      <c r="I112" s="85"/>
      <c r="J112" s="85"/>
    </row>
    <row r="113" spans="4:10" ht="14.25">
      <c r="D113" s="85"/>
      <c r="E113" s="85"/>
      <c r="F113" s="85"/>
      <c r="G113" s="85"/>
      <c r="H113" s="85"/>
      <c r="I113" s="85"/>
      <c r="J113" s="85"/>
    </row>
    <row r="114" spans="4:10" ht="14.25">
      <c r="D114" s="85"/>
      <c r="E114" s="85"/>
      <c r="F114" s="85"/>
      <c r="G114" s="85"/>
      <c r="H114" s="85"/>
      <c r="I114" s="85"/>
      <c r="J114" s="85"/>
    </row>
    <row r="115" spans="4:10" ht="14.25">
      <c r="D115" s="85"/>
      <c r="E115" s="85"/>
      <c r="F115" s="85"/>
      <c r="G115" s="85"/>
      <c r="H115" s="85"/>
      <c r="I115" s="85"/>
      <c r="J115" s="85"/>
    </row>
    <row r="116" spans="4:10" ht="14.25">
      <c r="D116" s="85"/>
      <c r="E116" s="85"/>
      <c r="F116" s="85"/>
      <c r="G116" s="85"/>
      <c r="H116" s="85"/>
      <c r="I116" s="85"/>
      <c r="J116" s="85"/>
    </row>
    <row r="117" spans="4:10" ht="14.25">
      <c r="D117" s="85"/>
      <c r="E117" s="85"/>
      <c r="F117" s="85"/>
      <c r="G117" s="85"/>
      <c r="H117" s="85"/>
      <c r="I117" s="85"/>
      <c r="J117" s="85"/>
    </row>
    <row r="118" spans="4:10" ht="14.25">
      <c r="D118" s="85"/>
      <c r="E118" s="85"/>
      <c r="F118" s="85"/>
      <c r="G118" s="85"/>
      <c r="H118" s="85"/>
      <c r="I118" s="85"/>
      <c r="J118" s="85"/>
    </row>
    <row r="119" spans="4:10" ht="14.25">
      <c r="D119" s="85"/>
      <c r="E119" s="85"/>
      <c r="F119" s="85"/>
      <c r="G119" s="85"/>
      <c r="H119" s="85"/>
      <c r="I119" s="85"/>
      <c r="J119" s="85"/>
    </row>
    <row r="120" spans="4:10" ht="14.25">
      <c r="D120" s="85"/>
      <c r="E120" s="85"/>
      <c r="F120" s="85"/>
      <c r="G120" s="85"/>
      <c r="H120" s="85"/>
      <c r="I120" s="85"/>
      <c r="J120" s="85"/>
    </row>
    <row r="121" spans="4:10" ht="14.25">
      <c r="D121" s="85"/>
      <c r="E121" s="85"/>
      <c r="F121" s="85"/>
      <c r="G121" s="85"/>
      <c r="H121" s="85"/>
      <c r="I121" s="85"/>
      <c r="J121" s="85"/>
    </row>
    <row r="122" spans="4:10" ht="14.25">
      <c r="D122" s="85"/>
      <c r="E122" s="85"/>
      <c r="F122" s="85"/>
      <c r="G122" s="85"/>
      <c r="H122" s="85"/>
      <c r="I122" s="85"/>
      <c r="J122" s="85"/>
    </row>
    <row r="123" spans="4:10" ht="14.25">
      <c r="D123" s="85"/>
      <c r="E123" s="85"/>
      <c r="F123" s="85"/>
      <c r="G123" s="85"/>
      <c r="H123" s="85"/>
      <c r="I123" s="85"/>
      <c r="J123" s="85"/>
    </row>
    <row r="124" spans="4:10" ht="14.25">
      <c r="D124" s="85"/>
      <c r="E124" s="85"/>
      <c r="F124" s="85"/>
      <c r="G124" s="85"/>
      <c r="H124" s="85"/>
      <c r="I124" s="85"/>
      <c r="J124" s="85"/>
    </row>
    <row r="125" spans="4:10" ht="14.25">
      <c r="D125" s="85"/>
      <c r="E125" s="85"/>
      <c r="F125" s="85"/>
      <c r="G125" s="85"/>
      <c r="H125" s="85"/>
      <c r="I125" s="85"/>
      <c r="J125" s="85"/>
    </row>
    <row r="126" spans="4:10" ht="14.25">
      <c r="D126" s="85"/>
      <c r="E126" s="85"/>
      <c r="F126" s="85"/>
      <c r="G126" s="85"/>
      <c r="H126" s="85"/>
      <c r="I126" s="85"/>
      <c r="J126" s="85"/>
    </row>
    <row r="127" spans="4:10" ht="14.25">
      <c r="D127" s="85"/>
      <c r="E127" s="85"/>
      <c r="F127" s="85"/>
      <c r="G127" s="85"/>
      <c r="H127" s="85"/>
      <c r="I127" s="85"/>
      <c r="J127" s="85"/>
    </row>
    <row r="128" spans="4:10" ht="14.25">
      <c r="D128" s="85"/>
      <c r="E128" s="85"/>
      <c r="F128" s="85"/>
      <c r="G128" s="85"/>
      <c r="H128" s="85"/>
      <c r="I128" s="85"/>
      <c r="J128" s="85"/>
    </row>
    <row r="129" spans="4:10" ht="14.25">
      <c r="D129" s="85"/>
      <c r="E129" s="85"/>
      <c r="F129" s="85"/>
      <c r="G129" s="85"/>
      <c r="H129" s="85"/>
      <c r="I129" s="85"/>
      <c r="J129" s="85"/>
    </row>
    <row r="130" spans="4:10" ht="14.25">
      <c r="D130" s="85"/>
      <c r="E130" s="85"/>
      <c r="F130" s="85"/>
      <c r="G130" s="85"/>
      <c r="H130" s="85"/>
      <c r="I130" s="85"/>
      <c r="J130" s="85"/>
    </row>
    <row r="131" spans="4:10" ht="14.25">
      <c r="D131" s="85"/>
      <c r="E131" s="85"/>
      <c r="F131" s="85"/>
      <c r="G131" s="85"/>
      <c r="H131" s="85"/>
      <c r="I131" s="85"/>
      <c r="J131" s="85"/>
    </row>
    <row r="132" spans="4:10" ht="14.25">
      <c r="D132" s="85"/>
      <c r="E132" s="85"/>
      <c r="F132" s="85"/>
      <c r="G132" s="85"/>
      <c r="H132" s="85"/>
      <c r="I132" s="85"/>
      <c r="J132" s="85"/>
    </row>
    <row r="133" spans="4:10" ht="14.25">
      <c r="D133" s="85"/>
      <c r="E133" s="85"/>
      <c r="F133" s="85"/>
      <c r="G133" s="85"/>
      <c r="H133" s="85"/>
      <c r="I133" s="85"/>
      <c r="J133" s="85"/>
    </row>
    <row r="134" spans="4:10" ht="14.25">
      <c r="D134" s="85"/>
      <c r="E134" s="85"/>
      <c r="F134" s="85"/>
      <c r="G134" s="85"/>
      <c r="H134" s="85"/>
      <c r="I134" s="85"/>
      <c r="J134" s="85"/>
    </row>
    <row r="135" spans="4:10" ht="14.25">
      <c r="D135" s="85"/>
      <c r="E135" s="85"/>
      <c r="F135" s="85"/>
      <c r="G135" s="85"/>
      <c r="H135" s="85"/>
      <c r="I135" s="85"/>
      <c r="J135" s="85"/>
    </row>
    <row r="136" spans="4:10" ht="14.25">
      <c r="D136" s="85"/>
      <c r="E136" s="85"/>
      <c r="F136" s="85"/>
      <c r="G136" s="85"/>
      <c r="H136" s="85"/>
      <c r="I136" s="85"/>
      <c r="J136" s="85"/>
    </row>
    <row r="137" spans="4:10" ht="14.25">
      <c r="D137" s="85"/>
      <c r="E137" s="85"/>
      <c r="F137" s="85"/>
      <c r="G137" s="85"/>
      <c r="H137" s="85"/>
      <c r="I137" s="85"/>
      <c r="J137" s="85"/>
    </row>
    <row r="138" spans="4:10" ht="14.25">
      <c r="D138" s="85"/>
      <c r="E138" s="85"/>
      <c r="F138" s="85"/>
      <c r="G138" s="85"/>
      <c r="H138" s="85"/>
      <c r="I138" s="85"/>
      <c r="J138" s="85"/>
    </row>
    <row r="139" spans="4:10" ht="14.25">
      <c r="D139" s="85"/>
      <c r="E139" s="85"/>
      <c r="F139" s="85"/>
      <c r="G139" s="85"/>
      <c r="H139" s="85"/>
      <c r="I139" s="85"/>
      <c r="J139" s="85"/>
    </row>
    <row r="140" spans="4:10" ht="14.25">
      <c r="D140" s="85"/>
      <c r="E140" s="85"/>
      <c r="F140" s="85"/>
      <c r="G140" s="85"/>
      <c r="H140" s="85"/>
      <c r="I140" s="85"/>
      <c r="J140" s="85"/>
    </row>
    <row r="141" spans="4:10" ht="14.25">
      <c r="D141" s="85"/>
      <c r="E141" s="85"/>
      <c r="F141" s="85"/>
      <c r="G141" s="85"/>
      <c r="H141" s="85"/>
      <c r="I141" s="85"/>
      <c r="J141" s="85"/>
    </row>
    <row r="142" spans="4:10" ht="14.25">
      <c r="D142" s="85"/>
      <c r="E142" s="85"/>
      <c r="F142" s="85"/>
      <c r="G142" s="85"/>
      <c r="H142" s="85"/>
      <c r="I142" s="85"/>
      <c r="J142" s="85"/>
    </row>
    <row r="143" spans="4:10" ht="14.25">
      <c r="D143" s="85"/>
      <c r="E143" s="85"/>
      <c r="F143" s="85"/>
      <c r="G143" s="85"/>
      <c r="H143" s="85"/>
      <c r="I143" s="85"/>
      <c r="J143" s="85"/>
    </row>
    <row r="144" spans="4:10" ht="14.25">
      <c r="D144" s="85"/>
      <c r="E144" s="85"/>
      <c r="F144" s="85"/>
      <c r="G144" s="85"/>
      <c r="H144" s="85"/>
      <c r="I144" s="85"/>
      <c r="J144" s="85"/>
    </row>
    <row r="145" spans="4:10" ht="14.25">
      <c r="D145" s="85"/>
      <c r="E145" s="85"/>
      <c r="F145" s="85"/>
      <c r="G145" s="85"/>
      <c r="H145" s="85"/>
      <c r="I145" s="85"/>
      <c r="J145" s="85"/>
    </row>
    <row r="146" spans="4:10" ht="14.25">
      <c r="D146" s="85"/>
      <c r="E146" s="85"/>
      <c r="F146" s="85"/>
      <c r="G146" s="85"/>
      <c r="H146" s="85"/>
      <c r="I146" s="85"/>
      <c r="J146" s="85"/>
    </row>
    <row r="147" spans="4:10" ht="14.25">
      <c r="D147" s="85"/>
      <c r="E147" s="85"/>
      <c r="F147" s="85"/>
      <c r="G147" s="85"/>
      <c r="H147" s="85"/>
      <c r="I147" s="85"/>
      <c r="J147" s="85"/>
    </row>
    <row r="148" spans="4:10" ht="14.25">
      <c r="D148" s="85"/>
      <c r="E148" s="85"/>
      <c r="F148" s="85"/>
      <c r="G148" s="85"/>
      <c r="H148" s="85"/>
      <c r="I148" s="85"/>
      <c r="J148" s="85"/>
    </row>
    <row r="149" spans="4:10" ht="14.25">
      <c r="D149" s="85"/>
      <c r="E149" s="85"/>
      <c r="F149" s="85"/>
      <c r="G149" s="85"/>
      <c r="H149" s="85"/>
      <c r="I149" s="85"/>
      <c r="J149" s="85"/>
    </row>
    <row r="150" spans="4:10" ht="14.25">
      <c r="D150" s="85"/>
      <c r="E150" s="85"/>
      <c r="F150" s="85"/>
      <c r="G150" s="85"/>
      <c r="H150" s="85"/>
      <c r="I150" s="85"/>
      <c r="J150" s="85"/>
    </row>
    <row r="151" spans="4:10" ht="14.25">
      <c r="D151" s="85"/>
      <c r="E151" s="85"/>
      <c r="F151" s="85"/>
      <c r="G151" s="85"/>
      <c r="H151" s="85"/>
      <c r="I151" s="85"/>
      <c r="J151" s="85"/>
    </row>
    <row r="152" spans="4:10" ht="14.25">
      <c r="D152" s="85"/>
      <c r="E152" s="85"/>
      <c r="F152" s="85"/>
      <c r="G152" s="85"/>
      <c r="H152" s="85"/>
      <c r="I152" s="85"/>
      <c r="J152" s="85"/>
    </row>
    <row r="153" spans="4:10" ht="14.25">
      <c r="D153" s="85"/>
      <c r="E153" s="85"/>
      <c r="F153" s="85"/>
      <c r="G153" s="85"/>
      <c r="H153" s="85"/>
      <c r="I153" s="85"/>
      <c r="J153" s="85"/>
    </row>
    <row r="154" spans="4:10" ht="14.25">
      <c r="D154" s="85"/>
      <c r="E154" s="85"/>
      <c r="F154" s="85"/>
      <c r="G154" s="85"/>
      <c r="H154" s="85"/>
      <c r="I154" s="85"/>
      <c r="J154" s="85"/>
    </row>
    <row r="155" spans="4:10" ht="14.25">
      <c r="D155" s="85"/>
      <c r="E155" s="85"/>
      <c r="F155" s="85"/>
      <c r="G155" s="85"/>
      <c r="H155" s="85"/>
      <c r="I155" s="85"/>
      <c r="J155" s="85"/>
    </row>
    <row r="156" spans="4:10" ht="14.25">
      <c r="D156" s="85"/>
      <c r="E156" s="85"/>
      <c r="F156" s="85"/>
      <c r="G156" s="85"/>
      <c r="H156" s="85"/>
      <c r="I156" s="85"/>
      <c r="J156" s="85"/>
    </row>
    <row r="157" spans="4:10" ht="14.25">
      <c r="D157" s="85"/>
      <c r="E157" s="85"/>
      <c r="F157" s="85"/>
      <c r="G157" s="85"/>
      <c r="H157" s="85"/>
      <c r="I157" s="85"/>
      <c r="J157" s="85"/>
    </row>
    <row r="158" spans="4:10" ht="14.25">
      <c r="D158" s="85"/>
      <c r="E158" s="85"/>
      <c r="F158" s="85"/>
      <c r="G158" s="85"/>
      <c r="H158" s="85"/>
      <c r="I158" s="85"/>
      <c r="J158" s="85"/>
    </row>
    <row r="159" spans="4:10" ht="14.25">
      <c r="D159" s="85"/>
      <c r="E159" s="85"/>
      <c r="F159" s="85"/>
      <c r="G159" s="85"/>
      <c r="H159" s="85"/>
      <c r="I159" s="85"/>
      <c r="J159" s="85"/>
    </row>
    <row r="160" spans="4:10" ht="14.25">
      <c r="D160" s="85"/>
      <c r="E160" s="85"/>
      <c r="F160" s="85"/>
      <c r="G160" s="85"/>
      <c r="H160" s="85"/>
      <c r="I160" s="85"/>
      <c r="J160" s="85"/>
    </row>
    <row r="161" spans="4:10" ht="14.25">
      <c r="D161" s="85"/>
      <c r="E161" s="85"/>
      <c r="F161" s="85"/>
      <c r="G161" s="85"/>
      <c r="H161" s="85"/>
      <c r="I161" s="85"/>
      <c r="J161" s="85"/>
    </row>
    <row r="162" spans="4:10" ht="14.25">
      <c r="D162" s="85"/>
      <c r="E162" s="85"/>
      <c r="F162" s="85"/>
      <c r="G162" s="85"/>
      <c r="H162" s="85"/>
      <c r="I162" s="85"/>
      <c r="J162" s="85"/>
    </row>
    <row r="163" spans="4:10" ht="14.25">
      <c r="D163" s="85"/>
      <c r="E163" s="85"/>
      <c r="F163" s="85"/>
      <c r="G163" s="85"/>
      <c r="H163" s="85"/>
      <c r="I163" s="85"/>
      <c r="J163" s="85"/>
    </row>
    <row r="164" spans="4:10" ht="14.25">
      <c r="D164" s="85"/>
      <c r="E164" s="85"/>
      <c r="F164" s="85"/>
      <c r="G164" s="85"/>
      <c r="H164" s="85"/>
      <c r="I164" s="85"/>
      <c r="J164" s="85"/>
    </row>
    <row r="165" spans="4:10" ht="14.25">
      <c r="D165" s="85"/>
      <c r="E165" s="85"/>
      <c r="F165" s="85"/>
      <c r="G165" s="85"/>
      <c r="H165" s="85"/>
      <c r="I165" s="85"/>
      <c r="J165" s="85"/>
    </row>
    <row r="166" spans="4:10" ht="14.25">
      <c r="D166" s="85"/>
      <c r="E166" s="85"/>
      <c r="F166" s="85"/>
      <c r="G166" s="85"/>
      <c r="H166" s="85"/>
      <c r="I166" s="85"/>
      <c r="J166" s="85"/>
    </row>
    <row r="167" spans="4:10" ht="14.25">
      <c r="D167" s="85"/>
      <c r="E167" s="85"/>
      <c r="F167" s="85"/>
      <c r="G167" s="85"/>
      <c r="H167" s="85"/>
      <c r="I167" s="85"/>
      <c r="J167" s="85"/>
    </row>
    <row r="168" spans="4:10" ht="14.25">
      <c r="D168" s="85"/>
      <c r="E168" s="85"/>
      <c r="F168" s="85"/>
      <c r="G168" s="85"/>
      <c r="H168" s="85"/>
      <c r="I168" s="85"/>
      <c r="J168" s="85"/>
    </row>
    <row r="169" spans="4:10" ht="14.25">
      <c r="D169" s="85"/>
      <c r="E169" s="85"/>
      <c r="F169" s="85"/>
      <c r="G169" s="85"/>
      <c r="H169" s="85"/>
      <c r="I169" s="85"/>
      <c r="J169" s="85"/>
    </row>
    <row r="170" spans="4:10" ht="14.25">
      <c r="D170" s="85"/>
      <c r="E170" s="85"/>
      <c r="F170" s="85"/>
      <c r="G170" s="85"/>
      <c r="H170" s="85"/>
      <c r="I170" s="85"/>
      <c r="J170" s="85"/>
    </row>
    <row r="171" spans="4:10" ht="14.25">
      <c r="D171" s="85"/>
      <c r="E171" s="85"/>
      <c r="F171" s="85"/>
      <c r="G171" s="85"/>
      <c r="H171" s="85"/>
      <c r="I171" s="85"/>
      <c r="J171" s="85"/>
    </row>
    <row r="172" spans="4:10" ht="14.25">
      <c r="D172" s="85"/>
      <c r="E172" s="85"/>
      <c r="F172" s="85"/>
      <c r="G172" s="85"/>
      <c r="H172" s="85"/>
      <c r="I172" s="85"/>
      <c r="J172" s="85"/>
    </row>
    <row r="173" spans="4:10" ht="14.25">
      <c r="D173" s="85"/>
      <c r="E173" s="85"/>
      <c r="F173" s="85"/>
      <c r="G173" s="85"/>
      <c r="H173" s="85"/>
      <c r="I173" s="85"/>
      <c r="J173" s="85"/>
    </row>
    <row r="174" spans="4:10" ht="14.25">
      <c r="D174" s="85"/>
      <c r="E174" s="85"/>
      <c r="F174" s="85"/>
      <c r="G174" s="85"/>
      <c r="H174" s="85"/>
      <c r="I174" s="85"/>
      <c r="J174" s="85"/>
    </row>
    <row r="175" spans="4:10" ht="14.25">
      <c r="D175" s="85"/>
      <c r="E175" s="85"/>
      <c r="F175" s="85"/>
      <c r="G175" s="85"/>
      <c r="H175" s="85"/>
      <c r="I175" s="85"/>
      <c r="J175" s="85"/>
    </row>
    <row r="176" spans="4:10" ht="14.25">
      <c r="D176" s="85"/>
      <c r="E176" s="85"/>
      <c r="F176" s="85"/>
      <c r="G176" s="85"/>
      <c r="H176" s="85"/>
      <c r="I176" s="85"/>
      <c r="J176" s="85"/>
    </row>
    <row r="177" spans="4:10" ht="14.25">
      <c r="D177" s="85"/>
      <c r="E177" s="85"/>
      <c r="F177" s="85"/>
      <c r="G177" s="85"/>
      <c r="H177" s="85"/>
      <c r="I177" s="85"/>
      <c r="J177" s="85"/>
    </row>
    <row r="178" spans="4:10" ht="14.25">
      <c r="D178" s="85"/>
      <c r="E178" s="85"/>
      <c r="F178" s="85"/>
      <c r="G178" s="85"/>
      <c r="H178" s="85"/>
      <c r="I178" s="85"/>
      <c r="J178" s="85"/>
    </row>
    <row r="179" spans="4:10" ht="14.25">
      <c r="D179" s="85"/>
      <c r="E179" s="85"/>
      <c r="F179" s="85"/>
      <c r="G179" s="85"/>
      <c r="H179" s="85"/>
      <c r="I179" s="85"/>
      <c r="J179" s="85"/>
    </row>
    <row r="180" spans="4:10" ht="14.25">
      <c r="D180" s="85"/>
      <c r="E180" s="85"/>
      <c r="F180" s="85"/>
      <c r="G180" s="85"/>
      <c r="H180" s="85"/>
      <c r="I180" s="85"/>
      <c r="J180" s="85"/>
    </row>
    <row r="181" spans="4:10" ht="14.25">
      <c r="D181" s="85"/>
      <c r="E181" s="85"/>
      <c r="F181" s="85"/>
      <c r="G181" s="85"/>
      <c r="H181" s="85"/>
      <c r="I181" s="85"/>
      <c r="J181" s="85"/>
    </row>
    <row r="182" spans="4:10" ht="14.25">
      <c r="D182" s="85"/>
      <c r="E182" s="85"/>
      <c r="F182" s="85"/>
      <c r="G182" s="85"/>
      <c r="H182" s="85"/>
      <c r="I182" s="85"/>
      <c r="J182" s="85"/>
    </row>
    <row r="183" spans="4:10" ht="14.25">
      <c r="D183" s="85"/>
      <c r="E183" s="85"/>
      <c r="F183" s="85"/>
      <c r="G183" s="85"/>
      <c r="H183" s="85"/>
      <c r="I183" s="85"/>
      <c r="J183" s="85"/>
    </row>
    <row r="184" spans="4:10" ht="14.25">
      <c r="D184" s="85"/>
      <c r="E184" s="85"/>
      <c r="F184" s="85"/>
      <c r="G184" s="85"/>
      <c r="H184" s="85"/>
      <c r="I184" s="85"/>
      <c r="J184" s="85"/>
    </row>
    <row r="185" spans="4:10" ht="14.25">
      <c r="D185" s="85"/>
      <c r="E185" s="85"/>
      <c r="F185" s="85"/>
      <c r="G185" s="85"/>
      <c r="H185" s="85"/>
      <c r="I185" s="85"/>
      <c r="J185" s="85"/>
    </row>
    <row r="186" spans="4:10" ht="14.25">
      <c r="D186" s="85"/>
      <c r="E186" s="85"/>
      <c r="F186" s="85"/>
      <c r="G186" s="85"/>
      <c r="H186" s="85"/>
      <c r="I186" s="85"/>
      <c r="J186" s="85"/>
    </row>
    <row r="187" spans="4:10" ht="14.25">
      <c r="D187" s="85"/>
      <c r="E187" s="85"/>
      <c r="F187" s="85"/>
      <c r="G187" s="85"/>
      <c r="H187" s="85"/>
      <c r="I187" s="85"/>
      <c r="J187" s="85"/>
    </row>
    <row r="188" spans="4:10" ht="14.25">
      <c r="D188" s="85"/>
      <c r="E188" s="85"/>
      <c r="F188" s="85"/>
      <c r="G188" s="85"/>
      <c r="H188" s="85"/>
      <c r="I188" s="85"/>
      <c r="J188" s="85"/>
    </row>
    <row r="189" spans="4:10" ht="14.25">
      <c r="D189" s="85"/>
      <c r="E189" s="85"/>
      <c r="F189" s="85"/>
      <c r="G189" s="85"/>
      <c r="H189" s="85"/>
      <c r="I189" s="85"/>
      <c r="J189" s="85"/>
    </row>
    <row r="190" spans="4:10" ht="14.25">
      <c r="D190" s="85"/>
      <c r="E190" s="85"/>
      <c r="F190" s="85"/>
      <c r="G190" s="85"/>
      <c r="H190" s="85"/>
      <c r="I190" s="85"/>
      <c r="J190" s="85"/>
    </row>
    <row r="191" spans="4:10" ht="14.25">
      <c r="D191" s="85"/>
      <c r="E191" s="85"/>
      <c r="F191" s="85"/>
      <c r="G191" s="85"/>
      <c r="H191" s="85"/>
      <c r="I191" s="85"/>
      <c r="J191" s="85"/>
    </row>
    <row r="192" spans="4:10" ht="14.25">
      <c r="D192" s="85"/>
      <c r="E192" s="85"/>
      <c r="F192" s="85"/>
      <c r="G192" s="85"/>
      <c r="H192" s="85"/>
      <c r="I192" s="85"/>
      <c r="J192" s="85"/>
    </row>
    <row r="193" spans="4:10" ht="14.25">
      <c r="D193" s="85"/>
      <c r="E193" s="85"/>
      <c r="F193" s="85"/>
      <c r="G193" s="85"/>
      <c r="H193" s="85"/>
      <c r="I193" s="85"/>
      <c r="J193" s="85"/>
    </row>
    <row r="194" spans="4:10" ht="14.25">
      <c r="D194" s="85"/>
      <c r="E194" s="85"/>
      <c r="F194" s="85"/>
      <c r="G194" s="85"/>
      <c r="H194" s="85"/>
      <c r="I194" s="85"/>
      <c r="J194" s="85"/>
    </row>
    <row r="195" spans="4:10" ht="14.25">
      <c r="D195" s="85"/>
      <c r="E195" s="85"/>
      <c r="F195" s="85"/>
      <c r="G195" s="85"/>
      <c r="H195" s="85"/>
      <c r="I195" s="85"/>
      <c r="J195" s="85"/>
    </row>
    <row r="196" spans="4:10" ht="14.25">
      <c r="D196" s="85"/>
      <c r="E196" s="85"/>
      <c r="F196" s="85"/>
      <c r="G196" s="85"/>
      <c r="H196" s="85"/>
      <c r="I196" s="85"/>
      <c r="J196" s="85"/>
    </row>
    <row r="197" spans="4:10" ht="14.25">
      <c r="D197" s="85"/>
      <c r="E197" s="85"/>
      <c r="F197" s="85"/>
      <c r="G197" s="85"/>
      <c r="H197" s="85"/>
      <c r="I197" s="85"/>
      <c r="J197" s="85"/>
    </row>
    <row r="198" spans="4:10" ht="14.25">
      <c r="D198" s="85"/>
      <c r="E198" s="85"/>
      <c r="F198" s="85"/>
      <c r="G198" s="85"/>
      <c r="H198" s="85"/>
      <c r="I198" s="85"/>
      <c r="J198" s="85"/>
    </row>
    <row r="199" spans="4:10" ht="14.25">
      <c r="D199" s="85"/>
      <c r="E199" s="85"/>
      <c r="F199" s="85"/>
      <c r="G199" s="85"/>
      <c r="H199" s="85"/>
      <c r="I199" s="85"/>
      <c r="J199" s="85"/>
    </row>
    <row r="200" spans="4:10" ht="14.25">
      <c r="D200" s="85"/>
      <c r="E200" s="85"/>
      <c r="F200" s="85"/>
      <c r="G200" s="85"/>
      <c r="H200" s="85"/>
      <c r="I200" s="85"/>
      <c r="J200" s="85"/>
    </row>
    <row r="201" spans="4:10" ht="14.25">
      <c r="D201" s="85"/>
      <c r="E201" s="85"/>
      <c r="F201" s="85"/>
      <c r="G201" s="85"/>
      <c r="H201" s="85"/>
      <c r="I201" s="85"/>
      <c r="J201" s="85"/>
    </row>
    <row r="202" spans="4:10" ht="14.25">
      <c r="D202" s="85"/>
      <c r="E202" s="85"/>
      <c r="F202" s="85"/>
      <c r="G202" s="85"/>
      <c r="H202" s="85"/>
      <c r="I202" s="85"/>
      <c r="J202" s="85"/>
    </row>
    <row r="203" spans="4:10" ht="14.25">
      <c r="D203" s="85"/>
      <c r="E203" s="85"/>
      <c r="F203" s="85"/>
      <c r="G203" s="85"/>
      <c r="H203" s="85"/>
      <c r="I203" s="85"/>
      <c r="J203" s="85"/>
    </row>
    <row r="204" spans="4:10" ht="14.25">
      <c r="D204" s="85"/>
      <c r="E204" s="85"/>
      <c r="F204" s="85"/>
      <c r="G204" s="85"/>
      <c r="H204" s="85"/>
      <c r="I204" s="85"/>
      <c r="J204" s="85"/>
    </row>
    <row r="205" spans="4:10" ht="14.25">
      <c r="D205" s="85"/>
      <c r="E205" s="85"/>
      <c r="F205" s="85"/>
      <c r="G205" s="85"/>
      <c r="H205" s="85"/>
      <c r="I205" s="85"/>
      <c r="J205" s="85"/>
    </row>
    <row r="206" spans="4:10" ht="14.25">
      <c r="D206" s="85"/>
      <c r="E206" s="85"/>
      <c r="F206" s="85"/>
      <c r="G206" s="85"/>
      <c r="H206" s="85"/>
      <c r="I206" s="85"/>
      <c r="J206" s="85"/>
    </row>
    <row r="207" spans="4:10" ht="14.25">
      <c r="D207" s="85"/>
      <c r="E207" s="85"/>
      <c r="F207" s="85"/>
      <c r="G207" s="85"/>
      <c r="H207" s="85"/>
      <c r="I207" s="85"/>
      <c r="J207" s="85"/>
    </row>
    <row r="208" spans="4:10" ht="14.25">
      <c r="D208" s="85"/>
      <c r="E208" s="85"/>
      <c r="F208" s="85"/>
      <c r="G208" s="85"/>
      <c r="H208" s="85"/>
      <c r="I208" s="85"/>
      <c r="J208" s="85"/>
    </row>
    <row r="209" spans="4:10" ht="14.25">
      <c r="D209" s="85"/>
      <c r="E209" s="85"/>
      <c r="F209" s="85"/>
      <c r="G209" s="85"/>
      <c r="H209" s="85"/>
      <c r="I209" s="85"/>
      <c r="J209" s="85"/>
    </row>
    <row r="210" spans="4:10" ht="14.25">
      <c r="D210" s="85"/>
      <c r="E210" s="85"/>
      <c r="F210" s="85"/>
      <c r="G210" s="85"/>
      <c r="H210" s="85"/>
      <c r="I210" s="85"/>
      <c r="J210" s="85"/>
    </row>
    <row r="211" spans="4:10" ht="14.25">
      <c r="D211" s="85"/>
      <c r="E211" s="85"/>
      <c r="F211" s="85"/>
      <c r="G211" s="85"/>
      <c r="H211" s="85"/>
      <c r="I211" s="85"/>
      <c r="J211" s="85"/>
    </row>
    <row r="212" spans="4:10" ht="14.25">
      <c r="D212" s="85"/>
      <c r="E212" s="85"/>
      <c r="F212" s="85"/>
      <c r="G212" s="85"/>
      <c r="H212" s="85"/>
      <c r="I212" s="85"/>
      <c r="J212" s="85"/>
    </row>
    <row r="213" spans="4:10" ht="14.25">
      <c r="D213" s="85"/>
      <c r="E213" s="85"/>
      <c r="F213" s="85"/>
      <c r="G213" s="85"/>
      <c r="H213" s="85"/>
      <c r="I213" s="85"/>
      <c r="J213" s="85"/>
    </row>
    <row r="214" spans="4:10" ht="14.25">
      <c r="D214" s="85"/>
      <c r="E214" s="85"/>
      <c r="F214" s="85"/>
      <c r="G214" s="85"/>
      <c r="H214" s="85"/>
      <c r="I214" s="85"/>
      <c r="J214" s="85"/>
    </row>
    <row r="215" spans="4:10" ht="14.25">
      <c r="D215" s="85"/>
      <c r="E215" s="85"/>
      <c r="F215" s="85"/>
      <c r="G215" s="85"/>
      <c r="H215" s="85"/>
      <c r="I215" s="85"/>
      <c r="J215" s="85"/>
    </row>
    <row r="216" spans="4:10" ht="14.25">
      <c r="D216" s="85"/>
      <c r="E216" s="85"/>
      <c r="F216" s="85"/>
      <c r="G216" s="85"/>
      <c r="H216" s="85"/>
      <c r="I216" s="85"/>
      <c r="J216" s="85"/>
    </row>
    <row r="217" spans="4:10" ht="14.25">
      <c r="D217" s="85"/>
      <c r="E217" s="85"/>
      <c r="F217" s="85"/>
      <c r="G217" s="85"/>
      <c r="H217" s="85"/>
      <c r="I217" s="85"/>
      <c r="J217" s="85"/>
    </row>
    <row r="218" spans="4:10" ht="14.25">
      <c r="D218" s="85"/>
      <c r="E218" s="85"/>
      <c r="F218" s="85"/>
      <c r="G218" s="85"/>
      <c r="H218" s="85"/>
      <c r="I218" s="85"/>
      <c r="J218" s="85"/>
    </row>
    <row r="219" spans="4:10" ht="14.25">
      <c r="D219" s="85"/>
      <c r="E219" s="85"/>
      <c r="F219" s="85"/>
      <c r="G219" s="85"/>
      <c r="H219" s="85"/>
      <c r="I219" s="85"/>
      <c r="J219" s="85"/>
    </row>
    <row r="220" spans="4:10" ht="14.25">
      <c r="D220" s="85"/>
      <c r="E220" s="85"/>
      <c r="F220" s="85"/>
      <c r="G220" s="85"/>
      <c r="H220" s="85"/>
      <c r="I220" s="85"/>
      <c r="J220" s="85"/>
    </row>
    <row r="221" spans="4:10" ht="14.25">
      <c r="D221" s="85"/>
      <c r="E221" s="85"/>
      <c r="F221" s="85"/>
      <c r="G221" s="85"/>
      <c r="H221" s="85"/>
      <c r="I221" s="85"/>
      <c r="J221" s="85"/>
    </row>
    <row r="222" spans="4:10" ht="14.25">
      <c r="D222" s="85"/>
      <c r="E222" s="85"/>
      <c r="F222" s="85"/>
      <c r="G222" s="85"/>
      <c r="H222" s="85"/>
      <c r="I222" s="85"/>
      <c r="J222" s="85"/>
    </row>
    <row r="223" spans="4:10" ht="14.25">
      <c r="D223" s="85"/>
      <c r="E223" s="85"/>
      <c r="F223" s="85"/>
      <c r="G223" s="85"/>
      <c r="H223" s="85"/>
      <c r="I223" s="85"/>
      <c r="J223" s="85"/>
    </row>
    <row r="224" spans="4:10" ht="14.25">
      <c r="D224" s="85"/>
      <c r="E224" s="85"/>
      <c r="F224" s="85"/>
      <c r="G224" s="85"/>
      <c r="H224" s="85"/>
      <c r="I224" s="85"/>
      <c r="J224" s="85"/>
    </row>
    <row r="225" spans="4:10" ht="14.25">
      <c r="D225" s="85"/>
      <c r="E225" s="85"/>
      <c r="F225" s="85"/>
      <c r="G225" s="85"/>
      <c r="H225" s="85"/>
      <c r="I225" s="85"/>
      <c r="J225" s="85"/>
    </row>
    <row r="226" spans="4:10" ht="14.25">
      <c r="D226" s="85"/>
      <c r="E226" s="85"/>
      <c r="F226" s="85"/>
      <c r="G226" s="85"/>
      <c r="H226" s="85"/>
      <c r="I226" s="85"/>
      <c r="J226" s="85"/>
    </row>
    <row r="227" spans="4:10" ht="14.25">
      <c r="D227" s="85"/>
      <c r="E227" s="85"/>
      <c r="F227" s="85"/>
      <c r="G227" s="85"/>
      <c r="H227" s="85"/>
      <c r="I227" s="85"/>
      <c r="J227" s="85"/>
    </row>
    <row r="228" spans="4:10" ht="14.25">
      <c r="D228" s="85"/>
      <c r="E228" s="85"/>
      <c r="F228" s="85"/>
      <c r="G228" s="85"/>
      <c r="H228" s="85"/>
      <c r="I228" s="85"/>
      <c r="J228" s="85"/>
    </row>
    <row r="229" spans="4:10" ht="14.25">
      <c r="D229" s="85"/>
      <c r="E229" s="85"/>
      <c r="F229" s="85"/>
      <c r="G229" s="85"/>
      <c r="H229" s="85"/>
      <c r="I229" s="85"/>
      <c r="J229" s="85"/>
    </row>
    <row r="230" spans="4:10" ht="14.25">
      <c r="D230" s="85"/>
      <c r="E230" s="85"/>
      <c r="F230" s="85"/>
      <c r="G230" s="85"/>
      <c r="H230" s="85"/>
      <c r="I230" s="85"/>
      <c r="J230" s="85"/>
    </row>
    <row r="231" spans="4:10" ht="14.25">
      <c r="D231" s="85"/>
      <c r="E231" s="85"/>
      <c r="F231" s="85"/>
      <c r="G231" s="85"/>
      <c r="H231" s="85"/>
      <c r="I231" s="85"/>
      <c r="J231" s="85"/>
    </row>
    <row r="232" spans="4:10" ht="14.25">
      <c r="D232" s="85"/>
      <c r="E232" s="85"/>
      <c r="F232" s="85"/>
      <c r="G232" s="85"/>
      <c r="H232" s="85"/>
      <c r="I232" s="85"/>
      <c r="J232" s="85"/>
    </row>
    <row r="233" spans="4:10" ht="14.25">
      <c r="D233" s="85"/>
      <c r="E233" s="85"/>
      <c r="F233" s="85"/>
      <c r="G233" s="85"/>
      <c r="H233" s="85"/>
      <c r="I233" s="85"/>
      <c r="J233" s="85"/>
    </row>
    <row r="234" spans="4:10" ht="14.25">
      <c r="D234" s="85"/>
      <c r="E234" s="85"/>
      <c r="F234" s="85"/>
      <c r="G234" s="85"/>
      <c r="H234" s="85"/>
      <c r="I234" s="85"/>
      <c r="J234" s="85"/>
    </row>
    <row r="235" spans="4:10" ht="14.25">
      <c r="D235" s="85"/>
      <c r="E235" s="85"/>
      <c r="F235" s="85"/>
      <c r="G235" s="85"/>
      <c r="H235" s="85"/>
      <c r="I235" s="85"/>
      <c r="J235" s="85"/>
    </row>
    <row r="236" spans="4:10" ht="14.25">
      <c r="D236" s="85"/>
      <c r="E236" s="85"/>
      <c r="F236" s="85"/>
      <c r="G236" s="85"/>
      <c r="H236" s="85"/>
      <c r="I236" s="85"/>
      <c r="J236" s="85"/>
    </row>
    <row r="237" spans="4:10" ht="14.25">
      <c r="D237" s="85"/>
      <c r="E237" s="85"/>
      <c r="F237" s="85"/>
      <c r="G237" s="85"/>
      <c r="H237" s="85"/>
      <c r="I237" s="85"/>
      <c r="J237" s="85"/>
    </row>
    <row r="238" spans="4:10" ht="14.25">
      <c r="D238" s="85"/>
      <c r="E238" s="85"/>
      <c r="F238" s="85"/>
      <c r="G238" s="85"/>
      <c r="H238" s="85"/>
      <c r="I238" s="85"/>
      <c r="J238" s="85"/>
    </row>
    <row r="239" spans="4:10" ht="14.25">
      <c r="D239" s="85"/>
      <c r="E239" s="85"/>
      <c r="F239" s="85"/>
      <c r="G239" s="85"/>
      <c r="H239" s="85"/>
      <c r="I239" s="85"/>
      <c r="J239" s="85"/>
    </row>
    <row r="240" spans="4:10" ht="14.25">
      <c r="D240" s="85"/>
      <c r="E240" s="85"/>
      <c r="F240" s="85"/>
      <c r="G240" s="85"/>
      <c r="H240" s="85"/>
      <c r="I240" s="85"/>
      <c r="J240" s="85"/>
    </row>
    <row r="241" spans="4:10" ht="14.25">
      <c r="D241" s="85"/>
      <c r="E241" s="85"/>
      <c r="F241" s="85"/>
      <c r="G241" s="85"/>
      <c r="H241" s="85"/>
      <c r="I241" s="85"/>
      <c r="J241" s="85"/>
    </row>
    <row r="242" spans="4:10" ht="14.25">
      <c r="D242" s="85"/>
      <c r="E242" s="85"/>
      <c r="F242" s="85"/>
      <c r="G242" s="85"/>
      <c r="H242" s="85"/>
      <c r="I242" s="85"/>
      <c r="J242" s="85"/>
    </row>
    <row r="243" spans="4:10" ht="14.25">
      <c r="D243" s="85"/>
      <c r="E243" s="85"/>
      <c r="F243" s="85"/>
      <c r="G243" s="85"/>
      <c r="H243" s="85"/>
      <c r="I243" s="85"/>
      <c r="J243" s="85"/>
    </row>
    <row r="244" spans="4:10" ht="14.25">
      <c r="D244" s="85"/>
      <c r="E244" s="85"/>
      <c r="F244" s="85"/>
      <c r="G244" s="85"/>
      <c r="H244" s="85"/>
      <c r="I244" s="85"/>
      <c r="J244" s="85"/>
    </row>
    <row r="245" spans="4:10" ht="14.25">
      <c r="D245" s="85"/>
      <c r="E245" s="85"/>
      <c r="F245" s="85"/>
      <c r="G245" s="85"/>
      <c r="H245" s="85"/>
      <c r="I245" s="85"/>
      <c r="J245" s="85"/>
    </row>
    <row r="246" spans="4:10" ht="14.25">
      <c r="D246" s="85"/>
      <c r="E246" s="85"/>
      <c r="F246" s="85"/>
      <c r="G246" s="85"/>
      <c r="H246" s="85"/>
      <c r="I246" s="85"/>
      <c r="J246" s="85"/>
    </row>
    <row r="247" spans="4:10" ht="14.25">
      <c r="D247" s="85"/>
      <c r="E247" s="85"/>
      <c r="F247" s="85"/>
      <c r="G247" s="85"/>
      <c r="H247" s="85"/>
      <c r="I247" s="85"/>
      <c r="J247" s="85"/>
    </row>
    <row r="248" spans="4:10" ht="14.25">
      <c r="D248" s="85"/>
      <c r="E248" s="85"/>
      <c r="F248" s="85"/>
      <c r="G248" s="85"/>
      <c r="H248" s="85"/>
      <c r="I248" s="85"/>
      <c r="J248" s="85"/>
    </row>
    <row r="249" spans="4:10" ht="14.25">
      <c r="D249" s="85"/>
      <c r="E249" s="85"/>
      <c r="F249" s="85"/>
      <c r="G249" s="85"/>
      <c r="H249" s="85"/>
      <c r="I249" s="85"/>
      <c r="J249" s="85"/>
    </row>
    <row r="250" spans="4:10" ht="14.25">
      <c r="D250" s="85"/>
      <c r="E250" s="85"/>
      <c r="F250" s="85"/>
      <c r="G250" s="85"/>
      <c r="H250" s="85"/>
      <c r="I250" s="85"/>
      <c r="J250" s="85"/>
    </row>
    <row r="251" spans="4:10" ht="14.25">
      <c r="D251" s="85"/>
      <c r="E251" s="85"/>
      <c r="F251" s="85"/>
      <c r="G251" s="85"/>
      <c r="H251" s="85"/>
      <c r="I251" s="85"/>
      <c r="J251" s="85"/>
    </row>
    <row r="252" spans="4:10" ht="14.25">
      <c r="D252" s="85"/>
      <c r="E252" s="85"/>
      <c r="F252" s="85"/>
      <c r="G252" s="85"/>
      <c r="H252" s="85"/>
      <c r="I252" s="85"/>
      <c r="J252" s="85"/>
    </row>
    <row r="253" spans="4:10" ht="14.25">
      <c r="D253" s="85"/>
      <c r="E253" s="85"/>
      <c r="F253" s="85"/>
      <c r="G253" s="85"/>
      <c r="H253" s="85"/>
      <c r="I253" s="85"/>
      <c r="J253" s="85"/>
    </row>
    <row r="254" spans="4:10" ht="14.25">
      <c r="D254" s="85"/>
      <c r="E254" s="85"/>
      <c r="F254" s="85"/>
      <c r="G254" s="85"/>
      <c r="H254" s="85"/>
      <c r="I254" s="85"/>
      <c r="J254" s="85"/>
    </row>
    <row r="255" spans="4:10" ht="14.25">
      <c r="D255" s="85"/>
      <c r="E255" s="85"/>
      <c r="F255" s="85"/>
      <c r="G255" s="85"/>
      <c r="H255" s="85"/>
      <c r="I255" s="85"/>
      <c r="J255" s="85"/>
    </row>
    <row r="256" spans="4:10" ht="14.25">
      <c r="D256" s="85"/>
      <c r="E256" s="85"/>
      <c r="F256" s="85"/>
      <c r="G256" s="85"/>
      <c r="H256" s="85"/>
      <c r="I256" s="85"/>
      <c r="J256" s="85"/>
    </row>
    <row r="257" spans="4:10" ht="14.25">
      <c r="D257" s="85"/>
      <c r="E257" s="85"/>
      <c r="F257" s="85"/>
      <c r="G257" s="85"/>
      <c r="H257" s="85"/>
      <c r="I257" s="85"/>
      <c r="J257" s="85"/>
    </row>
    <row r="258" spans="4:10" ht="14.25">
      <c r="D258" s="85"/>
      <c r="E258" s="85"/>
      <c r="F258" s="85"/>
      <c r="G258" s="85"/>
      <c r="H258" s="85"/>
      <c r="I258" s="85"/>
      <c r="J258" s="85"/>
    </row>
    <row r="259" spans="4:10" ht="14.25">
      <c r="D259" s="85"/>
      <c r="E259" s="85"/>
      <c r="F259" s="85"/>
      <c r="G259" s="85"/>
      <c r="H259" s="85"/>
      <c r="I259" s="85"/>
      <c r="J259" s="85"/>
    </row>
    <row r="260" spans="4:10" ht="14.25">
      <c r="D260" s="85"/>
      <c r="E260" s="85"/>
      <c r="F260" s="85"/>
      <c r="G260" s="85"/>
      <c r="H260" s="85"/>
      <c r="I260" s="85"/>
      <c r="J260" s="85"/>
    </row>
    <row r="261" spans="4:10" ht="14.25">
      <c r="D261" s="85"/>
      <c r="E261" s="85"/>
      <c r="F261" s="85"/>
      <c r="G261" s="85"/>
      <c r="H261" s="85"/>
      <c r="I261" s="85"/>
      <c r="J261" s="85"/>
    </row>
    <row r="262" spans="4:10" ht="14.25">
      <c r="D262" s="85"/>
      <c r="E262" s="85"/>
      <c r="F262" s="85"/>
      <c r="G262" s="85"/>
      <c r="H262" s="85"/>
      <c r="I262" s="85"/>
      <c r="J262" s="85"/>
    </row>
    <row r="263" spans="4:10" ht="14.25">
      <c r="D263" s="85"/>
      <c r="E263" s="85"/>
      <c r="F263" s="85"/>
      <c r="G263" s="85"/>
      <c r="H263" s="85"/>
      <c r="I263" s="85"/>
      <c r="J263" s="85"/>
    </row>
    <row r="264" spans="4:10" ht="14.25">
      <c r="D264" s="85"/>
      <c r="E264" s="85"/>
      <c r="F264" s="85"/>
      <c r="G264" s="85"/>
      <c r="H264" s="85"/>
      <c r="I264" s="85"/>
      <c r="J264" s="85"/>
    </row>
    <row r="265" spans="4:10" ht="14.25">
      <c r="D265" s="85"/>
      <c r="E265" s="85"/>
      <c r="F265" s="85"/>
      <c r="G265" s="85"/>
      <c r="H265" s="85"/>
      <c r="I265" s="85"/>
      <c r="J265" s="85"/>
    </row>
    <row r="266" spans="4:10" ht="14.25">
      <c r="D266" s="85"/>
      <c r="E266" s="85"/>
      <c r="F266" s="85"/>
      <c r="G266" s="85"/>
      <c r="H266" s="85"/>
      <c r="I266" s="85"/>
      <c r="J266" s="85"/>
    </row>
    <row r="267" spans="4:10" ht="14.25">
      <c r="D267" s="85"/>
      <c r="E267" s="85"/>
      <c r="F267" s="85"/>
      <c r="G267" s="85"/>
      <c r="H267" s="85"/>
      <c r="I267" s="85"/>
      <c r="J267" s="85"/>
    </row>
    <row r="268" spans="4:10" ht="14.25">
      <c r="D268" s="85"/>
      <c r="E268" s="85"/>
      <c r="F268" s="85"/>
      <c r="G268" s="85"/>
      <c r="H268" s="85"/>
      <c r="I268" s="85"/>
      <c r="J268" s="85"/>
    </row>
    <row r="269" spans="4:10" ht="14.25">
      <c r="D269" s="85"/>
      <c r="E269" s="85"/>
      <c r="F269" s="85"/>
      <c r="G269" s="85"/>
      <c r="H269" s="85"/>
      <c r="I269" s="85"/>
      <c r="J269" s="85"/>
    </row>
    <row r="270" spans="4:10" ht="14.25">
      <c r="D270" s="85"/>
      <c r="E270" s="85"/>
      <c r="F270" s="85"/>
      <c r="G270" s="85"/>
      <c r="H270" s="85"/>
      <c r="I270" s="85"/>
      <c r="J270" s="85"/>
    </row>
    <row r="271" spans="4:10" ht="14.25">
      <c r="D271" s="85"/>
      <c r="E271" s="85"/>
      <c r="F271" s="85"/>
      <c r="G271" s="85"/>
      <c r="H271" s="85"/>
      <c r="I271" s="85"/>
      <c r="J271" s="85"/>
    </row>
    <row r="272" spans="4:10" ht="14.25">
      <c r="D272" s="85"/>
      <c r="E272" s="85"/>
      <c r="F272" s="85"/>
      <c r="G272" s="85"/>
      <c r="H272" s="85"/>
      <c r="I272" s="85"/>
      <c r="J272" s="85"/>
    </row>
    <row r="273" spans="4:10" ht="14.25">
      <c r="D273" s="85"/>
      <c r="E273" s="85"/>
      <c r="F273" s="85"/>
      <c r="G273" s="85"/>
      <c r="H273" s="85"/>
      <c r="I273" s="85"/>
      <c r="J273" s="85"/>
    </row>
    <row r="274" spans="4:10" ht="14.25">
      <c r="D274" s="85"/>
      <c r="E274" s="85"/>
      <c r="F274" s="85"/>
      <c r="G274" s="85"/>
      <c r="H274" s="85"/>
      <c r="I274" s="85"/>
      <c r="J274" s="85"/>
    </row>
    <row r="275" spans="4:10" ht="14.25">
      <c r="D275" s="85"/>
      <c r="E275" s="85"/>
      <c r="F275" s="85"/>
      <c r="G275" s="85"/>
      <c r="H275" s="85"/>
      <c r="I275" s="85"/>
      <c r="J275" s="85"/>
    </row>
    <row r="276" spans="4:10" ht="14.25">
      <c r="D276" s="85"/>
      <c r="E276" s="85"/>
      <c r="F276" s="85"/>
      <c r="G276" s="85"/>
      <c r="H276" s="85"/>
      <c r="I276" s="85"/>
      <c r="J276" s="85"/>
    </row>
    <row r="277" spans="4:10" ht="14.25">
      <c r="D277" s="85"/>
      <c r="E277" s="85"/>
      <c r="F277" s="85"/>
      <c r="G277" s="85"/>
      <c r="H277" s="85"/>
      <c r="I277" s="85"/>
      <c r="J277" s="85"/>
    </row>
    <row r="278" spans="4:10" ht="14.25">
      <c r="D278" s="85"/>
      <c r="E278" s="85"/>
      <c r="F278" s="85"/>
      <c r="G278" s="85"/>
      <c r="H278" s="85"/>
      <c r="I278" s="85"/>
      <c r="J278" s="85"/>
    </row>
    <row r="279" spans="4:10" ht="14.25">
      <c r="D279" s="85"/>
      <c r="E279" s="85"/>
      <c r="F279" s="85"/>
      <c r="G279" s="85"/>
      <c r="H279" s="85"/>
      <c r="I279" s="85"/>
      <c r="J279" s="85"/>
    </row>
    <row r="280" spans="4:10" ht="14.25">
      <c r="D280" s="85"/>
      <c r="E280" s="85"/>
      <c r="F280" s="85"/>
      <c r="G280" s="85"/>
      <c r="H280" s="85"/>
      <c r="I280" s="85"/>
      <c r="J280" s="85"/>
    </row>
    <row r="281" spans="4:10" ht="14.25">
      <c r="D281" s="85"/>
      <c r="E281" s="85"/>
      <c r="F281" s="85"/>
      <c r="G281" s="85"/>
      <c r="H281" s="85"/>
      <c r="I281" s="85"/>
      <c r="J281" s="85"/>
    </row>
    <row r="282" spans="4:10" ht="14.25">
      <c r="D282" s="85"/>
      <c r="E282" s="85"/>
      <c r="F282" s="85"/>
      <c r="G282" s="85"/>
      <c r="H282" s="85"/>
      <c r="I282" s="85"/>
      <c r="J282" s="85"/>
    </row>
    <row r="283" spans="4:10" ht="14.25">
      <c r="D283" s="85"/>
      <c r="E283" s="85"/>
      <c r="F283" s="85"/>
      <c r="G283" s="85"/>
      <c r="H283" s="85"/>
      <c r="I283" s="85"/>
      <c r="J283" s="85"/>
    </row>
    <row r="284" spans="4:10" ht="14.25">
      <c r="D284" s="85"/>
      <c r="E284" s="85"/>
      <c r="F284" s="85"/>
      <c r="G284" s="85"/>
      <c r="H284" s="85"/>
      <c r="I284" s="85"/>
      <c r="J284" s="85"/>
    </row>
    <row r="285" spans="4:10" ht="14.25">
      <c r="D285" s="85"/>
      <c r="E285" s="85"/>
      <c r="F285" s="85"/>
      <c r="G285" s="85"/>
      <c r="H285" s="85"/>
      <c r="I285" s="85"/>
      <c r="J285" s="85"/>
    </row>
    <row r="286" spans="4:10" ht="14.25">
      <c r="D286" s="85"/>
      <c r="E286" s="85"/>
      <c r="F286" s="85"/>
      <c r="G286" s="85"/>
      <c r="H286" s="85"/>
      <c r="I286" s="85"/>
      <c r="J286" s="85"/>
    </row>
    <row r="287" spans="4:10" ht="14.25">
      <c r="D287" s="85"/>
      <c r="E287" s="85"/>
      <c r="F287" s="85"/>
      <c r="G287" s="85"/>
      <c r="H287" s="85"/>
      <c r="I287" s="85"/>
      <c r="J287" s="85"/>
    </row>
    <row r="288" spans="4:10" ht="14.25">
      <c r="D288" s="85"/>
      <c r="E288" s="85"/>
      <c r="F288" s="85"/>
      <c r="G288" s="85"/>
      <c r="H288" s="85"/>
      <c r="I288" s="85"/>
      <c r="J288" s="85"/>
    </row>
    <row r="289" spans="4:10" ht="14.25">
      <c r="D289" s="85"/>
      <c r="E289" s="85"/>
      <c r="F289" s="85"/>
      <c r="G289" s="85"/>
      <c r="H289" s="85"/>
      <c r="I289" s="85"/>
      <c r="J289" s="85"/>
    </row>
    <row r="290" spans="4:10" ht="14.25">
      <c r="D290" s="85"/>
      <c r="E290" s="85"/>
      <c r="F290" s="85"/>
      <c r="G290" s="85"/>
      <c r="H290" s="85"/>
      <c r="I290" s="85"/>
      <c r="J290" s="85"/>
    </row>
    <row r="291" spans="4:10" ht="14.25">
      <c r="D291" s="85"/>
      <c r="E291" s="85"/>
      <c r="F291" s="85"/>
      <c r="G291" s="85"/>
      <c r="H291" s="85"/>
      <c r="I291" s="85"/>
      <c r="J291" s="85"/>
    </row>
    <row r="292" spans="4:10" ht="14.25">
      <c r="D292" s="85"/>
      <c r="E292" s="85"/>
      <c r="F292" s="85"/>
      <c r="G292" s="85"/>
      <c r="H292" s="85"/>
      <c r="I292" s="85"/>
      <c r="J292" s="85"/>
    </row>
    <row r="293" spans="4:10" ht="14.25">
      <c r="D293" s="85"/>
      <c r="E293" s="85"/>
      <c r="F293" s="85"/>
      <c r="G293" s="85"/>
      <c r="H293" s="85"/>
      <c r="I293" s="85"/>
      <c r="J293" s="85"/>
    </row>
    <row r="294" spans="4:10" ht="14.25">
      <c r="D294" s="85"/>
      <c r="E294" s="85"/>
      <c r="F294" s="85"/>
      <c r="G294" s="85"/>
      <c r="H294" s="85"/>
      <c r="I294" s="85"/>
      <c r="J294" s="85"/>
    </row>
    <row r="295" spans="4:10" ht="14.25">
      <c r="D295" s="85"/>
      <c r="E295" s="85"/>
      <c r="F295" s="85"/>
      <c r="G295" s="85"/>
      <c r="H295" s="85"/>
      <c r="I295" s="85"/>
      <c r="J295" s="85"/>
    </row>
    <row r="296" spans="4:10" ht="14.25">
      <c r="D296" s="85"/>
      <c r="E296" s="85"/>
      <c r="F296" s="85"/>
      <c r="G296" s="85"/>
      <c r="H296" s="85"/>
      <c r="I296" s="85"/>
      <c r="J296" s="85"/>
    </row>
    <row r="297" spans="4:10" ht="14.25">
      <c r="D297" s="85"/>
      <c r="E297" s="85"/>
      <c r="F297" s="85"/>
      <c r="G297" s="85"/>
      <c r="H297" s="85"/>
      <c r="I297" s="85"/>
      <c r="J297" s="85"/>
    </row>
    <row r="298" spans="4:10" ht="14.25">
      <c r="D298" s="85"/>
      <c r="E298" s="85"/>
      <c r="F298" s="85"/>
      <c r="G298" s="85"/>
      <c r="H298" s="85"/>
      <c r="I298" s="85"/>
      <c r="J298" s="85"/>
    </row>
    <row r="299" spans="4:10" ht="14.25">
      <c r="D299" s="85"/>
      <c r="E299" s="85"/>
      <c r="F299" s="85"/>
      <c r="G299" s="85"/>
      <c r="H299" s="85"/>
      <c r="I299" s="85"/>
      <c r="J299" s="85"/>
    </row>
    <row r="300" spans="4:10" ht="14.25">
      <c r="D300" s="85"/>
      <c r="E300" s="85"/>
      <c r="F300" s="85"/>
      <c r="G300" s="85"/>
      <c r="H300" s="85"/>
      <c r="I300" s="85"/>
      <c r="J300" s="85"/>
    </row>
    <row r="301" spans="4:10" ht="14.25">
      <c r="D301" s="85"/>
      <c r="E301" s="85"/>
      <c r="F301" s="85"/>
      <c r="G301" s="85"/>
      <c r="H301" s="85"/>
      <c r="I301" s="85"/>
      <c r="J301" s="85"/>
    </row>
    <row r="302" spans="4:10" ht="14.25">
      <c r="D302" s="85"/>
      <c r="E302" s="85"/>
      <c r="F302" s="85"/>
      <c r="G302" s="85"/>
      <c r="H302" s="85"/>
      <c r="I302" s="85"/>
      <c r="J302" s="85"/>
    </row>
    <row r="303" spans="4:10" ht="14.25">
      <c r="D303" s="85"/>
      <c r="E303" s="85"/>
      <c r="F303" s="85"/>
      <c r="G303" s="85"/>
      <c r="H303" s="85"/>
      <c r="I303" s="85"/>
      <c r="J303" s="85"/>
    </row>
    <row r="304" spans="4:10" ht="14.25">
      <c r="D304" s="85"/>
      <c r="E304" s="85"/>
      <c r="F304" s="85"/>
      <c r="G304" s="85"/>
      <c r="H304" s="85"/>
      <c r="I304" s="85"/>
      <c r="J304" s="85"/>
    </row>
    <row r="305" spans="4:10" ht="14.25">
      <c r="D305" s="85"/>
      <c r="E305" s="85"/>
      <c r="F305" s="85"/>
      <c r="G305" s="85"/>
      <c r="H305" s="85"/>
      <c r="I305" s="85"/>
      <c r="J305" s="85"/>
    </row>
    <row r="306" spans="4:10" ht="14.25">
      <c r="D306" s="85"/>
      <c r="E306" s="85"/>
      <c r="F306" s="85"/>
      <c r="G306" s="85"/>
      <c r="H306" s="85"/>
      <c r="I306" s="85"/>
      <c r="J306" s="85"/>
    </row>
    <row r="307" spans="4:10" ht="14.25">
      <c r="D307" s="85"/>
      <c r="E307" s="85"/>
      <c r="F307" s="85"/>
      <c r="G307" s="85"/>
      <c r="H307" s="85"/>
      <c r="I307" s="85"/>
      <c r="J307" s="85"/>
    </row>
    <row r="308" spans="4:10" ht="14.25">
      <c r="D308" s="85"/>
      <c r="E308" s="85"/>
      <c r="F308" s="85"/>
      <c r="G308" s="85"/>
      <c r="H308" s="85"/>
      <c r="I308" s="85"/>
      <c r="J308" s="85"/>
    </row>
    <row r="309" spans="4:10" ht="14.25">
      <c r="D309" s="85"/>
      <c r="E309" s="85"/>
      <c r="F309" s="85"/>
      <c r="G309" s="85"/>
      <c r="H309" s="85"/>
      <c r="I309" s="85"/>
      <c r="J309" s="85"/>
    </row>
    <row r="310" spans="4:10" ht="14.25">
      <c r="D310" s="85"/>
      <c r="E310" s="85"/>
      <c r="F310" s="85"/>
      <c r="G310" s="85"/>
      <c r="H310" s="85"/>
      <c r="I310" s="85"/>
      <c r="J310" s="85"/>
    </row>
    <row r="311" spans="4:10" ht="14.25">
      <c r="D311" s="85"/>
      <c r="E311" s="85"/>
      <c r="F311" s="85"/>
      <c r="G311" s="85"/>
      <c r="H311" s="85"/>
      <c r="I311" s="85"/>
      <c r="J311" s="85"/>
    </row>
    <row r="312" spans="4:10" ht="14.25">
      <c r="D312" s="85"/>
      <c r="E312" s="85"/>
      <c r="F312" s="85"/>
      <c r="G312" s="85"/>
      <c r="H312" s="85"/>
      <c r="I312" s="85"/>
      <c r="J312" s="85"/>
    </row>
    <row r="313" spans="4:10" ht="14.25">
      <c r="D313" s="85"/>
      <c r="E313" s="85"/>
      <c r="F313" s="85"/>
      <c r="G313" s="85"/>
      <c r="H313" s="85"/>
      <c r="I313" s="85"/>
      <c r="J313" s="85"/>
    </row>
    <row r="314" spans="4:10" ht="14.25">
      <c r="D314" s="85"/>
      <c r="E314" s="85"/>
      <c r="F314" s="85"/>
      <c r="G314" s="85"/>
      <c r="H314" s="85"/>
      <c r="I314" s="85"/>
      <c r="J314" s="85"/>
    </row>
    <row r="315" spans="4:10" ht="14.25">
      <c r="D315" s="85"/>
      <c r="E315" s="85"/>
      <c r="F315" s="85"/>
      <c r="G315" s="85"/>
      <c r="H315" s="85"/>
      <c r="I315" s="85"/>
      <c r="J315" s="85"/>
    </row>
  </sheetData>
  <mergeCells count="4">
    <mergeCell ref="A2:K2"/>
    <mergeCell ref="B6:B7"/>
    <mergeCell ref="B3:K3"/>
    <mergeCell ref="F5:J5"/>
  </mergeCells>
  <printOptions horizontalCentered="1" verticalCentered="1"/>
  <pageMargins left="0.2755905511811024" right="0.4724409448818898" top="0.64" bottom="0.7086614173228347" header="0" footer="0"/>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O80"/>
  <sheetViews>
    <sheetView tabSelected="1" workbookViewId="0" topLeftCell="A1">
      <selection activeCell="D18" sqref="D18"/>
    </sheetView>
  </sheetViews>
  <sheetFormatPr defaultColWidth="11.421875" defaultRowHeight="12.75"/>
  <cols>
    <col min="1" max="1" width="49.00390625" style="214" bestFit="1" customWidth="1"/>
    <col min="2" max="2" width="11.140625" style="214" customWidth="1"/>
    <col min="3" max="3" width="10.421875" style="214" bestFit="1" customWidth="1"/>
    <col min="4" max="4" width="13.28125" style="214" customWidth="1"/>
    <col min="5" max="5" width="12.28125" style="214" bestFit="1" customWidth="1"/>
    <col min="6" max="6" width="11.7109375" style="214" bestFit="1" customWidth="1"/>
    <col min="7" max="7" width="13.421875" style="214" bestFit="1" customWidth="1"/>
    <col min="8" max="16384" width="11.421875" style="214" customWidth="1"/>
  </cols>
  <sheetData>
    <row r="1" ht="12.75">
      <c r="A1" s="213"/>
    </row>
    <row r="2" spans="1:7" ht="15.75">
      <c r="A2" s="758" t="s">
        <v>382</v>
      </c>
      <c r="B2" s="758"/>
      <c r="C2" s="758"/>
      <c r="D2" s="758"/>
      <c r="E2" s="758"/>
      <c r="F2" s="758"/>
      <c r="G2" s="758"/>
    </row>
    <row r="3" spans="1:7" ht="28.5" customHeight="1" thickBot="1">
      <c r="A3" s="462"/>
      <c r="B3" s="462"/>
      <c r="C3" s="462"/>
      <c r="D3" s="462"/>
      <c r="E3" s="462"/>
      <c r="F3" s="462"/>
      <c r="G3" s="462"/>
    </row>
    <row r="4" spans="1:15" ht="20.25" customHeight="1">
      <c r="A4" s="752" t="s">
        <v>352</v>
      </c>
      <c r="B4" s="753"/>
      <c r="C4" s="753"/>
      <c r="D4" s="753"/>
      <c r="E4" s="753"/>
      <c r="F4" s="753"/>
      <c r="G4" s="754"/>
      <c r="H4" s="115">
        <v>0.005</v>
      </c>
      <c r="I4" s="116"/>
      <c r="J4" s="116"/>
      <c r="K4" s="116"/>
      <c r="L4" s="116"/>
      <c r="M4" s="116"/>
      <c r="N4" s="116"/>
      <c r="O4" s="116"/>
    </row>
    <row r="5" spans="1:15" ht="15.75">
      <c r="A5" s="755" t="s">
        <v>388</v>
      </c>
      <c r="B5" s="756"/>
      <c r="C5" s="756"/>
      <c r="D5" s="756"/>
      <c r="E5" s="756"/>
      <c r="F5" s="756"/>
      <c r="G5" s="757"/>
      <c r="H5" s="116"/>
      <c r="I5" s="116"/>
      <c r="J5" s="116"/>
      <c r="K5" s="116"/>
      <c r="L5" s="116"/>
      <c r="M5" s="116"/>
      <c r="N5" s="116"/>
      <c r="O5" s="116"/>
    </row>
    <row r="6" spans="1:15" ht="6" customHeight="1" thickBot="1">
      <c r="A6" s="552"/>
      <c r="B6" s="553"/>
      <c r="C6" s="553"/>
      <c r="D6" s="553"/>
      <c r="E6" s="553"/>
      <c r="F6" s="553"/>
      <c r="G6" s="554"/>
      <c r="H6" s="116"/>
      <c r="I6" s="116"/>
      <c r="J6" s="116"/>
      <c r="K6" s="116"/>
      <c r="L6" s="116"/>
      <c r="M6" s="116"/>
      <c r="N6" s="116"/>
      <c r="O6" s="116"/>
    </row>
    <row r="7" spans="1:15" s="216" customFormat="1" ht="15" thickBot="1">
      <c r="A7" s="555" t="s">
        <v>0</v>
      </c>
      <c r="B7" s="556">
        <v>0</v>
      </c>
      <c r="C7" s="557">
        <v>1</v>
      </c>
      <c r="D7" s="558">
        <v>2</v>
      </c>
      <c r="E7" s="558">
        <v>3</v>
      </c>
      <c r="F7" s="559">
        <v>4</v>
      </c>
      <c r="G7" s="556">
        <v>5</v>
      </c>
      <c r="H7" s="117"/>
      <c r="I7" s="117"/>
      <c r="J7" s="117"/>
      <c r="K7" s="117"/>
      <c r="L7" s="117"/>
      <c r="M7" s="117"/>
      <c r="N7" s="117"/>
      <c r="O7" s="117"/>
    </row>
    <row r="8" spans="1:15" ht="12.75">
      <c r="A8" s="560" t="s">
        <v>106</v>
      </c>
      <c r="B8" s="561"/>
      <c r="C8" s="562"/>
      <c r="D8" s="563"/>
      <c r="E8" s="562"/>
      <c r="F8" s="563"/>
      <c r="G8" s="564"/>
      <c r="H8" s="116"/>
      <c r="I8" s="116"/>
      <c r="J8" s="116"/>
      <c r="K8" s="116"/>
      <c r="L8" s="116"/>
      <c r="M8" s="116"/>
      <c r="N8" s="116"/>
      <c r="O8" s="116"/>
    </row>
    <row r="9" spans="1:15" ht="12.75">
      <c r="A9" s="565" t="str">
        <f>Ingresos!A31</f>
        <v>Alojamiento</v>
      </c>
      <c r="B9" s="566"/>
      <c r="C9" s="564">
        <f>Ingresos!F31</f>
        <v>54000</v>
      </c>
      <c r="D9" s="563">
        <f>Ingresos!G31</f>
        <v>60267.24</v>
      </c>
      <c r="E9" s="564">
        <f>Ingresos!H31</f>
        <v>67261.8558744</v>
      </c>
      <c r="F9" s="563">
        <f>Ingresos!I31</f>
        <v>75068.26686718287</v>
      </c>
      <c r="G9" s="564">
        <f>Ingresos!J31</f>
        <v>83780.68991978811</v>
      </c>
      <c r="H9" s="116"/>
      <c r="I9" s="116"/>
      <c r="J9" s="116"/>
      <c r="K9" s="116"/>
      <c r="L9" s="116"/>
      <c r="M9" s="116"/>
      <c r="N9" s="116"/>
      <c r="O9" s="116"/>
    </row>
    <row r="10" spans="1:15" ht="12.75">
      <c r="A10" s="565" t="s">
        <v>54</v>
      </c>
      <c r="B10" s="566"/>
      <c r="C10" s="564">
        <f>Ingresos!F32</f>
        <v>17760</v>
      </c>
      <c r="D10" s="563">
        <f>Ingresos!G32</f>
        <v>19821.225599999998</v>
      </c>
      <c r="E10" s="564">
        <f>Ingresos!H32</f>
        <v>22121.677043136</v>
      </c>
      <c r="F10" s="563">
        <f>Ingresos!I32</f>
        <v>24689.118880762366</v>
      </c>
      <c r="G10" s="564">
        <f>Ingresos!J32</f>
        <v>27554.538018063642</v>
      </c>
      <c r="H10" s="116"/>
      <c r="I10" s="116"/>
      <c r="J10" s="116"/>
      <c r="K10" s="116"/>
      <c r="L10" s="116"/>
      <c r="M10" s="116"/>
      <c r="N10" s="116"/>
      <c r="O10" s="116"/>
    </row>
    <row r="11" spans="1:15" ht="12.75">
      <c r="A11" s="565" t="str">
        <f>Ingresos!A33</f>
        <v>Bebidas</v>
      </c>
      <c r="B11" s="566"/>
      <c r="C11" s="564">
        <f>Ingresos!F33</f>
        <v>7770</v>
      </c>
      <c r="D11" s="563">
        <f>Ingresos!G33</f>
        <v>8671.7862</v>
      </c>
      <c r="E11" s="564">
        <f>Ingresos!H33</f>
        <v>9678.233706371999</v>
      </c>
      <c r="F11" s="563">
        <f>Ingresos!I33</f>
        <v>10801.489510333533</v>
      </c>
      <c r="G11" s="564">
        <f>Ingresos!J33</f>
        <v>12055.110382902843</v>
      </c>
      <c r="H11" s="116"/>
      <c r="I11" s="116"/>
      <c r="J11" s="116"/>
      <c r="K11" s="116"/>
      <c r="L11" s="116"/>
      <c r="M11" s="116"/>
      <c r="N11" s="116"/>
      <c r="O11" s="116"/>
    </row>
    <row r="12" spans="1:15" s="74" customFormat="1" ht="12.75">
      <c r="A12" s="567" t="s">
        <v>321</v>
      </c>
      <c r="B12" s="568"/>
      <c r="C12" s="569">
        <f>SUM(C9:C11)</f>
        <v>79530</v>
      </c>
      <c r="D12" s="570">
        <f>SUM(D9:D11)</f>
        <v>88760.2518</v>
      </c>
      <c r="E12" s="569">
        <f>SUM(E9:E11)</f>
        <v>99061.76662390801</v>
      </c>
      <c r="F12" s="570">
        <f>SUM(F9:F11)</f>
        <v>110558.87525827877</v>
      </c>
      <c r="G12" s="569">
        <f>SUM(G9:G11)</f>
        <v>123390.3383207546</v>
      </c>
      <c r="H12" s="118"/>
      <c r="I12" s="118"/>
      <c r="J12" s="118"/>
      <c r="K12" s="118"/>
      <c r="L12" s="118"/>
      <c r="M12" s="118"/>
      <c r="N12" s="118"/>
      <c r="O12" s="118"/>
    </row>
    <row r="13" spans="1:15" ht="6.75" customHeight="1">
      <c r="A13" s="400"/>
      <c r="B13" s="566"/>
      <c r="C13" s="564"/>
      <c r="D13" s="563"/>
      <c r="E13" s="564"/>
      <c r="F13" s="563"/>
      <c r="G13" s="564"/>
      <c r="H13" s="116"/>
      <c r="I13" s="116"/>
      <c r="J13" s="116"/>
      <c r="K13" s="116"/>
      <c r="L13" s="116"/>
      <c r="M13" s="116"/>
      <c r="N13" s="116"/>
      <c r="O13" s="116"/>
    </row>
    <row r="14" spans="1:15" ht="12.75">
      <c r="A14" s="560" t="s">
        <v>105</v>
      </c>
      <c r="B14" s="571"/>
      <c r="C14" s="564"/>
      <c r="D14" s="563"/>
      <c r="E14" s="564"/>
      <c r="F14" s="563"/>
      <c r="G14" s="564"/>
      <c r="H14" s="116"/>
      <c r="I14" s="116"/>
      <c r="J14" s="116"/>
      <c r="K14" s="116"/>
      <c r="L14" s="116"/>
      <c r="M14" s="116"/>
      <c r="N14" s="116"/>
      <c r="O14" s="116"/>
    </row>
    <row r="15" spans="1:15" ht="12.75">
      <c r="A15" s="565" t="str">
        <f>Costos!A9</f>
        <v> COSTOS VARIABLES TOTALES</v>
      </c>
      <c r="B15" s="566"/>
      <c r="C15" s="564">
        <f>Costos!F16</f>
        <v>27300</v>
      </c>
      <c r="D15" s="563">
        <f>Costos!G16</f>
        <v>30468.438</v>
      </c>
      <c r="E15" s="564">
        <f>Costos!H16</f>
        <v>34004.604914280004</v>
      </c>
      <c r="F15" s="563">
        <f>Costos!I16</f>
        <v>37951.17936063134</v>
      </c>
      <c r="G15" s="564">
        <f>Costos!J16</f>
        <v>42355.793237226215</v>
      </c>
      <c r="H15" s="116"/>
      <c r="I15" s="116"/>
      <c r="J15" s="116"/>
      <c r="K15" s="116"/>
      <c r="L15" s="116"/>
      <c r="M15" s="116"/>
      <c r="N15" s="116"/>
      <c r="O15" s="116"/>
    </row>
    <row r="16" spans="1:15" ht="12.75">
      <c r="A16" s="565" t="str">
        <f>Costos!A20</f>
        <v>GASTOS ADMINISTRATIVOS  (personal)</v>
      </c>
      <c r="B16" s="566"/>
      <c r="C16" s="564">
        <f>Costos!F35</f>
        <v>24360</v>
      </c>
      <c r="D16" s="563">
        <f>Costos!G35</f>
        <v>24715.655999999995</v>
      </c>
      <c r="E16" s="564">
        <f>Costos!H35</f>
        <v>25076.504577599993</v>
      </c>
      <c r="F16" s="563">
        <f>Costos!I35</f>
        <v>25442.621544432954</v>
      </c>
      <c r="G16" s="564">
        <f>Costos!J35</f>
        <v>25814.083818981675</v>
      </c>
      <c r="H16" s="116"/>
      <c r="I16" s="116"/>
      <c r="J16" s="116"/>
      <c r="K16" s="116"/>
      <c r="L16" s="116"/>
      <c r="M16" s="116"/>
      <c r="N16" s="116"/>
      <c r="O16" s="116"/>
    </row>
    <row r="17" spans="1:15" ht="12.75">
      <c r="A17" s="565" t="str">
        <f>Costos!A38</f>
        <v>GASTOS GENERALES</v>
      </c>
      <c r="B17" s="566"/>
      <c r="C17" s="564">
        <f>Costos!F49</f>
        <v>13855.35638095238</v>
      </c>
      <c r="D17" s="563">
        <f>Costos!G49</f>
        <v>13975.66038095238</v>
      </c>
      <c r="E17" s="564">
        <f>Costos!H49</f>
        <v>14097.72081935238</v>
      </c>
      <c r="F17" s="563">
        <f>Costos!I49</f>
        <v>14252.896673486353</v>
      </c>
      <c r="G17" s="564">
        <f>Costos!J49</f>
        <v>14378.547295090684</v>
      </c>
      <c r="H17" s="116"/>
      <c r="I17" s="116"/>
      <c r="J17" s="116"/>
      <c r="K17" s="116"/>
      <c r="L17" s="116"/>
      <c r="M17" s="116"/>
      <c r="N17" s="116"/>
      <c r="O17" s="116"/>
    </row>
    <row r="18" spans="1:15" ht="12.75">
      <c r="A18" s="565" t="str">
        <f>Costos!A52</f>
        <v>PAGO DE IMPUESTOS</v>
      </c>
      <c r="B18" s="566"/>
      <c r="C18" s="564">
        <f>Costos!B61</f>
        <v>525</v>
      </c>
      <c r="D18" s="563">
        <f>Costos!C61</f>
        <v>532.665</v>
      </c>
      <c r="E18" s="564">
        <f>Costos!D61</f>
        <v>540.4419089999999</v>
      </c>
      <c r="F18" s="563">
        <f>Costos!E61</f>
        <v>548.3323608714</v>
      </c>
      <c r="G18" s="564">
        <f>Costos!F61</f>
        <v>556.3380133401224</v>
      </c>
      <c r="H18" s="116"/>
      <c r="I18" s="116"/>
      <c r="J18" s="116"/>
      <c r="K18" s="116"/>
      <c r="L18" s="116"/>
      <c r="M18" s="116"/>
      <c r="N18" s="116"/>
      <c r="O18" s="116"/>
    </row>
    <row r="19" spans="1:15" ht="13.5" thickBot="1">
      <c r="A19" s="572" t="s">
        <v>322</v>
      </c>
      <c r="B19" s="573"/>
      <c r="C19" s="574">
        <f>SUM(C13:C18)</f>
        <v>66040.35638095238</v>
      </c>
      <c r="D19" s="574">
        <f>SUM(D13:D18)</f>
        <v>69692.41938095237</v>
      </c>
      <c r="E19" s="574">
        <f>SUM(E13:E18)</f>
        <v>73719.27222023238</v>
      </c>
      <c r="F19" s="574">
        <f>SUM(F13:F18)</f>
        <v>78195.02993942203</v>
      </c>
      <c r="G19" s="574">
        <f>SUM(G13:G18)</f>
        <v>83104.7623646387</v>
      </c>
      <c r="H19" s="116"/>
      <c r="I19" s="146"/>
      <c r="J19" s="146"/>
      <c r="K19" s="146"/>
      <c r="L19" s="146"/>
      <c r="M19" s="146"/>
      <c r="N19" s="146"/>
      <c r="O19" s="116"/>
    </row>
    <row r="20" spans="1:15" s="85" customFormat="1" ht="16.5" customHeight="1" thickBot="1">
      <c r="A20" s="576" t="s">
        <v>323</v>
      </c>
      <c r="B20" s="577"/>
      <c r="C20" s="577">
        <f>C12-C19</f>
        <v>13489.643619047623</v>
      </c>
      <c r="D20" s="578">
        <f>D12-D19</f>
        <v>19067.832419047627</v>
      </c>
      <c r="E20" s="577">
        <f>E12-E19</f>
        <v>25342.494403675635</v>
      </c>
      <c r="F20" s="578">
        <f>F12-F19</f>
        <v>32363.845318856736</v>
      </c>
      <c r="G20" s="577">
        <f>G12-G19</f>
        <v>40285.57595611591</v>
      </c>
      <c r="H20" s="119"/>
      <c r="I20" s="145">
        <f>C23/1.16</f>
        <v>6572.661412151071</v>
      </c>
      <c r="J20" s="145">
        <f>D23/(1.16)^2</f>
        <v>9811.590396919773</v>
      </c>
      <c r="K20" s="145">
        <f>E23/(1.16)^3</f>
        <v>12478.177932881663</v>
      </c>
      <c r="L20" s="145">
        <f>F23/(1.16)^4</f>
        <v>14617.574426621892</v>
      </c>
      <c r="M20" s="145">
        <f>G23/(1.16)^5</f>
        <v>16372.996325333752</v>
      </c>
      <c r="N20" s="145"/>
      <c r="O20" s="119"/>
    </row>
    <row r="21" spans="1:7" s="86" customFormat="1" ht="15">
      <c r="A21" s="583" t="s">
        <v>320</v>
      </c>
      <c r="B21" s="584"/>
      <c r="C21" s="584">
        <f>-'Act.fijos resumen'!$E$22</f>
        <v>-5615.356380952381</v>
      </c>
      <c r="D21" s="585">
        <f>-'Act.fijos resumen'!$E$22</f>
        <v>-5615.356380952381</v>
      </c>
      <c r="E21" s="584">
        <f>-'Act.fijos resumen'!$E$22</f>
        <v>-5615.356380952381</v>
      </c>
      <c r="F21" s="585">
        <f>-'Act.fijos resumen'!$E$23</f>
        <v>-5646.689714285714</v>
      </c>
      <c r="G21" s="584">
        <f>-'Act.fijos resumen'!$E$23</f>
        <v>-5646.689714285714</v>
      </c>
    </row>
    <row r="22" spans="1:7" s="86" customFormat="1" ht="15">
      <c r="A22" s="586" t="s">
        <v>341</v>
      </c>
      <c r="B22" s="587"/>
      <c r="C22" s="587">
        <f>-'Capital d trabajo'!$E$49</f>
        <v>-250</v>
      </c>
      <c r="D22" s="587">
        <f>-'Capital d trabajo'!$E$49</f>
        <v>-250</v>
      </c>
      <c r="E22" s="587">
        <f>-'Capital d trabajo'!$E$49</f>
        <v>-250</v>
      </c>
      <c r="F22" s="587">
        <f>-'Capital d trabajo'!$E$49</f>
        <v>-250</v>
      </c>
      <c r="G22" s="587">
        <f>-'Capital d trabajo'!$E$49</f>
        <v>-250</v>
      </c>
    </row>
    <row r="23" spans="1:8" s="86" customFormat="1" ht="17.25" customHeight="1" thickBot="1">
      <c r="A23" s="593" t="s">
        <v>324</v>
      </c>
      <c r="B23" s="595"/>
      <c r="C23" s="644">
        <f>C20+C21+C22</f>
        <v>7624.287238095242</v>
      </c>
      <c r="D23" s="644">
        <f>D20+D21+D22</f>
        <v>13202.476038095247</v>
      </c>
      <c r="E23" s="644">
        <f>E20+E21+E22</f>
        <v>19477.138022723255</v>
      </c>
      <c r="F23" s="644">
        <f>F20+F21+F22</f>
        <v>26467.155604571024</v>
      </c>
      <c r="G23" s="644">
        <f>G20+G21+G22</f>
        <v>34388.886241830194</v>
      </c>
      <c r="H23" s="87"/>
    </row>
    <row r="24" spans="1:9" s="215" customFormat="1" ht="15" customHeight="1">
      <c r="A24" s="586" t="s">
        <v>318</v>
      </c>
      <c r="B24" s="400"/>
      <c r="C24" s="591">
        <f>-C23*$I$24</f>
        <v>-1143.6430857142864</v>
      </c>
      <c r="D24" s="406">
        <f>-D23*$I$24</f>
        <v>-1980.371405714287</v>
      </c>
      <c r="E24" s="591">
        <f>-E23*$I$24</f>
        <v>-2921.570703408488</v>
      </c>
      <c r="F24" s="406">
        <f>-F23*$I$24</f>
        <v>-3970.0733406856534</v>
      </c>
      <c r="G24" s="591">
        <f>-G23*$I$24</f>
        <v>-5158.332936274529</v>
      </c>
      <c r="I24" s="217">
        <v>0.15</v>
      </c>
    </row>
    <row r="25" spans="1:7" s="215" customFormat="1" ht="15" customHeight="1">
      <c r="A25" s="645" t="s">
        <v>377</v>
      </c>
      <c r="B25" s="646"/>
      <c r="C25" s="647">
        <f>SUM(C23:C24)</f>
        <v>6480.644152380955</v>
      </c>
      <c r="D25" s="648">
        <f>SUM(D23:D24)</f>
        <v>11222.10463238096</v>
      </c>
      <c r="E25" s="647">
        <f>SUM(E23:E24)</f>
        <v>16555.567319314767</v>
      </c>
      <c r="F25" s="648">
        <f>SUM(F23:F24)</f>
        <v>22497.08226388537</v>
      </c>
      <c r="G25" s="647">
        <f>SUM(G23:G24)</f>
        <v>29230.553305555666</v>
      </c>
    </row>
    <row r="26" spans="1:9" s="215" customFormat="1" ht="15" customHeight="1">
      <c r="A26" s="586" t="s">
        <v>319</v>
      </c>
      <c r="B26" s="400"/>
      <c r="C26" s="566">
        <f>-C25*$I$26</f>
        <v>-1620.1610380952388</v>
      </c>
      <c r="D26" s="406">
        <f>-D25*$I$26</f>
        <v>-2805.52615809524</v>
      </c>
      <c r="E26" s="566">
        <f>-E25*$I$26</f>
        <v>-4138.891829828692</v>
      </c>
      <c r="F26" s="406">
        <f>-F25*$I$26</f>
        <v>-5624.270565971343</v>
      </c>
      <c r="G26" s="566">
        <f>-G25*$I$26</f>
        <v>-7307.6383263889165</v>
      </c>
      <c r="I26" s="217">
        <v>0.25</v>
      </c>
    </row>
    <row r="27" spans="1:7" s="215" customFormat="1" ht="15" customHeight="1">
      <c r="A27" s="649" t="s">
        <v>378</v>
      </c>
      <c r="B27" s="650"/>
      <c r="C27" s="651">
        <f>SUM(C25:C26)</f>
        <v>4860.4831142857165</v>
      </c>
      <c r="D27" s="652">
        <f>SUM(D25:D26)</f>
        <v>8416.578474285721</v>
      </c>
      <c r="E27" s="651">
        <f>SUM(E25:E26)</f>
        <v>12416.675489486075</v>
      </c>
      <c r="F27" s="652">
        <f>SUM(F25:F26)</f>
        <v>16872.81169791403</v>
      </c>
      <c r="G27" s="651">
        <f>SUM(G25:G26)</f>
        <v>21922.91497916675</v>
      </c>
    </row>
    <row r="28" spans="1:7" s="215" customFormat="1" ht="15" customHeight="1">
      <c r="A28" s="565" t="s">
        <v>129</v>
      </c>
      <c r="B28" s="400"/>
      <c r="C28" s="566">
        <f aca="true" t="shared" si="0" ref="C28:G29">-C21</f>
        <v>5615.356380952381</v>
      </c>
      <c r="D28" s="406">
        <f t="shared" si="0"/>
        <v>5615.356380952381</v>
      </c>
      <c r="E28" s="566">
        <f t="shared" si="0"/>
        <v>5615.356380952381</v>
      </c>
      <c r="F28" s="406">
        <f t="shared" si="0"/>
        <v>5646.689714285714</v>
      </c>
      <c r="G28" s="566">
        <f t="shared" si="0"/>
        <v>5646.689714285714</v>
      </c>
    </row>
    <row r="29" spans="1:7" s="215" customFormat="1" ht="15" customHeight="1">
      <c r="A29" s="565" t="str">
        <f>A22</f>
        <v>Amortización (activos nominales)</v>
      </c>
      <c r="B29" s="400"/>
      <c r="C29" s="566">
        <f t="shared" si="0"/>
        <v>250</v>
      </c>
      <c r="D29" s="406">
        <f t="shared" si="0"/>
        <v>250</v>
      </c>
      <c r="E29" s="566">
        <f t="shared" si="0"/>
        <v>250</v>
      </c>
      <c r="F29" s="406">
        <f t="shared" si="0"/>
        <v>250</v>
      </c>
      <c r="G29" s="566">
        <f t="shared" si="0"/>
        <v>250</v>
      </c>
    </row>
    <row r="30" spans="1:7" s="215" customFormat="1" ht="12.75">
      <c r="A30" s="586" t="s">
        <v>293</v>
      </c>
      <c r="B30" s="400">
        <f>-Inversión!C9-'Capital d trabajo'!D44</f>
        <v>-43985.73</v>
      </c>
      <c r="C30" s="653"/>
      <c r="D30" s="406"/>
      <c r="E30" s="654"/>
      <c r="F30" s="406"/>
      <c r="G30" s="566"/>
    </row>
    <row r="31" spans="1:7" s="215" customFormat="1" ht="12.75">
      <c r="A31" s="586" t="s">
        <v>316</v>
      </c>
      <c r="B31" s="400">
        <f>-'Capital d trabajo'!D34</f>
        <v>-4057.55</v>
      </c>
      <c r="C31" s="566"/>
      <c r="D31" s="406"/>
      <c r="E31" s="566"/>
      <c r="F31" s="406"/>
      <c r="G31" s="566">
        <f>-B31</f>
        <v>4057.55</v>
      </c>
    </row>
    <row r="32" spans="1:9" s="215" customFormat="1" ht="15.75" thickBot="1">
      <c r="A32" s="586" t="s">
        <v>317</v>
      </c>
      <c r="B32" s="400"/>
      <c r="C32" s="611"/>
      <c r="D32" s="406"/>
      <c r="E32" s="611"/>
      <c r="F32" s="406"/>
      <c r="G32" s="611">
        <f>'F.de Caja rent.REC PROP'!G37</f>
        <v>16570.281428571427</v>
      </c>
      <c r="H32" s="196"/>
      <c r="I32" s="196"/>
    </row>
    <row r="33" spans="1:9" s="146" customFormat="1" ht="24" customHeight="1" thickBot="1">
      <c r="A33" s="620" t="s">
        <v>325</v>
      </c>
      <c r="B33" s="621">
        <f>SUM(B30:B32)</f>
        <v>-48043.280000000006</v>
      </c>
      <c r="C33" s="621">
        <f>C27+C28+C29</f>
        <v>10725.839495238099</v>
      </c>
      <c r="D33" s="622">
        <f>D27+D28-D29</f>
        <v>13781.934855238102</v>
      </c>
      <c r="E33" s="621">
        <f>E27+E28-E29</f>
        <v>17782.031870438455</v>
      </c>
      <c r="F33" s="622">
        <f>F27+F28-F29</f>
        <v>22269.501412199745</v>
      </c>
      <c r="G33" s="621">
        <f>G27+G28-G29+G31+G32</f>
        <v>47947.43612202389</v>
      </c>
      <c r="H33" s="196"/>
      <c r="I33" s="196"/>
    </row>
    <row r="34" spans="1:10" s="215" customFormat="1" ht="18.75" customHeight="1" thickBot="1">
      <c r="A34" s="623"/>
      <c r="B34" s="624"/>
      <c r="C34" s="625"/>
      <c r="D34" s="625"/>
      <c r="E34" s="625"/>
      <c r="F34" s="625"/>
      <c r="G34" s="625"/>
      <c r="H34" s="121"/>
      <c r="I34" s="121"/>
      <c r="J34" s="116"/>
    </row>
    <row r="35" spans="1:10" ht="21" customHeight="1" thickBot="1">
      <c r="A35" s="628"/>
      <c r="B35" s="789" t="s">
        <v>152</v>
      </c>
      <c r="C35" s="790"/>
      <c r="D35" s="793">
        <f>NPV(F44,C33:G33)+B33</f>
        <v>10764.77037827616</v>
      </c>
      <c r="E35" s="625"/>
      <c r="F35" s="625"/>
      <c r="G35" s="625"/>
      <c r="H35" s="120"/>
      <c r="I35" s="120"/>
      <c r="J35" s="116"/>
    </row>
    <row r="36" spans="1:10" ht="21" customHeight="1" thickBot="1">
      <c r="A36" s="628"/>
      <c r="B36" s="789" t="s">
        <v>153</v>
      </c>
      <c r="C36" s="790"/>
      <c r="D36" s="792">
        <f>IRR(B33:G33)</f>
        <v>0.27568434955231297</v>
      </c>
      <c r="E36" s="625"/>
      <c r="F36" s="629"/>
      <c r="G36" s="630"/>
      <c r="H36" s="120"/>
      <c r="I36" s="120"/>
      <c r="J36" s="116"/>
    </row>
    <row r="37" spans="1:10" ht="21" customHeight="1" thickBot="1">
      <c r="A37" s="623"/>
      <c r="B37" s="789" t="s">
        <v>397</v>
      </c>
      <c r="C37" s="790"/>
      <c r="D37" s="791" t="s">
        <v>398</v>
      </c>
      <c r="E37" s="495"/>
      <c r="F37" s="495"/>
      <c r="G37" s="627"/>
      <c r="H37" s="196"/>
      <c r="I37" s="120"/>
      <c r="J37" s="116"/>
    </row>
    <row r="38" spans="1:10" ht="16.5" thickBot="1">
      <c r="A38" s="623"/>
      <c r="B38" s="624"/>
      <c r="C38" s="625"/>
      <c r="D38" s="626"/>
      <c r="E38" s="495"/>
      <c r="F38" s="625"/>
      <c r="G38" s="630"/>
      <c r="H38" s="120"/>
      <c r="I38" s="120"/>
      <c r="J38" s="116"/>
    </row>
    <row r="39" spans="1:9" ht="16.5" thickBot="1">
      <c r="A39" s="747" t="s">
        <v>405</v>
      </c>
      <c r="B39" s="748"/>
      <c r="C39" s="748"/>
      <c r="D39" s="748"/>
      <c r="E39" s="748"/>
      <c r="F39" s="749"/>
      <c r="G39" s="627"/>
      <c r="H39" s="196"/>
      <c r="I39" s="120"/>
    </row>
    <row r="40" spans="1:10" ht="15.75">
      <c r="A40" s="750" t="s">
        <v>332</v>
      </c>
      <c r="B40" s="750" t="s">
        <v>337</v>
      </c>
      <c r="C40" s="750" t="s">
        <v>335</v>
      </c>
      <c r="D40" s="750" t="s">
        <v>338</v>
      </c>
      <c r="E40" s="631" t="s">
        <v>403</v>
      </c>
      <c r="F40" s="745" t="s">
        <v>342</v>
      </c>
      <c r="G40" s="627"/>
      <c r="H40" s="196"/>
      <c r="I40" s="120"/>
      <c r="J40" s="196" t="s">
        <v>330</v>
      </c>
    </row>
    <row r="41" spans="1:10" ht="16.5" thickBot="1">
      <c r="A41" s="751"/>
      <c r="B41" s="751"/>
      <c r="C41" s="751"/>
      <c r="D41" s="751"/>
      <c r="E41" s="632" t="s">
        <v>404</v>
      </c>
      <c r="F41" s="746"/>
      <c r="G41" s="627"/>
      <c r="H41" s="196"/>
      <c r="I41" s="120"/>
      <c r="J41" s="196" t="s">
        <v>331</v>
      </c>
    </row>
    <row r="42" spans="1:14" ht="15.75">
      <c r="A42" s="633" t="s">
        <v>333</v>
      </c>
      <c r="B42" s="634"/>
      <c r="C42" s="635">
        <f>B42/B44</f>
        <v>0</v>
      </c>
      <c r="D42" s="636">
        <f>Supstos!B22</f>
        <v>0.1012</v>
      </c>
      <c r="E42" s="635">
        <f>1-25%</f>
        <v>0.75</v>
      </c>
      <c r="F42" s="635">
        <f>C42*D42*E42</f>
        <v>0</v>
      </c>
      <c r="G42" s="495"/>
      <c r="H42" s="196"/>
      <c r="I42" s="196"/>
      <c r="J42" s="146"/>
      <c r="K42" s="202"/>
      <c r="L42" s="202"/>
      <c r="M42" s="202"/>
      <c r="N42" s="202"/>
    </row>
    <row r="43" spans="1:14" ht="16.5" thickBot="1">
      <c r="A43" s="637" t="s">
        <v>334</v>
      </c>
      <c r="B43" s="564">
        <v>48043</v>
      </c>
      <c r="C43" s="638">
        <f>B43/B44</f>
        <v>1</v>
      </c>
      <c r="D43" s="638">
        <f>Supstos!B26</f>
        <v>0.2</v>
      </c>
      <c r="E43" s="564"/>
      <c r="F43" s="421">
        <f>C43*D43</f>
        <v>0.2</v>
      </c>
      <c r="G43" s="495"/>
      <c r="H43" s="196"/>
      <c r="I43" s="196"/>
      <c r="J43" s="146"/>
      <c r="K43" s="202"/>
      <c r="L43" s="202"/>
      <c r="M43" s="202"/>
      <c r="N43" s="202"/>
    </row>
    <row r="44" spans="1:14" ht="15.75" thickBot="1">
      <c r="A44" s="639" t="s">
        <v>336</v>
      </c>
      <c r="B44" s="640">
        <f>SUM(B42:B43)</f>
        <v>48043</v>
      </c>
      <c r="C44" s="641">
        <f>SUM(C42:C43)</f>
        <v>1</v>
      </c>
      <c r="D44" s="642"/>
      <c r="E44" s="642"/>
      <c r="F44" s="643">
        <f>SUM(F42:F43)</f>
        <v>0.2</v>
      </c>
      <c r="G44" s="626"/>
      <c r="H44" s="196"/>
      <c r="I44" s="196"/>
      <c r="J44" s="146"/>
      <c r="K44" s="202"/>
      <c r="L44" s="202"/>
      <c r="M44" s="202"/>
      <c r="N44" s="202"/>
    </row>
    <row r="45" spans="1:14" ht="15">
      <c r="A45" s="199"/>
      <c r="B45" s="116"/>
      <c r="C45" s="120"/>
      <c r="E45" s="196"/>
      <c r="F45" s="196"/>
      <c r="H45" s="196"/>
      <c r="I45" s="196"/>
      <c r="J45" s="146"/>
      <c r="K45" s="202"/>
      <c r="L45" s="202"/>
      <c r="M45" s="202"/>
      <c r="N45" s="202"/>
    </row>
    <row r="46" spans="1:14" ht="15">
      <c r="A46" s="199"/>
      <c r="B46" s="116"/>
      <c r="C46" s="120"/>
      <c r="E46" s="196"/>
      <c r="F46" s="196"/>
      <c r="H46" s="146"/>
      <c r="I46" s="146"/>
      <c r="J46" s="146"/>
      <c r="K46" s="202"/>
      <c r="L46" s="202"/>
      <c r="M46" s="202"/>
      <c r="N46" s="202"/>
    </row>
    <row r="47" spans="1:14" ht="15">
      <c r="A47" s="199"/>
      <c r="B47" s="116"/>
      <c r="C47" s="120"/>
      <c r="E47" s="196"/>
      <c r="F47" s="196"/>
      <c r="H47" s="146"/>
      <c r="I47" s="146"/>
      <c r="J47" s="146"/>
      <c r="K47" s="202"/>
      <c r="L47" s="202"/>
      <c r="M47" s="202"/>
      <c r="N47" s="202"/>
    </row>
    <row r="48" spans="1:14" ht="15">
      <c r="A48" s="146"/>
      <c r="B48" s="146"/>
      <c r="C48" s="196"/>
      <c r="E48" s="196"/>
      <c r="F48" s="196"/>
      <c r="H48" s="196" t="s">
        <v>329</v>
      </c>
      <c r="I48" s="146"/>
      <c r="J48" s="146"/>
      <c r="K48" s="202"/>
      <c r="L48" s="202"/>
      <c r="M48" s="202"/>
      <c r="N48" s="202"/>
    </row>
    <row r="49" spans="1:14" ht="16.5" thickBot="1">
      <c r="A49" s="146" t="s">
        <v>336</v>
      </c>
      <c r="B49" s="146"/>
      <c r="C49" s="200" t="s">
        <v>328</v>
      </c>
      <c r="D49" s="196"/>
      <c r="E49" s="196"/>
      <c r="F49" s="196"/>
      <c r="H49" s="146"/>
      <c r="I49" s="146"/>
      <c r="J49" s="146"/>
      <c r="K49" s="202"/>
      <c r="L49" s="202"/>
      <c r="M49" s="202"/>
      <c r="N49" s="202"/>
    </row>
    <row r="50" spans="1:14" ht="16.5" thickBot="1">
      <c r="A50" s="146">
        <v>48344</v>
      </c>
      <c r="B50" s="205" t="s">
        <v>332</v>
      </c>
      <c r="C50" s="212" t="s">
        <v>337</v>
      </c>
      <c r="D50" s="211" t="s">
        <v>335</v>
      </c>
      <c r="E50" s="211" t="s">
        <v>338</v>
      </c>
      <c r="F50" s="206" t="s">
        <v>339</v>
      </c>
      <c r="G50" s="210" t="s">
        <v>342</v>
      </c>
      <c r="H50" s="146"/>
      <c r="I50" s="146"/>
      <c r="J50" s="146"/>
      <c r="K50" s="202"/>
      <c r="L50" s="202"/>
      <c r="M50" s="202"/>
      <c r="N50" s="202"/>
    </row>
    <row r="51" spans="1:10" s="202" customFormat="1" ht="15">
      <c r="A51" s="146"/>
      <c r="B51" s="207"/>
      <c r="C51" s="209"/>
      <c r="D51" s="209"/>
      <c r="E51" s="209"/>
      <c r="F51" s="209"/>
      <c r="G51" s="209"/>
      <c r="H51" s="146"/>
      <c r="I51" s="146"/>
      <c r="J51" s="146"/>
    </row>
    <row r="52" spans="1:10" s="202" customFormat="1" ht="12.75">
      <c r="A52" s="146"/>
      <c r="B52" s="197" t="s">
        <v>333</v>
      </c>
      <c r="C52" s="198"/>
      <c r="D52" s="218">
        <f>C52/C54</f>
        <v>0</v>
      </c>
      <c r="E52" s="219">
        <f>Supstos!B22</f>
        <v>0.1012</v>
      </c>
      <c r="F52" s="218">
        <f>1-25%</f>
        <v>0.75</v>
      </c>
      <c r="G52" s="218">
        <f>D52*E52*F52</f>
        <v>0</v>
      </c>
      <c r="H52" s="146"/>
      <c r="I52" s="146"/>
      <c r="J52" s="146"/>
    </row>
    <row r="53" spans="1:10" s="202" customFormat="1" ht="13.5" thickBot="1">
      <c r="A53" s="146"/>
      <c r="B53" s="197" t="s">
        <v>334</v>
      </c>
      <c r="C53" s="198">
        <v>48344</v>
      </c>
      <c r="D53" s="218">
        <f>C53/C54</f>
        <v>1</v>
      </c>
      <c r="E53" s="218">
        <f>Supstos!B26</f>
        <v>0.2</v>
      </c>
      <c r="F53" s="198"/>
      <c r="G53" s="220">
        <f>D53*E53</f>
        <v>0.2</v>
      </c>
      <c r="H53" s="146"/>
      <c r="I53" s="146"/>
      <c r="J53" s="146"/>
    </row>
    <row r="54" spans="1:7" s="202" customFormat="1" ht="13.5" thickBot="1">
      <c r="A54" s="146"/>
      <c r="B54" s="208"/>
      <c r="C54" s="221">
        <f>SUM(C52:C53)</f>
        <v>48344</v>
      </c>
      <c r="D54" s="220">
        <f>SUM(D52:D53)</f>
        <v>1</v>
      </c>
      <c r="E54" s="221"/>
      <c r="F54" s="221"/>
      <c r="G54" s="226">
        <f>SUM(G52:G53)</f>
        <v>0.2</v>
      </c>
    </row>
    <row r="55" spans="1:7" s="202" customFormat="1" ht="12.75">
      <c r="A55" s="146"/>
      <c r="B55" s="146"/>
      <c r="C55" s="146"/>
      <c r="D55" s="146"/>
      <c r="E55" s="146"/>
      <c r="F55" s="146"/>
      <c r="G55" s="146" t="s">
        <v>347</v>
      </c>
    </row>
    <row r="56" spans="1:6" s="202" customFormat="1" ht="12.75">
      <c r="A56" s="146"/>
      <c r="B56" s="146"/>
      <c r="C56" s="146"/>
      <c r="D56" s="146"/>
      <c r="E56" s="146"/>
      <c r="F56" s="146"/>
    </row>
    <row r="57" spans="1:6" s="202" customFormat="1" ht="12.75">
      <c r="A57" s="146"/>
      <c r="B57" s="146"/>
      <c r="C57" s="146"/>
      <c r="D57" s="146"/>
      <c r="E57" s="146"/>
      <c r="F57" s="146"/>
    </row>
    <row r="58" spans="5:6" s="202" customFormat="1" ht="12.75">
      <c r="E58" s="146"/>
      <c r="F58" s="203"/>
    </row>
    <row r="59" spans="2:6" s="202" customFormat="1" ht="12.75">
      <c r="B59" s="202" t="s">
        <v>340</v>
      </c>
      <c r="E59" s="146"/>
      <c r="F59" s="146"/>
    </row>
    <row r="60" s="202" customFormat="1" ht="12.75">
      <c r="B60" s="202" t="s">
        <v>348</v>
      </c>
    </row>
    <row r="61" s="202" customFormat="1" ht="12.75">
      <c r="B61" s="202" t="s">
        <v>349</v>
      </c>
    </row>
    <row r="62" s="202" customFormat="1" ht="12.75">
      <c r="B62" s="202" t="s">
        <v>350</v>
      </c>
    </row>
    <row r="63" s="202" customFormat="1" ht="12.75">
      <c r="B63" s="202" t="s">
        <v>351</v>
      </c>
    </row>
    <row r="64" spans="3:4" s="202" customFormat="1" ht="12.75">
      <c r="C64" s="202" t="s">
        <v>346</v>
      </c>
      <c r="D64" s="202">
        <v>15</v>
      </c>
    </row>
    <row r="65" spans="3:6" s="202" customFormat="1" ht="12.75">
      <c r="C65" s="202" t="s">
        <v>345</v>
      </c>
      <c r="D65" s="202">
        <v>100</v>
      </c>
      <c r="F65" s="202">
        <f>D64*E66</f>
        <v>3.75</v>
      </c>
    </row>
    <row r="66" spans="3:5" s="202" customFormat="1" ht="12.75">
      <c r="C66" s="202" t="s">
        <v>343</v>
      </c>
      <c r="D66" s="202">
        <f>D65*E66</f>
        <v>25</v>
      </c>
      <c r="E66" s="204">
        <f>25%</f>
        <v>0.25</v>
      </c>
    </row>
    <row r="67" spans="3:4" s="202" customFormat="1" ht="12.75">
      <c r="C67" s="202" t="s">
        <v>344</v>
      </c>
      <c r="D67" s="202">
        <f>D65-D66</f>
        <v>75</v>
      </c>
    </row>
    <row r="68" s="202" customFormat="1" ht="12.75"/>
    <row r="69" s="202" customFormat="1" ht="12.75"/>
    <row r="70" s="202" customFormat="1" ht="12.75"/>
    <row r="71" s="202" customFormat="1" ht="12.75"/>
    <row r="72" s="202" customFormat="1" ht="12.75"/>
    <row r="73" s="202" customFormat="1" ht="12.75"/>
    <row r="74" s="202" customFormat="1" ht="12.75"/>
    <row r="75" spans="1:6" ht="12.75">
      <c r="A75" s="202"/>
      <c r="B75" s="202"/>
      <c r="C75" s="202"/>
      <c r="D75" s="202"/>
      <c r="E75" s="202"/>
      <c r="F75" s="202"/>
    </row>
    <row r="76" spans="1:6" ht="12.75">
      <c r="A76" s="202"/>
      <c r="B76" s="202"/>
      <c r="C76" s="202"/>
      <c r="D76" s="202"/>
      <c r="E76" s="202"/>
      <c r="F76" s="202"/>
    </row>
    <row r="77" spans="1:6" ht="12.75">
      <c r="A77" s="202"/>
      <c r="B77" s="202"/>
      <c r="C77" s="202"/>
      <c r="D77" s="202"/>
      <c r="E77" s="202"/>
      <c r="F77" s="202"/>
    </row>
    <row r="78" spans="1:6" ht="12.75">
      <c r="A78" s="202"/>
      <c r="B78" s="202"/>
      <c r="C78" s="202"/>
      <c r="D78" s="202"/>
      <c r="E78" s="202"/>
      <c r="F78" s="202"/>
    </row>
    <row r="79" spans="1:6" ht="12.75">
      <c r="A79" s="202"/>
      <c r="B79" s="202"/>
      <c r="C79" s="202"/>
      <c r="D79" s="202"/>
      <c r="E79" s="202"/>
      <c r="F79" s="202"/>
    </row>
    <row r="80" spans="1:6" ht="12.75">
      <c r="A80" s="202"/>
      <c r="B80" s="202"/>
      <c r="C80" s="202"/>
      <c r="D80" s="202"/>
      <c r="E80" s="202"/>
      <c r="F80" s="202"/>
    </row>
  </sheetData>
  <mergeCells count="12">
    <mergeCell ref="A2:G2"/>
    <mergeCell ref="B35:C35"/>
    <mergeCell ref="B37:C37"/>
    <mergeCell ref="A39:F39"/>
    <mergeCell ref="D40:D41"/>
    <mergeCell ref="F40:F41"/>
    <mergeCell ref="B36:C36"/>
    <mergeCell ref="A4:G4"/>
    <mergeCell ref="A5:G5"/>
    <mergeCell ref="A40:A41"/>
    <mergeCell ref="B40:B41"/>
    <mergeCell ref="C40:C41"/>
  </mergeCells>
  <printOptions horizontalCentered="1" verticalCentered="1"/>
  <pageMargins left="1.07" right="0.75" top="1.91" bottom="3.8" header="0" footer="0"/>
  <pageSetup fitToHeight="1" fitToWidth="1" horizontalDpi="300" verticalDpi="300" orientation="portrait" paperSize="9" scale="65" r:id="rId2"/>
  <drawing r:id="rId1"/>
</worksheet>
</file>

<file path=xl/worksheets/sheet11.xml><?xml version="1.0" encoding="utf-8"?>
<worksheet xmlns="http://schemas.openxmlformats.org/spreadsheetml/2006/main" xmlns:r="http://schemas.openxmlformats.org/officeDocument/2006/relationships">
  <dimension ref="A1:I43"/>
  <sheetViews>
    <sheetView workbookViewId="0" topLeftCell="A1">
      <selection activeCell="J23" sqref="J23"/>
    </sheetView>
  </sheetViews>
  <sheetFormatPr defaultColWidth="11.421875" defaultRowHeight="12.75"/>
  <cols>
    <col min="1" max="1" width="15.421875" style="0" customWidth="1"/>
    <col min="2" max="2" width="19.00390625" style="0" customWidth="1"/>
    <col min="3" max="3" width="11.7109375" style="0" customWidth="1"/>
    <col min="5" max="5" width="11.57421875" style="0" bestFit="1" customWidth="1"/>
  </cols>
  <sheetData>
    <row r="1" spans="1:9" ht="21" customHeight="1">
      <c r="A1" s="758" t="s">
        <v>406</v>
      </c>
      <c r="B1" s="758"/>
      <c r="C1" s="758"/>
      <c r="D1" s="758"/>
      <c r="E1" s="758"/>
      <c r="F1" s="246"/>
      <c r="G1" s="246"/>
      <c r="H1" s="246"/>
      <c r="I1" s="246"/>
    </row>
    <row r="2" spans="1:9" ht="15.75">
      <c r="A2" s="763" t="s">
        <v>407</v>
      </c>
      <c r="B2" s="763"/>
      <c r="C2" s="763"/>
      <c r="D2" s="763"/>
      <c r="E2" s="763"/>
      <c r="F2" s="246"/>
      <c r="G2" s="246"/>
      <c r="H2" s="246"/>
      <c r="I2" s="246"/>
    </row>
    <row r="3" spans="1:9" ht="15.75">
      <c r="A3" s="655"/>
      <c r="B3" s="655"/>
      <c r="C3" s="655"/>
      <c r="D3" s="655"/>
      <c r="E3" s="655"/>
      <c r="F3" s="246"/>
      <c r="G3" s="246"/>
      <c r="H3" s="246"/>
      <c r="I3" s="246"/>
    </row>
    <row r="4" spans="1:5" ht="15.75">
      <c r="A4" s="499" t="s">
        <v>388</v>
      </c>
      <c r="B4" s="462"/>
      <c r="C4" s="462" t="s">
        <v>391</v>
      </c>
      <c r="D4" s="462"/>
      <c r="E4" s="462"/>
    </row>
    <row r="5" spans="1:5" ht="15.75">
      <c r="A5" s="499" t="s">
        <v>389</v>
      </c>
      <c r="B5" s="462"/>
      <c r="C5" s="462" t="s">
        <v>392</v>
      </c>
      <c r="D5" s="462"/>
      <c r="E5" s="462"/>
    </row>
    <row r="6" spans="1:5" ht="15.75">
      <c r="A6" s="499" t="s">
        <v>409</v>
      </c>
      <c r="B6" s="462"/>
      <c r="C6" s="462" t="s">
        <v>393</v>
      </c>
      <c r="D6" s="462"/>
      <c r="E6" s="462"/>
    </row>
    <row r="7" spans="1:5" ht="16.5" thickBot="1">
      <c r="A7" s="462"/>
      <c r="B7" s="462"/>
      <c r="C7" s="462"/>
      <c r="D7" s="462"/>
      <c r="E7" s="462"/>
    </row>
    <row r="8" spans="1:5" ht="18" customHeight="1" thickBot="1">
      <c r="A8" s="759" t="s">
        <v>408</v>
      </c>
      <c r="B8" s="760"/>
      <c r="C8" s="656">
        <v>25</v>
      </c>
      <c r="D8" s="462"/>
      <c r="E8" s="462"/>
    </row>
    <row r="9" spans="1:5" ht="18" customHeight="1" thickBot="1">
      <c r="A9" s="759" t="s">
        <v>395</v>
      </c>
      <c r="B9" s="760"/>
      <c r="C9" s="656">
        <v>40</v>
      </c>
      <c r="D9" s="462"/>
      <c r="E9" s="462"/>
    </row>
    <row r="10" spans="1:5" ht="16.5" thickBot="1">
      <c r="A10" s="472"/>
      <c r="B10" s="472"/>
      <c r="C10" s="657"/>
      <c r="D10" s="462"/>
      <c r="E10" s="462"/>
    </row>
    <row r="11" spans="1:5" ht="16.5" thickBot="1">
      <c r="A11" s="767" t="s">
        <v>390</v>
      </c>
      <c r="B11" s="768"/>
      <c r="C11" s="659" t="s">
        <v>391</v>
      </c>
      <c r="D11" s="659" t="s">
        <v>392</v>
      </c>
      <c r="E11" s="658" t="s">
        <v>393</v>
      </c>
    </row>
    <row r="12" spans="1:5" ht="15.75">
      <c r="A12" s="660" t="s">
        <v>394</v>
      </c>
      <c r="B12" s="522"/>
      <c r="C12" s="661">
        <v>0.25</v>
      </c>
      <c r="D12" s="661">
        <v>0.3</v>
      </c>
      <c r="E12" s="661">
        <v>0.35</v>
      </c>
    </row>
    <row r="13" spans="1:5" ht="15.75">
      <c r="A13" s="662" t="s">
        <v>410</v>
      </c>
      <c r="B13" s="663"/>
      <c r="C13" s="664">
        <v>10</v>
      </c>
      <c r="D13" s="664">
        <f>D12*C9</f>
        <v>12</v>
      </c>
      <c r="E13" s="664">
        <f>E12*C9</f>
        <v>14</v>
      </c>
    </row>
    <row r="14" spans="1:5" ht="16.5" thickBot="1">
      <c r="A14" s="542" t="s">
        <v>396</v>
      </c>
      <c r="B14" s="544"/>
      <c r="C14" s="665">
        <v>0.25</v>
      </c>
      <c r="D14" s="665">
        <v>0.3</v>
      </c>
      <c r="E14" s="665">
        <v>0.35</v>
      </c>
    </row>
    <row r="15" spans="1:5" ht="15.75">
      <c r="A15" s="666"/>
      <c r="B15" s="666"/>
      <c r="C15" s="667"/>
      <c r="D15" s="667"/>
      <c r="E15" s="667"/>
    </row>
    <row r="16" spans="1:5" ht="16.5" thickBot="1">
      <c r="A16" s="462"/>
      <c r="B16" s="462"/>
      <c r="C16" s="462"/>
      <c r="D16" s="462"/>
      <c r="E16" s="462"/>
    </row>
    <row r="17" spans="1:5" ht="16.5" thickBot="1">
      <c r="A17" s="761" t="s">
        <v>152</v>
      </c>
      <c r="B17" s="762"/>
      <c r="C17" s="668">
        <f>'F.Caja renT DE INV'!D35</f>
        <v>10764.77037827616</v>
      </c>
      <c r="D17" s="669">
        <v>35433</v>
      </c>
      <c r="E17" s="670">
        <v>59560</v>
      </c>
    </row>
    <row r="18" spans="1:5" ht="16.5" thickBot="1">
      <c r="A18" s="765" t="s">
        <v>153</v>
      </c>
      <c r="B18" s="766"/>
      <c r="C18" s="671">
        <f>'F.Caja renT DE INV'!D36</f>
        <v>0.27568434955231297</v>
      </c>
      <c r="D18" s="672">
        <v>0.44</v>
      </c>
      <c r="E18" s="673">
        <v>0.59</v>
      </c>
    </row>
    <row r="19" spans="1:5" ht="15.75">
      <c r="A19" s="247"/>
      <c r="B19" s="764"/>
      <c r="C19" s="764"/>
      <c r="D19" s="247"/>
      <c r="E19" s="247"/>
    </row>
    <row r="20" spans="1:7" ht="18">
      <c r="A20" s="231"/>
      <c r="B20" s="232"/>
      <c r="C20" s="233"/>
      <c r="D20" s="230"/>
      <c r="E20" s="230"/>
      <c r="F20" s="114"/>
      <c r="G20" s="114"/>
    </row>
    <row r="21" spans="1:7" ht="18">
      <c r="A21" s="234"/>
      <c r="B21" s="235"/>
      <c r="C21" s="236"/>
      <c r="D21" s="230"/>
      <c r="E21" s="230"/>
      <c r="F21" s="114"/>
      <c r="G21" s="114"/>
    </row>
    <row r="22" spans="1:5" ht="12.75">
      <c r="A22" s="234"/>
      <c r="B22" s="235"/>
      <c r="C22" s="237"/>
      <c r="D22" s="230"/>
      <c r="E22" s="230"/>
    </row>
    <row r="23" spans="1:5" ht="12.75">
      <c r="A23" s="234"/>
      <c r="B23" s="235"/>
      <c r="C23" s="237"/>
      <c r="D23" s="230"/>
      <c r="E23" s="230"/>
    </row>
    <row r="24" spans="1:5" ht="12.75">
      <c r="A24" s="234"/>
      <c r="B24" s="235"/>
      <c r="C24" s="238"/>
      <c r="D24" s="230"/>
      <c r="E24" s="230"/>
    </row>
    <row r="25" spans="1:5" ht="12.75">
      <c r="A25" s="234"/>
      <c r="B25" s="235"/>
      <c r="C25" s="238"/>
      <c r="D25" s="230"/>
      <c r="E25" s="230"/>
    </row>
    <row r="26" spans="1:5" ht="12.75">
      <c r="A26" s="234"/>
      <c r="B26" s="235"/>
      <c r="C26" s="238"/>
      <c r="D26" s="230"/>
      <c r="E26" s="230"/>
    </row>
    <row r="27" spans="1:5" ht="18">
      <c r="A27" s="239"/>
      <c r="B27" s="231"/>
      <c r="C27" s="240"/>
      <c r="D27" s="230"/>
      <c r="E27" s="230"/>
    </row>
    <row r="28" spans="1:5" ht="12.75">
      <c r="A28" s="230"/>
      <c r="B28" s="230"/>
      <c r="C28" s="230"/>
      <c r="D28" s="230"/>
      <c r="E28" s="230"/>
    </row>
    <row r="29" spans="1:5" ht="12.75">
      <c r="A29" s="241"/>
      <c r="B29" s="242"/>
      <c r="C29" s="243"/>
      <c r="D29" s="230"/>
      <c r="E29" s="230"/>
    </row>
    <row r="30" spans="1:5" ht="18">
      <c r="A30" s="239"/>
      <c r="B30" s="244"/>
      <c r="C30" s="244"/>
      <c r="D30" s="230"/>
      <c r="E30" s="230"/>
    </row>
    <row r="31" spans="1:5" ht="18">
      <c r="A31" s="230"/>
      <c r="B31" s="244"/>
      <c r="C31" s="245"/>
      <c r="D31" s="230"/>
      <c r="E31" s="230"/>
    </row>
    <row r="32" spans="1:5" ht="12.75">
      <c r="A32" s="241"/>
      <c r="B32" s="230"/>
      <c r="C32" s="230"/>
      <c r="D32" s="230"/>
      <c r="E32" s="230"/>
    </row>
    <row r="33" ht="18">
      <c r="E33" s="114"/>
    </row>
    <row r="41" spans="1:2" ht="12.75">
      <c r="A41" t="s">
        <v>155</v>
      </c>
      <c r="B41" t="s">
        <v>156</v>
      </c>
    </row>
    <row r="42" spans="1:2" ht="12.75">
      <c r="A42" t="s">
        <v>157</v>
      </c>
      <c r="B42" t="s">
        <v>158</v>
      </c>
    </row>
    <row r="43" spans="1:2" ht="12.75">
      <c r="A43" t="s">
        <v>159</v>
      </c>
      <c r="B43" t="s">
        <v>160</v>
      </c>
    </row>
  </sheetData>
  <mergeCells count="8">
    <mergeCell ref="B19:C19"/>
    <mergeCell ref="A18:B18"/>
    <mergeCell ref="A11:B11"/>
    <mergeCell ref="A9:B9"/>
    <mergeCell ref="A8:B8"/>
    <mergeCell ref="A17:B17"/>
    <mergeCell ref="A1:E1"/>
    <mergeCell ref="A2:E2"/>
  </mergeCells>
  <printOptions/>
  <pageMargins left="1.24" right="0.75" top="1.89" bottom="1"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2:J27"/>
  <sheetViews>
    <sheetView workbookViewId="0" topLeftCell="A1">
      <selection activeCell="C14" sqref="C14"/>
    </sheetView>
  </sheetViews>
  <sheetFormatPr defaultColWidth="11.421875" defaultRowHeight="12.75"/>
  <cols>
    <col min="1" max="1" width="19.140625" style="34" customWidth="1"/>
    <col min="2" max="16384" width="11.421875" style="34" customWidth="1"/>
  </cols>
  <sheetData>
    <row r="2" ht="13.5" thickBot="1">
      <c r="I2" s="32"/>
    </row>
    <row r="3" spans="1:10" ht="16.5" thickBot="1">
      <c r="A3" s="769" t="s">
        <v>19</v>
      </c>
      <c r="B3" s="770"/>
      <c r="C3" s="770"/>
      <c r="D3" s="35"/>
      <c r="E3" s="35"/>
      <c r="F3" s="35"/>
      <c r="G3" s="35"/>
      <c r="H3" s="35"/>
      <c r="I3" s="33">
        <f>SUM(J5:J25)</f>
        <v>6.49125</v>
      </c>
      <c r="J3" s="36" t="s">
        <v>20</v>
      </c>
    </row>
    <row r="4" spans="1:10" ht="13.5" thickBot="1">
      <c r="A4" s="771"/>
      <c r="B4" s="772"/>
      <c r="C4" s="772"/>
      <c r="D4" s="772"/>
      <c r="E4" s="772"/>
      <c r="F4" s="772"/>
      <c r="G4" s="772"/>
      <c r="H4" s="772"/>
      <c r="I4" s="772"/>
      <c r="J4" s="773"/>
    </row>
    <row r="5" spans="1:10" ht="12.75">
      <c r="A5" s="37" t="s">
        <v>21</v>
      </c>
      <c r="B5" s="38"/>
      <c r="C5" s="38"/>
      <c r="D5" s="38"/>
      <c r="E5" s="38"/>
      <c r="F5" s="38"/>
      <c r="G5" s="38"/>
      <c r="H5" s="38"/>
      <c r="I5" s="38"/>
      <c r="J5" s="39">
        <f>H15/I15</f>
        <v>4.66875</v>
      </c>
    </row>
    <row r="6" spans="1:10" ht="12.75">
      <c r="A6" s="40"/>
      <c r="B6" s="41"/>
      <c r="C6" s="42" t="s">
        <v>95</v>
      </c>
      <c r="D6" s="41"/>
      <c r="E6" s="42" t="s">
        <v>22</v>
      </c>
      <c r="F6" s="41"/>
      <c r="G6" s="42" t="s">
        <v>22</v>
      </c>
      <c r="H6" s="41"/>
      <c r="I6" s="43"/>
      <c r="J6" s="44"/>
    </row>
    <row r="7" spans="1:10" ht="12.75">
      <c r="A7" s="40"/>
      <c r="B7" s="41"/>
      <c r="C7" s="42" t="s">
        <v>23</v>
      </c>
      <c r="D7" s="41"/>
      <c r="E7" s="42" t="s">
        <v>24</v>
      </c>
      <c r="F7" s="41"/>
      <c r="G7" s="42" t="s">
        <v>25</v>
      </c>
      <c r="H7" s="41"/>
      <c r="I7" s="41"/>
      <c r="J7" s="44"/>
    </row>
    <row r="8" spans="1:10" ht="12.75">
      <c r="A8" s="40" t="s">
        <v>26</v>
      </c>
      <c r="B8" s="45">
        <v>300</v>
      </c>
      <c r="C8" s="42">
        <v>2</v>
      </c>
      <c r="D8" s="41">
        <f>B8/C8</f>
        <v>150</v>
      </c>
      <c r="E8" s="42">
        <v>20</v>
      </c>
      <c r="F8" s="41">
        <f>D8/E8</f>
        <v>7.5</v>
      </c>
      <c r="G8" s="42">
        <v>3</v>
      </c>
      <c r="H8" s="41">
        <f>F8*G8</f>
        <v>22.5</v>
      </c>
      <c r="I8" s="41"/>
      <c r="J8" s="44"/>
    </row>
    <row r="9" spans="1:10" ht="12.75">
      <c r="A9" s="40" t="s">
        <v>27</v>
      </c>
      <c r="B9" s="45">
        <v>200</v>
      </c>
      <c r="C9" s="42">
        <v>2</v>
      </c>
      <c r="D9" s="41">
        <f aca="true" t="shared" si="0" ref="D9:D14">B9/C9</f>
        <v>100</v>
      </c>
      <c r="E9" s="42">
        <v>20</v>
      </c>
      <c r="F9" s="41">
        <f aca="true" t="shared" si="1" ref="F9:F14">D9/E9</f>
        <v>5</v>
      </c>
      <c r="G9" s="42">
        <v>3</v>
      </c>
      <c r="H9" s="41">
        <f aca="true" t="shared" si="2" ref="H9:H14">F9*G9</f>
        <v>15</v>
      </c>
      <c r="I9" s="41"/>
      <c r="J9" s="44"/>
    </row>
    <row r="10" spans="1:10" ht="12.75">
      <c r="A10" s="52" t="s">
        <v>96</v>
      </c>
      <c r="B10" s="45">
        <v>140</v>
      </c>
      <c r="C10" s="42">
        <v>2</v>
      </c>
      <c r="D10" s="41">
        <f t="shared" si="0"/>
        <v>70</v>
      </c>
      <c r="E10" s="42">
        <v>20</v>
      </c>
      <c r="F10" s="41">
        <f t="shared" si="1"/>
        <v>3.5</v>
      </c>
      <c r="G10" s="42">
        <v>3</v>
      </c>
      <c r="H10" s="41">
        <f t="shared" si="2"/>
        <v>10.5</v>
      </c>
      <c r="I10" s="41"/>
      <c r="J10" s="44"/>
    </row>
    <row r="11" spans="1:10" ht="12.75">
      <c r="A11" s="40" t="s">
        <v>28</v>
      </c>
      <c r="B11" s="45">
        <v>150</v>
      </c>
      <c r="C11" s="42">
        <v>2</v>
      </c>
      <c r="D11" s="41">
        <f t="shared" si="0"/>
        <v>75</v>
      </c>
      <c r="E11" s="42">
        <v>20</v>
      </c>
      <c r="F11" s="41">
        <f t="shared" si="1"/>
        <v>3.75</v>
      </c>
      <c r="G11" s="42">
        <v>3</v>
      </c>
      <c r="H11" s="41">
        <f t="shared" si="2"/>
        <v>11.25</v>
      </c>
      <c r="I11" s="41"/>
      <c r="J11" s="44"/>
    </row>
    <row r="12" spans="1:10" ht="12.75">
      <c r="A12" s="40" t="s">
        <v>29</v>
      </c>
      <c r="B12" s="45">
        <v>200</v>
      </c>
      <c r="C12" s="42">
        <v>2</v>
      </c>
      <c r="D12" s="41">
        <f t="shared" si="0"/>
        <v>100</v>
      </c>
      <c r="E12" s="42">
        <v>20</v>
      </c>
      <c r="F12" s="41">
        <f t="shared" si="1"/>
        <v>5</v>
      </c>
      <c r="G12" s="42">
        <v>3</v>
      </c>
      <c r="H12" s="41">
        <f t="shared" si="2"/>
        <v>15</v>
      </c>
      <c r="I12" s="41"/>
      <c r="J12" s="44"/>
    </row>
    <row r="13" spans="1:10" ht="12.75">
      <c r="A13" s="40" t="s">
        <v>30</v>
      </c>
      <c r="B13" s="45">
        <v>180</v>
      </c>
      <c r="C13" s="42">
        <v>2</v>
      </c>
      <c r="D13" s="41">
        <f t="shared" si="0"/>
        <v>90</v>
      </c>
      <c r="E13" s="42">
        <v>20</v>
      </c>
      <c r="F13" s="41">
        <f t="shared" si="1"/>
        <v>4.5</v>
      </c>
      <c r="G13" s="42">
        <v>3</v>
      </c>
      <c r="H13" s="41">
        <f t="shared" si="2"/>
        <v>13.5</v>
      </c>
      <c r="I13" s="41"/>
      <c r="J13" s="44"/>
    </row>
    <row r="14" spans="1:10" ht="12.75">
      <c r="A14" s="40" t="s">
        <v>31</v>
      </c>
      <c r="B14" s="45">
        <v>75</v>
      </c>
      <c r="C14" s="42">
        <v>2</v>
      </c>
      <c r="D14" s="41">
        <f t="shared" si="0"/>
        <v>37.5</v>
      </c>
      <c r="E14" s="42">
        <v>20</v>
      </c>
      <c r="F14" s="41">
        <f t="shared" si="1"/>
        <v>1.875</v>
      </c>
      <c r="G14" s="42">
        <v>3</v>
      </c>
      <c r="H14" s="41">
        <f t="shared" si="2"/>
        <v>5.625</v>
      </c>
      <c r="I14" s="41"/>
      <c r="J14" s="44"/>
    </row>
    <row r="15" spans="1:10" ht="13.5" thickBot="1">
      <c r="A15" s="46"/>
      <c r="B15" s="47"/>
      <c r="C15" s="47"/>
      <c r="D15" s="47"/>
      <c r="E15" s="47"/>
      <c r="F15" s="47"/>
      <c r="G15" s="47"/>
      <c r="H15" s="47">
        <f>SUM(H8:H14)</f>
        <v>93.375</v>
      </c>
      <c r="I15" s="48">
        <v>20</v>
      </c>
      <c r="J15" s="49"/>
    </row>
    <row r="16" spans="1:10" ht="13.5" thickBot="1">
      <c r="A16" s="771"/>
      <c r="B16" s="772"/>
      <c r="C16" s="772"/>
      <c r="D16" s="772"/>
      <c r="E16" s="772"/>
      <c r="F16" s="772"/>
      <c r="G16" s="772"/>
      <c r="H16" s="772"/>
      <c r="I16" s="772"/>
      <c r="J16" s="773"/>
    </row>
    <row r="17" spans="1:10" ht="12.75">
      <c r="A17" s="37" t="s">
        <v>32</v>
      </c>
      <c r="B17" s="38"/>
      <c r="C17" s="38"/>
      <c r="D17" s="38"/>
      <c r="E17" s="38"/>
      <c r="F17" s="38"/>
      <c r="G17" s="38"/>
      <c r="H17" s="38"/>
      <c r="I17" s="38"/>
      <c r="J17" s="39">
        <f>H23/I23</f>
        <v>1.7625</v>
      </c>
    </row>
    <row r="18" spans="1:10" ht="12.75">
      <c r="A18" s="40"/>
      <c r="B18" s="41"/>
      <c r="C18" s="41"/>
      <c r="D18" s="41"/>
      <c r="E18" s="41"/>
      <c r="F18" s="41"/>
      <c r="G18" s="41"/>
      <c r="H18" s="41"/>
      <c r="I18" s="41"/>
      <c r="J18" s="44"/>
    </row>
    <row r="19" spans="1:10" ht="12.75">
      <c r="A19" s="40" t="s">
        <v>33</v>
      </c>
      <c r="B19" s="41">
        <v>150</v>
      </c>
      <c r="C19" s="42">
        <v>2</v>
      </c>
      <c r="D19" s="41">
        <f>B19/C19</f>
        <v>75</v>
      </c>
      <c r="E19" s="42">
        <v>20</v>
      </c>
      <c r="F19" s="41">
        <f>D19/E19</f>
        <v>3.75</v>
      </c>
      <c r="G19" s="42">
        <v>3</v>
      </c>
      <c r="H19" s="41">
        <f>F19*G19</f>
        <v>11.25</v>
      </c>
      <c r="I19" s="41"/>
      <c r="J19" s="50"/>
    </row>
    <row r="20" spans="1:10" ht="12.75">
      <c r="A20" s="40" t="s">
        <v>34</v>
      </c>
      <c r="B20" s="41">
        <v>100</v>
      </c>
      <c r="C20" s="42">
        <v>2</v>
      </c>
      <c r="D20" s="41">
        <f>B20/C20</f>
        <v>50</v>
      </c>
      <c r="E20" s="42">
        <v>20</v>
      </c>
      <c r="F20" s="41">
        <f>D20/E20</f>
        <v>2.5</v>
      </c>
      <c r="G20" s="42">
        <v>3</v>
      </c>
      <c r="H20" s="41">
        <f>F20*G20</f>
        <v>7.5</v>
      </c>
      <c r="I20" s="41"/>
      <c r="J20" s="50"/>
    </row>
    <row r="21" spans="1:10" ht="12.75">
      <c r="A21" s="40" t="s">
        <v>35</v>
      </c>
      <c r="B21" s="41">
        <v>200</v>
      </c>
      <c r="C21" s="42">
        <v>2</v>
      </c>
      <c r="D21" s="41">
        <f>B21/C21</f>
        <v>100</v>
      </c>
      <c r="E21" s="42">
        <v>20</v>
      </c>
      <c r="F21" s="41">
        <f>D21/E21</f>
        <v>5</v>
      </c>
      <c r="G21" s="42">
        <v>3</v>
      </c>
      <c r="H21" s="41">
        <f>F21*G21</f>
        <v>15</v>
      </c>
      <c r="I21" s="41"/>
      <c r="J21" s="50"/>
    </row>
    <row r="22" spans="1:10" ht="12.75">
      <c r="A22" s="40" t="s">
        <v>36</v>
      </c>
      <c r="B22" s="41">
        <v>20</v>
      </c>
      <c r="C22" s="42">
        <v>2</v>
      </c>
      <c r="D22" s="41">
        <f>B22/C22</f>
        <v>10</v>
      </c>
      <c r="E22" s="42">
        <v>20</v>
      </c>
      <c r="F22" s="41">
        <f>D22/E22</f>
        <v>0.5</v>
      </c>
      <c r="G22" s="42">
        <v>3</v>
      </c>
      <c r="H22" s="41">
        <f>F22*G22</f>
        <v>1.5</v>
      </c>
      <c r="I22" s="41"/>
      <c r="J22" s="50"/>
    </row>
    <row r="23" spans="1:10" ht="13.5" thickBot="1">
      <c r="A23" s="46"/>
      <c r="B23" s="47"/>
      <c r="C23" s="47"/>
      <c r="D23" s="47"/>
      <c r="E23" s="47"/>
      <c r="F23" s="47"/>
      <c r="G23" s="47"/>
      <c r="H23" s="51">
        <f>SUM(H19:H22)</f>
        <v>35.25</v>
      </c>
      <c r="I23" s="48">
        <v>20</v>
      </c>
      <c r="J23" s="49"/>
    </row>
    <row r="24" spans="1:10" ht="13.5" thickBot="1">
      <c r="A24" s="771"/>
      <c r="B24" s="772"/>
      <c r="C24" s="772"/>
      <c r="D24" s="772"/>
      <c r="E24" s="772"/>
      <c r="F24" s="772"/>
      <c r="G24" s="772"/>
      <c r="H24" s="772"/>
      <c r="I24" s="772"/>
      <c r="J24" s="773"/>
    </row>
    <row r="25" spans="1:10" ht="12.75">
      <c r="A25" s="37" t="s">
        <v>37</v>
      </c>
      <c r="B25" s="38"/>
      <c r="C25" s="38"/>
      <c r="D25" s="38"/>
      <c r="E25" s="38"/>
      <c r="F25" s="38"/>
      <c r="G25" s="38"/>
      <c r="H25" s="38"/>
      <c r="I25" s="38"/>
      <c r="J25" s="39">
        <v>0.06</v>
      </c>
    </row>
    <row r="26" spans="1:10" ht="12.75">
      <c r="A26" s="40"/>
      <c r="B26" s="41"/>
      <c r="C26" s="42" t="s">
        <v>38</v>
      </c>
      <c r="D26" s="41"/>
      <c r="E26" s="41"/>
      <c r="F26" s="41"/>
      <c r="G26" s="41"/>
      <c r="H26" s="41"/>
      <c r="I26" s="41"/>
      <c r="J26" s="44"/>
    </row>
    <row r="27" spans="1:10" ht="13.5" thickBot="1">
      <c r="A27" s="46" t="s">
        <v>39</v>
      </c>
      <c r="B27" s="47">
        <v>30</v>
      </c>
      <c r="C27" s="47">
        <v>1000</v>
      </c>
      <c r="D27" s="47">
        <f>B27/C27</f>
        <v>0.03</v>
      </c>
      <c r="E27" s="48">
        <v>2</v>
      </c>
      <c r="F27" s="47">
        <v>0.06</v>
      </c>
      <c r="G27" s="47"/>
      <c r="H27" s="47"/>
      <c r="I27" s="47"/>
      <c r="J27" s="49"/>
    </row>
  </sheetData>
  <mergeCells count="4">
    <mergeCell ref="A3:C3"/>
    <mergeCell ref="A4:J4"/>
    <mergeCell ref="A16:J16"/>
    <mergeCell ref="A24:J24"/>
  </mergeCells>
  <printOptions/>
  <pageMargins left="0.75" right="0.75" top="1" bottom="1" header="0" footer="0"/>
  <pageSetup fitToHeight="1" fitToWidth="1" horizontalDpi="600" verticalDpi="600" orientation="landscape" r:id="rId1"/>
</worksheet>
</file>

<file path=xl/worksheets/sheet13.xml><?xml version="1.0" encoding="utf-8"?>
<worksheet xmlns="http://schemas.openxmlformats.org/spreadsheetml/2006/main" xmlns:r="http://schemas.openxmlformats.org/officeDocument/2006/relationships">
  <dimension ref="C2:R42"/>
  <sheetViews>
    <sheetView workbookViewId="0" topLeftCell="D1">
      <selection activeCell="O30" sqref="O30"/>
    </sheetView>
  </sheetViews>
  <sheetFormatPr defaultColWidth="11.421875" defaultRowHeight="12.75"/>
  <cols>
    <col min="1" max="1" width="2.28125" style="53" customWidth="1"/>
    <col min="2" max="2" width="2.140625" style="53" customWidth="1"/>
    <col min="3" max="3" width="15.8515625" style="53" customWidth="1"/>
    <col min="4" max="4" width="18.8515625" style="53" customWidth="1"/>
    <col min="5" max="5" width="11.8515625" style="53" customWidth="1"/>
    <col min="6" max="6" width="7.7109375" style="53" customWidth="1"/>
    <col min="7" max="7" width="9.7109375" style="53" customWidth="1"/>
    <col min="8" max="8" width="7.8515625" style="53" customWidth="1"/>
    <col min="9" max="9" width="9.7109375" style="53" customWidth="1"/>
    <col min="10" max="10" width="12.00390625" style="53" bestFit="1" customWidth="1"/>
    <col min="11" max="11" width="9.7109375" style="53" customWidth="1"/>
    <col min="12" max="12" width="12.00390625" style="53" bestFit="1" customWidth="1"/>
    <col min="13" max="13" width="9.7109375" style="53" customWidth="1"/>
    <col min="14" max="14" width="7.8515625" style="53" customWidth="1"/>
    <col min="15" max="15" width="9.7109375" style="53" customWidth="1"/>
    <col min="16" max="16" width="7.7109375" style="53" customWidth="1"/>
    <col min="17" max="16384" width="11.421875" style="53" customWidth="1"/>
  </cols>
  <sheetData>
    <row r="2" spans="4:16" ht="18">
      <c r="D2" s="774" t="s">
        <v>40</v>
      </c>
      <c r="E2" s="774"/>
      <c r="F2" s="774"/>
      <c r="G2" s="774"/>
      <c r="H2" s="774"/>
      <c r="I2" s="774"/>
      <c r="J2" s="774"/>
      <c r="K2" s="774"/>
      <c r="L2" s="774"/>
      <c r="M2" s="774"/>
      <c r="N2" s="774"/>
      <c r="O2" s="774"/>
      <c r="P2" s="774"/>
    </row>
    <row r="4" spans="3:16" ht="12.75">
      <c r="C4" s="54" t="s">
        <v>41</v>
      </c>
      <c r="D4" s="54" t="s">
        <v>42</v>
      </c>
      <c r="E4" s="775" t="s">
        <v>43</v>
      </c>
      <c r="F4" s="775"/>
      <c r="G4" s="775" t="s">
        <v>43</v>
      </c>
      <c r="H4" s="775"/>
      <c r="I4" s="775" t="s">
        <v>43</v>
      </c>
      <c r="J4" s="775"/>
      <c r="K4" s="775" t="s">
        <v>43</v>
      </c>
      <c r="L4" s="775"/>
      <c r="M4" s="775" t="s">
        <v>43</v>
      </c>
      <c r="N4" s="775"/>
      <c r="O4" s="775" t="s">
        <v>43</v>
      </c>
      <c r="P4" s="775"/>
    </row>
    <row r="5" spans="5:16" ht="12.75">
      <c r="E5" s="776" t="s">
        <v>44</v>
      </c>
      <c r="F5" s="776"/>
      <c r="G5" s="776" t="s">
        <v>45</v>
      </c>
      <c r="H5" s="776"/>
      <c r="I5" s="776" t="s">
        <v>46</v>
      </c>
      <c r="J5" s="776"/>
      <c r="K5" s="776" t="s">
        <v>47</v>
      </c>
      <c r="L5" s="776"/>
      <c r="M5" s="776" t="s">
        <v>48</v>
      </c>
      <c r="N5" s="776"/>
      <c r="O5" s="776" t="s">
        <v>49</v>
      </c>
      <c r="P5" s="776"/>
    </row>
    <row r="6" spans="3:16" ht="12.75">
      <c r="C6" s="53" t="s">
        <v>50</v>
      </c>
      <c r="D6" s="53" t="s">
        <v>51</v>
      </c>
      <c r="F6" s="55"/>
      <c r="H6" s="55"/>
      <c r="J6" s="55">
        <v>25</v>
      </c>
      <c r="L6" s="55">
        <v>25</v>
      </c>
      <c r="N6" s="55">
        <v>25</v>
      </c>
      <c r="P6" s="55">
        <v>25</v>
      </c>
    </row>
    <row r="7" spans="4:16" ht="12.75">
      <c r="D7" s="53" t="s">
        <v>52</v>
      </c>
      <c r="F7" s="55"/>
      <c r="H7" s="55"/>
      <c r="J7" s="55">
        <v>46</v>
      </c>
      <c r="L7" s="55">
        <v>33</v>
      </c>
      <c r="N7" s="55">
        <v>31</v>
      </c>
      <c r="P7" s="55">
        <v>29</v>
      </c>
    </row>
    <row r="8" spans="4:16" ht="12.75">
      <c r="D8" s="53" t="s">
        <v>53</v>
      </c>
      <c r="F8" s="55"/>
      <c r="H8" s="55"/>
      <c r="J8" s="55">
        <v>47</v>
      </c>
      <c r="L8" s="55">
        <v>33</v>
      </c>
      <c r="N8" s="55">
        <v>31</v>
      </c>
      <c r="P8" s="55">
        <v>30</v>
      </c>
    </row>
    <row r="9" spans="3:16" ht="12.75">
      <c r="C9" s="53" t="s">
        <v>54</v>
      </c>
      <c r="F9" s="55"/>
      <c r="H9" s="55"/>
      <c r="J9" s="55"/>
      <c r="L9" s="55"/>
      <c r="N9" s="55"/>
      <c r="P9" s="55"/>
    </row>
    <row r="10" spans="4:16" ht="12.75">
      <c r="D10" s="53" t="s">
        <v>55</v>
      </c>
      <c r="E10" s="53" t="s">
        <v>56</v>
      </c>
      <c r="F10" s="55">
        <v>0</v>
      </c>
      <c r="H10" s="55">
        <v>0</v>
      </c>
      <c r="J10" s="55">
        <v>1.8</v>
      </c>
      <c r="L10" s="55">
        <v>1.6</v>
      </c>
      <c r="N10" s="55">
        <v>1.6</v>
      </c>
      <c r="P10" s="55">
        <v>1.6</v>
      </c>
    </row>
    <row r="11" spans="4:16" ht="12.75">
      <c r="D11" s="53" t="s">
        <v>57</v>
      </c>
      <c r="E11" s="53" t="s">
        <v>58</v>
      </c>
      <c r="F11" s="55">
        <v>0</v>
      </c>
      <c r="H11" s="55">
        <v>0</v>
      </c>
      <c r="J11" s="55">
        <v>0</v>
      </c>
      <c r="L11" s="55">
        <v>0</v>
      </c>
      <c r="N11" s="55">
        <v>0</v>
      </c>
      <c r="P11" s="55">
        <v>0</v>
      </c>
    </row>
    <row r="12" spans="4:16" ht="12.75">
      <c r="D12" s="53" t="s">
        <v>59</v>
      </c>
      <c r="E12" s="53" t="s">
        <v>58</v>
      </c>
      <c r="F12" s="55">
        <v>0</v>
      </c>
      <c r="G12" s="55"/>
      <c r="H12" s="55">
        <v>0</v>
      </c>
      <c r="I12" s="55"/>
      <c r="J12" s="55">
        <v>0</v>
      </c>
      <c r="K12" s="55"/>
      <c r="L12" s="55">
        <v>0</v>
      </c>
      <c r="M12" s="55"/>
      <c r="N12" s="55">
        <v>0</v>
      </c>
      <c r="O12" s="55"/>
      <c r="P12" s="55">
        <v>0</v>
      </c>
    </row>
    <row r="13" spans="4:16" ht="12.75">
      <c r="D13" s="53" t="s">
        <v>60</v>
      </c>
      <c r="F13" s="55">
        <v>0</v>
      </c>
      <c r="G13" s="55"/>
      <c r="H13" s="55">
        <v>0</v>
      </c>
      <c r="I13" s="55"/>
      <c r="J13" s="55">
        <v>0</v>
      </c>
      <c r="K13" s="55"/>
      <c r="L13" s="55">
        <v>0</v>
      </c>
      <c r="M13" s="55"/>
      <c r="N13" s="55">
        <v>0</v>
      </c>
      <c r="O13" s="55"/>
      <c r="P13" s="55">
        <v>0</v>
      </c>
    </row>
    <row r="14" ht="14.25" customHeight="1">
      <c r="C14" s="53" t="s">
        <v>61</v>
      </c>
    </row>
    <row r="15" spans="4:16" ht="12.75">
      <c r="D15" s="53" t="s">
        <v>62</v>
      </c>
      <c r="F15" s="55">
        <v>0</v>
      </c>
      <c r="H15" s="55">
        <v>0</v>
      </c>
      <c r="J15" s="55">
        <v>3</v>
      </c>
      <c r="L15" s="55">
        <v>3</v>
      </c>
      <c r="N15" s="55">
        <v>3</v>
      </c>
      <c r="P15" s="55">
        <v>3</v>
      </c>
    </row>
    <row r="16" spans="3:16" ht="12.75">
      <c r="C16" s="53" t="s">
        <v>63</v>
      </c>
      <c r="F16" s="55"/>
      <c r="H16" s="55"/>
      <c r="J16" s="55"/>
      <c r="L16" s="55"/>
      <c r="N16" s="55"/>
      <c r="P16" s="55"/>
    </row>
    <row r="17" spans="4:16" ht="12.75">
      <c r="D17" s="53" t="s">
        <v>64</v>
      </c>
      <c r="F17" s="55"/>
      <c r="H17" s="55"/>
      <c r="J17" s="55">
        <v>39</v>
      </c>
      <c r="L17" s="55">
        <v>39</v>
      </c>
      <c r="N17" s="55">
        <v>24</v>
      </c>
      <c r="P17" s="55">
        <v>20</v>
      </c>
    </row>
    <row r="18" ht="12.75">
      <c r="C18" s="53" t="s">
        <v>65</v>
      </c>
    </row>
    <row r="19" spans="4:16" ht="12.75">
      <c r="D19" s="53" t="s">
        <v>66</v>
      </c>
      <c r="F19" s="55"/>
      <c r="H19" s="55"/>
      <c r="J19" s="55">
        <v>0</v>
      </c>
      <c r="L19" s="55">
        <v>0</v>
      </c>
      <c r="N19" s="56">
        <v>0</v>
      </c>
      <c r="P19" s="55">
        <v>0</v>
      </c>
    </row>
    <row r="20" spans="4:16" ht="13.5" thickBot="1">
      <c r="D20" s="53" t="s">
        <v>67</v>
      </c>
      <c r="E20" s="57"/>
      <c r="F20" s="58"/>
      <c r="G20" s="57"/>
      <c r="H20" s="58"/>
      <c r="I20" s="57"/>
      <c r="J20" s="58">
        <v>125</v>
      </c>
      <c r="K20" s="57"/>
      <c r="L20" s="58">
        <v>75</v>
      </c>
      <c r="M20" s="57"/>
      <c r="N20" s="58">
        <v>60</v>
      </c>
      <c r="O20" s="57"/>
      <c r="P20" s="58">
        <v>50</v>
      </c>
    </row>
    <row r="21" spans="6:16" ht="12.75">
      <c r="F21" s="55">
        <f>SUM(F6:F20)</f>
        <v>0</v>
      </c>
      <c r="G21" s="55"/>
      <c r="H21" s="55">
        <f>SUM(H6:H20)</f>
        <v>0</v>
      </c>
      <c r="I21" s="55"/>
      <c r="J21" s="55">
        <f>SUM(J6:J20)</f>
        <v>286.8</v>
      </c>
      <c r="K21" s="55"/>
      <c r="L21" s="55">
        <f>SUM(L6:L20)</f>
        <v>209.6</v>
      </c>
      <c r="M21" s="55"/>
      <c r="N21" s="55">
        <f>SUM(N6:N20)</f>
        <v>175.6</v>
      </c>
      <c r="O21" s="55"/>
      <c r="P21" s="55">
        <f>SUM(P6:P20)</f>
        <v>158.6</v>
      </c>
    </row>
    <row r="22" spans="3:16" ht="13.5" thickBot="1">
      <c r="C22" s="53" t="s">
        <v>68</v>
      </c>
      <c r="D22" s="59">
        <v>0.03</v>
      </c>
      <c r="E22" s="57"/>
      <c r="F22" s="58">
        <f>F23-F21</f>
        <v>0</v>
      </c>
      <c r="G22" s="58"/>
      <c r="H22" s="58">
        <f>H23-H21</f>
        <v>0</v>
      </c>
      <c r="I22" s="58"/>
      <c r="J22" s="58">
        <f>J23-J21</f>
        <v>8.870103092783495</v>
      </c>
      <c r="K22" s="58"/>
      <c r="L22" s="58">
        <f>L23-L21</f>
        <v>6.482474226804129</v>
      </c>
      <c r="M22" s="58"/>
      <c r="N22" s="58">
        <f>N23-N21</f>
        <v>5.430927835051563</v>
      </c>
      <c r="O22" s="58"/>
      <c r="P22" s="58">
        <f>P23-P21</f>
        <v>4.905154639175265</v>
      </c>
    </row>
    <row r="23" spans="6:18" ht="12.75">
      <c r="F23" s="55">
        <f>F21/$R$23</f>
        <v>0</v>
      </c>
      <c r="G23" s="55"/>
      <c r="H23" s="55">
        <f>H21/$R$23</f>
        <v>0</v>
      </c>
      <c r="I23" s="55"/>
      <c r="J23" s="55">
        <f>J21/$R$23</f>
        <v>295.6701030927835</v>
      </c>
      <c r="K23" s="55"/>
      <c r="L23" s="55">
        <f>L21/$R$23</f>
        <v>216.08247422680412</v>
      </c>
      <c r="M23" s="55"/>
      <c r="N23" s="55">
        <f>N21/$R$23</f>
        <v>181.03092783505156</v>
      </c>
      <c r="O23" s="55"/>
      <c r="P23" s="55">
        <f>P21/$R$23</f>
        <v>163.50515463917526</v>
      </c>
      <c r="R23" s="59">
        <f>1-$D$22</f>
        <v>0.97</v>
      </c>
    </row>
    <row r="24" spans="3:16" ht="13.5" thickBot="1">
      <c r="C24" s="53" t="s">
        <v>69</v>
      </c>
      <c r="D24" s="59">
        <v>0.09</v>
      </c>
      <c r="E24" s="57"/>
      <c r="F24" s="58">
        <f>F25-F23</f>
        <v>0</v>
      </c>
      <c r="G24" s="58"/>
      <c r="H24" s="58">
        <f>H25-H23</f>
        <v>0</v>
      </c>
      <c r="I24" s="58"/>
      <c r="J24" s="58">
        <f>J25-J23</f>
        <v>29.24209810807747</v>
      </c>
      <c r="K24" s="58"/>
      <c r="L24" s="58">
        <f>L25-L23</f>
        <v>21.37079415429929</v>
      </c>
      <c r="M24" s="58"/>
      <c r="N24" s="58">
        <f>N25-N23</f>
        <v>17.904157697972124</v>
      </c>
      <c r="O24" s="58"/>
      <c r="P24" s="58">
        <f>P25-P23</f>
        <v>16.170839469808527</v>
      </c>
    </row>
    <row r="25" spans="6:18" ht="12.75">
      <c r="F25" s="55">
        <f>F23/$R$25</f>
        <v>0</v>
      </c>
      <c r="G25" s="55"/>
      <c r="H25" s="55">
        <f>H23/$R$25</f>
        <v>0</v>
      </c>
      <c r="I25" s="55"/>
      <c r="J25" s="55">
        <f>J23/$R$25</f>
        <v>324.912201200861</v>
      </c>
      <c r="K25" s="55"/>
      <c r="L25" s="55">
        <f>L23/$R$25</f>
        <v>237.4532683811034</v>
      </c>
      <c r="M25" s="55"/>
      <c r="N25" s="55">
        <f>N23/$R$25</f>
        <v>198.93508553302368</v>
      </c>
      <c r="O25" s="55"/>
      <c r="P25" s="55">
        <f>P23/$R$25</f>
        <v>179.6759941089838</v>
      </c>
      <c r="R25" s="59">
        <f>1-D24</f>
        <v>0.91</v>
      </c>
    </row>
    <row r="26" spans="3:16" ht="13.5" customHeight="1" thickBot="1">
      <c r="C26" s="53" t="s">
        <v>70</v>
      </c>
      <c r="D26" s="59">
        <v>0.1</v>
      </c>
      <c r="E26" s="57"/>
      <c r="F26" s="58">
        <f>F27-F25</f>
        <v>0</v>
      </c>
      <c r="G26" s="58"/>
      <c r="H26" s="58">
        <f>H27-H25</f>
        <v>0</v>
      </c>
      <c r="I26" s="58"/>
      <c r="J26" s="58">
        <f>J27-J25</f>
        <v>36.10135568898454</v>
      </c>
      <c r="K26" s="58"/>
      <c r="L26" s="58">
        <f>L27-L25</f>
        <v>26.383696486789262</v>
      </c>
      <c r="M26" s="58"/>
      <c r="N26" s="58">
        <f>N27-N25</f>
        <v>22.103898392558193</v>
      </c>
      <c r="O26" s="58"/>
      <c r="P26" s="58">
        <f>P27-P25</f>
        <v>19.96399934544263</v>
      </c>
    </row>
    <row r="27" spans="6:18" ht="12.75">
      <c r="F27" s="55">
        <f>F25/$R$27</f>
        <v>0</v>
      </c>
      <c r="G27" s="55"/>
      <c r="H27" s="55">
        <f>H25/$R$27</f>
        <v>0</v>
      </c>
      <c r="I27" s="55"/>
      <c r="J27" s="55">
        <f>J25/$R$27</f>
        <v>361.0135568898455</v>
      </c>
      <c r="K27" s="55"/>
      <c r="L27" s="55">
        <f>L25/$R$27</f>
        <v>263.8369648678927</v>
      </c>
      <c r="M27" s="55"/>
      <c r="N27" s="55">
        <f>N25/$R$27</f>
        <v>221.03898392558187</v>
      </c>
      <c r="O27" s="55"/>
      <c r="P27" s="55">
        <f>P25/$R$27</f>
        <v>199.63999345442642</v>
      </c>
      <c r="R27" s="67">
        <f>1-D26</f>
        <v>0.9</v>
      </c>
    </row>
    <row r="28" spans="3:16" ht="13.5" thickBot="1">
      <c r="C28" s="53" t="s">
        <v>71</v>
      </c>
      <c r="E28" s="57"/>
      <c r="F28" s="58">
        <v>0</v>
      </c>
      <c r="G28" s="57"/>
      <c r="H28" s="58">
        <v>0</v>
      </c>
      <c r="I28" s="57"/>
      <c r="J28" s="58">
        <v>7</v>
      </c>
      <c r="K28" s="57"/>
      <c r="L28" s="58">
        <v>7</v>
      </c>
      <c r="M28" s="57"/>
      <c r="N28" s="58">
        <v>7</v>
      </c>
      <c r="O28" s="57"/>
      <c r="P28" s="58">
        <v>7</v>
      </c>
    </row>
    <row r="29" spans="6:17" s="60" customFormat="1" ht="15.75" thickBot="1">
      <c r="F29" s="55">
        <f>SUM(F27:F28)</f>
        <v>0</v>
      </c>
      <c r="G29" s="53"/>
      <c r="H29" s="55">
        <f>SUM(H27:H28)</f>
        <v>0</v>
      </c>
      <c r="I29" s="53"/>
      <c r="J29" s="68">
        <f>SUM(J27:J28)</f>
        <v>368.0135568898455</v>
      </c>
      <c r="K29" s="68"/>
      <c r="L29" s="68">
        <f>SUM(L27:L28)</f>
        <v>270.8369648678927</v>
      </c>
      <c r="M29" s="68"/>
      <c r="N29" s="68">
        <f>SUM(N27:N28)</f>
        <v>228.03898392558187</v>
      </c>
      <c r="O29" s="68"/>
      <c r="P29" s="68">
        <f>SUM(P27:P28)</f>
        <v>206.63999345442642</v>
      </c>
      <c r="Q29" s="69"/>
    </row>
    <row r="30" spans="3:16" s="60" customFormat="1" ht="21" customHeight="1" thickBot="1">
      <c r="C30" s="61" t="s">
        <v>72</v>
      </c>
      <c r="D30" s="62"/>
      <c r="E30" s="62"/>
      <c r="F30" s="63"/>
      <c r="G30" s="62"/>
      <c r="H30" s="63"/>
      <c r="I30" s="62"/>
      <c r="J30" s="63">
        <v>369</v>
      </c>
      <c r="K30" s="62"/>
      <c r="L30" s="63">
        <v>271</v>
      </c>
      <c r="M30" s="62"/>
      <c r="N30" s="63">
        <v>229</v>
      </c>
      <c r="O30" s="62"/>
      <c r="P30" s="64">
        <v>207</v>
      </c>
    </row>
    <row r="31" spans="4:16" s="65" customFormat="1" ht="12.75">
      <c r="D31" s="65" t="s">
        <v>73</v>
      </c>
      <c r="F31" s="66">
        <f>F32-F30</f>
        <v>542</v>
      </c>
      <c r="G31" s="66"/>
      <c r="H31" s="66">
        <f>H32-H30</f>
        <v>308</v>
      </c>
      <c r="I31" s="66"/>
      <c r="J31" s="66">
        <f>J32-J30</f>
        <v>-177</v>
      </c>
      <c r="K31" s="66"/>
      <c r="L31" s="66">
        <f>L32-L30</f>
        <v>-117</v>
      </c>
      <c r="M31" s="66"/>
      <c r="N31" s="66">
        <f>N32-N30</f>
        <v>-95</v>
      </c>
      <c r="O31" s="66"/>
      <c r="P31" s="66">
        <f>P32-P30</f>
        <v>-87</v>
      </c>
    </row>
    <row r="32" spans="3:16" ht="12.75">
      <c r="C32" s="53" t="s">
        <v>74</v>
      </c>
      <c r="F32" s="53">
        <v>542</v>
      </c>
      <c r="H32" s="53">
        <v>308</v>
      </c>
      <c r="J32" s="53">
        <v>192</v>
      </c>
      <c r="L32" s="53">
        <v>154</v>
      </c>
      <c r="N32" s="53">
        <v>134</v>
      </c>
      <c r="P32" s="53">
        <v>120</v>
      </c>
    </row>
    <row r="36" ht="12.75">
      <c r="J36" s="55"/>
    </row>
    <row r="37" ht="12.75">
      <c r="J37" s="55"/>
    </row>
    <row r="38" ht="12.75">
      <c r="J38" s="55"/>
    </row>
    <row r="39" ht="12.75">
      <c r="J39" s="55"/>
    </row>
    <row r="40" ht="12.75">
      <c r="J40" s="55"/>
    </row>
    <row r="41" ht="12.75">
      <c r="J41" s="55"/>
    </row>
    <row r="42" ht="12.75">
      <c r="J42" s="55"/>
    </row>
  </sheetData>
  <mergeCells count="13">
    <mergeCell ref="K4:L4"/>
    <mergeCell ref="M4:N4"/>
    <mergeCell ref="O4:P4"/>
    <mergeCell ref="D2:P2"/>
    <mergeCell ref="E4:F4"/>
    <mergeCell ref="E5:F5"/>
    <mergeCell ref="G5:H5"/>
    <mergeCell ref="I5:J5"/>
    <mergeCell ref="K5:L5"/>
    <mergeCell ref="M5:N5"/>
    <mergeCell ref="O5:P5"/>
    <mergeCell ref="G4:H4"/>
    <mergeCell ref="I4:J4"/>
  </mergeCells>
  <printOptions/>
  <pageMargins left="0.75" right="0.75" top="1" bottom="1" header="0" footer="0"/>
  <pageSetup horizontalDpi="300" verticalDpi="300" orientation="landscape" paperSize="9" scale="87" r:id="rId1"/>
  <colBreaks count="1" manualBreakCount="1">
    <brk id="17" max="65535" man="1"/>
  </colBreaks>
</worksheet>
</file>

<file path=xl/worksheets/sheet14.xml><?xml version="1.0" encoding="utf-8"?>
<worksheet xmlns="http://schemas.openxmlformats.org/spreadsheetml/2006/main" xmlns:r="http://schemas.openxmlformats.org/officeDocument/2006/relationships">
  <sheetPr codeName="Hoja1"/>
  <dimension ref="C2:R33"/>
  <sheetViews>
    <sheetView workbookViewId="0" topLeftCell="C1">
      <selection activeCell="F29" sqref="F29"/>
    </sheetView>
  </sheetViews>
  <sheetFormatPr defaultColWidth="11.421875" defaultRowHeight="12.75"/>
  <cols>
    <col min="1" max="1" width="2.28125" style="0" customWidth="1"/>
    <col min="2" max="2" width="2.140625" style="0" customWidth="1"/>
    <col min="3" max="3" width="18.140625" style="0" bestFit="1" customWidth="1"/>
    <col min="4" max="4" width="18.8515625" style="0" bestFit="1" customWidth="1"/>
    <col min="5" max="5" width="9.7109375" style="0" customWidth="1"/>
    <col min="6" max="6" width="7.7109375" style="0" customWidth="1"/>
    <col min="7" max="7" width="9.7109375" style="0" customWidth="1"/>
    <col min="8" max="8" width="7.8515625" style="0" customWidth="1"/>
    <col min="9" max="9" width="9.7109375" style="0" customWidth="1"/>
    <col min="10" max="10" width="7.8515625" style="0" customWidth="1"/>
    <col min="11" max="11" width="9.7109375" style="0" customWidth="1"/>
    <col min="12" max="12" width="7.8515625" style="0" customWidth="1"/>
    <col min="13" max="13" width="9.7109375" style="0" customWidth="1"/>
    <col min="14" max="14" width="7.8515625" style="0" customWidth="1"/>
    <col min="15" max="15" width="9.7109375" style="0" customWidth="1"/>
    <col min="16" max="16" width="7.7109375" style="0" customWidth="1"/>
  </cols>
  <sheetData>
    <row r="2" spans="4:16" ht="18">
      <c r="D2" s="777" t="s">
        <v>118</v>
      </c>
      <c r="E2" s="777"/>
      <c r="F2" s="777"/>
      <c r="G2" s="777"/>
      <c r="H2" s="777"/>
      <c r="I2" s="777"/>
      <c r="J2" s="777"/>
      <c r="K2" s="777"/>
      <c r="L2" s="777"/>
      <c r="M2" s="777"/>
      <c r="N2" s="777"/>
      <c r="O2" s="777"/>
      <c r="P2" s="777"/>
    </row>
    <row r="4" spans="3:16" ht="12.75">
      <c r="C4" s="11" t="s">
        <v>41</v>
      </c>
      <c r="D4" s="11" t="s">
        <v>42</v>
      </c>
      <c r="E4" s="778" t="s">
        <v>75</v>
      </c>
      <c r="F4" s="778"/>
      <c r="G4" s="778" t="s">
        <v>75</v>
      </c>
      <c r="H4" s="778"/>
      <c r="I4" s="778" t="s">
        <v>75</v>
      </c>
      <c r="J4" s="778"/>
      <c r="K4" s="778" t="s">
        <v>75</v>
      </c>
      <c r="L4" s="778"/>
      <c r="M4" s="778" t="s">
        <v>75</v>
      </c>
      <c r="N4" s="778"/>
      <c r="O4" s="778" t="s">
        <v>75</v>
      </c>
      <c r="P4" s="778"/>
    </row>
    <row r="5" spans="5:16" ht="12.75">
      <c r="E5" s="779" t="s">
        <v>44</v>
      </c>
      <c r="F5" s="779"/>
      <c r="G5" s="779" t="s">
        <v>45</v>
      </c>
      <c r="H5" s="779"/>
      <c r="I5" s="779" t="s">
        <v>76</v>
      </c>
      <c r="J5" s="779"/>
      <c r="K5" s="779" t="s">
        <v>47</v>
      </c>
      <c r="L5" s="779"/>
      <c r="M5" s="779" t="s">
        <v>48</v>
      </c>
      <c r="N5" s="779"/>
      <c r="O5" s="779" t="s">
        <v>49</v>
      </c>
      <c r="P5" s="779"/>
    </row>
    <row r="6" spans="3:16" ht="12.75">
      <c r="C6" t="s">
        <v>50</v>
      </c>
      <c r="D6" t="s">
        <v>77</v>
      </c>
      <c r="F6" s="10">
        <v>36</v>
      </c>
      <c r="H6" s="10">
        <v>25</v>
      </c>
      <c r="J6" s="10">
        <v>30</v>
      </c>
      <c r="L6" s="10">
        <v>28</v>
      </c>
      <c r="N6" s="10">
        <v>26</v>
      </c>
      <c r="P6" s="10">
        <v>26</v>
      </c>
    </row>
    <row r="7" spans="3:16" ht="12.75">
      <c r="C7" t="s">
        <v>54</v>
      </c>
      <c r="F7" s="10"/>
      <c r="H7" s="10"/>
      <c r="J7" s="10"/>
      <c r="L7" s="10"/>
      <c r="N7" s="10"/>
      <c r="P7" s="10"/>
    </row>
    <row r="8" spans="4:16" ht="12.75">
      <c r="D8" t="s">
        <v>78</v>
      </c>
      <c r="E8" t="s">
        <v>58</v>
      </c>
      <c r="F8" s="10">
        <v>1.8</v>
      </c>
      <c r="H8" s="10">
        <v>1.8</v>
      </c>
      <c r="J8" s="10">
        <v>1.8</v>
      </c>
      <c r="L8" s="10">
        <v>1.6</v>
      </c>
      <c r="N8" s="10">
        <v>1.6</v>
      </c>
      <c r="P8" s="10">
        <v>1.6</v>
      </c>
    </row>
    <row r="9" spans="4:16" ht="12.75">
      <c r="D9" t="s">
        <v>79</v>
      </c>
      <c r="E9" t="s">
        <v>58</v>
      </c>
      <c r="F9" s="10">
        <v>0</v>
      </c>
      <c r="H9" s="10">
        <v>0</v>
      </c>
      <c r="J9" s="10">
        <v>0</v>
      </c>
      <c r="L9" s="10">
        <v>0</v>
      </c>
      <c r="N9" s="10">
        <v>0</v>
      </c>
      <c r="P9" s="10">
        <v>0</v>
      </c>
    </row>
    <row r="10" spans="4:16" ht="12.75">
      <c r="D10" t="s">
        <v>80</v>
      </c>
      <c r="E10" t="s">
        <v>58</v>
      </c>
      <c r="F10" s="10">
        <v>1.5</v>
      </c>
      <c r="G10" s="10"/>
      <c r="H10" s="10">
        <v>1.5</v>
      </c>
      <c r="I10" s="10"/>
      <c r="J10" s="10">
        <v>1.5</v>
      </c>
      <c r="K10" s="10"/>
      <c r="L10" s="10">
        <v>1.5</v>
      </c>
      <c r="M10" s="10"/>
      <c r="N10" s="10">
        <v>1.5</v>
      </c>
      <c r="O10" s="10"/>
      <c r="P10" s="10">
        <v>1.5</v>
      </c>
    </row>
    <row r="11" spans="4:16" ht="12.75">
      <c r="D11" t="s">
        <v>60</v>
      </c>
      <c r="F11" s="10">
        <v>2</v>
      </c>
      <c r="G11" s="10"/>
      <c r="H11" s="10">
        <v>2</v>
      </c>
      <c r="I11" s="10"/>
      <c r="J11" s="10">
        <v>2</v>
      </c>
      <c r="K11" s="10"/>
      <c r="L11" s="10">
        <v>1.5</v>
      </c>
      <c r="M11" s="10"/>
      <c r="N11" s="10">
        <v>1.5</v>
      </c>
      <c r="O11" s="10"/>
      <c r="P11" s="10">
        <v>1.5</v>
      </c>
    </row>
    <row r="12" ht="14.25" customHeight="1">
      <c r="C12" t="s">
        <v>61</v>
      </c>
    </row>
    <row r="13" spans="4:16" ht="12.75">
      <c r="D13" t="s">
        <v>62</v>
      </c>
      <c r="F13" s="10">
        <v>3</v>
      </c>
      <c r="H13" s="10">
        <v>3</v>
      </c>
      <c r="J13" s="10">
        <v>3</v>
      </c>
      <c r="L13" s="10">
        <v>3</v>
      </c>
      <c r="N13" s="10">
        <v>3</v>
      </c>
      <c r="P13" s="10">
        <v>3</v>
      </c>
    </row>
    <row r="14" spans="3:16" ht="12.75">
      <c r="C14" t="s">
        <v>63</v>
      </c>
      <c r="F14" s="10"/>
      <c r="H14" s="10"/>
      <c r="J14" s="10"/>
      <c r="L14" s="10"/>
      <c r="N14" s="10"/>
      <c r="P14" s="10"/>
    </row>
    <row r="15" spans="4:16" ht="12.75">
      <c r="D15" t="s">
        <v>64</v>
      </c>
      <c r="F15" s="10">
        <v>90</v>
      </c>
      <c r="H15" s="10">
        <v>45</v>
      </c>
      <c r="J15" s="10">
        <v>18</v>
      </c>
      <c r="L15" s="10">
        <v>9</v>
      </c>
      <c r="N15" s="10">
        <v>7.2</v>
      </c>
      <c r="P15" s="10">
        <v>9</v>
      </c>
    </row>
    <row r="16" ht="12.75">
      <c r="C16" t="s">
        <v>65</v>
      </c>
    </row>
    <row r="17" spans="4:16" ht="12.75">
      <c r="D17" t="s">
        <v>66</v>
      </c>
      <c r="F17" s="10">
        <v>24</v>
      </c>
      <c r="H17" s="10">
        <v>24</v>
      </c>
      <c r="J17" s="10">
        <v>24</v>
      </c>
      <c r="L17" s="10">
        <v>0</v>
      </c>
      <c r="N17" s="8">
        <v>0</v>
      </c>
      <c r="P17" s="10">
        <v>0</v>
      </c>
    </row>
    <row r="18" spans="4:16" ht="13.5" thickBot="1">
      <c r="D18" t="s">
        <v>67</v>
      </c>
      <c r="E18" s="2"/>
      <c r="F18" s="9">
        <v>200</v>
      </c>
      <c r="G18" s="2"/>
      <c r="H18" s="9">
        <v>100</v>
      </c>
      <c r="I18" s="2"/>
      <c r="J18" s="9">
        <v>50</v>
      </c>
      <c r="K18" s="2"/>
      <c r="L18" s="9">
        <v>60</v>
      </c>
      <c r="M18" s="2"/>
      <c r="N18" s="9">
        <v>48</v>
      </c>
      <c r="O18" s="2"/>
      <c r="P18" s="9">
        <v>40</v>
      </c>
    </row>
    <row r="19" spans="6:16" ht="12.75">
      <c r="F19" s="10">
        <f>SUM(F6:F18)</f>
        <v>358.3</v>
      </c>
      <c r="G19" s="10"/>
      <c r="H19" s="10">
        <f>SUM(H6:H18)</f>
        <v>202.3</v>
      </c>
      <c r="I19" s="10"/>
      <c r="J19" s="10">
        <f>SUM(J6:J18)</f>
        <v>130.3</v>
      </c>
      <c r="K19" s="10"/>
      <c r="L19" s="10">
        <f>SUM(L6:L18)</f>
        <v>104.6</v>
      </c>
      <c r="M19" s="10"/>
      <c r="N19" s="10">
        <f>SUM(N6:N18)</f>
        <v>88.80000000000001</v>
      </c>
      <c r="O19" s="10"/>
      <c r="P19" s="10">
        <f>SUM(P6:P18)</f>
        <v>82.6</v>
      </c>
    </row>
    <row r="20" spans="3:18" ht="13.5" thickBot="1">
      <c r="C20" t="s">
        <v>68</v>
      </c>
      <c r="D20" s="12">
        <v>0.03</v>
      </c>
      <c r="E20" s="2"/>
      <c r="F20" s="9">
        <f>F21-F19</f>
        <v>11.081443298969077</v>
      </c>
      <c r="G20" s="9"/>
      <c r="H20" s="9">
        <f>H21-H19</f>
        <v>6.256701030927843</v>
      </c>
      <c r="I20" s="9"/>
      <c r="J20" s="9">
        <f>J21-J19</f>
        <v>4.029896907216511</v>
      </c>
      <c r="K20" s="9"/>
      <c r="L20" s="9">
        <f>L21-L19</f>
        <v>3.235051546391759</v>
      </c>
      <c r="M20" s="9"/>
      <c r="N20" s="9">
        <f>N21-N19</f>
        <v>2.746391752577324</v>
      </c>
      <c r="O20" s="9"/>
      <c r="P20" s="9">
        <f>P21-P19</f>
        <v>2.5546391752577335</v>
      </c>
      <c r="R20" s="70"/>
    </row>
    <row r="21" spans="6:18" ht="12.75">
      <c r="F21" s="10">
        <f>F19/$R$21</f>
        <v>369.3814432989691</v>
      </c>
      <c r="G21" s="10"/>
      <c r="H21" s="10">
        <f>H19/$R$21</f>
        <v>208.55670103092785</v>
      </c>
      <c r="I21" s="10"/>
      <c r="J21" s="10">
        <f>J19/$R$21</f>
        <v>134.32989690721652</v>
      </c>
      <c r="K21" s="10"/>
      <c r="L21" s="10">
        <f>L19/$R$21</f>
        <v>107.83505154639175</v>
      </c>
      <c r="M21" s="10"/>
      <c r="N21" s="10">
        <f>N19/$R$21</f>
        <v>91.54639175257734</v>
      </c>
      <c r="O21" s="10"/>
      <c r="P21" s="10">
        <f>P19/$R$21</f>
        <v>85.15463917525773</v>
      </c>
      <c r="R21" s="70">
        <f>1-D20</f>
        <v>0.97</v>
      </c>
    </row>
    <row r="22" spans="3:18" ht="13.5" thickBot="1">
      <c r="C22" t="s">
        <v>69</v>
      </c>
      <c r="D22" s="12">
        <v>0.09</v>
      </c>
      <c r="E22" s="2"/>
      <c r="F22" s="9">
        <f>F23-F21</f>
        <v>36.53223065594199</v>
      </c>
      <c r="G22" s="9"/>
      <c r="H22" s="9">
        <f>H23-H21</f>
        <v>20.6264869151467</v>
      </c>
      <c r="I22" s="9"/>
      <c r="J22" s="9">
        <f>J23-J21</f>
        <v>13.285374419395026</v>
      </c>
      <c r="K22" s="9"/>
      <c r="L22" s="9">
        <f>L23-L21</f>
        <v>10.66500509799478</v>
      </c>
      <c r="M22" s="9"/>
      <c r="N22" s="9">
        <f>N23-N21</f>
        <v>9.05403874476039</v>
      </c>
      <c r="O22" s="9"/>
      <c r="P22" s="9">
        <f>P23-P21</f>
        <v>8.421887390959554</v>
      </c>
      <c r="R22" s="70"/>
    </row>
    <row r="23" spans="6:18" ht="12.75">
      <c r="F23" s="10">
        <f>F21/$R$23</f>
        <v>405.9136739549111</v>
      </c>
      <c r="G23" s="10"/>
      <c r="H23" s="10">
        <f>H21/$R$23</f>
        <v>229.18318794607455</v>
      </c>
      <c r="I23" s="10"/>
      <c r="J23" s="10">
        <f>J21/$R$23</f>
        <v>147.61527132661155</v>
      </c>
      <c r="K23" s="10"/>
      <c r="L23" s="10">
        <f>L21/$R$23</f>
        <v>118.50005664438653</v>
      </c>
      <c r="M23" s="10"/>
      <c r="N23" s="10">
        <f>N21/$R$23</f>
        <v>100.60043049733773</v>
      </c>
      <c r="O23" s="10"/>
      <c r="P23" s="10">
        <f>P21/$R$23</f>
        <v>93.57652656621728</v>
      </c>
      <c r="R23" s="70">
        <f>1-D22</f>
        <v>0.91</v>
      </c>
    </row>
    <row r="24" spans="3:18" ht="13.5" customHeight="1" thickBot="1">
      <c r="C24" t="s">
        <v>70</v>
      </c>
      <c r="D24" s="12">
        <v>0.1</v>
      </c>
      <c r="E24" s="2"/>
      <c r="F24" s="9">
        <f>F25-F23</f>
        <v>45.101519328323434</v>
      </c>
      <c r="G24" s="9"/>
      <c r="H24" s="9">
        <f>H25-H23</f>
        <v>25.464798660674944</v>
      </c>
      <c r="I24" s="9"/>
      <c r="J24" s="9">
        <f>J25-J23</f>
        <v>16.401696814067947</v>
      </c>
      <c r="K24" s="9"/>
      <c r="L24" s="9">
        <f>L25-L23</f>
        <v>13.16667296048739</v>
      </c>
      <c r="M24" s="9"/>
      <c r="N24" s="9">
        <f>N25-N23</f>
        <v>11.177825610815304</v>
      </c>
      <c r="O24" s="9"/>
      <c r="P24" s="9">
        <f>P25-P23</f>
        <v>10.397391840690801</v>
      </c>
      <c r="R24" s="70"/>
    </row>
    <row r="25" spans="6:18" ht="12.75">
      <c r="F25" s="10">
        <f>F23/$R$25</f>
        <v>451.0151932832345</v>
      </c>
      <c r="G25" s="10"/>
      <c r="H25" s="10">
        <f>H23/$R$25</f>
        <v>254.6479866067495</v>
      </c>
      <c r="I25" s="10"/>
      <c r="J25" s="10">
        <f>J23/$R$25</f>
        <v>164.0169681406795</v>
      </c>
      <c r="K25" s="10"/>
      <c r="L25" s="10">
        <f>L23/$R$25</f>
        <v>131.66672960487392</v>
      </c>
      <c r="M25" s="10"/>
      <c r="N25" s="10">
        <f>N23/$R$25</f>
        <v>111.77825610815303</v>
      </c>
      <c r="O25" s="10"/>
      <c r="P25" s="10">
        <f>P23/$R$25</f>
        <v>103.97391840690808</v>
      </c>
      <c r="R25" s="70">
        <f>1-D24</f>
        <v>0.9</v>
      </c>
    </row>
    <row r="26" spans="3:18" ht="13.5" thickBot="1">
      <c r="C26" t="s">
        <v>71</v>
      </c>
      <c r="E26" s="2"/>
      <c r="F26" s="9">
        <v>10</v>
      </c>
      <c r="G26" s="2"/>
      <c r="H26" s="9">
        <v>10</v>
      </c>
      <c r="I26" s="2"/>
      <c r="J26" s="9">
        <v>10</v>
      </c>
      <c r="K26" s="2"/>
      <c r="L26" s="9">
        <v>10</v>
      </c>
      <c r="M26" s="2"/>
      <c r="N26" s="9">
        <v>10</v>
      </c>
      <c r="O26" s="2"/>
      <c r="P26" s="9">
        <v>10</v>
      </c>
      <c r="R26" s="70"/>
    </row>
    <row r="27" spans="6:18" s="13" customFormat="1" ht="15">
      <c r="F27">
        <f>SUM(F25:F26)</f>
        <v>461.0151932832345</v>
      </c>
      <c r="G27"/>
      <c r="H27">
        <f>SUM(H25:H26)</f>
        <v>264.6479866067495</v>
      </c>
      <c r="I27"/>
      <c r="J27">
        <f>SUM(J25:J26)</f>
        <v>174.0169681406795</v>
      </c>
      <c r="K27"/>
      <c r="L27">
        <f>SUM(L25:L26)</f>
        <v>141.66672960487392</v>
      </c>
      <c r="M27"/>
      <c r="N27">
        <f>SUM(N25:N26)</f>
        <v>121.77825610815303</v>
      </c>
      <c r="O27"/>
      <c r="P27">
        <f>SUM(P25:P26)</f>
        <v>113.97391840690808</v>
      </c>
      <c r="R27" s="71"/>
    </row>
    <row r="28" spans="6:18" s="13" customFormat="1" ht="15">
      <c r="F28"/>
      <c r="G28"/>
      <c r="H28"/>
      <c r="I28"/>
      <c r="J28"/>
      <c r="K28"/>
      <c r="L28"/>
      <c r="M28"/>
      <c r="N28"/>
      <c r="O28"/>
      <c r="P28"/>
      <c r="R28" s="71"/>
    </row>
    <row r="29" spans="3:18" s="13" customFormat="1" ht="15">
      <c r="C29" s="76" t="s">
        <v>19</v>
      </c>
      <c r="F29"/>
      <c r="G29"/>
      <c r="H29"/>
      <c r="I29"/>
      <c r="J29"/>
      <c r="K29"/>
      <c r="L29"/>
      <c r="M29"/>
      <c r="N29"/>
      <c r="O29"/>
      <c r="P29"/>
      <c r="R29" s="71"/>
    </row>
    <row r="30" spans="6:18" s="13" customFormat="1" ht="15.75" thickBot="1">
      <c r="F30"/>
      <c r="G30"/>
      <c r="H30"/>
      <c r="I30"/>
      <c r="J30"/>
      <c r="K30"/>
      <c r="L30"/>
      <c r="M30"/>
      <c r="N30"/>
      <c r="O30"/>
      <c r="P30"/>
      <c r="R30" s="71"/>
    </row>
    <row r="31" spans="3:16" s="13" customFormat="1" ht="21" customHeight="1" thickBot="1">
      <c r="C31" s="14" t="s">
        <v>72</v>
      </c>
      <c r="D31" s="15"/>
      <c r="E31" s="15"/>
      <c r="F31" s="16">
        <v>462</v>
      </c>
      <c r="G31" s="15"/>
      <c r="H31" s="16">
        <v>265</v>
      </c>
      <c r="I31" s="15"/>
      <c r="J31" s="16">
        <v>175</v>
      </c>
      <c r="K31" s="15"/>
      <c r="L31" s="78">
        <v>200</v>
      </c>
      <c r="M31" s="15"/>
      <c r="N31" s="16">
        <v>125</v>
      </c>
      <c r="O31" s="15"/>
      <c r="P31" s="17">
        <v>114</v>
      </c>
    </row>
    <row r="32" spans="4:16" s="3" customFormat="1" ht="12.75">
      <c r="D32" s="3" t="s">
        <v>73</v>
      </c>
      <c r="F32" s="18">
        <f>F33-F31</f>
        <v>80</v>
      </c>
      <c r="G32" s="18"/>
      <c r="H32" s="18">
        <f>H33-H31</f>
        <v>43</v>
      </c>
      <c r="I32" s="18"/>
      <c r="J32" s="18">
        <f>J33-J31</f>
        <v>17</v>
      </c>
      <c r="K32" s="18"/>
      <c r="L32" s="18">
        <f>L33-L31</f>
        <v>-46</v>
      </c>
      <c r="M32" s="18"/>
      <c r="N32" s="18">
        <f>N33-N31</f>
        <v>9</v>
      </c>
      <c r="O32" s="18"/>
      <c r="P32" s="18">
        <f>P33-P31</f>
        <v>6</v>
      </c>
    </row>
    <row r="33" spans="3:16" ht="12.75">
      <c r="C33" t="s">
        <v>74</v>
      </c>
      <c r="F33">
        <v>542</v>
      </c>
      <c r="H33">
        <v>308</v>
      </c>
      <c r="J33">
        <v>192</v>
      </c>
      <c r="L33">
        <v>154</v>
      </c>
      <c r="N33">
        <v>134</v>
      </c>
      <c r="P33">
        <v>120</v>
      </c>
    </row>
  </sheetData>
  <mergeCells count="13">
    <mergeCell ref="M5:N5"/>
    <mergeCell ref="O5:P5"/>
    <mergeCell ref="E5:F5"/>
    <mergeCell ref="G5:H5"/>
    <mergeCell ref="I5:J5"/>
    <mergeCell ref="K5:L5"/>
    <mergeCell ref="D2:P2"/>
    <mergeCell ref="E4:F4"/>
    <mergeCell ref="G4:H4"/>
    <mergeCell ref="I4:J4"/>
    <mergeCell ref="K4:L4"/>
    <mergeCell ref="M4:N4"/>
    <mergeCell ref="O4:P4"/>
  </mergeCells>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sheetPr codeName="Hoja2"/>
  <dimension ref="C2:R47"/>
  <sheetViews>
    <sheetView zoomScale="75" zoomScaleNormal="75" workbookViewId="0" topLeftCell="A1">
      <selection activeCell="A1" sqref="A1"/>
    </sheetView>
  </sheetViews>
  <sheetFormatPr defaultColWidth="11.421875" defaultRowHeight="12.75"/>
  <cols>
    <col min="1" max="1" width="2.7109375" style="0" customWidth="1"/>
    <col min="2" max="2" width="1.8515625" style="0" customWidth="1"/>
    <col min="3" max="3" width="18.57421875" style="0" customWidth="1"/>
    <col min="4" max="4" width="17.7109375" style="0" customWidth="1"/>
    <col min="5" max="5" width="9.7109375" style="0" customWidth="1"/>
    <col min="6" max="7" width="9.57421875" style="0" customWidth="1"/>
    <col min="8" max="8" width="9.28125" style="0" customWidth="1"/>
    <col min="9" max="9" width="9.57421875" style="0" customWidth="1"/>
    <col min="10" max="10" width="9.28125" style="0" customWidth="1"/>
    <col min="11" max="11" width="9.7109375" style="0" customWidth="1"/>
    <col min="12" max="12" width="9.28125" style="0" customWidth="1"/>
    <col min="13" max="13" width="9.7109375" style="0" customWidth="1"/>
    <col min="14" max="14" width="8.00390625" style="0" customWidth="1"/>
    <col min="15" max="15" width="9.57421875" style="0" customWidth="1"/>
    <col min="16" max="16" width="7.8515625" style="0" customWidth="1"/>
  </cols>
  <sheetData>
    <row r="2" spans="4:16" ht="18">
      <c r="D2" s="777" t="s">
        <v>81</v>
      </c>
      <c r="E2" s="777"/>
      <c r="F2" s="777"/>
      <c r="G2" s="777"/>
      <c r="H2" s="777"/>
      <c r="I2" s="777"/>
      <c r="J2" s="777"/>
      <c r="K2" s="777"/>
      <c r="L2" s="777"/>
      <c r="M2" s="777"/>
      <c r="N2" s="777"/>
      <c r="O2" s="777"/>
      <c r="P2" s="777"/>
    </row>
    <row r="4" spans="3:16" ht="12.75">
      <c r="C4" s="11" t="s">
        <v>41</v>
      </c>
      <c r="D4" s="11" t="s">
        <v>42</v>
      </c>
      <c r="E4" s="778" t="s">
        <v>75</v>
      </c>
      <c r="F4" s="778"/>
      <c r="G4" s="778" t="s">
        <v>75</v>
      </c>
      <c r="H4" s="778"/>
      <c r="I4" s="778" t="s">
        <v>75</v>
      </c>
      <c r="J4" s="778"/>
      <c r="K4" s="778" t="s">
        <v>75</v>
      </c>
      <c r="L4" s="778"/>
      <c r="M4" s="778" t="s">
        <v>75</v>
      </c>
      <c r="N4" s="778"/>
      <c r="O4" s="778" t="s">
        <v>75</v>
      </c>
      <c r="P4" s="778"/>
    </row>
    <row r="5" spans="5:16" ht="12.75">
      <c r="E5" s="779" t="s">
        <v>44</v>
      </c>
      <c r="F5" s="779"/>
      <c r="G5" s="779" t="s">
        <v>45</v>
      </c>
      <c r="H5" s="779"/>
      <c r="I5" s="779" t="s">
        <v>76</v>
      </c>
      <c r="J5" s="779"/>
      <c r="K5" s="779" t="s">
        <v>47</v>
      </c>
      <c r="L5" s="779"/>
      <c r="M5" s="779" t="s">
        <v>48</v>
      </c>
      <c r="N5" s="779"/>
      <c r="O5" s="779" t="s">
        <v>49</v>
      </c>
      <c r="P5" s="779"/>
    </row>
    <row r="6" spans="3:16" ht="12.75">
      <c r="C6" t="s">
        <v>50</v>
      </c>
      <c r="D6" t="s">
        <v>77</v>
      </c>
      <c r="F6" s="10">
        <v>36</v>
      </c>
      <c r="H6" s="10">
        <v>25</v>
      </c>
      <c r="J6" s="10">
        <v>30</v>
      </c>
      <c r="L6" s="10">
        <v>28</v>
      </c>
      <c r="N6" s="10">
        <v>26</v>
      </c>
      <c r="P6" s="10">
        <v>26</v>
      </c>
    </row>
    <row r="7" spans="3:16" ht="12.75">
      <c r="C7" t="s">
        <v>54</v>
      </c>
      <c r="F7" s="10"/>
      <c r="H7" s="10"/>
      <c r="J7" s="10"/>
      <c r="L7" s="10"/>
      <c r="N7" s="10"/>
      <c r="P7" s="10"/>
    </row>
    <row r="8" spans="4:16" ht="12.75">
      <c r="D8" t="s">
        <v>82</v>
      </c>
      <c r="E8" t="s">
        <v>83</v>
      </c>
      <c r="F8" s="10">
        <v>1.8</v>
      </c>
      <c r="H8" s="10">
        <v>1.8</v>
      </c>
      <c r="J8" s="10">
        <v>1.8</v>
      </c>
      <c r="L8" s="10">
        <v>1.8</v>
      </c>
      <c r="N8" s="10">
        <v>1.8</v>
      </c>
      <c r="P8" s="10">
        <v>1.8</v>
      </c>
    </row>
    <row r="9" spans="4:16" ht="12.75">
      <c r="D9" t="s">
        <v>79</v>
      </c>
      <c r="E9" t="s">
        <v>58</v>
      </c>
      <c r="F9" s="10">
        <v>0</v>
      </c>
      <c r="H9" s="10">
        <v>0</v>
      </c>
      <c r="J9" s="10">
        <v>0</v>
      </c>
      <c r="L9" s="10">
        <v>0</v>
      </c>
      <c r="N9" s="10">
        <v>0</v>
      </c>
      <c r="P9" s="10">
        <v>0</v>
      </c>
    </row>
    <row r="10" spans="4:16" ht="12.75">
      <c r="D10" t="s">
        <v>80</v>
      </c>
      <c r="E10" t="s">
        <v>83</v>
      </c>
      <c r="F10" s="10">
        <v>1.5</v>
      </c>
      <c r="G10" s="10"/>
      <c r="H10" s="10">
        <v>1.5</v>
      </c>
      <c r="I10" s="10"/>
      <c r="J10" s="10">
        <v>1.5</v>
      </c>
      <c r="K10" s="10"/>
      <c r="L10" s="10">
        <v>1.5</v>
      </c>
      <c r="M10" s="10"/>
      <c r="N10" s="10">
        <v>1.5</v>
      </c>
      <c r="O10" s="10"/>
      <c r="P10" s="10">
        <v>1.5</v>
      </c>
    </row>
    <row r="11" spans="4:16" ht="12.75">
      <c r="D11" t="s">
        <v>60</v>
      </c>
      <c r="F11" s="10">
        <v>2</v>
      </c>
      <c r="G11" s="10"/>
      <c r="H11" s="10">
        <v>2</v>
      </c>
      <c r="I11" s="10"/>
      <c r="J11" s="10">
        <v>2</v>
      </c>
      <c r="K11" s="10"/>
      <c r="L11" s="10">
        <v>1.5</v>
      </c>
      <c r="M11" s="10"/>
      <c r="N11" s="10">
        <v>1.5</v>
      </c>
      <c r="O11" s="10"/>
      <c r="P11" s="10">
        <v>1.5</v>
      </c>
    </row>
    <row r="12" ht="14.25" customHeight="1">
      <c r="C12" t="s">
        <v>61</v>
      </c>
    </row>
    <row r="13" spans="4:16" ht="12.75">
      <c r="D13" t="s">
        <v>62</v>
      </c>
      <c r="F13" s="10">
        <v>3</v>
      </c>
      <c r="H13" s="10">
        <v>3</v>
      </c>
      <c r="J13" s="10">
        <v>3</v>
      </c>
      <c r="L13" s="10">
        <v>3</v>
      </c>
      <c r="N13" s="10">
        <v>3</v>
      </c>
      <c r="P13" s="10">
        <v>3</v>
      </c>
    </row>
    <row r="14" spans="3:16" ht="12.75">
      <c r="C14" t="s">
        <v>63</v>
      </c>
      <c r="F14" s="10"/>
      <c r="H14" s="10"/>
      <c r="J14" s="10"/>
      <c r="L14" s="10"/>
      <c r="N14" s="10"/>
      <c r="P14" s="10"/>
    </row>
    <row r="15" spans="4:16" ht="12.75">
      <c r="D15" t="s">
        <v>64</v>
      </c>
      <c r="F15" s="10">
        <v>90</v>
      </c>
      <c r="H15" s="10">
        <v>45</v>
      </c>
      <c r="J15" s="10">
        <v>18</v>
      </c>
      <c r="L15" s="10">
        <v>9</v>
      </c>
      <c r="N15" s="10">
        <v>7.2</v>
      </c>
      <c r="P15" s="10">
        <v>9</v>
      </c>
    </row>
    <row r="16" ht="12.75">
      <c r="C16" t="s">
        <v>65</v>
      </c>
    </row>
    <row r="17" spans="4:16" ht="12.75">
      <c r="D17" t="s">
        <v>66</v>
      </c>
      <c r="F17" s="10">
        <v>24</v>
      </c>
      <c r="H17" s="10">
        <v>24</v>
      </c>
      <c r="J17" s="10">
        <v>24</v>
      </c>
      <c r="L17" s="10">
        <v>60</v>
      </c>
      <c r="N17" s="10">
        <v>50</v>
      </c>
      <c r="P17">
        <v>40</v>
      </c>
    </row>
    <row r="18" spans="4:16" ht="13.5" thickBot="1">
      <c r="D18" t="s">
        <v>67</v>
      </c>
      <c r="E18" s="2"/>
      <c r="F18" s="9">
        <v>200</v>
      </c>
      <c r="G18" s="2"/>
      <c r="H18" s="9">
        <v>100</v>
      </c>
      <c r="I18" s="2"/>
      <c r="J18" s="9">
        <v>50</v>
      </c>
      <c r="K18" s="2"/>
      <c r="L18" s="2">
        <v>0</v>
      </c>
      <c r="M18" s="2"/>
      <c r="N18" s="2">
        <v>0</v>
      </c>
      <c r="O18" s="2"/>
      <c r="P18" s="2">
        <v>0</v>
      </c>
    </row>
    <row r="19" spans="6:16" ht="12.75">
      <c r="F19" s="10">
        <f>SUM(F6:F18)</f>
        <v>358.3</v>
      </c>
      <c r="G19" s="10"/>
      <c r="H19" s="10">
        <f>SUM(H6:H18)</f>
        <v>202.3</v>
      </c>
      <c r="I19" s="10"/>
      <c r="J19" s="10">
        <f>SUM(J6:J18)</f>
        <v>130.3</v>
      </c>
      <c r="K19" s="10"/>
      <c r="L19" s="10">
        <f>SUM(L6:L18)</f>
        <v>104.8</v>
      </c>
      <c r="M19" s="10"/>
      <c r="N19" s="10">
        <f>SUM(N6:N18)</f>
        <v>91</v>
      </c>
      <c r="O19" s="10"/>
      <c r="P19" s="10">
        <f>SUM(P6:P18)</f>
        <v>82.8</v>
      </c>
    </row>
    <row r="20" spans="3:18" ht="13.5" thickBot="1">
      <c r="C20" t="s">
        <v>68</v>
      </c>
      <c r="D20" s="12">
        <v>0.03</v>
      </c>
      <c r="E20" s="2"/>
      <c r="F20" s="9">
        <v>17.79</v>
      </c>
      <c r="G20" s="9"/>
      <c r="H20" s="9">
        <v>9.35</v>
      </c>
      <c r="I20" s="9"/>
      <c r="J20" s="9">
        <v>5.94</v>
      </c>
      <c r="K20" s="9"/>
      <c r="L20" s="9">
        <v>4.69</v>
      </c>
      <c r="M20" s="9"/>
      <c r="N20" s="9">
        <v>4.01</v>
      </c>
      <c r="O20" s="9"/>
      <c r="P20" s="9">
        <v>3.52</v>
      </c>
      <c r="R20" s="70">
        <f>1-D20</f>
        <v>0.97</v>
      </c>
    </row>
    <row r="21" spans="6:18" ht="12.75">
      <c r="F21" s="10">
        <f>F19/$R$20</f>
        <v>369.3814432989691</v>
      </c>
      <c r="G21" s="10"/>
      <c r="H21" s="10">
        <f>H19/$R$20</f>
        <v>208.55670103092785</v>
      </c>
      <c r="I21" s="10"/>
      <c r="J21" s="10">
        <f>J19/$R$20</f>
        <v>134.32989690721652</v>
      </c>
      <c r="K21" s="10"/>
      <c r="L21" s="10">
        <f>L19/$R$20</f>
        <v>108.04123711340206</v>
      </c>
      <c r="M21" s="10"/>
      <c r="N21" s="10">
        <f>N19/$R$20</f>
        <v>93.81443298969073</v>
      </c>
      <c r="O21" s="10"/>
      <c r="P21" s="10">
        <f>P19/$R$20</f>
        <v>85.36082474226804</v>
      </c>
      <c r="R21" s="70"/>
    </row>
    <row r="22" spans="3:18" ht="13.5" thickBot="1">
      <c r="C22" t="s">
        <v>71</v>
      </c>
      <c r="E22" s="2"/>
      <c r="F22" s="9">
        <v>10</v>
      </c>
      <c r="G22" s="2"/>
      <c r="H22" s="9">
        <v>10</v>
      </c>
      <c r="I22" s="2"/>
      <c r="J22" s="9">
        <v>10</v>
      </c>
      <c r="K22" s="2"/>
      <c r="L22" s="9">
        <v>10</v>
      </c>
      <c r="M22" s="2"/>
      <c r="N22" s="9">
        <v>10</v>
      </c>
      <c r="O22" s="2"/>
      <c r="P22" s="9">
        <v>10</v>
      </c>
      <c r="R22" s="70"/>
    </row>
    <row r="23" spans="6:18" ht="12" customHeight="1">
      <c r="F23" s="10">
        <f>SUM(F21:F22)</f>
        <v>379.3814432989691</v>
      </c>
      <c r="G23" s="10"/>
      <c r="H23" s="10">
        <f>SUM(H21:H22)</f>
        <v>218.55670103092785</v>
      </c>
      <c r="I23" s="10"/>
      <c r="J23" s="10">
        <f>SUM(J21:J22)</f>
        <v>144.32989690721652</v>
      </c>
      <c r="K23" s="10"/>
      <c r="L23" s="10">
        <f>SUM(L21:L22)</f>
        <v>118.04123711340206</v>
      </c>
      <c r="M23" s="10"/>
      <c r="N23" s="10">
        <f>SUM(N21:N22)</f>
        <v>103.81443298969073</v>
      </c>
      <c r="O23" s="10"/>
      <c r="P23" s="10">
        <f>SUM(P21:P22)</f>
        <v>95.36082474226804</v>
      </c>
      <c r="R23" s="70"/>
    </row>
    <row r="24" spans="3:18" ht="13.5" thickBot="1">
      <c r="C24" t="s">
        <v>69</v>
      </c>
      <c r="D24" s="12">
        <v>0.15</v>
      </c>
      <c r="E24" s="2"/>
      <c r="F24" s="9">
        <f>F25-F23</f>
        <v>66.94966646452394</v>
      </c>
      <c r="G24" s="9"/>
      <c r="H24" s="9">
        <f>H25-H23</f>
        <v>38.56882959369318</v>
      </c>
      <c r="I24" s="9"/>
      <c r="J24" s="9">
        <f>J25-J23</f>
        <v>25.469981807155875</v>
      </c>
      <c r="K24" s="9"/>
      <c r="L24" s="9">
        <f>L25-L23</f>
        <v>20.830806549423883</v>
      </c>
      <c r="M24" s="9"/>
      <c r="N24" s="9">
        <f>N25-N23</f>
        <v>18.320194057004244</v>
      </c>
      <c r="O24" s="9"/>
      <c r="P24" s="9">
        <f>P25-P23</f>
        <v>16.828380836870835</v>
      </c>
      <c r="R24" s="70">
        <f>1-D24</f>
        <v>0.85</v>
      </c>
    </row>
    <row r="25" spans="6:18" ht="12" customHeight="1">
      <c r="F25" s="10">
        <f>F23/$R$24</f>
        <v>446.33110976349303</v>
      </c>
      <c r="G25" s="10"/>
      <c r="H25" s="10">
        <f>H23/$R$24</f>
        <v>257.12553062462104</v>
      </c>
      <c r="I25" s="10"/>
      <c r="J25" s="10">
        <f>J23/$R$24</f>
        <v>169.7998787143724</v>
      </c>
      <c r="K25" s="10"/>
      <c r="L25" s="10">
        <f>L23/$R$24</f>
        <v>138.87204366282594</v>
      </c>
      <c r="M25" s="10"/>
      <c r="N25" s="10">
        <f>N23/$R$24</f>
        <v>122.13462704669497</v>
      </c>
      <c r="O25" s="10"/>
      <c r="P25" s="10">
        <f>P23/$R$24</f>
        <v>112.18920557913887</v>
      </c>
      <c r="R25" s="70"/>
    </row>
    <row r="26" spans="3:18" ht="13.5" thickBot="1">
      <c r="C26" t="s">
        <v>70</v>
      </c>
      <c r="D26" s="12">
        <v>0.1</v>
      </c>
      <c r="E26" s="2"/>
      <c r="F26" s="9">
        <f>F27-F25</f>
        <v>49.592345529277</v>
      </c>
      <c r="G26" s="9"/>
      <c r="H26" s="9">
        <f>H27-H25</f>
        <v>28.569503402735677</v>
      </c>
      <c r="I26" s="9"/>
      <c r="J26" s="9">
        <f>J27-J25</f>
        <v>18.866653190485806</v>
      </c>
      <c r="K26" s="9"/>
      <c r="L26" s="9">
        <f>L27-L25</f>
        <v>15.43022707364733</v>
      </c>
      <c r="M26" s="9"/>
      <c r="N26" s="9">
        <f>N27-N25</f>
        <v>13.570514116299435</v>
      </c>
      <c r="O26" s="9"/>
      <c r="P26" s="9">
        <f>P27-P25</f>
        <v>12.465467286570984</v>
      </c>
      <c r="R26" s="70">
        <f>1-D26</f>
        <v>0.9</v>
      </c>
    </row>
    <row r="27" spans="4:18" ht="12.75">
      <c r="D27" s="12"/>
      <c r="E27" s="1"/>
      <c r="F27" s="8">
        <f>F25/$R$26</f>
        <v>495.92345529277003</v>
      </c>
      <c r="G27" s="8"/>
      <c r="H27" s="8">
        <f>H25/$R$26</f>
        <v>285.6950340273567</v>
      </c>
      <c r="I27" s="8"/>
      <c r="J27" s="8">
        <f>J25/$R$26</f>
        <v>188.6665319048582</v>
      </c>
      <c r="K27" s="8"/>
      <c r="L27" s="8">
        <f>L25/$R$26</f>
        <v>154.30227073647328</v>
      </c>
      <c r="M27" s="8"/>
      <c r="N27" s="8">
        <f>N25/$R$26</f>
        <v>135.7051411629944</v>
      </c>
      <c r="O27" s="8"/>
      <c r="P27" s="8">
        <f>P25/$R$26</f>
        <v>124.65467286570986</v>
      </c>
      <c r="R27" s="70"/>
    </row>
    <row r="28" ht="13.5" thickBot="1">
      <c r="R28" s="70"/>
    </row>
    <row r="29" spans="3:18" ht="25.5" customHeight="1" thickBot="1">
      <c r="C29" s="19" t="s">
        <v>74</v>
      </c>
      <c r="D29" s="7"/>
      <c r="E29" s="20"/>
      <c r="F29" s="21">
        <v>542</v>
      </c>
      <c r="G29" s="21"/>
      <c r="H29" s="21">
        <v>308</v>
      </c>
      <c r="I29" s="21"/>
      <c r="J29" s="21">
        <v>192</v>
      </c>
      <c r="K29" s="21"/>
      <c r="L29" s="21">
        <v>154</v>
      </c>
      <c r="M29" s="21"/>
      <c r="N29" s="21">
        <v>134</v>
      </c>
      <c r="O29" s="21"/>
      <c r="P29" s="21">
        <v>120</v>
      </c>
      <c r="R29" s="70"/>
    </row>
    <row r="30" spans="3:16" ht="12.75">
      <c r="C30" t="s">
        <v>84</v>
      </c>
      <c r="F30">
        <v>506.37266132111483</v>
      </c>
      <c r="H30">
        <v>285.3546567979558</v>
      </c>
      <c r="J30">
        <v>175.94707316356798</v>
      </c>
      <c r="L30">
        <v>140.70167709342965</v>
      </c>
      <c r="N30">
        <v>121.90413252268922</v>
      </c>
      <c r="P30">
        <v>108.39339736246953</v>
      </c>
    </row>
    <row r="32" spans="4:16" ht="12.75">
      <c r="D32" t="s">
        <v>73</v>
      </c>
      <c r="F32" s="10">
        <f>F29-F30</f>
        <v>35.62733867888517</v>
      </c>
      <c r="G32" s="10"/>
      <c r="H32" s="10">
        <f aca="true" t="shared" si="0" ref="H32:P32">H29-H30</f>
        <v>22.645343202044216</v>
      </c>
      <c r="I32" s="10"/>
      <c r="J32" s="10">
        <f t="shared" si="0"/>
        <v>16.05292683643202</v>
      </c>
      <c r="K32" s="10"/>
      <c r="L32" s="10">
        <f t="shared" si="0"/>
        <v>13.298322906570348</v>
      </c>
      <c r="M32" s="10"/>
      <c r="N32" s="10">
        <f t="shared" si="0"/>
        <v>12.095867477310776</v>
      </c>
      <c r="O32" s="10"/>
      <c r="P32" s="10">
        <f t="shared" si="0"/>
        <v>11.606602637530472</v>
      </c>
    </row>
    <row r="45" spans="3:18" ht="12.75">
      <c r="C45" t="s">
        <v>69</v>
      </c>
      <c r="D45">
        <v>0.15</v>
      </c>
      <c r="F45">
        <v>118.59</v>
      </c>
      <c r="H45">
        <v>65.61</v>
      </c>
      <c r="J45">
        <v>38.39</v>
      </c>
      <c r="L45">
        <v>31.23</v>
      </c>
      <c r="N45">
        <v>26.73</v>
      </c>
      <c r="P45">
        <v>23.5</v>
      </c>
      <c r="R45">
        <v>0.75</v>
      </c>
    </row>
    <row r="46" spans="3:18" ht="12.75">
      <c r="C46" t="s">
        <v>69</v>
      </c>
      <c r="D46">
        <v>0.15</v>
      </c>
      <c r="F46" s="10">
        <v>135.47758284600388</v>
      </c>
      <c r="G46" s="10"/>
      <c r="H46" s="10">
        <v>76.80311890838209</v>
      </c>
      <c r="I46" s="10"/>
      <c r="J46" s="10">
        <v>47.75828460038986</v>
      </c>
      <c r="K46" s="10"/>
      <c r="L46" s="10">
        <v>38.401559454191045</v>
      </c>
      <c r="M46" s="10"/>
      <c r="N46" s="10">
        <v>33.411306042885</v>
      </c>
      <c r="O46" s="10"/>
      <c r="P46" s="10">
        <v>29.824561403508767</v>
      </c>
      <c r="R46">
        <v>0.75</v>
      </c>
    </row>
    <row r="47" spans="6:16" ht="12.75">
      <c r="F47" s="10">
        <f>F46-F45</f>
        <v>16.88758284600388</v>
      </c>
      <c r="G47" s="10"/>
      <c r="H47" s="10">
        <f>H46-H45</f>
        <v>11.19311890838209</v>
      </c>
      <c r="I47" s="10"/>
      <c r="J47" s="10">
        <f>J46-J45</f>
        <v>9.368284600389856</v>
      </c>
      <c r="K47" s="10"/>
      <c r="L47" s="10">
        <f>L46-L45</f>
        <v>7.171559454191044</v>
      </c>
      <c r="M47" s="10"/>
      <c r="N47" s="10">
        <f>N46-N45</f>
        <v>6.6813060428850015</v>
      </c>
      <c r="O47" s="10"/>
      <c r="P47" s="10">
        <f>P46-P45</f>
        <v>6.324561403508767</v>
      </c>
    </row>
  </sheetData>
  <mergeCells count="13">
    <mergeCell ref="M5:N5"/>
    <mergeCell ref="O5:P5"/>
    <mergeCell ref="E5:F5"/>
    <mergeCell ref="G5:H5"/>
    <mergeCell ref="I5:J5"/>
    <mergeCell ref="K5:L5"/>
    <mergeCell ref="D2:P2"/>
    <mergeCell ref="E4:F4"/>
    <mergeCell ref="G4:H4"/>
    <mergeCell ref="I4:J4"/>
    <mergeCell ref="K4:L4"/>
    <mergeCell ref="M4:N4"/>
    <mergeCell ref="O4:P4"/>
  </mergeCells>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sheetPr codeName="Hoja4"/>
  <dimension ref="C2:I33"/>
  <sheetViews>
    <sheetView workbookViewId="0" topLeftCell="A4">
      <selection activeCell="F18" sqref="F18"/>
    </sheetView>
  </sheetViews>
  <sheetFormatPr defaultColWidth="11.421875" defaultRowHeight="12.75"/>
  <cols>
    <col min="1" max="1" width="2.7109375" style="0" customWidth="1"/>
    <col min="2" max="2" width="1.8515625" style="0" customWidth="1"/>
    <col min="3" max="3" width="19.57421875" style="0" customWidth="1"/>
    <col min="4" max="4" width="24.00390625" style="0" customWidth="1"/>
    <col min="5" max="5" width="10.28125" style="0" bestFit="1" customWidth="1"/>
    <col min="6" max="6" width="7.7109375" style="0" customWidth="1"/>
    <col min="7" max="7" width="9.57421875" style="0" customWidth="1"/>
    <col min="8" max="8" width="7.8515625" style="0" customWidth="1"/>
    <col min="9" max="9" width="5.7109375" style="0" customWidth="1"/>
    <col min="10" max="10" width="21.8515625" style="0" bestFit="1" customWidth="1"/>
    <col min="11" max="11" width="10.28125" style="0" bestFit="1" customWidth="1"/>
    <col min="12" max="12" width="7.7109375" style="0" customWidth="1"/>
    <col min="13" max="13" width="9.57421875" style="0" customWidth="1"/>
    <col min="14" max="14" width="7.8515625" style="0" customWidth="1"/>
  </cols>
  <sheetData>
    <row r="1" ht="13.5" thickBot="1"/>
    <row r="2" spans="3:8" ht="13.5" thickBot="1">
      <c r="C2" s="780" t="s">
        <v>85</v>
      </c>
      <c r="D2" s="781"/>
      <c r="E2" s="781"/>
      <c r="F2" s="781"/>
      <c r="G2" s="781"/>
      <c r="H2" s="782"/>
    </row>
    <row r="4" spans="3:8" ht="12.75">
      <c r="C4" s="22" t="s">
        <v>41</v>
      </c>
      <c r="D4" s="22" t="s">
        <v>42</v>
      </c>
      <c r="E4" s="787" t="s">
        <v>75</v>
      </c>
      <c r="F4" s="788"/>
      <c r="G4" s="787" t="s">
        <v>75</v>
      </c>
      <c r="H4" s="788"/>
    </row>
    <row r="5" spans="3:8" ht="12.75">
      <c r="C5" s="4"/>
      <c r="D5" s="4"/>
      <c r="E5" s="785" t="s">
        <v>48</v>
      </c>
      <c r="F5" s="786"/>
      <c r="G5" s="785" t="s">
        <v>49</v>
      </c>
      <c r="H5" s="786"/>
    </row>
    <row r="6" spans="3:8" ht="12.75">
      <c r="C6" s="23" t="s">
        <v>50</v>
      </c>
      <c r="D6" s="4"/>
      <c r="E6" s="22"/>
      <c r="F6" s="22"/>
      <c r="G6" s="22"/>
      <c r="H6" s="22"/>
    </row>
    <row r="7" spans="3:8" ht="12.75">
      <c r="C7" s="4"/>
      <c r="D7" s="4" t="s">
        <v>86</v>
      </c>
      <c r="E7" s="4"/>
      <c r="F7" s="24">
        <v>21</v>
      </c>
      <c r="G7" s="4"/>
      <c r="H7" s="24">
        <v>19.5</v>
      </c>
    </row>
    <row r="8" spans="4:8" ht="12.75">
      <c r="D8" s="4"/>
      <c r="E8" s="4"/>
      <c r="F8" s="24"/>
      <c r="G8" s="4"/>
      <c r="H8" s="24"/>
    </row>
    <row r="9" spans="3:8" ht="12.75">
      <c r="C9" s="4"/>
      <c r="D9" s="4" t="s">
        <v>87</v>
      </c>
      <c r="E9" s="4"/>
      <c r="F9" s="24">
        <v>0</v>
      </c>
      <c r="G9" s="4"/>
      <c r="H9" s="24">
        <v>0</v>
      </c>
    </row>
    <row r="10" spans="3:8" ht="12.75">
      <c r="C10" s="4"/>
      <c r="D10" s="4" t="s">
        <v>88</v>
      </c>
      <c r="E10" s="4" t="s">
        <v>58</v>
      </c>
      <c r="F10" s="24">
        <v>0</v>
      </c>
      <c r="G10" s="4"/>
      <c r="H10" s="24">
        <v>0</v>
      </c>
    </row>
    <row r="11" spans="3:8" ht="12.75">
      <c r="C11" s="4" t="s">
        <v>54</v>
      </c>
      <c r="D11" s="4" t="s">
        <v>89</v>
      </c>
      <c r="E11" s="24"/>
      <c r="F11" s="24">
        <v>0</v>
      </c>
      <c r="G11" s="24"/>
      <c r="H11" s="24">
        <v>0</v>
      </c>
    </row>
    <row r="12" spans="3:8" ht="12.75">
      <c r="C12" s="4"/>
      <c r="D12" s="4" t="s">
        <v>90</v>
      </c>
      <c r="E12" s="24"/>
      <c r="F12" s="24">
        <v>5</v>
      </c>
      <c r="G12" s="24"/>
      <c r="H12" s="24">
        <v>5</v>
      </c>
    </row>
    <row r="13" spans="3:8" ht="14.25" customHeight="1">
      <c r="C13" s="4" t="s">
        <v>61</v>
      </c>
      <c r="D13" s="4"/>
      <c r="E13" s="4"/>
      <c r="F13" s="4"/>
      <c r="G13" s="4"/>
      <c r="H13" s="4"/>
    </row>
    <row r="14" spans="3:8" ht="14.25" customHeight="1">
      <c r="C14" s="4"/>
      <c r="D14" s="25" t="s">
        <v>91</v>
      </c>
      <c r="E14" s="4"/>
      <c r="F14" s="24">
        <v>2.4</v>
      </c>
      <c r="G14" s="4"/>
      <c r="H14" s="24">
        <v>2.4</v>
      </c>
    </row>
    <row r="15" spans="3:8" ht="14.25" customHeight="1">
      <c r="C15" s="4"/>
      <c r="D15" s="25" t="s">
        <v>97</v>
      </c>
      <c r="E15" s="4"/>
      <c r="F15" s="24">
        <v>1.2</v>
      </c>
      <c r="G15" s="4"/>
      <c r="H15" s="24">
        <v>1.2</v>
      </c>
    </row>
    <row r="16" spans="3:8" ht="14.25" customHeight="1">
      <c r="C16" s="4"/>
      <c r="D16" s="25" t="s">
        <v>92</v>
      </c>
      <c r="E16" s="4"/>
      <c r="F16" s="24">
        <v>1</v>
      </c>
      <c r="G16" s="4"/>
      <c r="H16" s="24">
        <v>1</v>
      </c>
    </row>
    <row r="17" spans="3:8" ht="14.25" customHeight="1">
      <c r="C17" s="4"/>
      <c r="D17" s="4" t="s">
        <v>93</v>
      </c>
      <c r="E17" s="4"/>
      <c r="F17" s="24">
        <v>0.6</v>
      </c>
      <c r="G17" s="4"/>
      <c r="H17" s="24">
        <v>0.6</v>
      </c>
    </row>
    <row r="18" spans="3:8" ht="12.75">
      <c r="C18" s="4"/>
      <c r="D18" s="4" t="s">
        <v>94</v>
      </c>
      <c r="E18" s="4"/>
      <c r="F18" s="24">
        <v>1.2</v>
      </c>
      <c r="G18" s="4"/>
      <c r="H18" s="24">
        <v>1.2</v>
      </c>
    </row>
    <row r="19" spans="3:8" ht="12.75">
      <c r="C19" s="4" t="s">
        <v>63</v>
      </c>
      <c r="D19" s="4"/>
      <c r="E19" s="4"/>
      <c r="F19" s="24"/>
      <c r="G19" s="4"/>
      <c r="H19" s="24"/>
    </row>
    <row r="20" spans="3:8" ht="12.75">
      <c r="C20" s="4"/>
      <c r="D20" s="4" t="s">
        <v>64</v>
      </c>
      <c r="E20" s="4"/>
      <c r="F20" s="24">
        <v>1.6</v>
      </c>
      <c r="G20" s="4"/>
      <c r="H20" s="24">
        <v>1.6</v>
      </c>
    </row>
    <row r="21" spans="3:8" ht="12.75">
      <c r="C21" s="4" t="s">
        <v>65</v>
      </c>
      <c r="D21" s="4"/>
      <c r="E21" s="4"/>
      <c r="F21" s="4"/>
      <c r="G21" s="4"/>
      <c r="H21" s="4"/>
    </row>
    <row r="22" spans="3:8" ht="13.5" thickBot="1">
      <c r="C22" s="4"/>
      <c r="D22" s="4" t="s">
        <v>67</v>
      </c>
      <c r="E22" s="5"/>
      <c r="F22" s="26">
        <v>39.5</v>
      </c>
      <c r="G22" s="5"/>
      <c r="H22" s="26">
        <v>34.5</v>
      </c>
    </row>
    <row r="23" spans="3:8" ht="12.75">
      <c r="C23" s="4"/>
      <c r="D23" s="4"/>
      <c r="E23" s="27"/>
      <c r="F23" s="27">
        <f>SUM(F6:F22)</f>
        <v>73.5</v>
      </c>
      <c r="G23" s="27"/>
      <c r="H23" s="27">
        <f>SUM(H6:H22)</f>
        <v>67</v>
      </c>
    </row>
    <row r="24" spans="3:8" ht="13.5" thickBot="1">
      <c r="C24" s="4" t="s">
        <v>68</v>
      </c>
      <c r="D24" s="28">
        <v>0.03</v>
      </c>
      <c r="E24" s="26"/>
      <c r="F24" s="26">
        <f>F23*D24</f>
        <v>2.205</v>
      </c>
      <c r="G24" s="26"/>
      <c r="H24" s="26">
        <f>H23*D24</f>
        <v>2.01</v>
      </c>
    </row>
    <row r="25" spans="3:8" ht="12.75">
      <c r="C25" s="4"/>
      <c r="D25" s="4"/>
      <c r="E25" s="27"/>
      <c r="F25" s="27">
        <f>SUM(F23:F24)</f>
        <v>75.705</v>
      </c>
      <c r="G25" s="27"/>
      <c r="H25" s="27">
        <f>SUM(H23:H24)</f>
        <v>69.01</v>
      </c>
    </row>
    <row r="26" spans="3:9" ht="13.5" thickBot="1">
      <c r="C26" s="4" t="s">
        <v>69</v>
      </c>
      <c r="D26" s="28">
        <v>0.07</v>
      </c>
      <c r="E26" s="26"/>
      <c r="F26" s="26">
        <f>F25*D26</f>
        <v>5.2993500000000004</v>
      </c>
      <c r="G26" s="26"/>
      <c r="H26" s="26">
        <f>H25*D26</f>
        <v>4.830700000000001</v>
      </c>
      <c r="I26" s="12"/>
    </row>
    <row r="27" spans="3:8" ht="12" customHeight="1">
      <c r="C27" s="4"/>
      <c r="D27" s="4"/>
      <c r="E27" s="27"/>
      <c r="F27" s="27">
        <f>SUM(F25:F26)</f>
        <v>81.00435</v>
      </c>
      <c r="G27" s="27"/>
      <c r="H27" s="27">
        <f>SUM(H25:H26)</f>
        <v>73.84070000000001</v>
      </c>
    </row>
    <row r="28" spans="3:8" ht="13.5" thickBot="1">
      <c r="C28" s="4" t="s">
        <v>71</v>
      </c>
      <c r="D28" s="4"/>
      <c r="E28" s="5"/>
      <c r="F28" s="26">
        <v>7</v>
      </c>
      <c r="G28" s="5"/>
      <c r="H28" s="26">
        <v>7</v>
      </c>
    </row>
    <row r="29" spans="3:8" ht="12.75">
      <c r="C29" s="4"/>
      <c r="D29" s="28"/>
      <c r="E29" s="24"/>
      <c r="F29" s="29">
        <f>SUM(F27:F28)</f>
        <v>88.00435</v>
      </c>
      <c r="G29" s="29"/>
      <c r="H29" s="29">
        <f>SUM(H27:H28)</f>
        <v>80.84070000000001</v>
      </c>
    </row>
    <row r="30" spans="3:8" ht="12.75">
      <c r="C30" s="79"/>
      <c r="D30" s="80"/>
      <c r="E30" s="8"/>
      <c r="F30" s="8"/>
      <c r="G30" s="8"/>
      <c r="H30" s="8"/>
    </row>
    <row r="31" spans="3:8" ht="12.75">
      <c r="C31" s="79" t="s">
        <v>19</v>
      </c>
      <c r="D31" s="80"/>
      <c r="E31" s="8"/>
      <c r="F31" s="8"/>
      <c r="G31" s="8"/>
      <c r="H31" s="8"/>
    </row>
    <row r="32" spans="3:8" ht="13.5" thickBot="1">
      <c r="C32" s="79"/>
      <c r="D32" s="80"/>
      <c r="E32" s="8"/>
      <c r="F32" s="8"/>
      <c r="G32" s="8"/>
      <c r="H32" s="8"/>
    </row>
    <row r="33" spans="3:8" ht="25.5" customHeight="1" thickBot="1">
      <c r="C33" s="783" t="s">
        <v>102</v>
      </c>
      <c r="D33" s="784"/>
      <c r="E33" s="30"/>
      <c r="F33" s="81">
        <f>F29</f>
        <v>88.00435</v>
      </c>
      <c r="G33" s="31"/>
      <c r="H33" s="72">
        <f>H29</f>
        <v>80.84070000000001</v>
      </c>
    </row>
  </sheetData>
  <mergeCells count="6">
    <mergeCell ref="C2:H2"/>
    <mergeCell ref="C33:D33"/>
    <mergeCell ref="G5:H5"/>
    <mergeCell ref="E4:F4"/>
    <mergeCell ref="E5:F5"/>
    <mergeCell ref="G4:H4"/>
  </mergeCells>
  <printOptions/>
  <pageMargins left="0.75" right="0.75" top="1" bottom="1" header="0" footer="0"/>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X341"/>
  <sheetViews>
    <sheetView workbookViewId="0" topLeftCell="A1">
      <selection activeCell="G1" sqref="G1"/>
    </sheetView>
  </sheetViews>
  <sheetFormatPr defaultColWidth="11.421875" defaultRowHeight="12.75"/>
  <cols>
    <col min="1" max="1" width="10.28125" style="183" customWidth="1"/>
    <col min="2" max="2" width="32.7109375" style="82" customWidth="1"/>
    <col min="3" max="3" width="9.421875" style="82" customWidth="1"/>
    <col min="4" max="4" width="10.00390625" style="84" customWidth="1"/>
    <col min="5" max="5" width="12.140625" style="82" bestFit="1" customWidth="1"/>
    <col min="6" max="6" width="13.57421875" style="82" customWidth="1"/>
    <col min="7" max="7" width="9.57421875" style="82" customWidth="1"/>
    <col min="8" max="8" width="13.57421875" style="82" bestFit="1" customWidth="1"/>
    <col min="9" max="9" width="6.7109375" style="82" bestFit="1" customWidth="1"/>
    <col min="10" max="15" width="7.7109375" style="82" customWidth="1"/>
    <col min="16" max="16" width="11.7109375" style="82" customWidth="1"/>
    <col min="17" max="16384" width="22.00390625" style="82" customWidth="1"/>
  </cols>
  <sheetData>
    <row r="1" ht="15.75">
      <c r="G1" s="686"/>
    </row>
    <row r="2" ht="79.5" customHeight="1"/>
    <row r="6" spans="2:13" ht="15.75">
      <c r="B6" s="347"/>
      <c r="C6" s="701" t="s">
        <v>359</v>
      </c>
      <c r="D6" s="701"/>
      <c r="E6" s="701"/>
      <c r="F6" s="347"/>
      <c r="G6" s="348"/>
      <c r="H6" s="228"/>
      <c r="I6" s="228"/>
      <c r="J6" s="109"/>
      <c r="K6" s="109"/>
      <c r="L6" s="109"/>
      <c r="M6" s="109"/>
    </row>
    <row r="7" spans="1:13" ht="15.75">
      <c r="A7" s="227"/>
      <c r="B7" s="697" t="s">
        <v>368</v>
      </c>
      <c r="C7" s="697"/>
      <c r="D7" s="697"/>
      <c r="E7" s="697"/>
      <c r="F7" s="697"/>
      <c r="G7" s="697"/>
      <c r="H7" s="228"/>
      <c r="I7" s="228"/>
      <c r="J7" s="109"/>
      <c r="K7" s="109"/>
      <c r="L7" s="109"/>
      <c r="M7" s="109"/>
    </row>
    <row r="8" spans="1:13" ht="15.75">
      <c r="A8" s="227"/>
      <c r="B8" s="697" t="s">
        <v>369</v>
      </c>
      <c r="C8" s="697"/>
      <c r="D8" s="697"/>
      <c r="E8" s="697"/>
      <c r="F8" s="697"/>
      <c r="G8" s="697"/>
      <c r="H8" s="228"/>
      <c r="I8" s="228"/>
      <c r="J8" s="109"/>
      <c r="K8" s="109"/>
      <c r="L8" s="109"/>
      <c r="M8" s="109"/>
    </row>
    <row r="9" spans="1:17" ht="15.75" thickBot="1">
      <c r="A9" s="227"/>
      <c r="B9" s="279"/>
      <c r="C9" s="279"/>
      <c r="D9" s="280"/>
      <c r="E9" s="279"/>
      <c r="F9" s="279"/>
      <c r="G9" s="279"/>
      <c r="H9" s="104"/>
      <c r="I9" s="104"/>
      <c r="J9" s="104"/>
      <c r="K9" s="104"/>
      <c r="L9" s="104"/>
      <c r="M9" s="104"/>
      <c r="N9" s="104"/>
      <c r="O9" s="104"/>
      <c r="P9" s="104"/>
      <c r="Q9" s="109"/>
    </row>
    <row r="10" spans="1:13" ht="18" customHeight="1" thickBot="1">
      <c r="A10" s="184"/>
      <c r="B10" s="347"/>
      <c r="C10" s="347"/>
      <c r="D10" s="347"/>
      <c r="E10" s="347"/>
      <c r="F10" s="705" t="s">
        <v>399</v>
      </c>
      <c r="G10" s="706"/>
      <c r="H10" s="228"/>
      <c r="I10" s="228"/>
      <c r="J10" s="109"/>
      <c r="K10" s="109"/>
      <c r="L10" s="109"/>
      <c r="M10" s="109"/>
    </row>
    <row r="11" spans="1:17" ht="14.25" customHeight="1">
      <c r="A11" s="227"/>
      <c r="B11" s="702" t="s">
        <v>360</v>
      </c>
      <c r="C11" s="702" t="s">
        <v>184</v>
      </c>
      <c r="D11" s="704" t="s">
        <v>296</v>
      </c>
      <c r="E11" s="349" t="s">
        <v>363</v>
      </c>
      <c r="F11" s="350" t="s">
        <v>354</v>
      </c>
      <c r="G11" s="351" t="s">
        <v>356</v>
      </c>
      <c r="H11" s="104"/>
      <c r="I11" s="104"/>
      <c r="J11" s="104"/>
      <c r="K11" s="104"/>
      <c r="L11" s="104"/>
      <c r="M11" s="104"/>
      <c r="N11" s="104"/>
      <c r="O11" s="104"/>
      <c r="P11" s="104"/>
      <c r="Q11" s="109"/>
    </row>
    <row r="12" spans="1:17" ht="12.75" customHeight="1" thickBot="1">
      <c r="A12" s="184"/>
      <c r="B12" s="703"/>
      <c r="C12" s="703"/>
      <c r="D12" s="703"/>
      <c r="E12" s="352" t="s">
        <v>364</v>
      </c>
      <c r="F12" s="353" t="s">
        <v>355</v>
      </c>
      <c r="G12" s="354" t="s">
        <v>357</v>
      </c>
      <c r="H12" s="104"/>
      <c r="I12" s="104"/>
      <c r="J12" s="104"/>
      <c r="K12" s="104"/>
      <c r="L12" s="104"/>
      <c r="M12" s="104"/>
      <c r="N12" s="104"/>
      <c r="O12" s="104"/>
      <c r="P12" s="104"/>
      <c r="Q12" s="109"/>
    </row>
    <row r="13" spans="1:17" ht="22.5" customHeight="1">
      <c r="A13" s="184"/>
      <c r="B13" s="355" t="str">
        <f>B34</f>
        <v>Estructura inicial y obra civil</v>
      </c>
      <c r="C13" s="356">
        <f>D34</f>
        <v>18000</v>
      </c>
      <c r="D13" s="357"/>
      <c r="E13" s="358"/>
      <c r="F13" s="359"/>
      <c r="G13" s="360"/>
      <c r="H13" s="109"/>
      <c r="I13" s="109"/>
      <c r="J13" s="104">
        <v>5</v>
      </c>
      <c r="K13" s="222" t="s">
        <v>326</v>
      </c>
      <c r="L13" s="104"/>
      <c r="M13" s="104"/>
      <c r="N13" s="104"/>
      <c r="O13" s="104"/>
      <c r="P13" s="104"/>
      <c r="Q13" s="109"/>
    </row>
    <row r="14" spans="1:17" ht="13.5" customHeight="1" thickBot="1">
      <c r="A14" s="184"/>
      <c r="B14" s="361" t="s">
        <v>231</v>
      </c>
      <c r="C14" s="362">
        <f>D35</f>
        <v>2000</v>
      </c>
      <c r="D14" s="363"/>
      <c r="E14" s="364"/>
      <c r="F14" s="365"/>
      <c r="G14" s="366"/>
      <c r="H14" s="109"/>
      <c r="I14" s="104"/>
      <c r="J14" s="104"/>
      <c r="K14" s="104"/>
      <c r="L14" s="104"/>
      <c r="M14" s="104"/>
      <c r="N14" s="104"/>
      <c r="O14" s="104"/>
      <c r="P14" s="104"/>
      <c r="Q14" s="109"/>
    </row>
    <row r="15" spans="1:17" ht="16.5" customHeight="1" thickTop="1">
      <c r="A15" s="184"/>
      <c r="B15" s="367" t="s">
        <v>312</v>
      </c>
      <c r="C15" s="368">
        <f>SUM(C13:C14)</f>
        <v>20000</v>
      </c>
      <c r="D15" s="369">
        <v>10</v>
      </c>
      <c r="E15" s="370">
        <f>C15/D15</f>
        <v>2000</v>
      </c>
      <c r="F15" s="371">
        <f>E15*J13</f>
        <v>10000</v>
      </c>
      <c r="G15" s="372">
        <f>C15-F15</f>
        <v>10000</v>
      </c>
      <c r="H15" s="109"/>
      <c r="I15" s="104"/>
      <c r="J15" s="104"/>
      <c r="K15" s="104"/>
      <c r="L15" s="104"/>
      <c r="M15" s="104"/>
      <c r="N15" s="104"/>
      <c r="O15" s="104"/>
      <c r="P15" s="104"/>
      <c r="Q15" s="109"/>
    </row>
    <row r="16" spans="1:17" ht="16.5" customHeight="1">
      <c r="A16" s="184"/>
      <c r="B16" s="373" t="s">
        <v>185</v>
      </c>
      <c r="C16" s="374">
        <f>SUM(D37:D54)</f>
        <v>3654.9499999999994</v>
      </c>
      <c r="D16" s="375">
        <v>10</v>
      </c>
      <c r="E16" s="376">
        <f aca="true" t="shared" si="0" ref="E16:E21">C16/D16</f>
        <v>365.49499999999995</v>
      </c>
      <c r="F16" s="377">
        <f>E16*J13</f>
        <v>1827.4749999999997</v>
      </c>
      <c r="G16" s="378">
        <f>C16-F16</f>
        <v>1827.4749999999997</v>
      </c>
      <c r="H16" s="109"/>
      <c r="I16" s="104"/>
      <c r="J16" s="104"/>
      <c r="K16" s="104"/>
      <c r="L16" s="104"/>
      <c r="M16" s="104"/>
      <c r="N16" s="104"/>
      <c r="O16" s="104"/>
      <c r="P16" s="104"/>
      <c r="Q16" s="109"/>
    </row>
    <row r="17" spans="1:17" ht="16.5" customHeight="1">
      <c r="A17" s="184"/>
      <c r="B17" s="379" t="s">
        <v>201</v>
      </c>
      <c r="C17" s="368">
        <f>SUM(D56:D78)</f>
        <v>12486.99</v>
      </c>
      <c r="D17" s="369">
        <v>7</v>
      </c>
      <c r="E17" s="370">
        <f t="shared" si="0"/>
        <v>1783.8557142857142</v>
      </c>
      <c r="F17" s="380">
        <f>E17*J13</f>
        <v>8919.278571428571</v>
      </c>
      <c r="G17" s="372">
        <f>C17-F17</f>
        <v>3567.7114285714288</v>
      </c>
      <c r="H17" s="109"/>
      <c r="I17" s="104"/>
      <c r="J17" s="104"/>
      <c r="K17" s="104"/>
      <c r="L17" s="104"/>
      <c r="M17" s="104"/>
      <c r="N17" s="104"/>
      <c r="O17" s="104"/>
      <c r="P17" s="104"/>
      <c r="Q17" s="109"/>
    </row>
    <row r="18" spans="1:17" ht="16.5" customHeight="1">
      <c r="A18" s="184"/>
      <c r="B18" s="373" t="s">
        <v>353</v>
      </c>
      <c r="C18" s="374">
        <f>SUM(D80:D85)</f>
        <v>3559.6</v>
      </c>
      <c r="D18" s="375">
        <v>5</v>
      </c>
      <c r="E18" s="376">
        <f t="shared" si="0"/>
        <v>711.92</v>
      </c>
      <c r="F18" s="377">
        <f>E18*J13</f>
        <v>3559.6</v>
      </c>
      <c r="G18" s="378">
        <f>C18-F18</f>
        <v>0</v>
      </c>
      <c r="H18" s="109"/>
      <c r="I18" s="104"/>
      <c r="J18" s="104"/>
      <c r="K18" s="104"/>
      <c r="L18" s="104"/>
      <c r="M18" s="104"/>
      <c r="N18" s="104"/>
      <c r="O18" s="104"/>
      <c r="P18" s="104"/>
      <c r="Q18" s="109"/>
    </row>
    <row r="19" spans="1:17" ht="16.5" customHeight="1">
      <c r="A19" s="184"/>
      <c r="B19" s="379" t="s">
        <v>313</v>
      </c>
      <c r="C19" s="368">
        <f>SUM(D87:D88)</f>
        <v>1034.19</v>
      </c>
      <c r="D19" s="369">
        <v>10</v>
      </c>
      <c r="E19" s="370">
        <f t="shared" si="0"/>
        <v>103.41900000000001</v>
      </c>
      <c r="F19" s="371">
        <f>E19*J13</f>
        <v>517.095</v>
      </c>
      <c r="G19" s="372">
        <f>C19-F19</f>
        <v>517.095</v>
      </c>
      <c r="H19" s="109"/>
      <c r="I19" s="104"/>
      <c r="J19" s="104"/>
      <c r="K19" s="104"/>
      <c r="L19" s="104"/>
      <c r="M19" s="104"/>
      <c r="N19" s="104"/>
      <c r="O19" s="104"/>
      <c r="P19" s="104"/>
      <c r="Q19" s="109"/>
    </row>
    <row r="20" spans="1:17" ht="16.5" customHeight="1">
      <c r="A20" s="184"/>
      <c r="B20" s="373" t="s">
        <v>314</v>
      </c>
      <c r="C20" s="374">
        <f>SUM(D90:D91)</f>
        <v>1880</v>
      </c>
      <c r="D20" s="375">
        <v>3</v>
      </c>
      <c r="E20" s="376">
        <f t="shared" si="0"/>
        <v>626.6666666666666</v>
      </c>
      <c r="F20" s="381">
        <f>C27*2</f>
        <v>1316</v>
      </c>
      <c r="G20" s="378">
        <f>C26-F20</f>
        <v>658</v>
      </c>
      <c r="H20" s="109"/>
      <c r="I20" s="104"/>
      <c r="J20" s="104"/>
      <c r="K20" s="104"/>
      <c r="L20" s="104"/>
      <c r="M20" s="104"/>
      <c r="N20" s="104"/>
      <c r="O20" s="104"/>
      <c r="P20" s="104"/>
      <c r="Q20" s="109"/>
    </row>
    <row r="21" spans="1:17" ht="16.5" customHeight="1" thickBot="1">
      <c r="A21" s="184"/>
      <c r="B21" s="382" t="s">
        <v>315</v>
      </c>
      <c r="C21" s="383">
        <f>SUM(D93:D94)</f>
        <v>120</v>
      </c>
      <c r="D21" s="384">
        <v>5</v>
      </c>
      <c r="E21" s="385">
        <f t="shared" si="0"/>
        <v>24</v>
      </c>
      <c r="F21" s="386">
        <f>E21*J13</f>
        <v>120</v>
      </c>
      <c r="G21" s="387">
        <f>C21-F21</f>
        <v>0</v>
      </c>
      <c r="H21" s="109"/>
      <c r="I21" s="104"/>
      <c r="J21" s="104"/>
      <c r="K21" s="104"/>
      <c r="L21" s="104"/>
      <c r="M21" s="104"/>
      <c r="N21" s="104"/>
      <c r="O21" s="104"/>
      <c r="P21" s="104"/>
      <c r="Q21" s="109"/>
    </row>
    <row r="22" spans="1:17" ht="15" customHeight="1" thickBot="1">
      <c r="A22" s="184"/>
      <c r="B22" s="388"/>
      <c r="C22" s="685" t="s">
        <v>361</v>
      </c>
      <c r="D22" s="677"/>
      <c r="E22" s="389">
        <f>SUM(E15:E21)</f>
        <v>5615.356380952381</v>
      </c>
      <c r="F22" s="711">
        <f>SUM(F15:F21)</f>
        <v>26259.44857142857</v>
      </c>
      <c r="G22" s="675">
        <f>SUM(G15:G21)</f>
        <v>16570.281428571427</v>
      </c>
      <c r="H22" s="674"/>
      <c r="I22" s="674"/>
      <c r="J22" s="104"/>
      <c r="K22" s="104"/>
      <c r="L22" s="104"/>
      <c r="M22" s="104"/>
      <c r="N22" s="104"/>
      <c r="O22" s="104"/>
      <c r="P22" s="104"/>
      <c r="Q22" s="109"/>
    </row>
    <row r="23" spans="1:17" ht="15" customHeight="1" thickBot="1">
      <c r="A23" s="184"/>
      <c r="B23" s="279"/>
      <c r="C23" s="678" t="s">
        <v>362</v>
      </c>
      <c r="D23" s="679"/>
      <c r="E23" s="390">
        <f>E15+E16+E17+E18+E19+E21+C27</f>
        <v>5646.689714285714</v>
      </c>
      <c r="F23" s="712"/>
      <c r="G23" s="676"/>
      <c r="H23" s="674"/>
      <c r="I23" s="674"/>
      <c r="J23" s="104"/>
      <c r="K23" s="104"/>
      <c r="L23" s="104"/>
      <c r="M23" s="104"/>
      <c r="N23" s="104"/>
      <c r="O23" s="104"/>
      <c r="P23" s="104"/>
      <c r="Q23" s="109"/>
    </row>
    <row r="24" spans="1:17" ht="18.75" customHeight="1">
      <c r="A24" s="184"/>
      <c r="B24" s="279"/>
      <c r="C24" s="391"/>
      <c r="D24" s="280"/>
      <c r="E24" s="347"/>
      <c r="F24" s="347"/>
      <c r="G24" s="279"/>
      <c r="H24" s="104"/>
      <c r="I24" s="104"/>
      <c r="J24" s="104"/>
      <c r="K24" s="104"/>
      <c r="L24" s="104"/>
      <c r="M24" s="104"/>
      <c r="N24" s="104"/>
      <c r="O24" s="104"/>
      <c r="P24" s="104"/>
      <c r="Q24" s="109"/>
    </row>
    <row r="25" spans="1:17" ht="13.5" customHeight="1" thickBot="1">
      <c r="A25" s="184"/>
      <c r="B25" s="391"/>
      <c r="C25" s="279"/>
      <c r="D25" s="280"/>
      <c r="E25" s="279"/>
      <c r="F25" s="279"/>
      <c r="G25" s="279"/>
      <c r="H25" s="104"/>
      <c r="I25" s="104"/>
      <c r="J25" s="104"/>
      <c r="K25" s="104"/>
      <c r="L25" s="104"/>
      <c r="M25" s="104"/>
      <c r="N25" s="104"/>
      <c r="O25" s="104"/>
      <c r="P25" s="104"/>
      <c r="Q25" s="109"/>
    </row>
    <row r="26" spans="1:17" ht="16.5" customHeight="1" thickBot="1">
      <c r="A26" s="184"/>
      <c r="B26" s="272" t="s">
        <v>366</v>
      </c>
      <c r="C26" s="392">
        <f>C20*1.05</f>
        <v>1974</v>
      </c>
      <c r="D26" s="280"/>
      <c r="E26" s="279"/>
      <c r="F26" s="279"/>
      <c r="G26" s="279"/>
      <c r="H26" s="104"/>
      <c r="I26" s="104"/>
      <c r="J26" s="104"/>
      <c r="K26" s="104"/>
      <c r="L26" s="104"/>
      <c r="M26" s="104"/>
      <c r="N26" s="104"/>
      <c r="O26" s="104"/>
      <c r="P26" s="104"/>
      <c r="Q26" s="109"/>
    </row>
    <row r="27" spans="1:17" ht="14.25" customHeight="1" thickBot="1">
      <c r="A27" s="184"/>
      <c r="B27" s="274" t="s">
        <v>365</v>
      </c>
      <c r="C27" s="392">
        <f>C26/D20</f>
        <v>658</v>
      </c>
      <c r="D27" s="280"/>
      <c r="E27" s="279"/>
      <c r="F27" s="279"/>
      <c r="G27" s="279"/>
      <c r="H27" s="104"/>
      <c r="I27" s="104"/>
      <c r="J27" s="104"/>
      <c r="K27" s="104"/>
      <c r="L27" s="104"/>
      <c r="M27" s="104"/>
      <c r="N27" s="104"/>
      <c r="O27" s="104"/>
      <c r="P27" s="104"/>
      <c r="Q27" s="109"/>
    </row>
    <row r="28" spans="1:17" ht="7.5" customHeight="1">
      <c r="A28" s="184"/>
      <c r="B28" s="279"/>
      <c r="C28" s="279"/>
      <c r="D28" s="280"/>
      <c r="E28" s="279"/>
      <c r="F28" s="279"/>
      <c r="G28" s="279"/>
      <c r="H28" s="104"/>
      <c r="I28" s="104"/>
      <c r="J28" s="104"/>
      <c r="K28" s="104"/>
      <c r="L28" s="104"/>
      <c r="M28" s="104"/>
      <c r="N28" s="104"/>
      <c r="O28" s="104"/>
      <c r="P28" s="104"/>
      <c r="Q28" s="109"/>
    </row>
    <row r="29" spans="1:17" ht="14.25" customHeight="1">
      <c r="A29" s="184"/>
      <c r="B29" s="393" t="s">
        <v>367</v>
      </c>
      <c r="C29" s="279"/>
      <c r="D29" s="280"/>
      <c r="E29" s="279"/>
      <c r="F29" s="279"/>
      <c r="G29" s="279"/>
      <c r="H29" s="104"/>
      <c r="I29" s="104"/>
      <c r="J29" s="104"/>
      <c r="K29" s="104"/>
      <c r="L29" s="104"/>
      <c r="M29" s="104"/>
      <c r="N29" s="104"/>
      <c r="O29" s="104"/>
      <c r="P29" s="104"/>
      <c r="Q29" s="109"/>
    </row>
    <row r="30" spans="1:17" ht="14.25" customHeight="1" thickBot="1">
      <c r="A30" s="184"/>
      <c r="B30" s="104"/>
      <c r="C30" s="104"/>
      <c r="D30" s="105"/>
      <c r="E30" s="104"/>
      <c r="F30" s="104"/>
      <c r="G30" s="104"/>
      <c r="H30" s="104"/>
      <c r="I30" s="104"/>
      <c r="J30" s="104"/>
      <c r="K30" s="104"/>
      <c r="L30" s="104"/>
      <c r="M30" s="104"/>
      <c r="N30" s="104"/>
      <c r="O30" s="104"/>
      <c r="P30" s="104"/>
      <c r="Q30" s="109"/>
    </row>
    <row r="31" spans="1:17" s="88" customFormat="1" ht="15.75" thickBot="1">
      <c r="A31" s="184"/>
      <c r="B31" s="106"/>
      <c r="C31" s="106"/>
      <c r="D31" s="107"/>
      <c r="E31" s="108"/>
      <c r="F31" s="682" t="s">
        <v>258</v>
      </c>
      <c r="G31" s="683"/>
      <c r="H31" s="683"/>
      <c r="I31" s="683"/>
      <c r="J31" s="683"/>
      <c r="K31" s="683"/>
      <c r="L31" s="683"/>
      <c r="M31" s="683"/>
      <c r="N31" s="683"/>
      <c r="O31" s="684"/>
      <c r="P31" s="104"/>
      <c r="Q31" s="110"/>
    </row>
    <row r="32" spans="1:17" s="89" customFormat="1" ht="14.25" customHeight="1" thickBot="1">
      <c r="A32" s="185"/>
      <c r="B32" s="680" t="s">
        <v>182</v>
      </c>
      <c r="C32" s="709" t="s">
        <v>183</v>
      </c>
      <c r="D32" s="709" t="s">
        <v>184</v>
      </c>
      <c r="E32" s="709" t="s">
        <v>128</v>
      </c>
      <c r="F32" s="135" t="s">
        <v>123</v>
      </c>
      <c r="G32" s="135" t="s">
        <v>98</v>
      </c>
      <c r="H32" s="135" t="s">
        <v>99</v>
      </c>
      <c r="I32" s="135" t="s">
        <v>100</v>
      </c>
      <c r="J32" s="135" t="s">
        <v>101</v>
      </c>
      <c r="K32" s="135" t="s">
        <v>141</v>
      </c>
      <c r="L32" s="135" t="s">
        <v>142</v>
      </c>
      <c r="M32" s="135" t="s">
        <v>143</v>
      </c>
      <c r="N32" s="135" t="s">
        <v>144</v>
      </c>
      <c r="O32" s="135" t="s">
        <v>145</v>
      </c>
      <c r="P32" s="168" t="s">
        <v>259</v>
      </c>
      <c r="Q32" s="111"/>
    </row>
    <row r="33" spans="1:17" s="89" customFormat="1" ht="8.25" customHeight="1">
      <c r="A33" s="707" t="s">
        <v>358</v>
      </c>
      <c r="B33" s="681"/>
      <c r="C33" s="710"/>
      <c r="D33" s="710"/>
      <c r="E33" s="710"/>
      <c r="F33" s="166"/>
      <c r="G33" s="167"/>
      <c r="H33" s="167"/>
      <c r="I33" s="167"/>
      <c r="J33" s="167"/>
      <c r="K33" s="167"/>
      <c r="L33" s="167"/>
      <c r="M33" s="167"/>
      <c r="N33" s="167"/>
      <c r="O33" s="167"/>
      <c r="P33" s="169" t="s">
        <v>260</v>
      </c>
      <c r="Q33" s="111"/>
    </row>
    <row r="34" spans="1:17" s="89" customFormat="1" ht="14.25" customHeight="1">
      <c r="A34" s="708"/>
      <c r="B34" s="4" t="s">
        <v>230</v>
      </c>
      <c r="C34" s="123"/>
      <c r="D34" s="182">
        <v>18000</v>
      </c>
      <c r="E34" s="144">
        <v>10</v>
      </c>
      <c r="F34" s="157">
        <f>D34/E34</f>
        <v>1800</v>
      </c>
      <c r="G34" s="144">
        <f>F34</f>
        <v>1800</v>
      </c>
      <c r="H34" s="144">
        <f>G34</f>
        <v>1800</v>
      </c>
      <c r="I34" s="144">
        <f aca="true" t="shared" si="1" ref="I34:O34">H34</f>
        <v>1800</v>
      </c>
      <c r="J34" s="144">
        <f t="shared" si="1"/>
        <v>1800</v>
      </c>
      <c r="K34" s="144">
        <f t="shared" si="1"/>
        <v>1800</v>
      </c>
      <c r="L34" s="144">
        <f t="shared" si="1"/>
        <v>1800</v>
      </c>
      <c r="M34" s="144">
        <f t="shared" si="1"/>
        <v>1800</v>
      </c>
      <c r="N34" s="144">
        <f t="shared" si="1"/>
        <v>1800</v>
      </c>
      <c r="O34" s="144">
        <f t="shared" si="1"/>
        <v>1800</v>
      </c>
      <c r="P34" s="160">
        <f>SUM(F34:O34)</f>
        <v>18000</v>
      </c>
      <c r="Q34" s="111"/>
    </row>
    <row r="35" spans="1:17" s="89" customFormat="1" ht="14.25" customHeight="1">
      <c r="A35" s="186"/>
      <c r="B35" s="150" t="s">
        <v>231</v>
      </c>
      <c r="C35" s="170"/>
      <c r="D35" s="195">
        <v>2000</v>
      </c>
      <c r="E35" s="144">
        <v>10</v>
      </c>
      <c r="F35" s="157">
        <f>D35/E35</f>
        <v>200</v>
      </c>
      <c r="G35" s="144">
        <f>F35</f>
        <v>200</v>
      </c>
      <c r="H35" s="144">
        <f>G35</f>
        <v>200</v>
      </c>
      <c r="I35" s="144">
        <f aca="true" t="shared" si="2" ref="I35:O35">H35</f>
        <v>200</v>
      </c>
      <c r="J35" s="144">
        <f t="shared" si="2"/>
        <v>200</v>
      </c>
      <c r="K35" s="144">
        <f t="shared" si="2"/>
        <v>200</v>
      </c>
      <c r="L35" s="144">
        <f t="shared" si="2"/>
        <v>200</v>
      </c>
      <c r="M35" s="144">
        <f t="shared" si="2"/>
        <v>200</v>
      </c>
      <c r="N35" s="144">
        <f t="shared" si="2"/>
        <v>200</v>
      </c>
      <c r="O35" s="144">
        <f t="shared" si="2"/>
        <v>200</v>
      </c>
      <c r="P35" s="160">
        <f>SUM(F35:O35)</f>
        <v>2000</v>
      </c>
      <c r="Q35" s="111"/>
    </row>
    <row r="36" spans="1:17" s="90" customFormat="1" ht="13.5" customHeight="1">
      <c r="A36" s="187"/>
      <c r="B36" s="130" t="s">
        <v>185</v>
      </c>
      <c r="C36" s="123"/>
      <c r="D36" s="128"/>
      <c r="E36" s="172"/>
      <c r="F36" s="162"/>
      <c r="G36" s="163"/>
      <c r="H36" s="163"/>
      <c r="I36" s="163"/>
      <c r="J36" s="163"/>
      <c r="K36" s="163"/>
      <c r="L36" s="163"/>
      <c r="M36" s="163"/>
      <c r="N36" s="163"/>
      <c r="O36" s="173"/>
      <c r="P36" s="165"/>
      <c r="Q36" s="103"/>
    </row>
    <row r="37" spans="1:17" s="90" customFormat="1" ht="13.5" customHeight="1">
      <c r="A37" s="186"/>
      <c r="B37" s="112" t="s">
        <v>186</v>
      </c>
      <c r="C37" s="125">
        <v>873.41</v>
      </c>
      <c r="D37" s="125">
        <f aca="true" t="shared" si="3" ref="D37:D54">(A38*C37)</f>
        <v>873.41</v>
      </c>
      <c r="E37" s="171">
        <v>10</v>
      </c>
      <c r="F37" s="157">
        <f aca="true" t="shared" si="4" ref="F37:F54">D37/E37</f>
        <v>87.341</v>
      </c>
      <c r="G37" s="157">
        <f aca="true" t="shared" si="5" ref="G37:O39">F37</f>
        <v>87.341</v>
      </c>
      <c r="H37" s="157">
        <f aca="true" t="shared" si="6" ref="H37:H54">G37</f>
        <v>87.341</v>
      </c>
      <c r="I37" s="157">
        <f t="shared" si="5"/>
        <v>87.341</v>
      </c>
      <c r="J37" s="157">
        <f t="shared" si="5"/>
        <v>87.341</v>
      </c>
      <c r="K37" s="157">
        <f t="shared" si="5"/>
        <v>87.341</v>
      </c>
      <c r="L37" s="157">
        <f t="shared" si="5"/>
        <v>87.341</v>
      </c>
      <c r="M37" s="157">
        <f t="shared" si="5"/>
        <v>87.341</v>
      </c>
      <c r="N37" s="157">
        <f t="shared" si="5"/>
        <v>87.341</v>
      </c>
      <c r="O37" s="157">
        <f t="shared" si="5"/>
        <v>87.341</v>
      </c>
      <c r="P37" s="160">
        <f>SUM(F37:O37)</f>
        <v>873.41</v>
      </c>
      <c r="Q37" s="103"/>
    </row>
    <row r="38" spans="1:16" s="90" customFormat="1" ht="13.5" customHeight="1">
      <c r="A38" s="188">
        <v>1</v>
      </c>
      <c r="B38" s="4" t="s">
        <v>187</v>
      </c>
      <c r="C38" s="124">
        <v>1000</v>
      </c>
      <c r="D38" s="124">
        <f t="shared" si="3"/>
        <v>1000</v>
      </c>
      <c r="E38" s="113">
        <v>10</v>
      </c>
      <c r="F38" s="94">
        <f t="shared" si="4"/>
        <v>100</v>
      </c>
      <c r="G38" s="94">
        <f t="shared" si="5"/>
        <v>100</v>
      </c>
      <c r="H38" s="94">
        <f t="shared" si="6"/>
        <v>100</v>
      </c>
      <c r="I38" s="94">
        <f t="shared" si="5"/>
        <v>100</v>
      </c>
      <c r="J38" s="94">
        <f t="shared" si="5"/>
        <v>100</v>
      </c>
      <c r="K38" s="94">
        <f t="shared" si="5"/>
        <v>100</v>
      </c>
      <c r="L38" s="94">
        <f t="shared" si="5"/>
        <v>100</v>
      </c>
      <c r="M38" s="94">
        <f t="shared" si="5"/>
        <v>100</v>
      </c>
      <c r="N38" s="94">
        <f t="shared" si="5"/>
        <v>100</v>
      </c>
      <c r="O38" s="94">
        <f t="shared" si="5"/>
        <v>100</v>
      </c>
      <c r="P38" s="136">
        <f aca="true" t="shared" si="7" ref="P38:P59">SUM(F38:O38)</f>
        <v>1000</v>
      </c>
    </row>
    <row r="39" spans="1:16" s="90" customFormat="1" ht="13.5" customHeight="1">
      <c r="A39" s="189">
        <v>1</v>
      </c>
      <c r="B39" s="4" t="s">
        <v>188</v>
      </c>
      <c r="C39" s="124">
        <v>502.7</v>
      </c>
      <c r="D39" s="124">
        <f t="shared" si="3"/>
        <v>502.7</v>
      </c>
      <c r="E39" s="113">
        <v>10</v>
      </c>
      <c r="F39" s="94">
        <f t="shared" si="4"/>
        <v>50.269999999999996</v>
      </c>
      <c r="G39" s="94">
        <f t="shared" si="5"/>
        <v>50.269999999999996</v>
      </c>
      <c r="H39" s="94">
        <f t="shared" si="6"/>
        <v>50.269999999999996</v>
      </c>
      <c r="I39" s="94">
        <f t="shared" si="5"/>
        <v>50.269999999999996</v>
      </c>
      <c r="J39" s="94">
        <f t="shared" si="5"/>
        <v>50.269999999999996</v>
      </c>
      <c r="K39" s="94">
        <f>J39</f>
        <v>50.269999999999996</v>
      </c>
      <c r="L39" s="94">
        <f>K39</f>
        <v>50.269999999999996</v>
      </c>
      <c r="M39" s="94">
        <f>L39</f>
        <v>50.269999999999996</v>
      </c>
      <c r="N39" s="94">
        <f>M39</f>
        <v>50.269999999999996</v>
      </c>
      <c r="O39" s="94">
        <f>N39</f>
        <v>50.269999999999996</v>
      </c>
      <c r="P39" s="136">
        <f t="shared" si="7"/>
        <v>502.6999999999999</v>
      </c>
    </row>
    <row r="40" spans="1:16" s="90" customFormat="1" ht="13.5" customHeight="1">
      <c r="A40" s="189">
        <v>1</v>
      </c>
      <c r="B40" s="25" t="s">
        <v>190</v>
      </c>
      <c r="C40" s="125">
        <v>40</v>
      </c>
      <c r="D40" s="124">
        <f t="shared" si="3"/>
        <v>40</v>
      </c>
      <c r="E40" s="113">
        <v>10</v>
      </c>
      <c r="F40" s="94">
        <f t="shared" si="4"/>
        <v>4</v>
      </c>
      <c r="G40" s="94">
        <f aca="true" t="shared" si="8" ref="G40:O44">F40</f>
        <v>4</v>
      </c>
      <c r="H40" s="94">
        <f t="shared" si="6"/>
        <v>4</v>
      </c>
      <c r="I40" s="94">
        <f t="shared" si="8"/>
        <v>4</v>
      </c>
      <c r="J40" s="94">
        <f t="shared" si="8"/>
        <v>4</v>
      </c>
      <c r="K40" s="94">
        <f t="shared" si="8"/>
        <v>4</v>
      </c>
      <c r="L40" s="94">
        <f t="shared" si="8"/>
        <v>4</v>
      </c>
      <c r="M40" s="94">
        <f t="shared" si="8"/>
        <v>4</v>
      </c>
      <c r="N40" s="94">
        <f t="shared" si="8"/>
        <v>4</v>
      </c>
      <c r="O40" s="94">
        <f t="shared" si="8"/>
        <v>4</v>
      </c>
      <c r="P40" s="136">
        <f t="shared" si="7"/>
        <v>40</v>
      </c>
    </row>
    <row r="41" spans="1:16" s="90" customFormat="1" ht="13.5" customHeight="1">
      <c r="A41" s="190">
        <v>1</v>
      </c>
      <c r="B41" s="25" t="s">
        <v>191</v>
      </c>
      <c r="C41" s="124">
        <v>30</v>
      </c>
      <c r="D41" s="124">
        <f t="shared" si="3"/>
        <v>30</v>
      </c>
      <c r="E41" s="113">
        <v>10</v>
      </c>
      <c r="F41" s="94">
        <f t="shared" si="4"/>
        <v>3</v>
      </c>
      <c r="G41" s="94">
        <f t="shared" si="8"/>
        <v>3</v>
      </c>
      <c r="H41" s="94">
        <f t="shared" si="6"/>
        <v>3</v>
      </c>
      <c r="I41" s="94">
        <f t="shared" si="8"/>
        <v>3</v>
      </c>
      <c r="J41" s="94">
        <f t="shared" si="8"/>
        <v>3</v>
      </c>
      <c r="K41" s="94">
        <f t="shared" si="8"/>
        <v>3</v>
      </c>
      <c r="L41" s="94">
        <f t="shared" si="8"/>
        <v>3</v>
      </c>
      <c r="M41" s="94">
        <f t="shared" si="8"/>
        <v>3</v>
      </c>
      <c r="N41" s="94">
        <f t="shared" si="8"/>
        <v>3</v>
      </c>
      <c r="O41" s="94">
        <f t="shared" si="8"/>
        <v>3</v>
      </c>
      <c r="P41" s="136">
        <f t="shared" si="7"/>
        <v>30</v>
      </c>
    </row>
    <row r="42" spans="1:16" s="90" customFormat="1" ht="13.5" customHeight="1">
      <c r="A42" s="190">
        <v>1</v>
      </c>
      <c r="B42" s="25" t="s">
        <v>192</v>
      </c>
      <c r="C42" s="124">
        <v>55.12</v>
      </c>
      <c r="D42" s="124">
        <f t="shared" si="3"/>
        <v>55.12</v>
      </c>
      <c r="E42" s="113">
        <v>10</v>
      </c>
      <c r="F42" s="94">
        <f t="shared" si="4"/>
        <v>5.512</v>
      </c>
      <c r="G42" s="94">
        <f t="shared" si="8"/>
        <v>5.512</v>
      </c>
      <c r="H42" s="94">
        <f t="shared" si="6"/>
        <v>5.512</v>
      </c>
      <c r="I42" s="94">
        <f t="shared" si="8"/>
        <v>5.512</v>
      </c>
      <c r="J42" s="94">
        <f t="shared" si="8"/>
        <v>5.512</v>
      </c>
      <c r="K42" s="94">
        <f t="shared" si="8"/>
        <v>5.512</v>
      </c>
      <c r="L42" s="94">
        <f t="shared" si="8"/>
        <v>5.512</v>
      </c>
      <c r="M42" s="94">
        <f t="shared" si="8"/>
        <v>5.512</v>
      </c>
      <c r="N42" s="94">
        <f t="shared" si="8"/>
        <v>5.512</v>
      </c>
      <c r="O42" s="94">
        <f t="shared" si="8"/>
        <v>5.512</v>
      </c>
      <c r="P42" s="136">
        <f t="shared" si="7"/>
        <v>55.12</v>
      </c>
    </row>
    <row r="43" spans="1:16" s="90" customFormat="1" ht="13.5" customHeight="1">
      <c r="A43" s="190">
        <v>1</v>
      </c>
      <c r="B43" s="25" t="s">
        <v>193</v>
      </c>
      <c r="C43" s="124">
        <v>873.41</v>
      </c>
      <c r="D43" s="124">
        <f t="shared" si="3"/>
        <v>873.41</v>
      </c>
      <c r="E43" s="113">
        <v>10</v>
      </c>
      <c r="F43" s="94">
        <f t="shared" si="4"/>
        <v>87.341</v>
      </c>
      <c r="G43" s="94">
        <f t="shared" si="8"/>
        <v>87.341</v>
      </c>
      <c r="H43" s="94">
        <f t="shared" si="6"/>
        <v>87.341</v>
      </c>
      <c r="I43" s="94">
        <f t="shared" si="8"/>
        <v>87.341</v>
      </c>
      <c r="J43" s="94">
        <f t="shared" si="8"/>
        <v>87.341</v>
      </c>
      <c r="K43" s="94">
        <f t="shared" si="8"/>
        <v>87.341</v>
      </c>
      <c r="L43" s="94">
        <f t="shared" si="8"/>
        <v>87.341</v>
      </c>
      <c r="M43" s="94">
        <f t="shared" si="8"/>
        <v>87.341</v>
      </c>
      <c r="N43" s="94">
        <f t="shared" si="8"/>
        <v>87.341</v>
      </c>
      <c r="O43" s="94">
        <f t="shared" si="8"/>
        <v>87.341</v>
      </c>
      <c r="P43" s="136">
        <f t="shared" si="7"/>
        <v>873.41</v>
      </c>
    </row>
    <row r="44" spans="1:16" s="90" customFormat="1" ht="13.5" customHeight="1">
      <c r="A44" s="190">
        <v>1</v>
      </c>
      <c r="B44" s="25" t="s">
        <v>194</v>
      </c>
      <c r="C44" s="124">
        <v>18</v>
      </c>
      <c r="D44" s="124">
        <f t="shared" si="3"/>
        <v>18</v>
      </c>
      <c r="E44" s="113">
        <v>10</v>
      </c>
      <c r="F44" s="94">
        <f t="shared" si="4"/>
        <v>1.8</v>
      </c>
      <c r="G44" s="94">
        <f t="shared" si="8"/>
        <v>1.8</v>
      </c>
      <c r="H44" s="94">
        <f t="shared" si="6"/>
        <v>1.8</v>
      </c>
      <c r="I44" s="94">
        <f>H44</f>
        <v>1.8</v>
      </c>
      <c r="J44" s="94">
        <f t="shared" si="8"/>
        <v>1.8</v>
      </c>
      <c r="K44" s="94">
        <f t="shared" si="8"/>
        <v>1.8</v>
      </c>
      <c r="L44" s="94">
        <f t="shared" si="8"/>
        <v>1.8</v>
      </c>
      <c r="M44" s="94">
        <f t="shared" si="8"/>
        <v>1.8</v>
      </c>
      <c r="N44" s="94">
        <f t="shared" si="8"/>
        <v>1.8</v>
      </c>
      <c r="O44" s="94">
        <f t="shared" si="8"/>
        <v>1.8</v>
      </c>
      <c r="P44" s="136">
        <f t="shared" si="7"/>
        <v>18.000000000000004</v>
      </c>
    </row>
    <row r="45" spans="1:16" s="90" customFormat="1" ht="13.5" customHeight="1">
      <c r="A45" s="190">
        <v>1</v>
      </c>
      <c r="B45" s="25" t="s">
        <v>195</v>
      </c>
      <c r="C45" s="124">
        <v>9.99</v>
      </c>
      <c r="D45" s="124">
        <f t="shared" si="3"/>
        <v>39.96</v>
      </c>
      <c r="E45" s="113">
        <v>10</v>
      </c>
      <c r="F45" s="94">
        <f t="shared" si="4"/>
        <v>3.996</v>
      </c>
      <c r="G45" s="94">
        <f>F45</f>
        <v>3.996</v>
      </c>
      <c r="H45" s="94">
        <f t="shared" si="6"/>
        <v>3.996</v>
      </c>
      <c r="I45" s="94">
        <f>H45</f>
        <v>3.996</v>
      </c>
      <c r="J45" s="94">
        <f aca="true" t="shared" si="9" ref="J45:O45">I45</f>
        <v>3.996</v>
      </c>
      <c r="K45" s="94">
        <f t="shared" si="9"/>
        <v>3.996</v>
      </c>
      <c r="L45" s="94">
        <f t="shared" si="9"/>
        <v>3.996</v>
      </c>
      <c r="M45" s="94">
        <f t="shared" si="9"/>
        <v>3.996</v>
      </c>
      <c r="N45" s="94">
        <f t="shared" si="9"/>
        <v>3.996</v>
      </c>
      <c r="O45" s="94">
        <f t="shared" si="9"/>
        <v>3.996</v>
      </c>
      <c r="P45" s="136">
        <f t="shared" si="7"/>
        <v>39.96</v>
      </c>
    </row>
    <row r="46" spans="1:16" s="90" customFormat="1" ht="13.5" customHeight="1">
      <c r="A46" s="190">
        <v>4</v>
      </c>
      <c r="B46" s="25" t="s">
        <v>247</v>
      </c>
      <c r="C46" s="124">
        <v>19.99</v>
      </c>
      <c r="D46" s="124">
        <f t="shared" si="3"/>
        <v>59.97</v>
      </c>
      <c r="E46" s="113">
        <v>10</v>
      </c>
      <c r="F46" s="94">
        <f t="shared" si="4"/>
        <v>5.997</v>
      </c>
      <c r="G46" s="94">
        <f aca="true" t="shared" si="10" ref="G46:O47">F46</f>
        <v>5.997</v>
      </c>
      <c r="H46" s="94">
        <f t="shared" si="6"/>
        <v>5.997</v>
      </c>
      <c r="I46" s="94">
        <f t="shared" si="10"/>
        <v>5.997</v>
      </c>
      <c r="J46" s="94">
        <f t="shared" si="10"/>
        <v>5.997</v>
      </c>
      <c r="K46" s="94">
        <f t="shared" si="10"/>
        <v>5.997</v>
      </c>
      <c r="L46" s="94">
        <f t="shared" si="10"/>
        <v>5.997</v>
      </c>
      <c r="M46" s="94">
        <f t="shared" si="10"/>
        <v>5.997</v>
      </c>
      <c r="N46" s="94">
        <f t="shared" si="10"/>
        <v>5.997</v>
      </c>
      <c r="O46" s="94">
        <f t="shared" si="10"/>
        <v>5.997</v>
      </c>
      <c r="P46" s="136">
        <f t="shared" si="7"/>
        <v>59.97</v>
      </c>
    </row>
    <row r="47" spans="1:16" s="90" customFormat="1" ht="13.5" customHeight="1">
      <c r="A47" s="190">
        <v>3</v>
      </c>
      <c r="B47" s="4" t="s">
        <v>248</v>
      </c>
      <c r="C47" s="124">
        <v>12</v>
      </c>
      <c r="D47" s="124">
        <f t="shared" si="3"/>
        <v>36</v>
      </c>
      <c r="E47" s="113">
        <v>10</v>
      </c>
      <c r="F47" s="94">
        <f t="shared" si="4"/>
        <v>3.6</v>
      </c>
      <c r="G47" s="94">
        <f t="shared" si="10"/>
        <v>3.6</v>
      </c>
      <c r="H47" s="94">
        <f t="shared" si="6"/>
        <v>3.6</v>
      </c>
      <c r="I47" s="94">
        <f t="shared" si="10"/>
        <v>3.6</v>
      </c>
      <c r="J47" s="94">
        <f t="shared" si="10"/>
        <v>3.6</v>
      </c>
      <c r="K47" s="94">
        <f t="shared" si="10"/>
        <v>3.6</v>
      </c>
      <c r="L47" s="94">
        <f t="shared" si="10"/>
        <v>3.6</v>
      </c>
      <c r="M47" s="94">
        <f t="shared" si="10"/>
        <v>3.6</v>
      </c>
      <c r="N47" s="94">
        <f t="shared" si="10"/>
        <v>3.6</v>
      </c>
      <c r="O47" s="94">
        <f t="shared" si="10"/>
        <v>3.6</v>
      </c>
      <c r="P47" s="136">
        <f t="shared" si="7"/>
        <v>36.00000000000001</v>
      </c>
    </row>
    <row r="48" spans="1:16" s="90" customFormat="1" ht="13.5" customHeight="1">
      <c r="A48" s="189">
        <v>3</v>
      </c>
      <c r="B48" s="4" t="s">
        <v>196</v>
      </c>
      <c r="C48" s="124">
        <v>1.5</v>
      </c>
      <c r="D48" s="124">
        <f t="shared" si="3"/>
        <v>7.5</v>
      </c>
      <c r="E48" s="113">
        <v>10</v>
      </c>
      <c r="F48" s="94">
        <f t="shared" si="4"/>
        <v>0.75</v>
      </c>
      <c r="G48" s="94">
        <f aca="true" t="shared" si="11" ref="G48:O54">F48</f>
        <v>0.75</v>
      </c>
      <c r="H48" s="94">
        <f t="shared" si="6"/>
        <v>0.75</v>
      </c>
      <c r="I48" s="94">
        <f t="shared" si="11"/>
        <v>0.75</v>
      </c>
      <c r="J48" s="94">
        <f t="shared" si="11"/>
        <v>0.75</v>
      </c>
      <c r="K48" s="94">
        <f t="shared" si="11"/>
        <v>0.75</v>
      </c>
      <c r="L48" s="94">
        <f t="shared" si="11"/>
        <v>0.75</v>
      </c>
      <c r="M48" s="94">
        <f t="shared" si="11"/>
        <v>0.75</v>
      </c>
      <c r="N48" s="94">
        <f t="shared" si="11"/>
        <v>0.75</v>
      </c>
      <c r="O48" s="94">
        <f t="shared" si="11"/>
        <v>0.75</v>
      </c>
      <c r="P48" s="136">
        <f t="shared" si="7"/>
        <v>7.5</v>
      </c>
    </row>
    <row r="49" spans="1:16" s="90" customFormat="1" ht="13.5" customHeight="1">
      <c r="A49" s="189">
        <v>5</v>
      </c>
      <c r="B49" s="4" t="s">
        <v>197</v>
      </c>
      <c r="C49" s="124">
        <v>1.5</v>
      </c>
      <c r="D49" s="124">
        <f t="shared" si="3"/>
        <v>7.5</v>
      </c>
      <c r="E49" s="113">
        <v>10</v>
      </c>
      <c r="F49" s="94">
        <f t="shared" si="4"/>
        <v>0.75</v>
      </c>
      <c r="G49" s="94">
        <f t="shared" si="11"/>
        <v>0.75</v>
      </c>
      <c r="H49" s="94">
        <f t="shared" si="6"/>
        <v>0.75</v>
      </c>
      <c r="I49" s="94">
        <f t="shared" si="11"/>
        <v>0.75</v>
      </c>
      <c r="J49" s="94">
        <f t="shared" si="11"/>
        <v>0.75</v>
      </c>
      <c r="K49" s="94">
        <f t="shared" si="11"/>
        <v>0.75</v>
      </c>
      <c r="L49" s="94">
        <f t="shared" si="11"/>
        <v>0.75</v>
      </c>
      <c r="M49" s="94">
        <f t="shared" si="11"/>
        <v>0.75</v>
      </c>
      <c r="N49" s="94">
        <f t="shared" si="11"/>
        <v>0.75</v>
      </c>
      <c r="O49" s="94">
        <f t="shared" si="11"/>
        <v>0.75</v>
      </c>
      <c r="P49" s="136">
        <f t="shared" si="7"/>
        <v>7.5</v>
      </c>
    </row>
    <row r="50" spans="1:16" s="90" customFormat="1" ht="12.75" hidden="1">
      <c r="A50" s="189">
        <v>5</v>
      </c>
      <c r="B50" s="4" t="s">
        <v>198</v>
      </c>
      <c r="C50" s="124"/>
      <c r="D50" s="124">
        <f t="shared" si="3"/>
        <v>0</v>
      </c>
      <c r="E50" s="113">
        <v>10</v>
      </c>
      <c r="F50" s="94">
        <f t="shared" si="4"/>
        <v>0</v>
      </c>
      <c r="G50" s="94">
        <f t="shared" si="11"/>
        <v>0</v>
      </c>
      <c r="H50" s="94">
        <f t="shared" si="6"/>
        <v>0</v>
      </c>
      <c r="I50" s="94">
        <f t="shared" si="11"/>
        <v>0</v>
      </c>
      <c r="J50" s="94">
        <f t="shared" si="11"/>
        <v>0</v>
      </c>
      <c r="K50" s="94">
        <f t="shared" si="11"/>
        <v>0</v>
      </c>
      <c r="L50" s="94">
        <f t="shared" si="11"/>
        <v>0</v>
      </c>
      <c r="M50" s="94">
        <f t="shared" si="11"/>
        <v>0</v>
      </c>
      <c r="N50" s="94">
        <f t="shared" si="11"/>
        <v>0</v>
      </c>
      <c r="O50" s="94">
        <f t="shared" si="11"/>
        <v>0</v>
      </c>
      <c r="P50" s="136">
        <f t="shared" si="7"/>
        <v>0</v>
      </c>
    </row>
    <row r="51" spans="1:16" s="90" customFormat="1" ht="12.75">
      <c r="A51" s="189">
        <v>1</v>
      </c>
      <c r="B51" s="4" t="s">
        <v>249</v>
      </c>
      <c r="C51" s="124">
        <v>6.99</v>
      </c>
      <c r="D51" s="132">
        <f t="shared" si="3"/>
        <v>13.98</v>
      </c>
      <c r="E51" s="113">
        <v>10</v>
      </c>
      <c r="F51" s="94">
        <f t="shared" si="4"/>
        <v>1.3980000000000001</v>
      </c>
      <c r="G51" s="94">
        <f t="shared" si="11"/>
        <v>1.3980000000000001</v>
      </c>
      <c r="H51" s="94">
        <f t="shared" si="6"/>
        <v>1.3980000000000001</v>
      </c>
      <c r="I51" s="94">
        <f t="shared" si="11"/>
        <v>1.3980000000000001</v>
      </c>
      <c r="J51" s="94">
        <f t="shared" si="11"/>
        <v>1.3980000000000001</v>
      </c>
      <c r="K51" s="94">
        <f t="shared" si="11"/>
        <v>1.3980000000000001</v>
      </c>
      <c r="L51" s="94">
        <f t="shared" si="11"/>
        <v>1.3980000000000001</v>
      </c>
      <c r="M51" s="94">
        <f t="shared" si="11"/>
        <v>1.3980000000000001</v>
      </c>
      <c r="N51" s="94">
        <f t="shared" si="11"/>
        <v>1.3980000000000001</v>
      </c>
      <c r="O51" s="94">
        <f t="shared" si="11"/>
        <v>1.3980000000000001</v>
      </c>
      <c r="P51" s="136">
        <f t="shared" si="7"/>
        <v>13.979999999999999</v>
      </c>
    </row>
    <row r="52" spans="1:20" s="92" customFormat="1" ht="12.75">
      <c r="A52" s="189">
        <v>2</v>
      </c>
      <c r="B52" s="4" t="s">
        <v>199</v>
      </c>
      <c r="C52" s="124">
        <v>5</v>
      </c>
      <c r="D52" s="132">
        <f t="shared" si="3"/>
        <v>25</v>
      </c>
      <c r="E52" s="113">
        <v>10</v>
      </c>
      <c r="F52" s="94">
        <f t="shared" si="4"/>
        <v>2.5</v>
      </c>
      <c r="G52" s="94">
        <f t="shared" si="11"/>
        <v>2.5</v>
      </c>
      <c r="H52" s="94">
        <f t="shared" si="6"/>
        <v>2.5</v>
      </c>
      <c r="I52" s="94">
        <f t="shared" si="11"/>
        <v>2.5</v>
      </c>
      <c r="J52" s="94">
        <f t="shared" si="11"/>
        <v>2.5</v>
      </c>
      <c r="K52" s="94">
        <f t="shared" si="11"/>
        <v>2.5</v>
      </c>
      <c r="L52" s="94">
        <f t="shared" si="11"/>
        <v>2.5</v>
      </c>
      <c r="M52" s="94">
        <f t="shared" si="11"/>
        <v>2.5</v>
      </c>
      <c r="N52" s="94">
        <f t="shared" si="11"/>
        <v>2.5</v>
      </c>
      <c r="O52" s="94">
        <f t="shared" si="11"/>
        <v>2.5</v>
      </c>
      <c r="P52" s="136">
        <f t="shared" si="7"/>
        <v>25</v>
      </c>
      <c r="Q52" s="91"/>
      <c r="R52" s="91"/>
      <c r="S52" s="91"/>
      <c r="T52" s="91"/>
    </row>
    <row r="53" spans="1:17" s="90" customFormat="1" ht="12.75">
      <c r="A53" s="189">
        <v>5</v>
      </c>
      <c r="B53" s="4" t="s">
        <v>255</v>
      </c>
      <c r="C53" s="124">
        <v>11.98</v>
      </c>
      <c r="D53" s="132">
        <f t="shared" si="3"/>
        <v>59.900000000000006</v>
      </c>
      <c r="E53" s="113">
        <v>10</v>
      </c>
      <c r="F53" s="94">
        <f t="shared" si="4"/>
        <v>5.99</v>
      </c>
      <c r="G53" s="94">
        <f t="shared" si="11"/>
        <v>5.99</v>
      </c>
      <c r="H53" s="94">
        <f t="shared" si="6"/>
        <v>5.99</v>
      </c>
      <c r="I53" s="94">
        <f t="shared" si="11"/>
        <v>5.99</v>
      </c>
      <c r="J53" s="94">
        <f t="shared" si="11"/>
        <v>5.99</v>
      </c>
      <c r="K53" s="94">
        <f t="shared" si="11"/>
        <v>5.99</v>
      </c>
      <c r="L53" s="94">
        <f t="shared" si="11"/>
        <v>5.99</v>
      </c>
      <c r="M53" s="94">
        <f t="shared" si="11"/>
        <v>5.99</v>
      </c>
      <c r="N53" s="94">
        <f t="shared" si="11"/>
        <v>5.99</v>
      </c>
      <c r="O53" s="94">
        <f t="shared" si="11"/>
        <v>5.99</v>
      </c>
      <c r="P53" s="136">
        <f t="shared" si="7"/>
        <v>59.90000000000001</v>
      </c>
      <c r="Q53" s="103"/>
    </row>
    <row r="54" spans="1:17" s="90" customFormat="1" ht="12.75">
      <c r="A54" s="189">
        <v>5</v>
      </c>
      <c r="B54" s="4" t="s">
        <v>200</v>
      </c>
      <c r="C54" s="124">
        <v>2.5</v>
      </c>
      <c r="D54" s="132">
        <f t="shared" si="3"/>
        <v>12.5</v>
      </c>
      <c r="E54" s="113">
        <v>10</v>
      </c>
      <c r="F54" s="94">
        <f t="shared" si="4"/>
        <v>1.25</v>
      </c>
      <c r="G54" s="94">
        <f t="shared" si="11"/>
        <v>1.25</v>
      </c>
      <c r="H54" s="94">
        <f t="shared" si="6"/>
        <v>1.25</v>
      </c>
      <c r="I54" s="94">
        <f t="shared" si="11"/>
        <v>1.25</v>
      </c>
      <c r="J54" s="94">
        <f t="shared" si="11"/>
        <v>1.25</v>
      </c>
      <c r="K54" s="94">
        <f t="shared" si="11"/>
        <v>1.25</v>
      </c>
      <c r="L54" s="94">
        <f t="shared" si="11"/>
        <v>1.25</v>
      </c>
      <c r="M54" s="94">
        <f t="shared" si="11"/>
        <v>1.25</v>
      </c>
      <c r="N54" s="94">
        <f t="shared" si="11"/>
        <v>1.25</v>
      </c>
      <c r="O54" s="94">
        <f t="shared" si="11"/>
        <v>1.25</v>
      </c>
      <c r="P54" s="136">
        <f t="shared" si="7"/>
        <v>12.5</v>
      </c>
      <c r="Q54" s="103"/>
    </row>
    <row r="55" spans="1:24" s="93" customFormat="1" ht="12.75">
      <c r="A55" s="189">
        <v>5</v>
      </c>
      <c r="B55" s="122" t="s">
        <v>201</v>
      </c>
      <c r="C55" s="124"/>
      <c r="D55" s="132"/>
      <c r="E55" s="142"/>
      <c r="F55" s="142"/>
      <c r="G55" s="94"/>
      <c r="H55" s="94"/>
      <c r="I55" s="94"/>
      <c r="J55" s="94"/>
      <c r="K55" s="142"/>
      <c r="L55" s="142"/>
      <c r="M55" s="142"/>
      <c r="N55" s="142"/>
      <c r="O55" s="143"/>
      <c r="P55" s="136"/>
      <c r="Q55" s="131"/>
      <c r="R55" s="89"/>
      <c r="S55" s="89"/>
      <c r="T55" s="89"/>
      <c r="U55" s="89"/>
      <c r="V55" s="89"/>
      <c r="W55" s="89"/>
      <c r="X55" s="89"/>
    </row>
    <row r="56" spans="1:17" s="90" customFormat="1" ht="12.75">
      <c r="A56" s="189"/>
      <c r="B56" s="4" t="s">
        <v>250</v>
      </c>
      <c r="C56" s="124">
        <v>250</v>
      </c>
      <c r="D56" s="132">
        <f aca="true" t="shared" si="12" ref="D56:D78">(A57*C56)</f>
        <v>250</v>
      </c>
      <c r="E56" s="144">
        <v>7</v>
      </c>
      <c r="F56" s="94">
        <f aca="true" t="shared" si="13" ref="F56:F90">D56/E56</f>
        <v>35.714285714285715</v>
      </c>
      <c r="G56" s="94">
        <f aca="true" t="shared" si="14" ref="G56:L56">F56</f>
        <v>35.714285714285715</v>
      </c>
      <c r="H56" s="94">
        <f aca="true" t="shared" si="15" ref="H56:H78">G56</f>
        <v>35.714285714285715</v>
      </c>
      <c r="I56" s="94">
        <f t="shared" si="14"/>
        <v>35.714285714285715</v>
      </c>
      <c r="J56" s="94">
        <f t="shared" si="14"/>
        <v>35.714285714285715</v>
      </c>
      <c r="K56" s="94">
        <f t="shared" si="14"/>
        <v>35.714285714285715</v>
      </c>
      <c r="L56" s="94">
        <f t="shared" si="14"/>
        <v>35.714285714285715</v>
      </c>
      <c r="M56" s="94"/>
      <c r="N56" s="94"/>
      <c r="O56" s="94"/>
      <c r="P56" s="136">
        <f t="shared" si="7"/>
        <v>250.00000000000003</v>
      </c>
      <c r="Q56" s="133"/>
    </row>
    <row r="57" spans="1:17" s="90" customFormat="1" ht="12.75">
      <c r="A57" s="189">
        <v>1</v>
      </c>
      <c r="B57" s="4" t="s">
        <v>202</v>
      </c>
      <c r="C57" s="124">
        <v>50</v>
      </c>
      <c r="D57" s="132">
        <f t="shared" si="12"/>
        <v>50</v>
      </c>
      <c r="E57" s="144">
        <v>7</v>
      </c>
      <c r="F57" s="94">
        <f t="shared" si="13"/>
        <v>7.142857142857143</v>
      </c>
      <c r="G57" s="94">
        <f aca="true" t="shared" si="16" ref="G57:L57">F57</f>
        <v>7.142857142857143</v>
      </c>
      <c r="H57" s="94">
        <f t="shared" si="15"/>
        <v>7.142857142857143</v>
      </c>
      <c r="I57" s="94">
        <f t="shared" si="16"/>
        <v>7.142857142857143</v>
      </c>
      <c r="J57" s="94">
        <f t="shared" si="16"/>
        <v>7.142857142857143</v>
      </c>
      <c r="K57" s="94">
        <f t="shared" si="16"/>
        <v>7.142857142857143</v>
      </c>
      <c r="L57" s="94">
        <f t="shared" si="16"/>
        <v>7.142857142857143</v>
      </c>
      <c r="M57" s="94"/>
      <c r="N57" s="94"/>
      <c r="O57" s="94"/>
      <c r="P57" s="136">
        <f t="shared" si="7"/>
        <v>50.00000000000001</v>
      </c>
      <c r="Q57" s="133"/>
    </row>
    <row r="58" spans="1:24" s="92" customFormat="1" ht="12.75">
      <c r="A58" s="189">
        <v>1</v>
      </c>
      <c r="B58" s="4" t="s">
        <v>203</v>
      </c>
      <c r="C58" s="124">
        <v>60</v>
      </c>
      <c r="D58" s="132">
        <f t="shared" si="12"/>
        <v>120</v>
      </c>
      <c r="E58" s="144">
        <v>7</v>
      </c>
      <c r="F58" s="94">
        <f t="shared" si="13"/>
        <v>17.142857142857142</v>
      </c>
      <c r="G58" s="94">
        <f aca="true" t="shared" si="17" ref="G58:L58">F58</f>
        <v>17.142857142857142</v>
      </c>
      <c r="H58" s="94">
        <f t="shared" si="15"/>
        <v>17.142857142857142</v>
      </c>
      <c r="I58" s="94">
        <f t="shared" si="17"/>
        <v>17.142857142857142</v>
      </c>
      <c r="J58" s="94">
        <f t="shared" si="17"/>
        <v>17.142857142857142</v>
      </c>
      <c r="K58" s="94">
        <f t="shared" si="17"/>
        <v>17.142857142857142</v>
      </c>
      <c r="L58" s="94">
        <f t="shared" si="17"/>
        <v>17.142857142857142</v>
      </c>
      <c r="M58" s="94"/>
      <c r="N58" s="94"/>
      <c r="O58" s="94"/>
      <c r="P58" s="136">
        <f t="shared" si="7"/>
        <v>119.99999999999999</v>
      </c>
      <c r="Q58" s="134"/>
      <c r="R58" s="91"/>
      <c r="S58" s="91"/>
      <c r="T58" s="91"/>
      <c r="U58" s="91"/>
      <c r="V58" s="91"/>
      <c r="W58" s="91"/>
      <c r="X58" s="91"/>
    </row>
    <row r="59" spans="1:24" s="92" customFormat="1" ht="12.75">
      <c r="A59" s="189">
        <v>2</v>
      </c>
      <c r="B59" s="4" t="s">
        <v>251</v>
      </c>
      <c r="C59" s="124">
        <v>24.99</v>
      </c>
      <c r="D59" s="132">
        <f t="shared" si="12"/>
        <v>24.99</v>
      </c>
      <c r="E59" s="144">
        <v>7</v>
      </c>
      <c r="F59" s="94">
        <f t="shared" si="13"/>
        <v>3.57</v>
      </c>
      <c r="G59" s="94">
        <f aca="true" t="shared" si="18" ref="G59:L59">F59</f>
        <v>3.57</v>
      </c>
      <c r="H59" s="94">
        <f t="shared" si="15"/>
        <v>3.57</v>
      </c>
      <c r="I59" s="94">
        <f t="shared" si="18"/>
        <v>3.57</v>
      </c>
      <c r="J59" s="94">
        <f t="shared" si="18"/>
        <v>3.57</v>
      </c>
      <c r="K59" s="94">
        <f t="shared" si="18"/>
        <v>3.57</v>
      </c>
      <c r="L59" s="94">
        <f t="shared" si="18"/>
        <v>3.57</v>
      </c>
      <c r="M59" s="94"/>
      <c r="N59" s="94"/>
      <c r="O59" s="94"/>
      <c r="P59" s="136">
        <f t="shared" si="7"/>
        <v>24.99</v>
      </c>
      <c r="Q59" s="134"/>
      <c r="R59" s="91"/>
      <c r="S59" s="91"/>
      <c r="T59" s="91"/>
      <c r="U59" s="91"/>
      <c r="V59" s="91"/>
      <c r="W59" s="91"/>
      <c r="X59" s="91"/>
    </row>
    <row r="60" spans="1:16" s="90" customFormat="1" ht="12.75">
      <c r="A60" s="189">
        <v>1</v>
      </c>
      <c r="B60" s="4" t="s">
        <v>204</v>
      </c>
      <c r="C60" s="124">
        <v>200</v>
      </c>
      <c r="D60" s="132">
        <f t="shared" si="12"/>
        <v>200</v>
      </c>
      <c r="E60" s="144">
        <v>7</v>
      </c>
      <c r="F60" s="94">
        <f t="shared" si="13"/>
        <v>28.571428571428573</v>
      </c>
      <c r="G60" s="137">
        <f>F60</f>
        <v>28.571428571428573</v>
      </c>
      <c r="H60" s="137">
        <f t="shared" si="15"/>
        <v>28.571428571428573</v>
      </c>
      <c r="I60" s="137">
        <f aca="true" t="shared" si="19" ref="I60:L64">H60</f>
        <v>28.571428571428573</v>
      </c>
      <c r="J60" s="137">
        <f t="shared" si="19"/>
        <v>28.571428571428573</v>
      </c>
      <c r="K60" s="137">
        <f t="shared" si="19"/>
        <v>28.571428571428573</v>
      </c>
      <c r="L60" s="137">
        <f t="shared" si="19"/>
        <v>28.571428571428573</v>
      </c>
      <c r="M60" s="137"/>
      <c r="N60" s="137"/>
      <c r="O60" s="137"/>
      <c r="P60" s="136">
        <f aca="true" t="shared" si="20" ref="P60:P94">SUM(F60:O60)</f>
        <v>200.00000000000003</v>
      </c>
    </row>
    <row r="61" spans="1:16" s="90" customFormat="1" ht="12.75">
      <c r="A61" s="189">
        <v>1</v>
      </c>
      <c r="B61" s="4" t="s">
        <v>205</v>
      </c>
      <c r="C61" s="124">
        <v>100</v>
      </c>
      <c r="D61" s="132">
        <f t="shared" si="12"/>
        <v>2800</v>
      </c>
      <c r="E61" s="144">
        <v>7</v>
      </c>
      <c r="F61" s="94">
        <f t="shared" si="13"/>
        <v>400</v>
      </c>
      <c r="G61" s="137">
        <f>F61</f>
        <v>400</v>
      </c>
      <c r="H61" s="137">
        <f t="shared" si="15"/>
        <v>400</v>
      </c>
      <c r="I61" s="137">
        <f t="shared" si="19"/>
        <v>400</v>
      </c>
      <c r="J61" s="137">
        <f t="shared" si="19"/>
        <v>400</v>
      </c>
      <c r="K61" s="137">
        <f t="shared" si="19"/>
        <v>400</v>
      </c>
      <c r="L61" s="137">
        <f t="shared" si="19"/>
        <v>400</v>
      </c>
      <c r="M61" s="137"/>
      <c r="N61" s="137"/>
      <c r="O61" s="137"/>
      <c r="P61" s="136">
        <f t="shared" si="20"/>
        <v>2800</v>
      </c>
    </row>
    <row r="62" spans="1:16" s="90" customFormat="1" ht="12.75">
      <c r="A62" s="189">
        <v>28</v>
      </c>
      <c r="B62" s="4" t="s">
        <v>206</v>
      </c>
      <c r="C62" s="124">
        <v>100</v>
      </c>
      <c r="D62" s="132">
        <f t="shared" si="12"/>
        <v>100</v>
      </c>
      <c r="E62" s="144">
        <v>7</v>
      </c>
      <c r="F62" s="94">
        <f t="shared" si="13"/>
        <v>14.285714285714286</v>
      </c>
      <c r="G62" s="137">
        <f>F62</f>
        <v>14.285714285714286</v>
      </c>
      <c r="H62" s="137">
        <f t="shared" si="15"/>
        <v>14.285714285714286</v>
      </c>
      <c r="I62" s="137">
        <f t="shared" si="19"/>
        <v>14.285714285714286</v>
      </c>
      <c r="J62" s="137">
        <f t="shared" si="19"/>
        <v>14.285714285714286</v>
      </c>
      <c r="K62" s="137">
        <f t="shared" si="19"/>
        <v>14.285714285714286</v>
      </c>
      <c r="L62" s="137">
        <f t="shared" si="19"/>
        <v>14.285714285714286</v>
      </c>
      <c r="M62" s="137"/>
      <c r="N62" s="137"/>
      <c r="O62" s="137"/>
      <c r="P62" s="136">
        <f t="shared" si="20"/>
        <v>100.00000000000001</v>
      </c>
    </row>
    <row r="63" spans="1:16" s="90" customFormat="1" ht="12.75">
      <c r="A63" s="189">
        <v>1</v>
      </c>
      <c r="B63" s="4" t="s">
        <v>207</v>
      </c>
      <c r="C63" s="124">
        <v>50</v>
      </c>
      <c r="D63" s="132">
        <f t="shared" si="12"/>
        <v>250</v>
      </c>
      <c r="E63" s="144">
        <v>7</v>
      </c>
      <c r="F63" s="94">
        <f t="shared" si="13"/>
        <v>35.714285714285715</v>
      </c>
      <c r="G63" s="137">
        <f>F63</f>
        <v>35.714285714285715</v>
      </c>
      <c r="H63" s="137">
        <f t="shared" si="15"/>
        <v>35.714285714285715</v>
      </c>
      <c r="I63" s="137">
        <f t="shared" si="19"/>
        <v>35.714285714285715</v>
      </c>
      <c r="J63" s="137">
        <f t="shared" si="19"/>
        <v>35.714285714285715</v>
      </c>
      <c r="K63" s="137">
        <f t="shared" si="19"/>
        <v>35.714285714285715</v>
      </c>
      <c r="L63" s="137">
        <f t="shared" si="19"/>
        <v>35.714285714285715</v>
      </c>
      <c r="M63" s="137"/>
      <c r="N63" s="137"/>
      <c r="O63" s="137"/>
      <c r="P63" s="136">
        <f t="shared" si="20"/>
        <v>250.00000000000003</v>
      </c>
    </row>
    <row r="64" spans="1:16" s="90" customFormat="1" ht="12.75">
      <c r="A64" s="189">
        <v>5</v>
      </c>
      <c r="B64" s="4" t="s">
        <v>208</v>
      </c>
      <c r="C64" s="124">
        <v>20</v>
      </c>
      <c r="D64" s="132">
        <f t="shared" si="12"/>
        <v>500</v>
      </c>
      <c r="E64" s="144">
        <v>7</v>
      </c>
      <c r="F64" s="94">
        <f t="shared" si="13"/>
        <v>71.42857142857143</v>
      </c>
      <c r="G64" s="137">
        <f>F64</f>
        <v>71.42857142857143</v>
      </c>
      <c r="H64" s="137">
        <f t="shared" si="15"/>
        <v>71.42857142857143</v>
      </c>
      <c r="I64" s="137">
        <f t="shared" si="19"/>
        <v>71.42857142857143</v>
      </c>
      <c r="J64" s="137">
        <f t="shared" si="19"/>
        <v>71.42857142857143</v>
      </c>
      <c r="K64" s="137">
        <f t="shared" si="19"/>
        <v>71.42857142857143</v>
      </c>
      <c r="L64" s="137">
        <f t="shared" si="19"/>
        <v>71.42857142857143</v>
      </c>
      <c r="M64" s="137"/>
      <c r="N64" s="137"/>
      <c r="O64" s="137"/>
      <c r="P64" s="136">
        <f t="shared" si="20"/>
        <v>500.00000000000006</v>
      </c>
    </row>
    <row r="65" spans="1:16" s="90" customFormat="1" ht="12.75">
      <c r="A65" s="189">
        <v>25</v>
      </c>
      <c r="B65" s="4" t="s">
        <v>209</v>
      </c>
      <c r="C65" s="124">
        <v>150</v>
      </c>
      <c r="D65" s="124">
        <f t="shared" si="12"/>
        <v>3900</v>
      </c>
      <c r="E65" s="144">
        <v>7</v>
      </c>
      <c r="F65" s="94">
        <f t="shared" si="13"/>
        <v>557.1428571428571</v>
      </c>
      <c r="G65" s="137">
        <f aca="true" t="shared" si="21" ref="G65:L65">F65</f>
        <v>557.1428571428571</v>
      </c>
      <c r="H65" s="137">
        <f t="shared" si="15"/>
        <v>557.1428571428571</v>
      </c>
      <c r="I65" s="137">
        <f t="shared" si="21"/>
        <v>557.1428571428571</v>
      </c>
      <c r="J65" s="137">
        <f t="shared" si="21"/>
        <v>557.1428571428571</v>
      </c>
      <c r="K65" s="137">
        <f t="shared" si="21"/>
        <v>557.1428571428571</v>
      </c>
      <c r="L65" s="137">
        <f t="shared" si="21"/>
        <v>557.1428571428571</v>
      </c>
      <c r="M65" s="137"/>
      <c r="N65" s="137"/>
      <c r="O65" s="137"/>
      <c r="P65" s="136">
        <f t="shared" si="20"/>
        <v>3899.999999999999</v>
      </c>
    </row>
    <row r="66" spans="1:16" s="90" customFormat="1" ht="12.75">
      <c r="A66" s="189">
        <v>26</v>
      </c>
      <c r="B66" s="4" t="s">
        <v>210</v>
      </c>
      <c r="C66" s="124">
        <v>220</v>
      </c>
      <c r="D66" s="124">
        <f t="shared" si="12"/>
        <v>1540</v>
      </c>
      <c r="E66" s="144">
        <v>7</v>
      </c>
      <c r="F66" s="94">
        <f t="shared" si="13"/>
        <v>220</v>
      </c>
      <c r="G66" s="137">
        <f aca="true" t="shared" si="22" ref="G66:L66">F66</f>
        <v>220</v>
      </c>
      <c r="H66" s="137">
        <f t="shared" si="15"/>
        <v>220</v>
      </c>
      <c r="I66" s="137">
        <f t="shared" si="22"/>
        <v>220</v>
      </c>
      <c r="J66" s="137">
        <f t="shared" si="22"/>
        <v>220</v>
      </c>
      <c r="K66" s="137">
        <f t="shared" si="22"/>
        <v>220</v>
      </c>
      <c r="L66" s="137">
        <f t="shared" si="22"/>
        <v>220</v>
      </c>
      <c r="M66" s="137"/>
      <c r="N66" s="137"/>
      <c r="O66" s="137"/>
      <c r="P66" s="136">
        <f t="shared" si="20"/>
        <v>1540</v>
      </c>
    </row>
    <row r="67" spans="1:16" s="90" customFormat="1" ht="12.75">
      <c r="A67" s="189">
        <v>7</v>
      </c>
      <c r="B67" s="4" t="s">
        <v>211</v>
      </c>
      <c r="C67" s="124">
        <v>6</v>
      </c>
      <c r="D67" s="124">
        <f t="shared" si="12"/>
        <v>168</v>
      </c>
      <c r="E67" s="144">
        <v>7</v>
      </c>
      <c r="F67" s="94">
        <f t="shared" si="13"/>
        <v>24</v>
      </c>
      <c r="G67" s="137">
        <f aca="true" t="shared" si="23" ref="G67:L67">F67</f>
        <v>24</v>
      </c>
      <c r="H67" s="137">
        <f t="shared" si="15"/>
        <v>24</v>
      </c>
      <c r="I67" s="137">
        <f t="shared" si="23"/>
        <v>24</v>
      </c>
      <c r="J67" s="137">
        <f t="shared" si="23"/>
        <v>24</v>
      </c>
      <c r="K67" s="137">
        <f t="shared" si="23"/>
        <v>24</v>
      </c>
      <c r="L67" s="137">
        <f t="shared" si="23"/>
        <v>24</v>
      </c>
      <c r="M67" s="137"/>
      <c r="N67" s="137"/>
      <c r="O67" s="137"/>
      <c r="P67" s="136">
        <f t="shared" si="20"/>
        <v>168</v>
      </c>
    </row>
    <row r="68" spans="1:16" s="90" customFormat="1" ht="12.75">
      <c r="A68" s="189">
        <v>28</v>
      </c>
      <c r="B68" s="4" t="s">
        <v>214</v>
      </c>
      <c r="C68" s="124">
        <v>9</v>
      </c>
      <c r="D68" s="124">
        <f t="shared" si="12"/>
        <v>18</v>
      </c>
      <c r="E68" s="144">
        <v>7</v>
      </c>
      <c r="F68" s="94">
        <f>D68/E68</f>
        <v>2.5714285714285716</v>
      </c>
      <c r="G68" s="137">
        <f aca="true" t="shared" si="24" ref="G68:G73">F68</f>
        <v>2.5714285714285716</v>
      </c>
      <c r="H68" s="137">
        <f t="shared" si="15"/>
        <v>2.5714285714285716</v>
      </c>
      <c r="I68" s="137">
        <f aca="true" t="shared" si="25" ref="I68:L69">H68</f>
        <v>2.5714285714285716</v>
      </c>
      <c r="J68" s="137">
        <f t="shared" si="25"/>
        <v>2.5714285714285716</v>
      </c>
      <c r="K68" s="137">
        <f t="shared" si="25"/>
        <v>2.5714285714285716</v>
      </c>
      <c r="L68" s="137">
        <f t="shared" si="25"/>
        <v>2.5714285714285716</v>
      </c>
      <c r="M68" s="137"/>
      <c r="N68" s="137"/>
      <c r="O68" s="137"/>
      <c r="P68" s="136">
        <f>SUM(F68:O68)</f>
        <v>18</v>
      </c>
    </row>
    <row r="69" spans="1:16" s="90" customFormat="1" ht="12.75">
      <c r="A69" s="189">
        <v>2</v>
      </c>
      <c r="B69" s="4" t="s">
        <v>215</v>
      </c>
      <c r="C69" s="124">
        <v>100</v>
      </c>
      <c r="D69" s="124">
        <f t="shared" si="12"/>
        <v>1600</v>
      </c>
      <c r="E69" s="144">
        <v>7</v>
      </c>
      <c r="F69" s="94">
        <f>D69/E69</f>
        <v>228.57142857142858</v>
      </c>
      <c r="G69" s="137">
        <f t="shared" si="24"/>
        <v>228.57142857142858</v>
      </c>
      <c r="H69" s="137">
        <f t="shared" si="15"/>
        <v>228.57142857142858</v>
      </c>
      <c r="I69" s="137">
        <f t="shared" si="25"/>
        <v>228.57142857142858</v>
      </c>
      <c r="J69" s="137">
        <f t="shared" si="25"/>
        <v>228.57142857142858</v>
      </c>
      <c r="K69" s="137">
        <f t="shared" si="25"/>
        <v>228.57142857142858</v>
      </c>
      <c r="L69" s="137">
        <f t="shared" si="25"/>
        <v>228.57142857142858</v>
      </c>
      <c r="M69" s="137"/>
      <c r="N69" s="137"/>
      <c r="O69" s="137"/>
      <c r="P69" s="136">
        <f>SUM(F69:O69)</f>
        <v>1600.0000000000002</v>
      </c>
    </row>
    <row r="70" spans="1:16" s="90" customFormat="1" ht="12.75">
      <c r="A70" s="189">
        <v>16</v>
      </c>
      <c r="B70" s="4" t="s">
        <v>212</v>
      </c>
      <c r="C70" s="124">
        <v>10</v>
      </c>
      <c r="D70" s="124">
        <f t="shared" si="12"/>
        <v>60</v>
      </c>
      <c r="E70" s="144">
        <v>7</v>
      </c>
      <c r="F70" s="94">
        <f t="shared" si="13"/>
        <v>8.571428571428571</v>
      </c>
      <c r="G70" s="137">
        <f t="shared" si="24"/>
        <v>8.571428571428571</v>
      </c>
      <c r="H70" s="137">
        <f t="shared" si="15"/>
        <v>8.571428571428571</v>
      </c>
      <c r="I70" s="137">
        <f aca="true" t="shared" si="26" ref="I70:L72">H70</f>
        <v>8.571428571428571</v>
      </c>
      <c r="J70" s="137">
        <f t="shared" si="26"/>
        <v>8.571428571428571</v>
      </c>
      <c r="K70" s="137">
        <f t="shared" si="26"/>
        <v>8.571428571428571</v>
      </c>
      <c r="L70" s="137">
        <f t="shared" si="26"/>
        <v>8.571428571428571</v>
      </c>
      <c r="M70" s="137"/>
      <c r="N70" s="137"/>
      <c r="O70" s="137"/>
      <c r="P70" s="136">
        <f t="shared" si="20"/>
        <v>59.99999999999999</v>
      </c>
    </row>
    <row r="71" spans="1:16" s="90" customFormat="1" ht="12.75">
      <c r="A71" s="189">
        <v>6</v>
      </c>
      <c r="B71" s="4" t="s">
        <v>297</v>
      </c>
      <c r="C71" s="124">
        <v>6</v>
      </c>
      <c r="D71" s="124">
        <f t="shared" si="12"/>
        <v>120</v>
      </c>
      <c r="E71" s="144">
        <v>7</v>
      </c>
      <c r="F71" s="94">
        <f t="shared" si="13"/>
        <v>17.142857142857142</v>
      </c>
      <c r="G71" s="137">
        <f t="shared" si="24"/>
        <v>17.142857142857142</v>
      </c>
      <c r="H71" s="137">
        <f t="shared" si="15"/>
        <v>17.142857142857142</v>
      </c>
      <c r="I71" s="137">
        <f t="shared" si="26"/>
        <v>17.142857142857142</v>
      </c>
      <c r="J71" s="137">
        <f t="shared" si="26"/>
        <v>17.142857142857142</v>
      </c>
      <c r="K71" s="137">
        <f t="shared" si="26"/>
        <v>17.142857142857142</v>
      </c>
      <c r="L71" s="137">
        <f t="shared" si="26"/>
        <v>17.142857142857142</v>
      </c>
      <c r="M71" s="137"/>
      <c r="N71" s="137"/>
      <c r="O71" s="137"/>
      <c r="P71" s="136">
        <f t="shared" si="20"/>
        <v>119.99999999999999</v>
      </c>
    </row>
    <row r="72" spans="1:24" s="92" customFormat="1" ht="12.75">
      <c r="A72" s="189">
        <v>20</v>
      </c>
      <c r="B72" s="25" t="s">
        <v>189</v>
      </c>
      <c r="C72" s="124">
        <v>407</v>
      </c>
      <c r="D72" s="132">
        <f t="shared" si="12"/>
        <v>407</v>
      </c>
      <c r="E72" s="144">
        <v>7</v>
      </c>
      <c r="F72" s="94">
        <f>D72/E72</f>
        <v>58.142857142857146</v>
      </c>
      <c r="G72" s="94">
        <f t="shared" si="24"/>
        <v>58.142857142857146</v>
      </c>
      <c r="H72" s="94">
        <f t="shared" si="15"/>
        <v>58.142857142857146</v>
      </c>
      <c r="I72" s="94">
        <f t="shared" si="26"/>
        <v>58.142857142857146</v>
      </c>
      <c r="J72" s="94">
        <f t="shared" si="26"/>
        <v>58.142857142857146</v>
      </c>
      <c r="K72" s="137">
        <f t="shared" si="26"/>
        <v>58.142857142857146</v>
      </c>
      <c r="L72" s="137">
        <f t="shared" si="26"/>
        <v>58.142857142857146</v>
      </c>
      <c r="M72" s="137"/>
      <c r="N72" s="137"/>
      <c r="O72" s="137"/>
      <c r="P72" s="136">
        <f>SUM(F72:O72)</f>
        <v>407.00000000000006</v>
      </c>
      <c r="Q72" s="134"/>
      <c r="R72" s="91"/>
      <c r="S72" s="91"/>
      <c r="T72" s="91"/>
      <c r="U72" s="91"/>
      <c r="V72" s="91"/>
      <c r="W72" s="91"/>
      <c r="X72" s="91"/>
    </row>
    <row r="73" spans="1:16" s="90" customFormat="1" ht="12.75">
      <c r="A73" s="190">
        <v>1</v>
      </c>
      <c r="B73" s="4" t="s">
        <v>308</v>
      </c>
      <c r="C73" s="124">
        <v>2.5</v>
      </c>
      <c r="D73" s="124">
        <f t="shared" si="12"/>
        <v>40</v>
      </c>
      <c r="E73" s="144">
        <v>7</v>
      </c>
      <c r="F73" s="94">
        <f>D73/E73</f>
        <v>5.714285714285714</v>
      </c>
      <c r="G73" s="94">
        <f t="shared" si="24"/>
        <v>5.714285714285714</v>
      </c>
      <c r="H73" s="94">
        <f t="shared" si="15"/>
        <v>5.714285714285714</v>
      </c>
      <c r="I73" s="94">
        <f>H73</f>
        <v>5.714285714285714</v>
      </c>
      <c r="J73" s="94">
        <f>I73</f>
        <v>5.714285714285714</v>
      </c>
      <c r="K73" s="137">
        <f>J73</f>
        <v>5.714285714285714</v>
      </c>
      <c r="L73" s="137">
        <f>K73</f>
        <v>5.714285714285714</v>
      </c>
      <c r="M73" s="137"/>
      <c r="N73" s="137"/>
      <c r="O73" s="137"/>
      <c r="P73" s="136">
        <f t="shared" si="20"/>
        <v>40</v>
      </c>
    </row>
    <row r="74" spans="1:16" s="90" customFormat="1" ht="12.75">
      <c r="A74" s="189">
        <v>16</v>
      </c>
      <c r="B74" s="4" t="s">
        <v>309</v>
      </c>
      <c r="C74" s="124">
        <v>6</v>
      </c>
      <c r="D74" s="124">
        <f t="shared" si="12"/>
        <v>96</v>
      </c>
      <c r="E74" s="144">
        <v>7</v>
      </c>
      <c r="F74" s="94">
        <f>D74/E74</f>
        <v>13.714285714285714</v>
      </c>
      <c r="G74" s="94">
        <f aca="true" t="shared" si="27" ref="G74:L75">F74</f>
        <v>13.714285714285714</v>
      </c>
      <c r="H74" s="94">
        <f t="shared" si="15"/>
        <v>13.714285714285714</v>
      </c>
      <c r="I74" s="94">
        <f t="shared" si="27"/>
        <v>13.714285714285714</v>
      </c>
      <c r="J74" s="94">
        <f t="shared" si="27"/>
        <v>13.714285714285714</v>
      </c>
      <c r="K74" s="137">
        <f t="shared" si="27"/>
        <v>13.714285714285714</v>
      </c>
      <c r="L74" s="137">
        <f t="shared" si="27"/>
        <v>13.714285714285714</v>
      </c>
      <c r="M74" s="137"/>
      <c r="N74" s="137"/>
      <c r="O74" s="137"/>
      <c r="P74" s="136">
        <f t="shared" si="20"/>
        <v>95.99999999999999</v>
      </c>
    </row>
    <row r="75" spans="1:16" s="90" customFormat="1" ht="12.75">
      <c r="A75" s="189">
        <v>16</v>
      </c>
      <c r="B75" s="4" t="s">
        <v>213</v>
      </c>
      <c r="C75" s="124">
        <v>8</v>
      </c>
      <c r="D75" s="124">
        <f t="shared" si="12"/>
        <v>128</v>
      </c>
      <c r="E75" s="144">
        <v>7</v>
      </c>
      <c r="F75" s="94">
        <f>D75/E75</f>
        <v>18.285714285714285</v>
      </c>
      <c r="G75" s="94">
        <f t="shared" si="27"/>
        <v>18.285714285714285</v>
      </c>
      <c r="H75" s="94">
        <f t="shared" si="15"/>
        <v>18.285714285714285</v>
      </c>
      <c r="I75" s="94">
        <f t="shared" si="27"/>
        <v>18.285714285714285</v>
      </c>
      <c r="J75" s="94">
        <f t="shared" si="27"/>
        <v>18.285714285714285</v>
      </c>
      <c r="K75" s="137">
        <f t="shared" si="27"/>
        <v>18.285714285714285</v>
      </c>
      <c r="L75" s="137">
        <f t="shared" si="27"/>
        <v>18.285714285714285</v>
      </c>
      <c r="M75" s="137"/>
      <c r="N75" s="137"/>
      <c r="O75" s="137"/>
      <c r="P75" s="136">
        <f t="shared" si="20"/>
        <v>127.99999999999997</v>
      </c>
    </row>
    <row r="76" spans="1:16" s="90" customFormat="1" ht="12.75">
      <c r="A76" s="189">
        <v>16</v>
      </c>
      <c r="B76" s="4" t="s">
        <v>216</v>
      </c>
      <c r="C76" s="124">
        <v>8.5</v>
      </c>
      <c r="D76" s="124">
        <f t="shared" si="12"/>
        <v>42.5</v>
      </c>
      <c r="E76" s="144">
        <v>7</v>
      </c>
      <c r="F76" s="94">
        <f t="shared" si="13"/>
        <v>6.071428571428571</v>
      </c>
      <c r="G76" s="137">
        <f aca="true" t="shared" si="28" ref="G76:L78">F76</f>
        <v>6.071428571428571</v>
      </c>
      <c r="H76" s="137">
        <f t="shared" si="15"/>
        <v>6.071428571428571</v>
      </c>
      <c r="I76" s="137">
        <f t="shared" si="28"/>
        <v>6.071428571428571</v>
      </c>
      <c r="J76" s="137">
        <f t="shared" si="28"/>
        <v>6.071428571428571</v>
      </c>
      <c r="K76" s="137">
        <f t="shared" si="28"/>
        <v>6.071428571428571</v>
      </c>
      <c r="L76" s="137">
        <f t="shared" si="28"/>
        <v>6.071428571428571</v>
      </c>
      <c r="M76" s="137"/>
      <c r="N76" s="137"/>
      <c r="O76" s="137"/>
      <c r="P76" s="136">
        <f t="shared" si="20"/>
        <v>42.49999999999999</v>
      </c>
    </row>
    <row r="77" spans="1:16" s="90" customFormat="1" ht="12.75">
      <c r="A77" s="189">
        <v>5</v>
      </c>
      <c r="B77" s="25" t="s">
        <v>217</v>
      </c>
      <c r="C77" s="4">
        <v>2.5</v>
      </c>
      <c r="D77" s="124">
        <f t="shared" si="12"/>
        <v>12.5</v>
      </c>
      <c r="E77" s="144">
        <v>7</v>
      </c>
      <c r="F77" s="94">
        <f t="shared" si="13"/>
        <v>1.7857142857142858</v>
      </c>
      <c r="G77" s="137">
        <f t="shared" si="28"/>
        <v>1.7857142857142858</v>
      </c>
      <c r="H77" s="137">
        <f t="shared" si="15"/>
        <v>1.7857142857142858</v>
      </c>
      <c r="I77" s="137">
        <f t="shared" si="28"/>
        <v>1.7857142857142858</v>
      </c>
      <c r="J77" s="137">
        <f t="shared" si="28"/>
        <v>1.7857142857142858</v>
      </c>
      <c r="K77" s="137">
        <f t="shared" si="28"/>
        <v>1.7857142857142858</v>
      </c>
      <c r="L77" s="137">
        <f t="shared" si="28"/>
        <v>1.7857142857142858</v>
      </c>
      <c r="M77" s="137"/>
      <c r="N77" s="137"/>
      <c r="O77" s="137"/>
      <c r="P77" s="136">
        <f t="shared" si="20"/>
        <v>12.500000000000002</v>
      </c>
    </row>
    <row r="78" spans="1:16" ht="14.25">
      <c r="A78" s="189">
        <v>5</v>
      </c>
      <c r="B78" s="126" t="s">
        <v>256</v>
      </c>
      <c r="C78" s="149">
        <v>3</v>
      </c>
      <c r="D78" s="124">
        <f t="shared" si="12"/>
        <v>60</v>
      </c>
      <c r="E78" s="144">
        <v>7</v>
      </c>
      <c r="F78" s="94">
        <f t="shared" si="13"/>
        <v>8.571428571428571</v>
      </c>
      <c r="G78" s="137">
        <f t="shared" si="28"/>
        <v>8.571428571428571</v>
      </c>
      <c r="H78" s="140">
        <f t="shared" si="15"/>
        <v>8.571428571428571</v>
      </c>
      <c r="I78" s="140">
        <f t="shared" si="28"/>
        <v>8.571428571428571</v>
      </c>
      <c r="J78" s="140">
        <f t="shared" si="28"/>
        <v>8.571428571428571</v>
      </c>
      <c r="K78" s="137">
        <f t="shared" si="28"/>
        <v>8.571428571428571</v>
      </c>
      <c r="L78" s="137">
        <f t="shared" si="28"/>
        <v>8.571428571428571</v>
      </c>
      <c r="M78" s="137"/>
      <c r="N78" s="137"/>
      <c r="O78" s="137"/>
      <c r="P78" s="136">
        <f t="shared" si="20"/>
        <v>59.99999999999999</v>
      </c>
    </row>
    <row r="79" spans="1:16" ht="14.25">
      <c r="A79" s="189">
        <v>20</v>
      </c>
      <c r="B79" s="130" t="s">
        <v>218</v>
      </c>
      <c r="C79" s="128"/>
      <c r="D79" s="124"/>
      <c r="E79" s="140"/>
      <c r="F79" s="94"/>
      <c r="G79" s="137"/>
      <c r="H79" s="140"/>
      <c r="I79" s="140"/>
      <c r="J79" s="140"/>
      <c r="K79" s="140"/>
      <c r="L79" s="140"/>
      <c r="M79" s="140"/>
      <c r="N79" s="140"/>
      <c r="O79" s="141"/>
      <c r="P79" s="136"/>
    </row>
    <row r="80" spans="1:16" ht="14.25">
      <c r="A80" s="192"/>
      <c r="B80" s="112" t="s">
        <v>219</v>
      </c>
      <c r="C80" s="125">
        <v>80</v>
      </c>
      <c r="D80" s="124">
        <f aca="true" t="shared" si="29" ref="D80:D85">(A81*C80)</f>
        <v>560</v>
      </c>
      <c r="E80" s="140">
        <v>5</v>
      </c>
      <c r="F80" s="94">
        <f t="shared" si="13"/>
        <v>112</v>
      </c>
      <c r="G80" s="137">
        <f aca="true" t="shared" si="30" ref="G80:J85">F80</f>
        <v>112</v>
      </c>
      <c r="H80" s="137">
        <f t="shared" si="30"/>
        <v>112</v>
      </c>
      <c r="I80" s="137">
        <f t="shared" si="30"/>
        <v>112</v>
      </c>
      <c r="J80" s="137">
        <f t="shared" si="30"/>
        <v>112</v>
      </c>
      <c r="K80" s="137"/>
      <c r="L80" s="137"/>
      <c r="M80" s="140"/>
      <c r="N80" s="140"/>
      <c r="O80" s="141"/>
      <c r="P80" s="136">
        <f t="shared" si="20"/>
        <v>560</v>
      </c>
    </row>
    <row r="81" spans="1:16" ht="14.25">
      <c r="A81" s="188">
        <v>7</v>
      </c>
      <c r="B81" s="4" t="s">
        <v>220</v>
      </c>
      <c r="C81" s="124">
        <v>60</v>
      </c>
      <c r="D81" s="124">
        <f t="shared" si="29"/>
        <v>1560</v>
      </c>
      <c r="E81" s="140">
        <v>5</v>
      </c>
      <c r="F81" s="94">
        <f t="shared" si="13"/>
        <v>312</v>
      </c>
      <c r="G81" s="137">
        <f t="shared" si="30"/>
        <v>312</v>
      </c>
      <c r="H81" s="137">
        <f t="shared" si="30"/>
        <v>312</v>
      </c>
      <c r="I81" s="137">
        <f t="shared" si="30"/>
        <v>312</v>
      </c>
      <c r="J81" s="137">
        <f t="shared" si="30"/>
        <v>312</v>
      </c>
      <c r="K81" s="137"/>
      <c r="L81" s="137"/>
      <c r="M81" s="140"/>
      <c r="N81" s="140"/>
      <c r="O81" s="141"/>
      <c r="P81" s="136">
        <f t="shared" si="20"/>
        <v>1560</v>
      </c>
    </row>
    <row r="82" spans="1:16" ht="14.25">
      <c r="A82" s="189">
        <v>26</v>
      </c>
      <c r="B82" s="4" t="s">
        <v>221</v>
      </c>
      <c r="C82" s="124">
        <v>3.99</v>
      </c>
      <c r="D82" s="124">
        <f t="shared" si="29"/>
        <v>159.60000000000002</v>
      </c>
      <c r="E82" s="140">
        <v>5</v>
      </c>
      <c r="F82" s="94">
        <f t="shared" si="13"/>
        <v>31.920000000000005</v>
      </c>
      <c r="G82" s="137">
        <f t="shared" si="30"/>
        <v>31.920000000000005</v>
      </c>
      <c r="H82" s="137">
        <f t="shared" si="30"/>
        <v>31.920000000000005</v>
      </c>
      <c r="I82" s="137">
        <f t="shared" si="30"/>
        <v>31.920000000000005</v>
      </c>
      <c r="J82" s="137">
        <f t="shared" si="30"/>
        <v>31.920000000000005</v>
      </c>
      <c r="K82" s="140"/>
      <c r="L82" s="140"/>
      <c r="M82" s="140"/>
      <c r="N82" s="140"/>
      <c r="O82" s="141"/>
      <c r="P82" s="136">
        <f t="shared" si="20"/>
        <v>159.60000000000002</v>
      </c>
    </row>
    <row r="83" spans="1:16" ht="14.25">
      <c r="A83" s="189">
        <v>40</v>
      </c>
      <c r="B83" s="4" t="s">
        <v>253</v>
      </c>
      <c r="C83" s="129">
        <v>18</v>
      </c>
      <c r="D83" s="124">
        <f t="shared" si="29"/>
        <v>540</v>
      </c>
      <c r="E83" s="140">
        <v>5</v>
      </c>
      <c r="F83" s="94">
        <f t="shared" si="13"/>
        <v>108</v>
      </c>
      <c r="G83" s="137">
        <f t="shared" si="30"/>
        <v>108</v>
      </c>
      <c r="H83" s="137">
        <f t="shared" si="30"/>
        <v>108</v>
      </c>
      <c r="I83" s="137">
        <f t="shared" si="30"/>
        <v>108</v>
      </c>
      <c r="J83" s="137">
        <f t="shared" si="30"/>
        <v>108</v>
      </c>
      <c r="K83" s="140"/>
      <c r="L83" s="140"/>
      <c r="M83" s="140"/>
      <c r="N83" s="140"/>
      <c r="O83" s="141"/>
      <c r="P83" s="136">
        <f t="shared" si="20"/>
        <v>540</v>
      </c>
    </row>
    <row r="84" spans="1:16" ht="14.25">
      <c r="A84" s="189">
        <v>30</v>
      </c>
      <c r="B84" s="148" t="s">
        <v>252</v>
      </c>
      <c r="C84" s="124">
        <v>20</v>
      </c>
      <c r="D84" s="124">
        <f t="shared" si="29"/>
        <v>200</v>
      </c>
      <c r="E84" s="140">
        <v>5</v>
      </c>
      <c r="F84" s="94">
        <f t="shared" si="13"/>
        <v>40</v>
      </c>
      <c r="G84" s="137">
        <f t="shared" si="30"/>
        <v>40</v>
      </c>
      <c r="H84" s="137">
        <f t="shared" si="30"/>
        <v>40</v>
      </c>
      <c r="I84" s="137">
        <f t="shared" si="30"/>
        <v>40</v>
      </c>
      <c r="J84" s="137">
        <f t="shared" si="30"/>
        <v>40</v>
      </c>
      <c r="K84" s="140"/>
      <c r="L84" s="140"/>
      <c r="M84" s="140"/>
      <c r="N84" s="140"/>
      <c r="O84" s="141"/>
      <c r="P84" s="136">
        <f t="shared" si="20"/>
        <v>200</v>
      </c>
    </row>
    <row r="85" spans="1:16" ht="14.25">
      <c r="A85" s="189">
        <v>10</v>
      </c>
      <c r="B85" s="148" t="s">
        <v>254</v>
      </c>
      <c r="C85" s="124">
        <v>12</v>
      </c>
      <c r="D85" s="124">
        <f t="shared" si="29"/>
        <v>540</v>
      </c>
      <c r="E85" s="140">
        <v>5</v>
      </c>
      <c r="F85" s="94">
        <f t="shared" si="13"/>
        <v>108</v>
      </c>
      <c r="G85" s="137">
        <f t="shared" si="30"/>
        <v>108</v>
      </c>
      <c r="H85" s="137">
        <f t="shared" si="30"/>
        <v>108</v>
      </c>
      <c r="I85" s="137">
        <f t="shared" si="30"/>
        <v>108</v>
      </c>
      <c r="J85" s="137">
        <f t="shared" si="30"/>
        <v>108</v>
      </c>
      <c r="K85" s="140"/>
      <c r="L85" s="140"/>
      <c r="M85" s="140"/>
      <c r="N85" s="140"/>
      <c r="O85" s="141"/>
      <c r="P85" s="136">
        <f t="shared" si="20"/>
        <v>540</v>
      </c>
    </row>
    <row r="86" spans="1:16" ht="14.25">
      <c r="A86" s="189">
        <v>45</v>
      </c>
      <c r="B86" s="130" t="s">
        <v>222</v>
      </c>
      <c r="C86" s="128"/>
      <c r="D86" s="124"/>
      <c r="E86" s="140"/>
      <c r="F86" s="94"/>
      <c r="G86" s="137"/>
      <c r="H86" s="140"/>
      <c r="I86" s="140"/>
      <c r="J86" s="140"/>
      <c r="K86" s="140"/>
      <c r="L86" s="140"/>
      <c r="M86" s="140"/>
      <c r="N86" s="140"/>
      <c r="O86" s="141"/>
      <c r="P86" s="136"/>
    </row>
    <row r="87" spans="1:16" ht="14.25">
      <c r="A87" s="192"/>
      <c r="B87" s="4" t="s">
        <v>223</v>
      </c>
      <c r="C87" s="124">
        <v>250</v>
      </c>
      <c r="D87" s="124">
        <f>(A88*C87)</f>
        <v>250</v>
      </c>
      <c r="E87" s="140">
        <v>10</v>
      </c>
      <c r="F87" s="94">
        <f t="shared" si="13"/>
        <v>25</v>
      </c>
      <c r="G87" s="137">
        <f aca="true" t="shared" si="31" ref="G87:O88">F87</f>
        <v>25</v>
      </c>
      <c r="H87" s="137">
        <f>G87</f>
        <v>25</v>
      </c>
      <c r="I87" s="137">
        <f t="shared" si="31"/>
        <v>25</v>
      </c>
      <c r="J87" s="137">
        <f t="shared" si="31"/>
        <v>25</v>
      </c>
      <c r="K87" s="137">
        <f t="shared" si="31"/>
        <v>25</v>
      </c>
      <c r="L87" s="137">
        <f t="shared" si="31"/>
        <v>25</v>
      </c>
      <c r="M87" s="137">
        <f t="shared" si="31"/>
        <v>25</v>
      </c>
      <c r="N87" s="137">
        <f t="shared" si="31"/>
        <v>25</v>
      </c>
      <c r="O87" s="137">
        <f t="shared" si="31"/>
        <v>25</v>
      </c>
      <c r="P87" s="136">
        <f t="shared" si="20"/>
        <v>250</v>
      </c>
    </row>
    <row r="88" spans="1:16" ht="14.25">
      <c r="A88" s="189">
        <v>1</v>
      </c>
      <c r="B88" s="150" t="s">
        <v>224</v>
      </c>
      <c r="C88" s="129">
        <v>784.19</v>
      </c>
      <c r="D88" s="129">
        <f>(A89*C88)</f>
        <v>784.19</v>
      </c>
      <c r="E88" s="151">
        <v>10</v>
      </c>
      <c r="F88" s="152">
        <f t="shared" si="13"/>
        <v>78.41900000000001</v>
      </c>
      <c r="G88" s="153">
        <f t="shared" si="31"/>
        <v>78.41900000000001</v>
      </c>
      <c r="H88" s="153">
        <f>G88</f>
        <v>78.41900000000001</v>
      </c>
      <c r="I88" s="153">
        <f t="shared" si="31"/>
        <v>78.41900000000001</v>
      </c>
      <c r="J88" s="153">
        <f t="shared" si="31"/>
        <v>78.41900000000001</v>
      </c>
      <c r="K88" s="153">
        <f t="shared" si="31"/>
        <v>78.41900000000001</v>
      </c>
      <c r="L88" s="153">
        <f t="shared" si="31"/>
        <v>78.41900000000001</v>
      </c>
      <c r="M88" s="153">
        <f t="shared" si="31"/>
        <v>78.41900000000001</v>
      </c>
      <c r="N88" s="153">
        <f t="shared" si="31"/>
        <v>78.41900000000001</v>
      </c>
      <c r="O88" s="153">
        <f t="shared" si="31"/>
        <v>78.41900000000001</v>
      </c>
      <c r="P88" s="155">
        <f t="shared" si="20"/>
        <v>784.1899999999999</v>
      </c>
    </row>
    <row r="89" spans="1:16" ht="14.25">
      <c r="A89" s="193">
        <v>1</v>
      </c>
      <c r="B89" s="127" t="s">
        <v>225</v>
      </c>
      <c r="C89" s="128"/>
      <c r="D89" s="128"/>
      <c r="E89" s="161"/>
      <c r="F89" s="162"/>
      <c r="G89" s="163"/>
      <c r="H89" s="161"/>
      <c r="I89" s="161"/>
      <c r="J89" s="161"/>
      <c r="K89" s="161"/>
      <c r="L89" s="161"/>
      <c r="M89" s="161"/>
      <c r="N89" s="161"/>
      <c r="O89" s="164"/>
      <c r="P89" s="165"/>
    </row>
    <row r="90" spans="1:16" ht="14.25">
      <c r="A90" s="192"/>
      <c r="B90" s="112" t="s">
        <v>226</v>
      </c>
      <c r="C90" s="125">
        <v>600</v>
      </c>
      <c r="D90" s="125">
        <f>(A91*C90)</f>
        <v>1800</v>
      </c>
      <c r="E90" s="156">
        <v>3</v>
      </c>
      <c r="F90" s="157">
        <f t="shared" si="13"/>
        <v>600</v>
      </c>
      <c r="G90" s="158">
        <f>F90</f>
        <v>600</v>
      </c>
      <c r="H90" s="158">
        <f>G90</f>
        <v>600</v>
      </c>
      <c r="I90" s="158"/>
      <c r="J90" s="158"/>
      <c r="K90" s="156"/>
      <c r="L90" s="156"/>
      <c r="M90" s="156"/>
      <c r="N90" s="156"/>
      <c r="O90" s="159"/>
      <c r="P90" s="160">
        <f t="shared" si="20"/>
        <v>1800</v>
      </c>
    </row>
    <row r="91" spans="1:16" ht="14.25">
      <c r="A91" s="188">
        <v>3</v>
      </c>
      <c r="B91" s="150" t="s">
        <v>234</v>
      </c>
      <c r="C91" s="129">
        <v>80</v>
      </c>
      <c r="D91" s="129">
        <f>(A92*C91)</f>
        <v>80</v>
      </c>
      <c r="E91" s="151">
        <v>3</v>
      </c>
      <c r="F91" s="152">
        <f>D91/E91</f>
        <v>26.666666666666668</v>
      </c>
      <c r="G91" s="153">
        <f>F91</f>
        <v>26.666666666666668</v>
      </c>
      <c r="H91" s="153">
        <f>G91</f>
        <v>26.666666666666668</v>
      </c>
      <c r="I91" s="153"/>
      <c r="J91" s="153"/>
      <c r="K91" s="151"/>
      <c r="L91" s="151"/>
      <c r="M91" s="151"/>
      <c r="N91" s="151"/>
      <c r="O91" s="154"/>
      <c r="P91" s="155">
        <f t="shared" si="20"/>
        <v>80</v>
      </c>
    </row>
    <row r="92" spans="1:16" ht="14.25">
      <c r="A92" s="193">
        <v>1</v>
      </c>
      <c r="B92" s="127" t="s">
        <v>227</v>
      </c>
      <c r="C92" s="128"/>
      <c r="D92" s="128"/>
      <c r="E92" s="161"/>
      <c r="F92" s="162"/>
      <c r="G92" s="163"/>
      <c r="H92" s="161"/>
      <c r="I92" s="161"/>
      <c r="J92" s="161"/>
      <c r="K92" s="161"/>
      <c r="L92" s="161"/>
      <c r="M92" s="161"/>
      <c r="N92" s="161"/>
      <c r="O92" s="164"/>
      <c r="P92" s="165"/>
    </row>
    <row r="93" spans="1:16" ht="14.25">
      <c r="A93" s="192"/>
      <c r="B93" s="112" t="s">
        <v>228</v>
      </c>
      <c r="C93" s="125">
        <v>45</v>
      </c>
      <c r="D93" s="125">
        <f>(A94*C93)</f>
        <v>90</v>
      </c>
      <c r="E93" s="156">
        <v>5</v>
      </c>
      <c r="F93" s="152">
        <f>D93/E93</f>
        <v>18</v>
      </c>
      <c r="G93" s="158">
        <f aca="true" t="shared" si="32" ref="G93:J94">F93</f>
        <v>18</v>
      </c>
      <c r="H93" s="158">
        <f>G93</f>
        <v>18</v>
      </c>
      <c r="I93" s="158">
        <f t="shared" si="32"/>
        <v>18</v>
      </c>
      <c r="J93" s="158">
        <f t="shared" si="32"/>
        <v>18</v>
      </c>
      <c r="K93" s="156"/>
      <c r="L93" s="156"/>
      <c r="M93" s="156"/>
      <c r="N93" s="156"/>
      <c r="O93" s="159"/>
      <c r="P93" s="160">
        <f t="shared" si="20"/>
        <v>90</v>
      </c>
    </row>
    <row r="94" spans="1:16" ht="14.25">
      <c r="A94" s="188">
        <v>2</v>
      </c>
      <c r="B94" s="4" t="s">
        <v>229</v>
      </c>
      <c r="C94" s="124">
        <v>30</v>
      </c>
      <c r="D94" s="124">
        <f>(A95*C94)</f>
        <v>30</v>
      </c>
      <c r="E94" s="140">
        <v>5</v>
      </c>
      <c r="F94" s="94">
        <f>D94/E94</f>
        <v>6</v>
      </c>
      <c r="G94" s="158">
        <f t="shared" si="32"/>
        <v>6</v>
      </c>
      <c r="H94" s="158">
        <f>G94</f>
        <v>6</v>
      </c>
      <c r="I94" s="158">
        <f t="shared" si="32"/>
        <v>6</v>
      </c>
      <c r="J94" s="158">
        <f t="shared" si="32"/>
        <v>6</v>
      </c>
      <c r="K94" s="140"/>
      <c r="L94" s="140"/>
      <c r="M94" s="140"/>
      <c r="N94" s="140"/>
      <c r="O94" s="141"/>
      <c r="P94" s="136">
        <f t="shared" si="20"/>
        <v>30</v>
      </c>
    </row>
    <row r="95" spans="1:16" ht="16.5" thickBot="1">
      <c r="A95" s="189">
        <v>1</v>
      </c>
      <c r="B95"/>
      <c r="C95" s="174" t="s">
        <v>137</v>
      </c>
      <c r="D95" s="175">
        <f>SUM(D34:D94)</f>
        <v>42735.73</v>
      </c>
      <c r="E95" s="138"/>
      <c r="F95" s="139">
        <f aca="true" t="shared" si="33" ref="F95:P95">SUM(F34:F94)</f>
        <v>5615.356380952381</v>
      </c>
      <c r="G95" s="139">
        <f t="shared" si="33"/>
        <v>5615.356380952381</v>
      </c>
      <c r="H95" s="139">
        <f t="shared" si="33"/>
        <v>5615.356380952381</v>
      </c>
      <c r="I95" s="139">
        <f t="shared" si="33"/>
        <v>4988.689714285714</v>
      </c>
      <c r="J95" s="139">
        <f t="shared" si="33"/>
        <v>4988.689714285714</v>
      </c>
      <c r="K95" s="139">
        <f t="shared" si="33"/>
        <v>4252.769714285714</v>
      </c>
      <c r="L95" s="139">
        <f t="shared" si="33"/>
        <v>4252.769714285714</v>
      </c>
      <c r="M95" s="139">
        <f t="shared" si="33"/>
        <v>2468.9139999999998</v>
      </c>
      <c r="N95" s="139">
        <f t="shared" si="33"/>
        <v>2468.9139999999998</v>
      </c>
      <c r="O95" s="139">
        <f t="shared" si="33"/>
        <v>2468.9139999999998</v>
      </c>
      <c r="P95" s="139">
        <f t="shared" si="33"/>
        <v>42735.73</v>
      </c>
    </row>
    <row r="96" spans="1:14" ht="14.25">
      <c r="A96" s="191"/>
      <c r="D96" s="85"/>
      <c r="E96" s="85"/>
      <c r="F96" s="85"/>
      <c r="G96" s="85"/>
      <c r="H96" s="85"/>
      <c r="I96" s="85"/>
      <c r="J96" s="85"/>
      <c r="K96" s="85"/>
      <c r="L96" s="85"/>
      <c r="M96" s="85"/>
      <c r="N96" s="85"/>
    </row>
    <row r="97" spans="4:14" ht="14.25">
      <c r="D97" s="85"/>
      <c r="E97" s="85"/>
      <c r="F97" s="85"/>
      <c r="G97" s="85"/>
      <c r="H97" s="85"/>
      <c r="I97" s="85"/>
      <c r="J97" s="85"/>
      <c r="K97" s="85"/>
      <c r="L97" s="85"/>
      <c r="M97" s="85"/>
      <c r="N97" s="85"/>
    </row>
    <row r="98" spans="4:14" ht="14.25">
      <c r="D98" s="85"/>
      <c r="E98" s="85"/>
      <c r="F98" s="85"/>
      <c r="G98" s="85"/>
      <c r="H98" s="85"/>
      <c r="I98" s="85"/>
      <c r="J98" s="85"/>
      <c r="K98" s="85"/>
      <c r="L98" s="85"/>
      <c r="M98" s="85"/>
      <c r="N98" s="85"/>
    </row>
    <row r="99" spans="4:14" ht="14.25">
      <c r="D99" s="85"/>
      <c r="E99" s="85"/>
      <c r="F99" s="85"/>
      <c r="G99" s="85"/>
      <c r="H99" s="85"/>
      <c r="I99" s="85"/>
      <c r="J99" s="85"/>
      <c r="K99" s="85"/>
      <c r="L99" s="85"/>
      <c r="M99" s="85"/>
      <c r="N99" s="85"/>
    </row>
    <row r="100" spans="4:14" ht="14.25">
      <c r="D100" s="85"/>
      <c r="E100" s="85"/>
      <c r="F100" s="85"/>
      <c r="G100" s="85"/>
      <c r="H100" s="85"/>
      <c r="I100" s="85"/>
      <c r="J100" s="85"/>
      <c r="K100" s="85"/>
      <c r="L100" s="85"/>
      <c r="M100" s="85"/>
      <c r="N100" s="85"/>
    </row>
    <row r="101" spans="4:14" ht="14.25">
      <c r="D101" s="85"/>
      <c r="E101" s="85"/>
      <c r="F101" s="85"/>
      <c r="G101" s="85"/>
      <c r="H101" s="85"/>
      <c r="I101" s="85"/>
      <c r="J101" s="85"/>
      <c r="K101" s="85"/>
      <c r="L101" s="85"/>
      <c r="M101" s="85"/>
      <c r="N101" s="85"/>
    </row>
    <row r="102" spans="4:14" ht="14.25">
      <c r="D102" s="85"/>
      <c r="E102" s="85"/>
      <c r="F102" s="85"/>
      <c r="G102" s="85"/>
      <c r="H102" s="85"/>
      <c r="I102" s="85"/>
      <c r="J102" s="85"/>
      <c r="K102" s="85"/>
      <c r="L102" s="85"/>
      <c r="M102" s="85"/>
      <c r="N102" s="85"/>
    </row>
    <row r="103" spans="4:14" ht="14.25">
      <c r="D103" s="85"/>
      <c r="E103" s="85"/>
      <c r="F103" s="85"/>
      <c r="G103" s="85"/>
      <c r="H103" s="85"/>
      <c r="I103" s="85"/>
      <c r="J103" s="85"/>
      <c r="K103" s="85"/>
      <c r="L103" s="85"/>
      <c r="M103" s="85"/>
      <c r="N103" s="85"/>
    </row>
    <row r="104" spans="4:14" ht="14.25">
      <c r="D104" s="85"/>
      <c r="E104" s="85"/>
      <c r="F104" s="85"/>
      <c r="G104" s="85"/>
      <c r="H104" s="85"/>
      <c r="I104" s="85"/>
      <c r="J104" s="85"/>
      <c r="K104" s="85"/>
      <c r="L104" s="85"/>
      <c r="M104" s="85"/>
      <c r="N104" s="85"/>
    </row>
    <row r="105" spans="4:14" ht="14.25">
      <c r="D105" s="85"/>
      <c r="E105" s="85"/>
      <c r="F105" s="85"/>
      <c r="G105" s="85"/>
      <c r="H105" s="85"/>
      <c r="I105" s="85"/>
      <c r="J105" s="85"/>
      <c r="K105" s="85"/>
      <c r="L105" s="85"/>
      <c r="M105" s="85"/>
      <c r="N105" s="85"/>
    </row>
    <row r="106" spans="4:14" ht="14.25">
      <c r="D106" s="85"/>
      <c r="E106" s="85"/>
      <c r="F106" s="85"/>
      <c r="G106" s="85"/>
      <c r="H106" s="85"/>
      <c r="I106" s="85"/>
      <c r="J106" s="85"/>
      <c r="K106" s="85"/>
      <c r="L106" s="85"/>
      <c r="M106" s="85"/>
      <c r="N106" s="85"/>
    </row>
    <row r="107" spans="4:14" ht="14.25">
      <c r="D107" s="85"/>
      <c r="E107" s="85"/>
      <c r="F107" s="85"/>
      <c r="G107" s="85"/>
      <c r="H107" s="85"/>
      <c r="I107" s="85"/>
      <c r="J107" s="85"/>
      <c r="K107" s="85"/>
      <c r="L107" s="85"/>
      <c r="M107" s="85"/>
      <c r="N107" s="85"/>
    </row>
    <row r="108" spans="4:14" ht="14.25">
      <c r="D108" s="85"/>
      <c r="E108" s="85"/>
      <c r="F108" s="85"/>
      <c r="G108" s="85"/>
      <c r="H108" s="85"/>
      <c r="I108" s="85"/>
      <c r="J108" s="85"/>
      <c r="K108" s="85"/>
      <c r="L108" s="85"/>
      <c r="M108" s="85"/>
      <c r="N108" s="85"/>
    </row>
    <row r="109" spans="4:14" ht="14.25">
      <c r="D109" s="85"/>
      <c r="E109" s="85"/>
      <c r="F109" s="85"/>
      <c r="G109" s="85"/>
      <c r="H109" s="85"/>
      <c r="I109" s="85"/>
      <c r="J109" s="85"/>
      <c r="K109" s="85"/>
      <c r="L109" s="85"/>
      <c r="M109" s="85"/>
      <c r="N109" s="85"/>
    </row>
    <row r="110" spans="4:14" ht="14.25">
      <c r="D110" s="85"/>
      <c r="E110" s="85"/>
      <c r="F110" s="85"/>
      <c r="G110" s="85"/>
      <c r="H110" s="85"/>
      <c r="I110" s="85"/>
      <c r="J110" s="85"/>
      <c r="K110" s="85"/>
      <c r="L110" s="85"/>
      <c r="M110" s="85"/>
      <c r="N110" s="85"/>
    </row>
    <row r="111" spans="4:14" ht="14.25">
      <c r="D111" s="85"/>
      <c r="E111" s="85"/>
      <c r="F111" s="85"/>
      <c r="G111" s="85"/>
      <c r="H111" s="85"/>
      <c r="I111" s="85"/>
      <c r="J111" s="85"/>
      <c r="K111" s="85"/>
      <c r="L111" s="85"/>
      <c r="M111" s="85"/>
      <c r="N111" s="85"/>
    </row>
    <row r="112" spans="4:14" ht="14.25">
      <c r="D112" s="85"/>
      <c r="E112" s="85"/>
      <c r="F112" s="85"/>
      <c r="G112" s="85"/>
      <c r="H112" s="85"/>
      <c r="I112" s="85"/>
      <c r="J112" s="85"/>
      <c r="K112" s="85"/>
      <c r="L112" s="85"/>
      <c r="M112" s="85"/>
      <c r="N112" s="85"/>
    </row>
    <row r="113" spans="4:14" ht="14.25">
      <c r="D113" s="85"/>
      <c r="E113" s="85"/>
      <c r="F113" s="85"/>
      <c r="G113" s="85"/>
      <c r="H113" s="85"/>
      <c r="I113" s="85"/>
      <c r="J113" s="85"/>
      <c r="K113" s="85"/>
      <c r="L113" s="85"/>
      <c r="M113" s="85"/>
      <c r="N113" s="85"/>
    </row>
    <row r="114" spans="4:14" ht="14.25">
      <c r="D114" s="85"/>
      <c r="E114" s="85"/>
      <c r="F114" s="85"/>
      <c r="G114" s="85"/>
      <c r="H114" s="85"/>
      <c r="I114" s="85"/>
      <c r="J114" s="85"/>
      <c r="K114" s="85"/>
      <c r="L114" s="85"/>
      <c r="M114" s="85"/>
      <c r="N114" s="85"/>
    </row>
    <row r="115" spans="4:14" ht="14.25">
      <c r="D115" s="85"/>
      <c r="E115" s="85"/>
      <c r="F115" s="85"/>
      <c r="G115" s="85"/>
      <c r="H115" s="85"/>
      <c r="I115" s="85"/>
      <c r="J115" s="85"/>
      <c r="K115" s="85"/>
      <c r="L115" s="85"/>
      <c r="M115" s="85"/>
      <c r="N115" s="85"/>
    </row>
    <row r="116" spans="4:14" ht="14.25">
      <c r="D116" s="85"/>
      <c r="E116" s="85"/>
      <c r="F116" s="85"/>
      <c r="G116" s="85"/>
      <c r="H116" s="85"/>
      <c r="I116" s="85"/>
      <c r="J116" s="85"/>
      <c r="K116" s="85"/>
      <c r="L116" s="85"/>
      <c r="M116" s="85"/>
      <c r="N116" s="85"/>
    </row>
    <row r="117" spans="4:14" ht="14.25">
      <c r="D117" s="85"/>
      <c r="E117" s="85"/>
      <c r="F117" s="85"/>
      <c r="G117" s="85"/>
      <c r="H117" s="85"/>
      <c r="I117" s="85"/>
      <c r="J117" s="85"/>
      <c r="K117" s="85"/>
      <c r="L117" s="85"/>
      <c r="M117" s="85"/>
      <c r="N117" s="85"/>
    </row>
    <row r="118" spans="4:14" ht="14.25">
      <c r="D118" s="85"/>
      <c r="E118" s="85"/>
      <c r="F118" s="85"/>
      <c r="G118" s="85"/>
      <c r="H118" s="85"/>
      <c r="I118" s="85"/>
      <c r="J118" s="85"/>
      <c r="K118" s="85"/>
      <c r="L118" s="85"/>
      <c r="M118" s="85"/>
      <c r="N118" s="85"/>
    </row>
    <row r="119" spans="4:14" ht="14.25">
      <c r="D119" s="85"/>
      <c r="E119" s="85"/>
      <c r="F119" s="85"/>
      <c r="G119" s="85"/>
      <c r="H119" s="85"/>
      <c r="I119" s="85"/>
      <c r="J119" s="85"/>
      <c r="K119" s="85"/>
      <c r="L119" s="85"/>
      <c r="M119" s="85"/>
      <c r="N119" s="85"/>
    </row>
    <row r="120" spans="4:14" ht="14.25">
      <c r="D120" s="85"/>
      <c r="E120" s="85"/>
      <c r="F120" s="85"/>
      <c r="G120" s="85"/>
      <c r="H120" s="85"/>
      <c r="I120" s="85"/>
      <c r="J120" s="85"/>
      <c r="K120" s="85"/>
      <c r="L120" s="85"/>
      <c r="M120" s="85"/>
      <c r="N120" s="85"/>
    </row>
    <row r="121" spans="4:14" ht="14.25">
      <c r="D121" s="85"/>
      <c r="E121" s="85"/>
      <c r="F121" s="85"/>
      <c r="G121" s="85"/>
      <c r="H121" s="85"/>
      <c r="I121" s="85"/>
      <c r="J121" s="85"/>
      <c r="K121" s="85"/>
      <c r="L121" s="85"/>
      <c r="M121" s="85"/>
      <c r="N121" s="85"/>
    </row>
    <row r="122" spans="4:14" ht="14.25">
      <c r="D122" s="85"/>
      <c r="E122" s="85"/>
      <c r="F122" s="85"/>
      <c r="G122" s="85"/>
      <c r="H122" s="85"/>
      <c r="I122" s="85"/>
      <c r="J122" s="85"/>
      <c r="K122" s="85"/>
      <c r="L122" s="85"/>
      <c r="M122" s="85"/>
      <c r="N122" s="85"/>
    </row>
    <row r="123" spans="4:14" ht="14.25">
      <c r="D123" s="85"/>
      <c r="E123" s="85"/>
      <c r="F123" s="85"/>
      <c r="G123" s="85"/>
      <c r="H123" s="85"/>
      <c r="I123" s="85"/>
      <c r="J123" s="85"/>
      <c r="K123" s="85"/>
      <c r="L123" s="85"/>
      <c r="M123" s="85"/>
      <c r="N123" s="85"/>
    </row>
    <row r="124" spans="4:14" ht="14.25">
      <c r="D124" s="85"/>
      <c r="E124" s="85"/>
      <c r="F124" s="85"/>
      <c r="G124" s="85"/>
      <c r="H124" s="85"/>
      <c r="I124" s="85"/>
      <c r="J124" s="85"/>
      <c r="K124" s="85"/>
      <c r="L124" s="85"/>
      <c r="M124" s="85"/>
      <c r="N124" s="85"/>
    </row>
    <row r="125" spans="4:14" ht="14.25">
      <c r="D125" s="85"/>
      <c r="E125" s="85"/>
      <c r="F125" s="85"/>
      <c r="G125" s="85"/>
      <c r="H125" s="85"/>
      <c r="I125" s="85"/>
      <c r="J125" s="85"/>
      <c r="K125" s="85"/>
      <c r="L125" s="85"/>
      <c r="M125" s="85"/>
      <c r="N125" s="85"/>
    </row>
    <row r="126" spans="4:14" ht="14.25">
      <c r="D126" s="85"/>
      <c r="E126" s="85"/>
      <c r="F126" s="85"/>
      <c r="G126" s="85"/>
      <c r="H126" s="85"/>
      <c r="I126" s="85"/>
      <c r="J126" s="85"/>
      <c r="K126" s="85"/>
      <c r="L126" s="85"/>
      <c r="M126" s="85"/>
      <c r="N126" s="85"/>
    </row>
    <row r="127" spans="4:14" ht="14.25">
      <c r="D127" s="85"/>
      <c r="E127" s="85"/>
      <c r="F127" s="85"/>
      <c r="G127" s="85"/>
      <c r="H127" s="85"/>
      <c r="I127" s="85"/>
      <c r="J127" s="85"/>
      <c r="K127" s="85"/>
      <c r="L127" s="85"/>
      <c r="M127" s="85"/>
      <c r="N127" s="85"/>
    </row>
    <row r="128" spans="4:14" ht="14.25">
      <c r="D128" s="85"/>
      <c r="E128" s="85"/>
      <c r="F128" s="85"/>
      <c r="G128" s="85"/>
      <c r="H128" s="85"/>
      <c r="I128" s="85"/>
      <c r="J128" s="85"/>
      <c r="K128" s="85"/>
      <c r="L128" s="85"/>
      <c r="M128" s="85"/>
      <c r="N128" s="85"/>
    </row>
    <row r="129" spans="4:14" ht="14.25">
      <c r="D129" s="85"/>
      <c r="E129" s="85"/>
      <c r="F129" s="85"/>
      <c r="G129" s="85"/>
      <c r="H129" s="85"/>
      <c r="I129" s="85"/>
      <c r="J129" s="85"/>
      <c r="K129" s="85"/>
      <c r="L129" s="85"/>
      <c r="M129" s="85"/>
      <c r="N129" s="85"/>
    </row>
    <row r="130" spans="4:14" ht="14.25">
      <c r="D130" s="85"/>
      <c r="E130" s="85"/>
      <c r="F130" s="85"/>
      <c r="G130" s="85"/>
      <c r="H130" s="85"/>
      <c r="I130" s="85"/>
      <c r="J130" s="85"/>
      <c r="K130" s="85"/>
      <c r="L130" s="85"/>
      <c r="M130" s="85"/>
      <c r="N130" s="85"/>
    </row>
    <row r="131" spans="4:14" ht="14.25">
      <c r="D131" s="85"/>
      <c r="E131" s="85"/>
      <c r="F131" s="85"/>
      <c r="G131" s="85"/>
      <c r="H131" s="85"/>
      <c r="I131" s="85"/>
      <c r="J131" s="85"/>
      <c r="K131" s="85"/>
      <c r="L131" s="85"/>
      <c r="M131" s="85"/>
      <c r="N131" s="85"/>
    </row>
    <row r="132" spans="4:14" ht="14.25">
      <c r="D132" s="85"/>
      <c r="E132" s="85"/>
      <c r="F132" s="85"/>
      <c r="G132" s="85"/>
      <c r="H132" s="85"/>
      <c r="I132" s="85"/>
      <c r="J132" s="85"/>
      <c r="K132" s="85"/>
      <c r="L132" s="85"/>
      <c r="M132" s="85"/>
      <c r="N132" s="85"/>
    </row>
    <row r="133" spans="4:14" ht="14.25">
      <c r="D133" s="85"/>
      <c r="E133" s="85"/>
      <c r="F133" s="85"/>
      <c r="G133" s="85"/>
      <c r="H133" s="85"/>
      <c r="I133" s="85"/>
      <c r="J133" s="85"/>
      <c r="K133" s="85"/>
      <c r="L133" s="85"/>
      <c r="M133" s="85"/>
      <c r="N133" s="85"/>
    </row>
    <row r="134" spans="4:14" ht="14.25">
      <c r="D134" s="85"/>
      <c r="E134" s="85"/>
      <c r="F134" s="85"/>
      <c r="G134" s="85"/>
      <c r="H134" s="85"/>
      <c r="I134" s="85"/>
      <c r="J134" s="85"/>
      <c r="K134" s="85"/>
      <c r="L134" s="85"/>
      <c r="M134" s="85"/>
      <c r="N134" s="85"/>
    </row>
    <row r="135" spans="4:14" ht="14.25">
      <c r="D135" s="85"/>
      <c r="E135" s="85"/>
      <c r="F135" s="85"/>
      <c r="G135" s="85"/>
      <c r="H135" s="85"/>
      <c r="I135" s="85"/>
      <c r="J135" s="85"/>
      <c r="K135" s="85"/>
      <c r="L135" s="85"/>
      <c r="M135" s="85"/>
      <c r="N135" s="85"/>
    </row>
    <row r="136" spans="4:14" ht="14.25">
      <c r="D136" s="85"/>
      <c r="E136" s="85"/>
      <c r="F136" s="85"/>
      <c r="G136" s="85"/>
      <c r="H136" s="85"/>
      <c r="I136" s="85"/>
      <c r="J136" s="85"/>
      <c r="K136" s="85"/>
      <c r="L136" s="85"/>
      <c r="M136" s="85"/>
      <c r="N136" s="85"/>
    </row>
    <row r="137" spans="4:14" ht="14.25">
      <c r="D137" s="85"/>
      <c r="E137" s="85"/>
      <c r="F137" s="85"/>
      <c r="G137" s="85"/>
      <c r="H137" s="85"/>
      <c r="I137" s="85"/>
      <c r="J137" s="85"/>
      <c r="K137" s="85"/>
      <c r="L137" s="85"/>
      <c r="M137" s="85"/>
      <c r="N137" s="85"/>
    </row>
    <row r="138" spans="4:14" ht="14.25">
      <c r="D138" s="85"/>
      <c r="E138" s="85"/>
      <c r="F138" s="85"/>
      <c r="G138" s="85"/>
      <c r="H138" s="85"/>
      <c r="I138" s="85"/>
      <c r="J138" s="85"/>
      <c r="K138" s="85"/>
      <c r="L138" s="85"/>
      <c r="M138" s="85"/>
      <c r="N138" s="85"/>
    </row>
    <row r="139" spans="4:14" ht="14.25">
      <c r="D139" s="85"/>
      <c r="E139" s="85"/>
      <c r="F139" s="85"/>
      <c r="G139" s="85"/>
      <c r="H139" s="85"/>
      <c r="I139" s="85"/>
      <c r="J139" s="85"/>
      <c r="K139" s="85"/>
      <c r="L139" s="85"/>
      <c r="M139" s="85"/>
      <c r="N139" s="85"/>
    </row>
    <row r="140" spans="4:14" ht="14.25">
      <c r="D140" s="85"/>
      <c r="E140" s="85"/>
      <c r="F140" s="85"/>
      <c r="G140" s="85"/>
      <c r="H140" s="85"/>
      <c r="I140" s="85"/>
      <c r="J140" s="85"/>
      <c r="K140" s="85"/>
      <c r="L140" s="85"/>
      <c r="M140" s="85"/>
      <c r="N140" s="85"/>
    </row>
    <row r="141" spans="4:14" ht="14.25">
      <c r="D141" s="85"/>
      <c r="E141" s="85"/>
      <c r="F141" s="85"/>
      <c r="G141" s="85"/>
      <c r="H141" s="85"/>
      <c r="I141" s="85"/>
      <c r="J141" s="85"/>
      <c r="K141" s="85"/>
      <c r="L141" s="85"/>
      <c r="M141" s="85"/>
      <c r="N141" s="85"/>
    </row>
    <row r="142" spans="4:14" ht="14.25">
      <c r="D142" s="85"/>
      <c r="E142" s="85"/>
      <c r="F142" s="85"/>
      <c r="G142" s="85"/>
      <c r="H142" s="85"/>
      <c r="I142" s="85"/>
      <c r="J142" s="85"/>
      <c r="K142" s="85"/>
      <c r="L142" s="85"/>
      <c r="M142" s="85"/>
      <c r="N142" s="85"/>
    </row>
    <row r="143" spans="4:14" ht="14.25">
      <c r="D143" s="85"/>
      <c r="E143" s="85"/>
      <c r="F143" s="85"/>
      <c r="G143" s="85"/>
      <c r="H143" s="85"/>
      <c r="I143" s="85"/>
      <c r="J143" s="85"/>
      <c r="K143" s="85"/>
      <c r="L143" s="85"/>
      <c r="M143" s="85"/>
      <c r="N143" s="85"/>
    </row>
    <row r="144" spans="4:14" ht="14.25">
      <c r="D144" s="85"/>
      <c r="E144" s="85"/>
      <c r="F144" s="85"/>
      <c r="G144" s="85"/>
      <c r="H144" s="85"/>
      <c r="I144" s="85"/>
      <c r="J144" s="85"/>
      <c r="K144" s="85"/>
      <c r="L144" s="85"/>
      <c r="M144" s="85"/>
      <c r="N144" s="85"/>
    </row>
    <row r="145" spans="4:14" ht="14.25">
      <c r="D145" s="85"/>
      <c r="E145" s="85"/>
      <c r="F145" s="85"/>
      <c r="G145" s="85"/>
      <c r="H145" s="85"/>
      <c r="I145" s="85"/>
      <c r="J145" s="85"/>
      <c r="K145" s="85"/>
      <c r="L145" s="85"/>
      <c r="M145" s="85"/>
      <c r="N145" s="85"/>
    </row>
    <row r="146" spans="4:14" ht="14.25">
      <c r="D146" s="85"/>
      <c r="E146" s="85"/>
      <c r="F146" s="85"/>
      <c r="G146" s="85"/>
      <c r="H146" s="85"/>
      <c r="I146" s="85"/>
      <c r="J146" s="85"/>
      <c r="K146" s="85"/>
      <c r="L146" s="85"/>
      <c r="M146" s="85"/>
      <c r="N146" s="85"/>
    </row>
    <row r="147" spans="4:14" ht="14.25">
      <c r="D147" s="85"/>
      <c r="E147" s="85"/>
      <c r="F147" s="85"/>
      <c r="G147" s="85"/>
      <c r="H147" s="85"/>
      <c r="I147" s="85"/>
      <c r="J147" s="85"/>
      <c r="K147" s="85"/>
      <c r="L147" s="85"/>
      <c r="M147" s="85"/>
      <c r="N147" s="85"/>
    </row>
    <row r="148" spans="4:14" ht="14.25">
      <c r="D148" s="85"/>
      <c r="E148" s="85"/>
      <c r="F148" s="85"/>
      <c r="G148" s="85"/>
      <c r="H148" s="85"/>
      <c r="I148" s="85"/>
      <c r="J148" s="85"/>
      <c r="K148" s="85"/>
      <c r="L148" s="85"/>
      <c r="M148" s="85"/>
      <c r="N148" s="85"/>
    </row>
    <row r="149" spans="4:14" ht="14.25">
      <c r="D149" s="85"/>
      <c r="E149" s="85"/>
      <c r="F149" s="85"/>
      <c r="G149" s="85"/>
      <c r="H149" s="85"/>
      <c r="I149" s="85"/>
      <c r="J149" s="85"/>
      <c r="K149" s="85"/>
      <c r="L149" s="85"/>
      <c r="M149" s="85"/>
      <c r="N149" s="85"/>
    </row>
    <row r="150" spans="4:14" ht="14.25">
      <c r="D150" s="85"/>
      <c r="E150" s="85"/>
      <c r="F150" s="85"/>
      <c r="G150" s="85"/>
      <c r="H150" s="85"/>
      <c r="I150" s="85"/>
      <c r="J150" s="85"/>
      <c r="K150" s="85"/>
      <c r="L150" s="85"/>
      <c r="M150" s="85"/>
      <c r="N150" s="85"/>
    </row>
    <row r="151" spans="4:14" ht="14.25">
      <c r="D151" s="85"/>
      <c r="E151" s="85"/>
      <c r="F151" s="85"/>
      <c r="G151" s="85"/>
      <c r="H151" s="85"/>
      <c r="I151" s="85"/>
      <c r="J151" s="85"/>
      <c r="K151" s="85"/>
      <c r="L151" s="85"/>
      <c r="M151" s="85"/>
      <c r="N151" s="85"/>
    </row>
    <row r="152" spans="4:14" ht="14.25">
      <c r="D152" s="85"/>
      <c r="E152" s="85"/>
      <c r="F152" s="85"/>
      <c r="G152" s="85"/>
      <c r="H152" s="85"/>
      <c r="I152" s="85"/>
      <c r="J152" s="85"/>
      <c r="K152" s="85"/>
      <c r="L152" s="85"/>
      <c r="M152" s="85"/>
      <c r="N152" s="85"/>
    </row>
    <row r="153" spans="4:14" ht="14.25">
      <c r="D153" s="85"/>
      <c r="E153" s="85"/>
      <c r="F153" s="85"/>
      <c r="G153" s="85"/>
      <c r="H153" s="85"/>
      <c r="I153" s="85"/>
      <c r="J153" s="85"/>
      <c r="K153" s="85"/>
      <c r="L153" s="85"/>
      <c r="M153" s="85"/>
      <c r="N153" s="85"/>
    </row>
    <row r="154" spans="4:14" ht="14.25">
      <c r="D154" s="85"/>
      <c r="E154" s="85"/>
      <c r="F154" s="85"/>
      <c r="G154" s="85"/>
      <c r="H154" s="85"/>
      <c r="I154" s="85"/>
      <c r="J154" s="85"/>
      <c r="K154" s="85"/>
      <c r="L154" s="85"/>
      <c r="M154" s="85"/>
      <c r="N154" s="85"/>
    </row>
    <row r="155" spans="4:14" ht="14.25">
      <c r="D155" s="85"/>
      <c r="E155" s="85"/>
      <c r="F155" s="85"/>
      <c r="G155" s="85"/>
      <c r="H155" s="85"/>
      <c r="I155" s="85"/>
      <c r="J155" s="85"/>
      <c r="K155" s="85"/>
      <c r="L155" s="85"/>
      <c r="M155" s="85"/>
      <c r="N155" s="85"/>
    </row>
    <row r="156" spans="4:14" ht="14.25">
      <c r="D156" s="85"/>
      <c r="E156" s="85"/>
      <c r="F156" s="85"/>
      <c r="G156" s="85"/>
      <c r="H156" s="85"/>
      <c r="I156" s="85"/>
      <c r="J156" s="85"/>
      <c r="K156" s="85"/>
      <c r="L156" s="85"/>
      <c r="M156" s="85"/>
      <c r="N156" s="85"/>
    </row>
    <row r="157" spans="4:14" ht="14.25">
      <c r="D157" s="85"/>
      <c r="E157" s="85"/>
      <c r="F157" s="85"/>
      <c r="G157" s="85"/>
      <c r="H157" s="85"/>
      <c r="I157" s="85"/>
      <c r="J157" s="85"/>
      <c r="K157" s="85"/>
      <c r="L157" s="85"/>
      <c r="M157" s="85"/>
      <c r="N157" s="85"/>
    </row>
    <row r="158" spans="4:14" ht="14.25">
      <c r="D158" s="85"/>
      <c r="E158" s="85"/>
      <c r="F158" s="85"/>
      <c r="G158" s="85"/>
      <c r="H158" s="85"/>
      <c r="I158" s="85"/>
      <c r="J158" s="85"/>
      <c r="K158" s="85"/>
      <c r="L158" s="85"/>
      <c r="M158" s="85"/>
      <c r="N158" s="85"/>
    </row>
    <row r="159" spans="4:14" ht="14.25">
      <c r="D159" s="85"/>
      <c r="E159" s="85"/>
      <c r="F159" s="85"/>
      <c r="G159" s="85"/>
      <c r="H159" s="85"/>
      <c r="I159" s="85"/>
      <c r="J159" s="85"/>
      <c r="K159" s="85"/>
      <c r="L159" s="85"/>
      <c r="M159" s="85"/>
      <c r="N159" s="85"/>
    </row>
    <row r="160" spans="4:14" ht="14.25">
      <c r="D160" s="85"/>
      <c r="E160" s="85"/>
      <c r="F160" s="85"/>
      <c r="G160" s="85"/>
      <c r="H160" s="85"/>
      <c r="I160" s="85"/>
      <c r="J160" s="85"/>
      <c r="K160" s="85"/>
      <c r="L160" s="85"/>
      <c r="M160" s="85"/>
      <c r="N160" s="85"/>
    </row>
    <row r="161" spans="4:14" ht="14.25">
      <c r="D161" s="85"/>
      <c r="E161" s="85"/>
      <c r="F161" s="85"/>
      <c r="G161" s="85"/>
      <c r="H161" s="85"/>
      <c r="I161" s="85"/>
      <c r="J161" s="85"/>
      <c r="K161" s="85"/>
      <c r="L161" s="85"/>
      <c r="M161" s="85"/>
      <c r="N161" s="85"/>
    </row>
    <row r="162" spans="4:14" ht="14.25">
      <c r="D162" s="85"/>
      <c r="E162" s="85"/>
      <c r="F162" s="85"/>
      <c r="G162" s="85"/>
      <c r="H162" s="85"/>
      <c r="I162" s="85"/>
      <c r="J162" s="85"/>
      <c r="K162" s="85"/>
      <c r="L162" s="85"/>
      <c r="M162" s="85"/>
      <c r="N162" s="85"/>
    </row>
    <row r="163" spans="4:14" ht="14.25">
      <c r="D163" s="85"/>
      <c r="E163" s="85"/>
      <c r="F163" s="85"/>
      <c r="G163" s="85"/>
      <c r="H163" s="85"/>
      <c r="I163" s="85"/>
      <c r="J163" s="85"/>
      <c r="K163" s="85"/>
      <c r="L163" s="85"/>
      <c r="M163" s="85"/>
      <c r="N163" s="85"/>
    </row>
    <row r="164" spans="4:14" ht="14.25">
      <c r="D164" s="85"/>
      <c r="E164" s="85"/>
      <c r="F164" s="85"/>
      <c r="G164" s="85"/>
      <c r="H164" s="85"/>
      <c r="I164" s="85"/>
      <c r="J164" s="85"/>
      <c r="K164" s="85"/>
      <c r="L164" s="85"/>
      <c r="M164" s="85"/>
      <c r="N164" s="85"/>
    </row>
    <row r="165" spans="4:14" ht="14.25">
      <c r="D165" s="85"/>
      <c r="E165" s="85"/>
      <c r="F165" s="85"/>
      <c r="G165" s="85"/>
      <c r="H165" s="85"/>
      <c r="I165" s="85"/>
      <c r="J165" s="85"/>
      <c r="K165" s="85"/>
      <c r="L165" s="85"/>
      <c r="M165" s="85"/>
      <c r="N165" s="85"/>
    </row>
    <row r="166" spans="4:14" ht="14.25">
      <c r="D166" s="85"/>
      <c r="E166" s="85"/>
      <c r="F166" s="85"/>
      <c r="G166" s="85"/>
      <c r="H166" s="85"/>
      <c r="I166" s="85"/>
      <c r="J166" s="85"/>
      <c r="K166" s="85"/>
      <c r="L166" s="85"/>
      <c r="M166" s="85"/>
      <c r="N166" s="85"/>
    </row>
    <row r="167" spans="4:14" ht="14.25">
      <c r="D167" s="85"/>
      <c r="E167" s="85"/>
      <c r="F167" s="85"/>
      <c r="G167" s="85"/>
      <c r="H167" s="85"/>
      <c r="I167" s="85"/>
      <c r="J167" s="85"/>
      <c r="K167" s="85"/>
      <c r="L167" s="85"/>
      <c r="M167" s="85"/>
      <c r="N167" s="85"/>
    </row>
    <row r="168" spans="4:14" ht="14.25">
      <c r="D168" s="85"/>
      <c r="E168" s="85"/>
      <c r="F168" s="85"/>
      <c r="G168" s="85"/>
      <c r="H168" s="85"/>
      <c r="I168" s="85"/>
      <c r="J168" s="85"/>
      <c r="K168" s="85"/>
      <c r="L168" s="85"/>
      <c r="M168" s="85"/>
      <c r="N168" s="85"/>
    </row>
    <row r="169" spans="4:14" ht="14.25">
      <c r="D169" s="85"/>
      <c r="E169" s="85"/>
      <c r="F169" s="85"/>
      <c r="G169" s="85"/>
      <c r="H169" s="85"/>
      <c r="I169" s="85"/>
      <c r="J169" s="85"/>
      <c r="K169" s="85"/>
      <c r="L169" s="85"/>
      <c r="M169" s="85"/>
      <c r="N169" s="85"/>
    </row>
    <row r="170" spans="4:14" ht="14.25">
      <c r="D170" s="85"/>
      <c r="E170" s="85"/>
      <c r="F170" s="85"/>
      <c r="G170" s="85"/>
      <c r="H170" s="85"/>
      <c r="I170" s="85"/>
      <c r="J170" s="85"/>
      <c r="K170" s="85"/>
      <c r="L170" s="85"/>
      <c r="M170" s="85"/>
      <c r="N170" s="85"/>
    </row>
    <row r="171" spans="4:14" ht="14.25">
      <c r="D171" s="85"/>
      <c r="E171" s="85"/>
      <c r="F171" s="85"/>
      <c r="G171" s="85"/>
      <c r="H171" s="85"/>
      <c r="I171" s="85"/>
      <c r="J171" s="85"/>
      <c r="K171" s="85"/>
      <c r="L171" s="85"/>
      <c r="M171" s="85"/>
      <c r="N171" s="85"/>
    </row>
    <row r="172" spans="4:14" ht="14.25">
      <c r="D172" s="85"/>
      <c r="E172" s="85"/>
      <c r="F172" s="85"/>
      <c r="G172" s="85"/>
      <c r="H172" s="85"/>
      <c r="I172" s="85"/>
      <c r="J172" s="85"/>
      <c r="K172" s="85"/>
      <c r="L172" s="85"/>
      <c r="M172" s="85"/>
      <c r="N172" s="85"/>
    </row>
    <row r="173" spans="4:14" ht="14.25">
      <c r="D173" s="85"/>
      <c r="E173" s="85"/>
      <c r="F173" s="85"/>
      <c r="G173" s="85"/>
      <c r="H173" s="85"/>
      <c r="I173" s="85"/>
      <c r="J173" s="85"/>
      <c r="K173" s="85"/>
      <c r="L173" s="85"/>
      <c r="M173" s="85"/>
      <c r="N173" s="85"/>
    </row>
    <row r="174" spans="4:14" ht="14.25">
      <c r="D174" s="85"/>
      <c r="E174" s="85"/>
      <c r="F174" s="85"/>
      <c r="G174" s="85"/>
      <c r="H174" s="85"/>
      <c r="I174" s="85"/>
      <c r="J174" s="85"/>
      <c r="K174" s="85"/>
      <c r="L174" s="85"/>
      <c r="M174" s="85"/>
      <c r="N174" s="85"/>
    </row>
    <row r="175" spans="4:14" ht="14.25">
      <c r="D175" s="85"/>
      <c r="E175" s="85"/>
      <c r="F175" s="85"/>
      <c r="G175" s="85"/>
      <c r="H175" s="85"/>
      <c r="I175" s="85"/>
      <c r="J175" s="85"/>
      <c r="K175" s="85"/>
      <c r="L175" s="85"/>
      <c r="M175" s="85"/>
      <c r="N175" s="85"/>
    </row>
    <row r="176" spans="4:14" ht="14.25">
      <c r="D176" s="85"/>
      <c r="E176" s="85"/>
      <c r="F176" s="85"/>
      <c r="G176" s="85"/>
      <c r="H176" s="85"/>
      <c r="I176" s="85"/>
      <c r="J176" s="85"/>
      <c r="K176" s="85"/>
      <c r="L176" s="85"/>
      <c r="M176" s="85"/>
      <c r="N176" s="85"/>
    </row>
    <row r="177" spans="4:14" ht="14.25">
      <c r="D177" s="85"/>
      <c r="E177" s="85"/>
      <c r="F177" s="85"/>
      <c r="G177" s="85"/>
      <c r="H177" s="85"/>
      <c r="I177" s="85"/>
      <c r="J177" s="85"/>
      <c r="K177" s="85"/>
      <c r="L177" s="85"/>
      <c r="M177" s="85"/>
      <c r="N177" s="85"/>
    </row>
    <row r="178" spans="4:14" ht="14.25">
      <c r="D178" s="85"/>
      <c r="E178" s="85"/>
      <c r="F178" s="85"/>
      <c r="G178" s="85"/>
      <c r="H178" s="85"/>
      <c r="I178" s="85"/>
      <c r="J178" s="85"/>
      <c r="K178" s="85"/>
      <c r="L178" s="85"/>
      <c r="M178" s="85"/>
      <c r="N178" s="85"/>
    </row>
    <row r="179" spans="4:14" ht="14.25">
      <c r="D179" s="85"/>
      <c r="E179" s="85"/>
      <c r="F179" s="85"/>
      <c r="G179" s="85"/>
      <c r="H179" s="85"/>
      <c r="I179" s="85"/>
      <c r="J179" s="85"/>
      <c r="K179" s="85"/>
      <c r="L179" s="85"/>
      <c r="M179" s="85"/>
      <c r="N179" s="85"/>
    </row>
    <row r="180" spans="4:14" ht="14.25">
      <c r="D180" s="85"/>
      <c r="E180" s="85"/>
      <c r="F180" s="85"/>
      <c r="G180" s="85"/>
      <c r="H180" s="85"/>
      <c r="I180" s="85"/>
      <c r="J180" s="85"/>
      <c r="K180" s="85"/>
      <c r="L180" s="85"/>
      <c r="M180" s="85"/>
      <c r="N180" s="85"/>
    </row>
    <row r="181" spans="4:14" ht="14.25">
      <c r="D181" s="85"/>
      <c r="E181" s="85"/>
      <c r="F181" s="85"/>
      <c r="G181" s="85"/>
      <c r="H181" s="85"/>
      <c r="I181" s="85"/>
      <c r="J181" s="85"/>
      <c r="K181" s="85"/>
      <c r="L181" s="85"/>
      <c r="M181" s="85"/>
      <c r="N181" s="85"/>
    </row>
    <row r="182" spans="4:14" ht="14.25">
      <c r="D182" s="85"/>
      <c r="E182" s="85"/>
      <c r="F182" s="85"/>
      <c r="G182" s="85"/>
      <c r="H182" s="85"/>
      <c r="I182" s="85"/>
      <c r="J182" s="85"/>
      <c r="K182" s="85"/>
      <c r="L182" s="85"/>
      <c r="M182" s="85"/>
      <c r="N182" s="85"/>
    </row>
    <row r="183" spans="4:14" ht="14.25">
      <c r="D183" s="85"/>
      <c r="E183" s="85"/>
      <c r="F183" s="85"/>
      <c r="G183" s="85"/>
      <c r="H183" s="85"/>
      <c r="I183" s="85"/>
      <c r="J183" s="85"/>
      <c r="K183" s="85"/>
      <c r="L183" s="85"/>
      <c r="M183" s="85"/>
      <c r="N183" s="85"/>
    </row>
    <row r="184" spans="4:14" ht="14.25">
      <c r="D184" s="85"/>
      <c r="E184" s="85"/>
      <c r="F184" s="85"/>
      <c r="G184" s="85"/>
      <c r="H184" s="85"/>
      <c r="I184" s="85"/>
      <c r="J184" s="85"/>
      <c r="K184" s="85"/>
      <c r="L184" s="85"/>
      <c r="M184" s="85"/>
      <c r="N184" s="85"/>
    </row>
    <row r="185" spans="4:14" ht="14.25">
      <c r="D185" s="85"/>
      <c r="E185" s="85"/>
      <c r="F185" s="85"/>
      <c r="G185" s="85"/>
      <c r="H185" s="85"/>
      <c r="I185" s="85"/>
      <c r="J185" s="85"/>
      <c r="K185" s="85"/>
      <c r="L185" s="85"/>
      <c r="M185" s="85"/>
      <c r="N185" s="85"/>
    </row>
    <row r="186" spans="4:14" ht="14.25">
      <c r="D186" s="85"/>
      <c r="E186" s="85"/>
      <c r="F186" s="85"/>
      <c r="G186" s="85"/>
      <c r="H186" s="85"/>
      <c r="I186" s="85"/>
      <c r="J186" s="85"/>
      <c r="K186" s="85"/>
      <c r="L186" s="85"/>
      <c r="M186" s="85"/>
      <c r="N186" s="85"/>
    </row>
    <row r="187" spans="4:14" ht="14.25">
      <c r="D187" s="85"/>
      <c r="E187" s="85"/>
      <c r="F187" s="85"/>
      <c r="G187" s="85"/>
      <c r="H187" s="85"/>
      <c r="I187" s="85"/>
      <c r="J187" s="85"/>
      <c r="K187" s="85"/>
      <c r="L187" s="85"/>
      <c r="M187" s="85"/>
      <c r="N187" s="85"/>
    </row>
    <row r="188" spans="4:14" ht="14.25">
      <c r="D188" s="85"/>
      <c r="E188" s="85"/>
      <c r="F188" s="85"/>
      <c r="G188" s="85"/>
      <c r="H188" s="85"/>
      <c r="I188" s="85"/>
      <c r="J188" s="85"/>
      <c r="K188" s="85"/>
      <c r="L188" s="85"/>
      <c r="M188" s="85"/>
      <c r="N188" s="85"/>
    </row>
    <row r="189" spans="4:14" ht="14.25">
      <c r="D189" s="85"/>
      <c r="E189" s="85"/>
      <c r="F189" s="85"/>
      <c r="G189" s="85"/>
      <c r="H189" s="85"/>
      <c r="I189" s="85"/>
      <c r="J189" s="85"/>
      <c r="K189" s="85"/>
      <c r="L189" s="85"/>
      <c r="M189" s="85"/>
      <c r="N189" s="85"/>
    </row>
    <row r="190" spans="4:14" ht="14.25">
      <c r="D190" s="85"/>
      <c r="E190" s="85"/>
      <c r="F190" s="85"/>
      <c r="G190" s="85"/>
      <c r="H190" s="85"/>
      <c r="I190" s="85"/>
      <c r="J190" s="85"/>
      <c r="K190" s="85"/>
      <c r="L190" s="85"/>
      <c r="M190" s="85"/>
      <c r="N190" s="85"/>
    </row>
    <row r="191" spans="4:14" ht="14.25">
      <c r="D191" s="85"/>
      <c r="E191" s="85"/>
      <c r="F191" s="85"/>
      <c r="G191" s="85"/>
      <c r="H191" s="85"/>
      <c r="I191" s="85"/>
      <c r="J191" s="85"/>
      <c r="K191" s="85"/>
      <c r="L191" s="85"/>
      <c r="M191" s="85"/>
      <c r="N191" s="85"/>
    </row>
    <row r="192" spans="4:14" ht="14.25">
      <c r="D192" s="85"/>
      <c r="E192" s="85"/>
      <c r="F192" s="85"/>
      <c r="G192" s="85"/>
      <c r="H192" s="85"/>
      <c r="I192" s="85"/>
      <c r="J192" s="85"/>
      <c r="K192" s="85"/>
      <c r="L192" s="85"/>
      <c r="M192" s="85"/>
      <c r="N192" s="85"/>
    </row>
    <row r="193" spans="4:14" ht="14.25">
      <c r="D193" s="85"/>
      <c r="E193" s="85"/>
      <c r="F193" s="85"/>
      <c r="G193" s="85"/>
      <c r="H193" s="85"/>
      <c r="I193" s="85"/>
      <c r="J193" s="85"/>
      <c r="K193" s="85"/>
      <c r="L193" s="85"/>
      <c r="M193" s="85"/>
      <c r="N193" s="85"/>
    </row>
    <row r="194" spans="4:14" ht="14.25">
      <c r="D194" s="85"/>
      <c r="E194" s="85"/>
      <c r="F194" s="85"/>
      <c r="G194" s="85"/>
      <c r="H194" s="85"/>
      <c r="I194" s="85"/>
      <c r="J194" s="85"/>
      <c r="K194" s="85"/>
      <c r="L194" s="85"/>
      <c r="M194" s="85"/>
      <c r="N194" s="85"/>
    </row>
    <row r="195" spans="4:14" ht="14.25">
      <c r="D195" s="85"/>
      <c r="E195" s="85"/>
      <c r="F195" s="85"/>
      <c r="G195" s="85"/>
      <c r="H195" s="85"/>
      <c r="I195" s="85"/>
      <c r="J195" s="85"/>
      <c r="K195" s="85"/>
      <c r="L195" s="85"/>
      <c r="M195" s="85"/>
      <c r="N195" s="85"/>
    </row>
    <row r="196" spans="4:14" ht="14.25">
      <c r="D196" s="85"/>
      <c r="E196" s="85"/>
      <c r="F196" s="85"/>
      <c r="G196" s="85"/>
      <c r="H196" s="85"/>
      <c r="I196" s="85"/>
      <c r="J196" s="85"/>
      <c r="K196" s="85"/>
      <c r="L196" s="85"/>
      <c r="M196" s="85"/>
      <c r="N196" s="85"/>
    </row>
    <row r="197" spans="4:14" ht="14.25">
      <c r="D197" s="85"/>
      <c r="E197" s="85"/>
      <c r="F197" s="85"/>
      <c r="G197" s="85"/>
      <c r="H197" s="85"/>
      <c r="I197" s="85"/>
      <c r="J197" s="85"/>
      <c r="K197" s="85"/>
      <c r="L197" s="85"/>
      <c r="M197" s="85"/>
      <c r="N197" s="85"/>
    </row>
    <row r="198" spans="4:14" ht="14.25">
      <c r="D198" s="85"/>
      <c r="E198" s="85"/>
      <c r="F198" s="85"/>
      <c r="G198" s="85"/>
      <c r="H198" s="85"/>
      <c r="I198" s="85"/>
      <c r="J198" s="85"/>
      <c r="K198" s="85"/>
      <c r="L198" s="85"/>
      <c r="M198" s="85"/>
      <c r="N198" s="85"/>
    </row>
    <row r="199" spans="4:14" ht="14.25">
      <c r="D199" s="85"/>
      <c r="E199" s="85"/>
      <c r="F199" s="85"/>
      <c r="G199" s="85"/>
      <c r="H199" s="85"/>
      <c r="I199" s="85"/>
      <c r="J199" s="85"/>
      <c r="K199" s="85"/>
      <c r="L199" s="85"/>
      <c r="M199" s="85"/>
      <c r="N199" s="85"/>
    </row>
    <row r="200" spans="4:14" ht="14.25">
      <c r="D200" s="85"/>
      <c r="E200" s="85"/>
      <c r="F200" s="85"/>
      <c r="G200" s="85"/>
      <c r="H200" s="85"/>
      <c r="I200" s="85"/>
      <c r="J200" s="85"/>
      <c r="K200" s="85"/>
      <c r="L200" s="85"/>
      <c r="M200" s="85"/>
      <c r="N200" s="85"/>
    </row>
    <row r="201" spans="4:14" ht="14.25">
      <c r="D201" s="85"/>
      <c r="E201" s="85"/>
      <c r="F201" s="85"/>
      <c r="G201" s="85"/>
      <c r="H201" s="85"/>
      <c r="I201" s="85"/>
      <c r="J201" s="85"/>
      <c r="K201" s="85"/>
      <c r="L201" s="85"/>
      <c r="M201" s="85"/>
      <c r="N201" s="85"/>
    </row>
    <row r="202" spans="4:14" ht="14.25">
      <c r="D202" s="85"/>
      <c r="E202" s="85"/>
      <c r="F202" s="85"/>
      <c r="G202" s="85"/>
      <c r="H202" s="85"/>
      <c r="I202" s="85"/>
      <c r="J202" s="85"/>
      <c r="K202" s="85"/>
      <c r="L202" s="85"/>
      <c r="M202" s="85"/>
      <c r="N202" s="85"/>
    </row>
    <row r="203" spans="4:14" ht="14.25">
      <c r="D203" s="85"/>
      <c r="E203" s="85"/>
      <c r="F203" s="85"/>
      <c r="G203" s="85"/>
      <c r="H203" s="85"/>
      <c r="I203" s="85"/>
      <c r="J203" s="85"/>
      <c r="K203" s="85"/>
      <c r="L203" s="85"/>
      <c r="M203" s="85"/>
      <c r="N203" s="85"/>
    </row>
    <row r="204" spans="4:14" ht="14.25">
      <c r="D204" s="85"/>
      <c r="E204" s="85"/>
      <c r="F204" s="85"/>
      <c r="G204" s="85"/>
      <c r="H204" s="85"/>
      <c r="I204" s="85"/>
      <c r="J204" s="85"/>
      <c r="K204" s="85"/>
      <c r="L204" s="85"/>
      <c r="M204" s="85"/>
      <c r="N204" s="85"/>
    </row>
    <row r="205" spans="4:14" ht="14.25">
      <c r="D205" s="85"/>
      <c r="E205" s="85"/>
      <c r="F205" s="85"/>
      <c r="G205" s="85"/>
      <c r="H205" s="85"/>
      <c r="I205" s="85"/>
      <c r="J205" s="85"/>
      <c r="K205" s="85"/>
      <c r="L205" s="85"/>
      <c r="M205" s="85"/>
      <c r="N205" s="85"/>
    </row>
    <row r="206" spans="4:14" ht="14.25">
      <c r="D206" s="85"/>
      <c r="E206" s="85"/>
      <c r="F206" s="85"/>
      <c r="G206" s="85"/>
      <c r="H206" s="85"/>
      <c r="I206" s="85"/>
      <c r="J206" s="85"/>
      <c r="K206" s="85"/>
      <c r="L206" s="85"/>
      <c r="M206" s="85"/>
      <c r="N206" s="85"/>
    </row>
    <row r="207" spans="4:14" ht="14.25">
      <c r="D207" s="85"/>
      <c r="E207" s="85"/>
      <c r="F207" s="85"/>
      <c r="G207" s="85"/>
      <c r="H207" s="85"/>
      <c r="I207" s="85"/>
      <c r="J207" s="85"/>
      <c r="K207" s="85"/>
      <c r="L207" s="85"/>
      <c r="M207" s="85"/>
      <c r="N207" s="85"/>
    </row>
    <row r="208" spans="4:14" ht="14.25">
      <c r="D208" s="85"/>
      <c r="E208" s="85"/>
      <c r="F208" s="85"/>
      <c r="G208" s="85"/>
      <c r="H208" s="85"/>
      <c r="I208" s="85"/>
      <c r="J208" s="85"/>
      <c r="K208" s="85"/>
      <c r="L208" s="85"/>
      <c r="M208" s="85"/>
      <c r="N208" s="85"/>
    </row>
    <row r="209" spans="4:14" ht="14.25">
      <c r="D209" s="85"/>
      <c r="E209" s="85"/>
      <c r="F209" s="85"/>
      <c r="G209" s="85"/>
      <c r="H209" s="85"/>
      <c r="I209" s="85"/>
      <c r="J209" s="85"/>
      <c r="K209" s="85"/>
      <c r="L209" s="85"/>
      <c r="M209" s="85"/>
      <c r="N209" s="85"/>
    </row>
    <row r="210" spans="4:14" ht="14.25">
      <c r="D210" s="85"/>
      <c r="E210" s="85"/>
      <c r="F210" s="85"/>
      <c r="G210" s="85"/>
      <c r="H210" s="85"/>
      <c r="I210" s="85"/>
      <c r="J210" s="85"/>
      <c r="K210" s="85"/>
      <c r="L210" s="85"/>
      <c r="M210" s="85"/>
      <c r="N210" s="85"/>
    </row>
    <row r="211" spans="4:14" ht="14.25">
      <c r="D211" s="85"/>
      <c r="E211" s="85"/>
      <c r="F211" s="85"/>
      <c r="G211" s="85"/>
      <c r="H211" s="85"/>
      <c r="I211" s="85"/>
      <c r="J211" s="85"/>
      <c r="K211" s="85"/>
      <c r="L211" s="85"/>
      <c r="M211" s="85"/>
      <c r="N211" s="85"/>
    </row>
    <row r="212" spans="4:14" ht="14.25">
      <c r="D212" s="85"/>
      <c r="E212" s="85"/>
      <c r="F212" s="85"/>
      <c r="G212" s="85"/>
      <c r="H212" s="85"/>
      <c r="I212" s="85"/>
      <c r="J212" s="85"/>
      <c r="K212" s="85"/>
      <c r="L212" s="85"/>
      <c r="M212" s="85"/>
      <c r="N212" s="85"/>
    </row>
    <row r="213" spans="4:14" ht="14.25">
      <c r="D213" s="85"/>
      <c r="E213" s="85"/>
      <c r="F213" s="85"/>
      <c r="G213" s="85"/>
      <c r="H213" s="85"/>
      <c r="I213" s="85"/>
      <c r="J213" s="85"/>
      <c r="K213" s="85"/>
      <c r="L213" s="85"/>
      <c r="M213" s="85"/>
      <c r="N213" s="85"/>
    </row>
    <row r="214" spans="4:14" ht="14.25">
      <c r="D214" s="85"/>
      <c r="E214" s="85"/>
      <c r="F214" s="85"/>
      <c r="G214" s="85"/>
      <c r="H214" s="85"/>
      <c r="I214" s="85"/>
      <c r="J214" s="85"/>
      <c r="K214" s="85"/>
      <c r="L214" s="85"/>
      <c r="M214" s="85"/>
      <c r="N214" s="85"/>
    </row>
    <row r="215" spans="4:14" ht="14.25">
      <c r="D215" s="85"/>
      <c r="E215" s="85"/>
      <c r="F215" s="85"/>
      <c r="G215" s="85"/>
      <c r="H215" s="85"/>
      <c r="I215" s="85"/>
      <c r="J215" s="85"/>
      <c r="K215" s="85"/>
      <c r="L215" s="85"/>
      <c r="M215" s="85"/>
      <c r="N215" s="85"/>
    </row>
    <row r="216" spans="4:14" ht="14.25">
      <c r="D216" s="85"/>
      <c r="E216" s="85"/>
      <c r="F216" s="85"/>
      <c r="G216" s="85"/>
      <c r="H216" s="85"/>
      <c r="I216" s="85"/>
      <c r="J216" s="85"/>
      <c r="K216" s="85"/>
      <c r="L216" s="85"/>
      <c r="M216" s="85"/>
      <c r="N216" s="85"/>
    </row>
    <row r="217" spans="4:14" ht="14.25">
      <c r="D217" s="85"/>
      <c r="E217" s="85"/>
      <c r="F217" s="85"/>
      <c r="G217" s="85"/>
      <c r="H217" s="85"/>
      <c r="I217" s="85"/>
      <c r="J217" s="85"/>
      <c r="K217" s="85"/>
      <c r="L217" s="85"/>
      <c r="M217" s="85"/>
      <c r="N217" s="85"/>
    </row>
    <row r="218" spans="4:14" ht="14.25">
      <c r="D218" s="85"/>
      <c r="E218" s="85"/>
      <c r="F218" s="85"/>
      <c r="G218" s="85"/>
      <c r="H218" s="85"/>
      <c r="I218" s="85"/>
      <c r="J218" s="85"/>
      <c r="K218" s="85"/>
      <c r="L218" s="85"/>
      <c r="M218" s="85"/>
      <c r="N218" s="85"/>
    </row>
    <row r="219" spans="4:14" ht="14.25">
      <c r="D219" s="85"/>
      <c r="E219" s="85"/>
      <c r="F219" s="85"/>
      <c r="G219" s="85"/>
      <c r="H219" s="85"/>
      <c r="I219" s="85"/>
      <c r="J219" s="85"/>
      <c r="K219" s="85"/>
      <c r="L219" s="85"/>
      <c r="M219" s="85"/>
      <c r="N219" s="85"/>
    </row>
    <row r="220" spans="4:14" ht="14.25">
      <c r="D220" s="85"/>
      <c r="E220" s="85"/>
      <c r="F220" s="85"/>
      <c r="G220" s="85"/>
      <c r="H220" s="85"/>
      <c r="I220" s="85"/>
      <c r="J220" s="85"/>
      <c r="K220" s="85"/>
      <c r="L220" s="85"/>
      <c r="M220" s="85"/>
      <c r="N220" s="85"/>
    </row>
    <row r="221" spans="4:14" ht="14.25">
      <c r="D221" s="85"/>
      <c r="E221" s="85"/>
      <c r="F221" s="85"/>
      <c r="G221" s="85"/>
      <c r="H221" s="85"/>
      <c r="I221" s="85"/>
      <c r="J221" s="85"/>
      <c r="K221" s="85"/>
      <c r="L221" s="85"/>
      <c r="M221" s="85"/>
      <c r="N221" s="85"/>
    </row>
    <row r="222" spans="4:14" ht="14.25">
      <c r="D222" s="85"/>
      <c r="E222" s="85"/>
      <c r="F222" s="85"/>
      <c r="G222" s="85"/>
      <c r="H222" s="85"/>
      <c r="I222" s="85"/>
      <c r="J222" s="85"/>
      <c r="K222" s="85"/>
      <c r="L222" s="85"/>
      <c r="M222" s="85"/>
      <c r="N222" s="85"/>
    </row>
    <row r="223" spans="4:14" ht="14.25">
      <c r="D223" s="85"/>
      <c r="E223" s="85"/>
      <c r="F223" s="85"/>
      <c r="G223" s="85"/>
      <c r="H223" s="85"/>
      <c r="I223" s="85"/>
      <c r="J223" s="85"/>
      <c r="K223" s="85"/>
      <c r="L223" s="85"/>
      <c r="M223" s="85"/>
      <c r="N223" s="85"/>
    </row>
    <row r="224" spans="4:14" ht="14.25">
      <c r="D224" s="85"/>
      <c r="E224" s="85"/>
      <c r="F224" s="85"/>
      <c r="G224" s="85"/>
      <c r="H224" s="85"/>
      <c r="I224" s="85"/>
      <c r="J224" s="85"/>
      <c r="K224" s="85"/>
      <c r="L224" s="85"/>
      <c r="M224" s="85"/>
      <c r="N224" s="85"/>
    </row>
    <row r="225" spans="4:14" ht="14.25">
      <c r="D225" s="85"/>
      <c r="E225" s="85"/>
      <c r="F225" s="85"/>
      <c r="G225" s="85"/>
      <c r="H225" s="85"/>
      <c r="I225" s="85"/>
      <c r="J225" s="85"/>
      <c r="K225" s="85"/>
      <c r="L225" s="85"/>
      <c r="M225" s="85"/>
      <c r="N225" s="85"/>
    </row>
    <row r="226" spans="4:14" ht="14.25">
      <c r="D226" s="85"/>
      <c r="E226" s="85"/>
      <c r="F226" s="85"/>
      <c r="G226" s="85"/>
      <c r="H226" s="85"/>
      <c r="I226" s="85"/>
      <c r="J226" s="85"/>
      <c r="K226" s="85"/>
      <c r="L226" s="85"/>
      <c r="M226" s="85"/>
      <c r="N226" s="85"/>
    </row>
    <row r="227" spans="4:14" ht="14.25">
      <c r="D227" s="85"/>
      <c r="E227" s="85"/>
      <c r="F227" s="85"/>
      <c r="G227" s="85"/>
      <c r="H227" s="85"/>
      <c r="I227" s="85"/>
      <c r="J227" s="85"/>
      <c r="K227" s="85"/>
      <c r="L227" s="85"/>
      <c r="M227" s="85"/>
      <c r="N227" s="85"/>
    </row>
    <row r="228" spans="4:14" ht="14.25">
      <c r="D228" s="85"/>
      <c r="E228" s="85"/>
      <c r="F228" s="85"/>
      <c r="G228" s="85"/>
      <c r="H228" s="85"/>
      <c r="I228" s="85"/>
      <c r="J228" s="85"/>
      <c r="K228" s="85"/>
      <c r="L228" s="85"/>
      <c r="M228" s="85"/>
      <c r="N228" s="85"/>
    </row>
    <row r="229" spans="4:14" ht="14.25">
      <c r="D229" s="85"/>
      <c r="E229" s="85"/>
      <c r="F229" s="85"/>
      <c r="G229" s="85"/>
      <c r="H229" s="85"/>
      <c r="I229" s="85"/>
      <c r="J229" s="85"/>
      <c r="K229" s="85"/>
      <c r="L229" s="85"/>
      <c r="M229" s="85"/>
      <c r="N229" s="85"/>
    </row>
    <row r="230" spans="4:14" ht="14.25">
      <c r="D230" s="85"/>
      <c r="E230" s="85"/>
      <c r="F230" s="85"/>
      <c r="G230" s="85"/>
      <c r="H230" s="85"/>
      <c r="I230" s="85"/>
      <c r="J230" s="85"/>
      <c r="K230" s="85"/>
      <c r="L230" s="85"/>
      <c r="M230" s="85"/>
      <c r="N230" s="85"/>
    </row>
    <row r="231" spans="4:14" ht="14.25">
      <c r="D231" s="85"/>
      <c r="E231" s="85"/>
      <c r="F231" s="85"/>
      <c r="G231" s="85"/>
      <c r="H231" s="85"/>
      <c r="I231" s="85"/>
      <c r="J231" s="85"/>
      <c r="K231" s="85"/>
      <c r="L231" s="85"/>
      <c r="M231" s="85"/>
      <c r="N231" s="85"/>
    </row>
    <row r="232" spans="4:14" ht="14.25">
      <c r="D232" s="85"/>
      <c r="E232" s="85"/>
      <c r="F232" s="85"/>
      <c r="G232" s="85"/>
      <c r="H232" s="85"/>
      <c r="I232" s="85"/>
      <c r="J232" s="85"/>
      <c r="K232" s="85"/>
      <c r="L232" s="85"/>
      <c r="M232" s="85"/>
      <c r="N232" s="85"/>
    </row>
    <row r="233" spans="4:14" ht="14.25">
      <c r="D233" s="85"/>
      <c r="E233" s="85"/>
      <c r="F233" s="85"/>
      <c r="G233" s="85"/>
      <c r="H233" s="85"/>
      <c r="I233" s="85"/>
      <c r="J233" s="85"/>
      <c r="K233" s="85"/>
      <c r="L233" s="85"/>
      <c r="M233" s="85"/>
      <c r="N233" s="85"/>
    </row>
    <row r="234" spans="4:14" ht="14.25">
      <c r="D234" s="85"/>
      <c r="E234" s="85"/>
      <c r="F234" s="85"/>
      <c r="G234" s="85"/>
      <c r="H234" s="85"/>
      <c r="I234" s="85"/>
      <c r="J234" s="85"/>
      <c r="K234" s="85"/>
      <c r="L234" s="85"/>
      <c r="M234" s="85"/>
      <c r="N234" s="85"/>
    </row>
    <row r="235" spans="4:14" ht="14.25">
      <c r="D235" s="85"/>
      <c r="E235" s="85"/>
      <c r="F235" s="85"/>
      <c r="G235" s="85"/>
      <c r="H235" s="85"/>
      <c r="I235" s="85"/>
      <c r="J235" s="85"/>
      <c r="K235" s="85"/>
      <c r="L235" s="85"/>
      <c r="M235" s="85"/>
      <c r="N235" s="85"/>
    </row>
    <row r="236" spans="4:14" ht="14.25">
      <c r="D236" s="85"/>
      <c r="E236" s="85"/>
      <c r="F236" s="85"/>
      <c r="G236" s="85"/>
      <c r="H236" s="85"/>
      <c r="I236" s="85"/>
      <c r="J236" s="85"/>
      <c r="K236" s="85"/>
      <c r="L236" s="85"/>
      <c r="M236" s="85"/>
      <c r="N236" s="85"/>
    </row>
    <row r="237" spans="4:14" ht="14.25">
      <c r="D237" s="85"/>
      <c r="E237" s="85"/>
      <c r="F237" s="85"/>
      <c r="G237" s="85"/>
      <c r="H237" s="85"/>
      <c r="I237" s="85"/>
      <c r="J237" s="85"/>
      <c r="K237" s="85"/>
      <c r="L237" s="85"/>
      <c r="M237" s="85"/>
      <c r="N237" s="85"/>
    </row>
    <row r="238" spans="4:14" ht="14.25">
      <c r="D238" s="85"/>
      <c r="E238" s="85"/>
      <c r="F238" s="85"/>
      <c r="G238" s="85"/>
      <c r="H238" s="85"/>
      <c r="I238" s="85"/>
      <c r="J238" s="85"/>
      <c r="K238" s="85"/>
      <c r="L238" s="85"/>
      <c r="M238" s="85"/>
      <c r="N238" s="85"/>
    </row>
    <row r="239" spans="4:14" ht="14.25">
      <c r="D239" s="85"/>
      <c r="E239" s="85"/>
      <c r="F239" s="85"/>
      <c r="G239" s="85"/>
      <c r="H239" s="85"/>
      <c r="I239" s="85"/>
      <c r="J239" s="85"/>
      <c r="K239" s="85"/>
      <c r="L239" s="85"/>
      <c r="M239" s="85"/>
      <c r="N239" s="85"/>
    </row>
    <row r="240" spans="4:14" ht="14.25">
      <c r="D240" s="85"/>
      <c r="E240" s="85"/>
      <c r="F240" s="85"/>
      <c r="G240" s="85"/>
      <c r="H240" s="85"/>
      <c r="I240" s="85"/>
      <c r="J240" s="85"/>
      <c r="K240" s="85"/>
      <c r="L240" s="85"/>
      <c r="M240" s="85"/>
      <c r="N240" s="85"/>
    </row>
    <row r="241" spans="4:14" ht="14.25">
      <c r="D241" s="85"/>
      <c r="E241" s="85"/>
      <c r="F241" s="85"/>
      <c r="G241" s="85"/>
      <c r="H241" s="85"/>
      <c r="I241" s="85"/>
      <c r="J241" s="85"/>
      <c r="K241" s="85"/>
      <c r="L241" s="85"/>
      <c r="M241" s="85"/>
      <c r="N241" s="85"/>
    </row>
    <row r="242" spans="4:14" ht="14.25">
      <c r="D242" s="85"/>
      <c r="E242" s="85"/>
      <c r="F242" s="85"/>
      <c r="G242" s="85"/>
      <c r="H242" s="85"/>
      <c r="I242" s="85"/>
      <c r="J242" s="85"/>
      <c r="K242" s="85"/>
      <c r="L242" s="85"/>
      <c r="M242" s="85"/>
      <c r="N242" s="85"/>
    </row>
    <row r="243" spans="4:14" ht="14.25">
      <c r="D243" s="85"/>
      <c r="E243" s="85"/>
      <c r="F243" s="85"/>
      <c r="G243" s="85"/>
      <c r="H243" s="85"/>
      <c r="I243" s="85"/>
      <c r="J243" s="85"/>
      <c r="K243" s="85"/>
      <c r="L243" s="85"/>
      <c r="M243" s="85"/>
      <c r="N243" s="85"/>
    </row>
    <row r="244" spans="4:14" ht="14.25">
      <c r="D244" s="85"/>
      <c r="E244" s="85"/>
      <c r="F244" s="85"/>
      <c r="G244" s="85"/>
      <c r="H244" s="85"/>
      <c r="I244" s="85"/>
      <c r="J244" s="85"/>
      <c r="K244" s="85"/>
      <c r="L244" s="85"/>
      <c r="M244" s="85"/>
      <c r="N244" s="85"/>
    </row>
    <row r="245" spans="4:14" ht="14.25">
      <c r="D245" s="85"/>
      <c r="E245" s="85"/>
      <c r="F245" s="85"/>
      <c r="G245" s="85"/>
      <c r="H245" s="85"/>
      <c r="I245" s="85"/>
      <c r="J245" s="85"/>
      <c r="K245" s="85"/>
      <c r="L245" s="85"/>
      <c r="M245" s="85"/>
      <c r="N245" s="85"/>
    </row>
    <row r="246" spans="4:14" ht="14.25">
      <c r="D246" s="85"/>
      <c r="E246" s="85"/>
      <c r="F246" s="85"/>
      <c r="G246" s="85"/>
      <c r="H246" s="85"/>
      <c r="I246" s="85"/>
      <c r="J246" s="85"/>
      <c r="K246" s="85"/>
      <c r="L246" s="85"/>
      <c r="M246" s="85"/>
      <c r="N246" s="85"/>
    </row>
    <row r="247" spans="4:14" ht="14.25">
      <c r="D247" s="85"/>
      <c r="E247" s="85"/>
      <c r="F247" s="85"/>
      <c r="G247" s="85"/>
      <c r="H247" s="85"/>
      <c r="I247" s="85"/>
      <c r="J247" s="85"/>
      <c r="K247" s="85"/>
      <c r="L247" s="85"/>
      <c r="M247" s="85"/>
      <c r="N247" s="85"/>
    </row>
    <row r="248" spans="4:14" ht="14.25">
      <c r="D248" s="85"/>
      <c r="E248" s="85"/>
      <c r="F248" s="85"/>
      <c r="G248" s="85"/>
      <c r="H248" s="85"/>
      <c r="I248" s="85"/>
      <c r="J248" s="85"/>
      <c r="K248" s="85"/>
      <c r="L248" s="85"/>
      <c r="M248" s="85"/>
      <c r="N248" s="85"/>
    </row>
    <row r="249" spans="4:14" ht="14.25">
      <c r="D249" s="85"/>
      <c r="E249" s="85"/>
      <c r="F249" s="85"/>
      <c r="G249" s="85"/>
      <c r="H249" s="85"/>
      <c r="I249" s="85"/>
      <c r="J249" s="85"/>
      <c r="K249" s="85"/>
      <c r="L249" s="85"/>
      <c r="M249" s="85"/>
      <c r="N249" s="85"/>
    </row>
    <row r="250" spans="4:14" ht="14.25">
      <c r="D250" s="85"/>
      <c r="E250" s="85"/>
      <c r="F250" s="85"/>
      <c r="G250" s="85"/>
      <c r="H250" s="85"/>
      <c r="I250" s="85"/>
      <c r="J250" s="85"/>
      <c r="K250" s="85"/>
      <c r="L250" s="85"/>
      <c r="M250" s="85"/>
      <c r="N250" s="85"/>
    </row>
    <row r="251" spans="4:14" ht="14.25">
      <c r="D251" s="85"/>
      <c r="E251" s="85"/>
      <c r="F251" s="85"/>
      <c r="G251" s="85"/>
      <c r="H251" s="85"/>
      <c r="I251" s="85"/>
      <c r="J251" s="85"/>
      <c r="K251" s="85"/>
      <c r="L251" s="85"/>
      <c r="M251" s="85"/>
      <c r="N251" s="85"/>
    </row>
    <row r="252" spans="4:14" ht="14.25">
      <c r="D252" s="85"/>
      <c r="E252" s="85"/>
      <c r="F252" s="85"/>
      <c r="G252" s="85"/>
      <c r="H252" s="85"/>
      <c r="I252" s="85"/>
      <c r="J252" s="85"/>
      <c r="K252" s="85"/>
      <c r="L252" s="85"/>
      <c r="M252" s="85"/>
      <c r="N252" s="85"/>
    </row>
    <row r="253" spans="4:14" ht="14.25">
      <c r="D253" s="85"/>
      <c r="E253" s="85"/>
      <c r="F253" s="85"/>
      <c r="G253" s="85"/>
      <c r="H253" s="85"/>
      <c r="I253" s="85"/>
      <c r="J253" s="85"/>
      <c r="K253" s="85"/>
      <c r="L253" s="85"/>
      <c r="M253" s="85"/>
      <c r="N253" s="85"/>
    </row>
    <row r="254" spans="4:14" ht="14.25">
      <c r="D254" s="85"/>
      <c r="E254" s="85"/>
      <c r="F254" s="85"/>
      <c r="G254" s="85"/>
      <c r="H254" s="85"/>
      <c r="I254" s="85"/>
      <c r="J254" s="85"/>
      <c r="K254" s="85"/>
      <c r="L254" s="85"/>
      <c r="M254" s="85"/>
      <c r="N254" s="85"/>
    </row>
    <row r="255" spans="4:14" ht="14.25">
      <c r="D255" s="85"/>
      <c r="E255" s="85"/>
      <c r="F255" s="85"/>
      <c r="G255" s="85"/>
      <c r="H255" s="85"/>
      <c r="I255" s="85"/>
      <c r="J255" s="85"/>
      <c r="K255" s="85"/>
      <c r="L255" s="85"/>
      <c r="M255" s="85"/>
      <c r="N255" s="85"/>
    </row>
    <row r="256" spans="4:14" ht="14.25">
      <c r="D256" s="85"/>
      <c r="E256" s="85"/>
      <c r="F256" s="85"/>
      <c r="G256" s="85"/>
      <c r="H256" s="85"/>
      <c r="I256" s="85"/>
      <c r="J256" s="85"/>
      <c r="K256" s="85"/>
      <c r="L256" s="85"/>
      <c r="M256" s="85"/>
      <c r="N256" s="85"/>
    </row>
    <row r="257" spans="4:14" ht="14.25">
      <c r="D257" s="85"/>
      <c r="E257" s="85"/>
      <c r="F257" s="85"/>
      <c r="G257" s="85"/>
      <c r="H257" s="85"/>
      <c r="I257" s="85"/>
      <c r="J257" s="85"/>
      <c r="K257" s="85"/>
      <c r="L257" s="85"/>
      <c r="M257" s="85"/>
      <c r="N257" s="85"/>
    </row>
    <row r="258" spans="4:14" ht="14.25">
      <c r="D258" s="85"/>
      <c r="E258" s="85"/>
      <c r="F258" s="85"/>
      <c r="G258" s="85"/>
      <c r="H258" s="85"/>
      <c r="I258" s="85"/>
      <c r="J258" s="85"/>
      <c r="K258" s="85"/>
      <c r="L258" s="85"/>
      <c r="M258" s="85"/>
      <c r="N258" s="85"/>
    </row>
    <row r="259" spans="4:14" ht="14.25">
      <c r="D259" s="85"/>
      <c r="E259" s="85"/>
      <c r="F259" s="85"/>
      <c r="G259" s="85"/>
      <c r="H259" s="85"/>
      <c r="I259" s="85"/>
      <c r="J259" s="85"/>
      <c r="K259" s="85"/>
      <c r="L259" s="85"/>
      <c r="M259" s="85"/>
      <c r="N259" s="85"/>
    </row>
    <row r="260" spans="4:14" ht="14.25">
      <c r="D260" s="85"/>
      <c r="E260" s="85"/>
      <c r="F260" s="85"/>
      <c r="G260" s="85"/>
      <c r="H260" s="85"/>
      <c r="I260" s="85"/>
      <c r="J260" s="85"/>
      <c r="K260" s="85"/>
      <c r="L260" s="85"/>
      <c r="M260" s="85"/>
      <c r="N260" s="85"/>
    </row>
    <row r="261" spans="4:14" ht="14.25">
      <c r="D261" s="85"/>
      <c r="E261" s="85"/>
      <c r="F261" s="85"/>
      <c r="G261" s="85"/>
      <c r="H261" s="85"/>
      <c r="I261" s="85"/>
      <c r="J261" s="85"/>
      <c r="K261" s="85"/>
      <c r="L261" s="85"/>
      <c r="M261" s="85"/>
      <c r="N261" s="85"/>
    </row>
    <row r="262" spans="4:14" ht="14.25">
      <c r="D262" s="85"/>
      <c r="E262" s="85"/>
      <c r="F262" s="85"/>
      <c r="G262" s="85"/>
      <c r="H262" s="85"/>
      <c r="I262" s="85"/>
      <c r="J262" s="85"/>
      <c r="K262" s="85"/>
      <c r="L262" s="85"/>
      <c r="M262" s="85"/>
      <c r="N262" s="85"/>
    </row>
    <row r="263" spans="4:14" ht="14.25">
      <c r="D263" s="85"/>
      <c r="E263" s="85"/>
      <c r="F263" s="85"/>
      <c r="G263" s="85"/>
      <c r="H263" s="85"/>
      <c r="I263" s="85"/>
      <c r="J263" s="85"/>
      <c r="K263" s="85"/>
      <c r="L263" s="85"/>
      <c r="M263" s="85"/>
      <c r="N263" s="85"/>
    </row>
    <row r="264" spans="4:14" ht="14.25">
      <c r="D264" s="85"/>
      <c r="E264" s="85"/>
      <c r="F264" s="85"/>
      <c r="G264" s="85"/>
      <c r="H264" s="85"/>
      <c r="I264" s="85"/>
      <c r="J264" s="85"/>
      <c r="K264" s="85"/>
      <c r="L264" s="85"/>
      <c r="M264" s="85"/>
      <c r="N264" s="85"/>
    </row>
    <row r="265" spans="4:14" ht="14.25">
      <c r="D265" s="85"/>
      <c r="E265" s="85"/>
      <c r="F265" s="85"/>
      <c r="G265" s="85"/>
      <c r="H265" s="85"/>
      <c r="I265" s="85"/>
      <c r="J265" s="85"/>
      <c r="K265" s="85"/>
      <c r="L265" s="85"/>
      <c r="M265" s="85"/>
      <c r="N265" s="85"/>
    </row>
    <row r="266" spans="4:14" ht="14.25">
      <c r="D266" s="85"/>
      <c r="E266" s="85"/>
      <c r="F266" s="85"/>
      <c r="G266" s="85"/>
      <c r="H266" s="85"/>
      <c r="I266" s="85"/>
      <c r="J266" s="85"/>
      <c r="K266" s="85"/>
      <c r="L266" s="85"/>
      <c r="M266" s="85"/>
      <c r="N266" s="85"/>
    </row>
    <row r="267" spans="4:14" ht="14.25">
      <c r="D267" s="85"/>
      <c r="E267" s="85"/>
      <c r="F267" s="85"/>
      <c r="G267" s="85"/>
      <c r="H267" s="85"/>
      <c r="I267" s="85"/>
      <c r="J267" s="85"/>
      <c r="K267" s="85"/>
      <c r="L267" s="85"/>
      <c r="M267" s="85"/>
      <c r="N267" s="85"/>
    </row>
    <row r="268" spans="4:14" ht="14.25">
      <c r="D268" s="85"/>
      <c r="E268" s="85"/>
      <c r="F268" s="85"/>
      <c r="G268" s="85"/>
      <c r="H268" s="85"/>
      <c r="I268" s="85"/>
      <c r="J268" s="85"/>
      <c r="K268" s="85"/>
      <c r="L268" s="85"/>
      <c r="M268" s="85"/>
      <c r="N268" s="85"/>
    </row>
    <row r="269" spans="4:14" ht="14.25">
      <c r="D269" s="85"/>
      <c r="E269" s="85"/>
      <c r="F269" s="85"/>
      <c r="G269" s="85"/>
      <c r="H269" s="85"/>
      <c r="I269" s="85"/>
      <c r="J269" s="85"/>
      <c r="K269" s="85"/>
      <c r="L269" s="85"/>
      <c r="M269" s="85"/>
      <c r="N269" s="85"/>
    </row>
    <row r="270" spans="4:14" ht="14.25">
      <c r="D270" s="85"/>
      <c r="E270" s="85"/>
      <c r="F270" s="85"/>
      <c r="G270" s="85"/>
      <c r="H270" s="85"/>
      <c r="I270" s="85"/>
      <c r="J270" s="85"/>
      <c r="K270" s="85"/>
      <c r="L270" s="85"/>
      <c r="M270" s="85"/>
      <c r="N270" s="85"/>
    </row>
    <row r="271" spans="4:14" ht="14.25">
      <c r="D271" s="85"/>
      <c r="E271" s="85"/>
      <c r="F271" s="85"/>
      <c r="G271" s="85"/>
      <c r="H271" s="85"/>
      <c r="I271" s="85"/>
      <c r="J271" s="85"/>
      <c r="K271" s="85"/>
      <c r="L271" s="85"/>
      <c r="M271" s="85"/>
      <c r="N271" s="85"/>
    </row>
    <row r="272" spans="4:14" ht="14.25">
      <c r="D272" s="85"/>
      <c r="E272" s="85"/>
      <c r="F272" s="85"/>
      <c r="G272" s="85"/>
      <c r="H272" s="85"/>
      <c r="I272" s="85"/>
      <c r="J272" s="85"/>
      <c r="K272" s="85"/>
      <c r="L272" s="85"/>
      <c r="M272" s="85"/>
      <c r="N272" s="85"/>
    </row>
    <row r="273" spans="4:14" ht="14.25">
      <c r="D273" s="85"/>
      <c r="E273" s="85"/>
      <c r="F273" s="85"/>
      <c r="G273" s="85"/>
      <c r="H273" s="85"/>
      <c r="I273" s="85"/>
      <c r="J273" s="85"/>
      <c r="K273" s="85"/>
      <c r="L273" s="85"/>
      <c r="M273" s="85"/>
      <c r="N273" s="85"/>
    </row>
    <row r="274" spans="4:14" ht="14.25">
      <c r="D274" s="85"/>
      <c r="E274" s="85"/>
      <c r="F274" s="85"/>
      <c r="G274" s="85"/>
      <c r="H274" s="85"/>
      <c r="I274" s="85"/>
      <c r="J274" s="85"/>
      <c r="K274" s="85"/>
      <c r="L274" s="85"/>
      <c r="M274" s="85"/>
      <c r="N274" s="85"/>
    </row>
    <row r="275" spans="4:14" ht="14.25">
      <c r="D275" s="85"/>
      <c r="E275" s="85"/>
      <c r="F275" s="85"/>
      <c r="G275" s="85"/>
      <c r="H275" s="85"/>
      <c r="I275" s="85"/>
      <c r="J275" s="85"/>
      <c r="K275" s="85"/>
      <c r="L275" s="85"/>
      <c r="M275" s="85"/>
      <c r="N275" s="85"/>
    </row>
    <row r="276" spans="4:14" ht="14.25">
      <c r="D276" s="85"/>
      <c r="E276" s="85"/>
      <c r="F276" s="85"/>
      <c r="G276" s="85"/>
      <c r="H276" s="85"/>
      <c r="I276" s="85"/>
      <c r="J276" s="85"/>
      <c r="K276" s="85"/>
      <c r="L276" s="85"/>
      <c r="M276" s="85"/>
      <c r="N276" s="85"/>
    </row>
    <row r="277" spans="4:14" ht="14.25">
      <c r="D277" s="85"/>
      <c r="E277" s="85"/>
      <c r="F277" s="85"/>
      <c r="G277" s="85"/>
      <c r="H277" s="85"/>
      <c r="I277" s="85"/>
      <c r="J277" s="85"/>
      <c r="K277" s="85"/>
      <c r="L277" s="85"/>
      <c r="M277" s="85"/>
      <c r="N277" s="85"/>
    </row>
    <row r="278" spans="4:14" ht="14.25">
      <c r="D278" s="85"/>
      <c r="E278" s="85"/>
      <c r="F278" s="85"/>
      <c r="G278" s="85"/>
      <c r="H278" s="85"/>
      <c r="I278" s="85"/>
      <c r="J278" s="85"/>
      <c r="K278" s="85"/>
      <c r="L278" s="85"/>
      <c r="M278" s="85"/>
      <c r="N278" s="85"/>
    </row>
    <row r="279" spans="4:14" ht="14.25">
      <c r="D279" s="85"/>
      <c r="E279" s="85"/>
      <c r="F279" s="85"/>
      <c r="G279" s="85"/>
      <c r="H279" s="85"/>
      <c r="I279" s="85"/>
      <c r="J279" s="85"/>
      <c r="K279" s="85"/>
      <c r="L279" s="85"/>
      <c r="M279" s="85"/>
      <c r="N279" s="85"/>
    </row>
    <row r="280" spans="4:14" ht="14.25">
      <c r="D280" s="85"/>
      <c r="E280" s="85"/>
      <c r="F280" s="85"/>
      <c r="G280" s="85"/>
      <c r="H280" s="85"/>
      <c r="I280" s="85"/>
      <c r="J280" s="85"/>
      <c r="K280" s="85"/>
      <c r="L280" s="85"/>
      <c r="M280" s="85"/>
      <c r="N280" s="85"/>
    </row>
    <row r="281" spans="4:14" ht="14.25">
      <c r="D281" s="85"/>
      <c r="E281" s="85"/>
      <c r="F281" s="85"/>
      <c r="G281" s="85"/>
      <c r="H281" s="85"/>
      <c r="I281" s="85"/>
      <c r="J281" s="85"/>
      <c r="K281" s="85"/>
      <c r="L281" s="85"/>
      <c r="M281" s="85"/>
      <c r="N281" s="85"/>
    </row>
    <row r="282" spans="4:14" ht="14.25">
      <c r="D282" s="85"/>
      <c r="E282" s="85"/>
      <c r="F282" s="85"/>
      <c r="G282" s="85"/>
      <c r="H282" s="85"/>
      <c r="I282" s="85"/>
      <c r="J282" s="85"/>
      <c r="K282" s="85"/>
      <c r="L282" s="85"/>
      <c r="M282" s="85"/>
      <c r="N282" s="85"/>
    </row>
    <row r="283" spans="4:14" ht="14.25">
      <c r="D283" s="85"/>
      <c r="E283" s="85"/>
      <c r="F283" s="85"/>
      <c r="G283" s="85"/>
      <c r="H283" s="85"/>
      <c r="I283" s="85"/>
      <c r="J283" s="85"/>
      <c r="K283" s="85"/>
      <c r="L283" s="85"/>
      <c r="M283" s="85"/>
      <c r="N283" s="85"/>
    </row>
    <row r="284" spans="4:14" ht="14.25">
      <c r="D284" s="85"/>
      <c r="E284" s="85"/>
      <c r="F284" s="85"/>
      <c r="G284" s="85"/>
      <c r="H284" s="85"/>
      <c r="I284" s="85"/>
      <c r="J284" s="85"/>
      <c r="K284" s="85"/>
      <c r="L284" s="85"/>
      <c r="M284" s="85"/>
      <c r="N284" s="85"/>
    </row>
    <row r="285" spans="4:14" ht="14.25">
      <c r="D285" s="85"/>
      <c r="E285" s="85"/>
      <c r="F285" s="85"/>
      <c r="G285" s="85"/>
      <c r="H285" s="85"/>
      <c r="I285" s="85"/>
      <c r="J285" s="85"/>
      <c r="K285" s="85"/>
      <c r="L285" s="85"/>
      <c r="M285" s="85"/>
      <c r="N285" s="85"/>
    </row>
    <row r="286" spans="4:14" ht="14.25">
      <c r="D286" s="85"/>
      <c r="E286" s="85"/>
      <c r="F286" s="85"/>
      <c r="G286" s="85"/>
      <c r="H286" s="85"/>
      <c r="I286" s="85"/>
      <c r="J286" s="85"/>
      <c r="K286" s="85"/>
      <c r="L286" s="85"/>
      <c r="M286" s="85"/>
      <c r="N286" s="85"/>
    </row>
    <row r="287" spans="4:14" ht="14.25">
      <c r="D287" s="85"/>
      <c r="E287" s="85"/>
      <c r="F287" s="85"/>
      <c r="G287" s="85"/>
      <c r="H287" s="85"/>
      <c r="I287" s="85"/>
      <c r="J287" s="85"/>
      <c r="K287" s="85"/>
      <c r="L287" s="85"/>
      <c r="M287" s="85"/>
      <c r="N287" s="85"/>
    </row>
    <row r="288" spans="4:14" ht="14.25">
      <c r="D288" s="85"/>
      <c r="E288" s="85"/>
      <c r="F288" s="85"/>
      <c r="G288" s="85"/>
      <c r="H288" s="85"/>
      <c r="I288" s="85"/>
      <c r="J288" s="85"/>
      <c r="K288" s="85"/>
      <c r="L288" s="85"/>
      <c r="M288" s="85"/>
      <c r="N288" s="85"/>
    </row>
    <row r="289" spans="4:14" ht="14.25">
      <c r="D289" s="85"/>
      <c r="E289" s="85"/>
      <c r="F289" s="85"/>
      <c r="G289" s="85"/>
      <c r="H289" s="85"/>
      <c r="I289" s="85"/>
      <c r="J289" s="85"/>
      <c r="K289" s="85"/>
      <c r="L289" s="85"/>
      <c r="M289" s="85"/>
      <c r="N289" s="85"/>
    </row>
    <row r="290" spans="4:14" ht="14.25">
      <c r="D290" s="85"/>
      <c r="E290" s="85"/>
      <c r="F290" s="85"/>
      <c r="G290" s="85"/>
      <c r="H290" s="85"/>
      <c r="I290" s="85"/>
      <c r="J290" s="85"/>
      <c r="K290" s="85"/>
      <c r="L290" s="85"/>
      <c r="M290" s="85"/>
      <c r="N290" s="85"/>
    </row>
    <row r="291" spans="4:14" ht="14.25">
      <c r="D291" s="85"/>
      <c r="E291" s="85"/>
      <c r="F291" s="85"/>
      <c r="G291" s="85"/>
      <c r="H291" s="85"/>
      <c r="I291" s="85"/>
      <c r="J291" s="85"/>
      <c r="K291" s="85"/>
      <c r="L291" s="85"/>
      <c r="M291" s="85"/>
      <c r="N291" s="85"/>
    </row>
    <row r="292" spans="4:14" ht="14.25">
      <c r="D292" s="85"/>
      <c r="E292" s="85"/>
      <c r="F292" s="85"/>
      <c r="G292" s="85"/>
      <c r="H292" s="85"/>
      <c r="I292" s="85"/>
      <c r="J292" s="85"/>
      <c r="K292" s="85"/>
      <c r="L292" s="85"/>
      <c r="M292" s="85"/>
      <c r="N292" s="85"/>
    </row>
    <row r="293" spans="4:14" ht="14.25">
      <c r="D293" s="85"/>
      <c r="E293" s="85"/>
      <c r="F293" s="85"/>
      <c r="G293" s="85"/>
      <c r="H293" s="85"/>
      <c r="I293" s="85"/>
      <c r="J293" s="85"/>
      <c r="K293" s="85"/>
      <c r="L293" s="85"/>
      <c r="M293" s="85"/>
      <c r="N293" s="85"/>
    </row>
    <row r="294" spans="4:14" ht="14.25">
      <c r="D294" s="85"/>
      <c r="E294" s="85"/>
      <c r="F294" s="85"/>
      <c r="G294" s="85"/>
      <c r="H294" s="85"/>
      <c r="I294" s="85"/>
      <c r="J294" s="85"/>
      <c r="K294" s="85"/>
      <c r="L294" s="85"/>
      <c r="M294" s="85"/>
      <c r="N294" s="85"/>
    </row>
    <row r="295" spans="4:14" ht="14.25">
      <c r="D295" s="85"/>
      <c r="E295" s="85"/>
      <c r="F295" s="85"/>
      <c r="G295" s="85"/>
      <c r="H295" s="85"/>
      <c r="I295" s="85"/>
      <c r="J295" s="85"/>
      <c r="K295" s="85"/>
      <c r="L295" s="85"/>
      <c r="M295" s="85"/>
      <c r="N295" s="85"/>
    </row>
    <row r="296" spans="4:14" ht="14.25">
      <c r="D296" s="85"/>
      <c r="E296" s="85"/>
      <c r="F296" s="85"/>
      <c r="G296" s="85"/>
      <c r="H296" s="85"/>
      <c r="I296" s="85"/>
      <c r="J296" s="85"/>
      <c r="K296" s="85"/>
      <c r="L296" s="85"/>
      <c r="M296" s="85"/>
      <c r="N296" s="85"/>
    </row>
    <row r="297" spans="4:14" ht="14.25">
      <c r="D297" s="85"/>
      <c r="E297" s="85"/>
      <c r="F297" s="85"/>
      <c r="G297" s="85"/>
      <c r="H297" s="85"/>
      <c r="I297" s="85"/>
      <c r="J297" s="85"/>
      <c r="K297" s="85"/>
      <c r="L297" s="85"/>
      <c r="M297" s="85"/>
      <c r="N297" s="85"/>
    </row>
    <row r="298" spans="4:14" ht="14.25">
      <c r="D298" s="85"/>
      <c r="E298" s="85"/>
      <c r="F298" s="85"/>
      <c r="G298" s="85"/>
      <c r="H298" s="85"/>
      <c r="I298" s="85"/>
      <c r="J298" s="85"/>
      <c r="K298" s="85"/>
      <c r="L298" s="85"/>
      <c r="M298" s="85"/>
      <c r="N298" s="85"/>
    </row>
    <row r="299" spans="4:14" ht="14.25">
      <c r="D299" s="85"/>
      <c r="E299" s="85"/>
      <c r="F299" s="85"/>
      <c r="G299" s="85"/>
      <c r="H299" s="85"/>
      <c r="I299" s="85"/>
      <c r="J299" s="85"/>
      <c r="K299" s="85"/>
      <c r="L299" s="85"/>
      <c r="M299" s="85"/>
      <c r="N299" s="85"/>
    </row>
    <row r="300" spans="4:14" ht="14.25">
      <c r="D300" s="85"/>
      <c r="E300" s="85"/>
      <c r="F300" s="85"/>
      <c r="G300" s="85"/>
      <c r="H300" s="85"/>
      <c r="I300" s="85"/>
      <c r="J300" s="85"/>
      <c r="K300" s="85"/>
      <c r="L300" s="85"/>
      <c r="M300" s="85"/>
      <c r="N300" s="85"/>
    </row>
    <row r="301" spans="4:14" ht="14.25">
      <c r="D301" s="85"/>
      <c r="E301" s="85"/>
      <c r="F301" s="85"/>
      <c r="G301" s="85"/>
      <c r="H301" s="85"/>
      <c r="I301" s="85"/>
      <c r="J301" s="85"/>
      <c r="K301" s="85"/>
      <c r="L301" s="85"/>
      <c r="M301" s="85"/>
      <c r="N301" s="85"/>
    </row>
    <row r="302" spans="4:14" ht="14.25">
      <c r="D302" s="85"/>
      <c r="E302" s="85"/>
      <c r="F302" s="85"/>
      <c r="G302" s="85"/>
      <c r="H302" s="85"/>
      <c r="I302" s="85"/>
      <c r="J302" s="85"/>
      <c r="K302" s="85"/>
      <c r="L302" s="85"/>
      <c r="M302" s="85"/>
      <c r="N302" s="85"/>
    </row>
    <row r="303" spans="4:14" ht="14.25">
      <c r="D303" s="85"/>
      <c r="E303" s="85"/>
      <c r="F303" s="85"/>
      <c r="G303" s="85"/>
      <c r="H303" s="85"/>
      <c r="I303" s="85"/>
      <c r="J303" s="85"/>
      <c r="K303" s="85"/>
      <c r="L303" s="85"/>
      <c r="M303" s="85"/>
      <c r="N303" s="85"/>
    </row>
    <row r="304" spans="4:14" ht="14.25">
      <c r="D304" s="85"/>
      <c r="E304" s="85"/>
      <c r="F304" s="85"/>
      <c r="G304" s="85"/>
      <c r="H304" s="85"/>
      <c r="I304" s="85"/>
      <c r="J304" s="85"/>
      <c r="K304" s="85"/>
      <c r="L304" s="85"/>
      <c r="M304" s="85"/>
      <c r="N304" s="85"/>
    </row>
    <row r="305" spans="4:14" ht="14.25">
      <c r="D305" s="85"/>
      <c r="E305" s="85"/>
      <c r="F305" s="85"/>
      <c r="G305" s="85"/>
      <c r="H305" s="85"/>
      <c r="I305" s="85"/>
      <c r="J305" s="85"/>
      <c r="K305" s="85"/>
      <c r="L305" s="85"/>
      <c r="M305" s="85"/>
      <c r="N305" s="85"/>
    </row>
    <row r="306" spans="4:14" ht="14.25">
      <c r="D306" s="85"/>
      <c r="E306" s="85"/>
      <c r="F306" s="85"/>
      <c r="G306" s="85"/>
      <c r="H306" s="85"/>
      <c r="I306" s="85"/>
      <c r="J306" s="85"/>
      <c r="K306" s="85"/>
      <c r="L306" s="85"/>
      <c r="M306" s="85"/>
      <c r="N306" s="85"/>
    </row>
    <row r="307" spans="4:14" ht="14.25">
      <c r="D307" s="85"/>
      <c r="E307" s="85"/>
      <c r="F307" s="85"/>
      <c r="G307" s="85"/>
      <c r="H307" s="85"/>
      <c r="I307" s="85"/>
      <c r="J307" s="85"/>
      <c r="K307" s="85"/>
      <c r="L307" s="85"/>
      <c r="M307" s="85"/>
      <c r="N307" s="85"/>
    </row>
    <row r="308" spans="4:14" ht="14.25">
      <c r="D308" s="85"/>
      <c r="E308" s="85"/>
      <c r="F308" s="85"/>
      <c r="G308" s="85"/>
      <c r="H308" s="85"/>
      <c r="I308" s="85"/>
      <c r="J308" s="85"/>
      <c r="K308" s="85"/>
      <c r="L308" s="85"/>
      <c r="M308" s="85"/>
      <c r="N308" s="85"/>
    </row>
    <row r="309" spans="4:14" ht="14.25">
      <c r="D309" s="85"/>
      <c r="E309" s="85"/>
      <c r="F309" s="85"/>
      <c r="G309" s="85"/>
      <c r="H309" s="85"/>
      <c r="I309" s="85"/>
      <c r="J309" s="85"/>
      <c r="K309" s="85"/>
      <c r="L309" s="85"/>
      <c r="M309" s="85"/>
      <c r="N309" s="85"/>
    </row>
    <row r="310" spans="4:14" ht="14.25">
      <c r="D310" s="85"/>
      <c r="E310" s="85"/>
      <c r="F310" s="85"/>
      <c r="G310" s="85"/>
      <c r="H310" s="85"/>
      <c r="I310" s="85"/>
      <c r="J310" s="85"/>
      <c r="K310" s="85"/>
      <c r="L310" s="85"/>
      <c r="M310" s="85"/>
      <c r="N310" s="85"/>
    </row>
    <row r="311" spans="4:14" ht="14.25">
      <c r="D311" s="85"/>
      <c r="E311" s="85"/>
      <c r="F311" s="85"/>
      <c r="G311" s="85"/>
      <c r="H311" s="85"/>
      <c r="I311" s="85"/>
      <c r="J311" s="85"/>
      <c r="K311" s="85"/>
      <c r="L311" s="85"/>
      <c r="M311" s="85"/>
      <c r="N311" s="85"/>
    </row>
    <row r="312" spans="4:14" ht="14.25">
      <c r="D312" s="85"/>
      <c r="E312" s="85"/>
      <c r="F312" s="85"/>
      <c r="G312" s="85"/>
      <c r="H312" s="85"/>
      <c r="I312" s="85"/>
      <c r="J312" s="85"/>
      <c r="K312" s="85"/>
      <c r="L312" s="85"/>
      <c r="M312" s="85"/>
      <c r="N312" s="85"/>
    </row>
    <row r="313" spans="4:14" ht="14.25">
      <c r="D313" s="85"/>
      <c r="E313" s="85"/>
      <c r="F313" s="85"/>
      <c r="G313" s="85"/>
      <c r="H313" s="85"/>
      <c r="I313" s="85"/>
      <c r="J313" s="85"/>
      <c r="K313" s="85"/>
      <c r="L313" s="85"/>
      <c r="M313" s="85"/>
      <c r="N313" s="85"/>
    </row>
    <row r="314" spans="4:14" ht="14.25">
      <c r="D314" s="85"/>
      <c r="E314" s="85"/>
      <c r="F314" s="85"/>
      <c r="G314" s="85"/>
      <c r="H314" s="85"/>
      <c r="I314" s="85"/>
      <c r="J314" s="85"/>
      <c r="K314" s="85"/>
      <c r="L314" s="85"/>
      <c r="M314" s="85"/>
      <c r="N314" s="85"/>
    </row>
    <row r="315" spans="4:14" ht="14.25">
      <c r="D315" s="85"/>
      <c r="E315" s="85"/>
      <c r="F315" s="85"/>
      <c r="G315" s="85"/>
      <c r="H315" s="85"/>
      <c r="I315" s="85"/>
      <c r="J315" s="85"/>
      <c r="K315" s="85"/>
      <c r="L315" s="85"/>
      <c r="M315" s="85"/>
      <c r="N315" s="85"/>
    </row>
    <row r="316" spans="4:14" ht="14.25">
      <c r="D316" s="85"/>
      <c r="E316" s="85"/>
      <c r="F316" s="85"/>
      <c r="G316" s="85"/>
      <c r="H316" s="85"/>
      <c r="I316" s="85"/>
      <c r="J316" s="85"/>
      <c r="K316" s="85"/>
      <c r="L316" s="85"/>
      <c r="M316" s="85"/>
      <c r="N316" s="85"/>
    </row>
    <row r="317" spans="4:14" ht="14.25">
      <c r="D317" s="85"/>
      <c r="E317" s="85"/>
      <c r="F317" s="85"/>
      <c r="G317" s="85"/>
      <c r="H317" s="85"/>
      <c r="I317" s="85"/>
      <c r="J317" s="85"/>
      <c r="K317" s="85"/>
      <c r="L317" s="85"/>
      <c r="M317" s="85"/>
      <c r="N317" s="85"/>
    </row>
    <row r="318" spans="4:14" ht="14.25">
      <c r="D318" s="85"/>
      <c r="E318" s="85"/>
      <c r="F318" s="85"/>
      <c r="G318" s="85"/>
      <c r="H318" s="85"/>
      <c r="I318" s="85"/>
      <c r="J318" s="85"/>
      <c r="K318" s="85"/>
      <c r="L318" s="85"/>
      <c r="M318" s="85"/>
      <c r="N318" s="85"/>
    </row>
    <row r="319" spans="4:14" ht="14.25">
      <c r="D319" s="85"/>
      <c r="E319" s="85"/>
      <c r="F319" s="85"/>
      <c r="G319" s="85"/>
      <c r="H319" s="85"/>
      <c r="I319" s="85"/>
      <c r="J319" s="85"/>
      <c r="K319" s="85"/>
      <c r="L319" s="85"/>
      <c r="M319" s="85"/>
      <c r="N319" s="85"/>
    </row>
    <row r="320" spans="4:14" ht="14.25">
      <c r="D320" s="85"/>
      <c r="E320" s="85"/>
      <c r="F320" s="85"/>
      <c r="G320" s="85"/>
      <c r="H320" s="85"/>
      <c r="I320" s="85"/>
      <c r="J320" s="85"/>
      <c r="K320" s="85"/>
      <c r="L320" s="85"/>
      <c r="M320" s="85"/>
      <c r="N320" s="85"/>
    </row>
    <row r="321" spans="4:14" ht="14.25">
      <c r="D321" s="85"/>
      <c r="E321" s="85"/>
      <c r="F321" s="85"/>
      <c r="G321" s="85"/>
      <c r="H321" s="85"/>
      <c r="I321" s="85"/>
      <c r="J321" s="85"/>
      <c r="K321" s="85"/>
      <c r="L321" s="85"/>
      <c r="M321" s="85"/>
      <c r="N321" s="85"/>
    </row>
    <row r="322" spans="4:14" ht="14.25">
      <c r="D322" s="85"/>
      <c r="E322" s="85"/>
      <c r="F322" s="85"/>
      <c r="G322" s="85"/>
      <c r="H322" s="85"/>
      <c r="I322" s="85"/>
      <c r="J322" s="85"/>
      <c r="K322" s="85"/>
      <c r="L322" s="85"/>
      <c r="M322" s="85"/>
      <c r="N322" s="85"/>
    </row>
    <row r="323" spans="4:14" ht="14.25">
      <c r="D323" s="85"/>
      <c r="E323" s="85"/>
      <c r="F323" s="85"/>
      <c r="G323" s="85"/>
      <c r="H323" s="85"/>
      <c r="I323" s="85"/>
      <c r="J323" s="85"/>
      <c r="K323" s="85"/>
      <c r="L323" s="85"/>
      <c r="M323" s="85"/>
      <c r="N323" s="85"/>
    </row>
    <row r="324" spans="4:14" ht="14.25">
      <c r="D324" s="85"/>
      <c r="E324" s="85"/>
      <c r="F324" s="85"/>
      <c r="G324" s="85"/>
      <c r="H324" s="85"/>
      <c r="I324" s="85"/>
      <c r="J324" s="85"/>
      <c r="K324" s="85"/>
      <c r="L324" s="85"/>
      <c r="M324" s="85"/>
      <c r="N324" s="85"/>
    </row>
    <row r="325" spans="4:14" ht="14.25">
      <c r="D325" s="85"/>
      <c r="E325" s="85"/>
      <c r="F325" s="85"/>
      <c r="G325" s="85"/>
      <c r="H325" s="85"/>
      <c r="I325" s="85"/>
      <c r="J325" s="85"/>
      <c r="K325" s="85"/>
      <c r="L325" s="85"/>
      <c r="M325" s="85"/>
      <c r="N325" s="85"/>
    </row>
    <row r="326" spans="4:14" ht="14.25">
      <c r="D326" s="85"/>
      <c r="E326" s="85"/>
      <c r="F326" s="85"/>
      <c r="G326" s="85"/>
      <c r="H326" s="85"/>
      <c r="I326" s="85"/>
      <c r="J326" s="85"/>
      <c r="K326" s="85"/>
      <c r="L326" s="85"/>
      <c r="M326" s="85"/>
      <c r="N326" s="85"/>
    </row>
    <row r="327" spans="4:14" ht="14.25">
      <c r="D327" s="85"/>
      <c r="E327" s="85"/>
      <c r="F327" s="85"/>
      <c r="G327" s="85"/>
      <c r="H327" s="85"/>
      <c r="I327" s="85"/>
      <c r="J327" s="85"/>
      <c r="K327" s="85"/>
      <c r="L327" s="85"/>
      <c r="M327" s="85"/>
      <c r="N327" s="85"/>
    </row>
    <row r="328" spans="4:14" ht="14.25">
      <c r="D328" s="85"/>
      <c r="E328" s="85"/>
      <c r="F328" s="85"/>
      <c r="G328" s="85"/>
      <c r="H328" s="85"/>
      <c r="I328" s="85"/>
      <c r="J328" s="85"/>
      <c r="K328" s="85"/>
      <c r="L328" s="85"/>
      <c r="M328" s="85"/>
      <c r="N328" s="85"/>
    </row>
    <row r="329" spans="4:14" ht="14.25">
      <c r="D329" s="85"/>
      <c r="E329" s="85"/>
      <c r="F329" s="85"/>
      <c r="G329" s="85"/>
      <c r="H329" s="85"/>
      <c r="I329" s="85"/>
      <c r="J329" s="85"/>
      <c r="K329" s="85"/>
      <c r="L329" s="85"/>
      <c r="M329" s="85"/>
      <c r="N329" s="85"/>
    </row>
    <row r="330" spans="4:14" ht="14.25">
      <c r="D330" s="85"/>
      <c r="E330" s="85"/>
      <c r="F330" s="85"/>
      <c r="G330" s="85"/>
      <c r="H330" s="85"/>
      <c r="I330" s="85"/>
      <c r="J330" s="85"/>
      <c r="K330" s="85"/>
      <c r="L330" s="85"/>
      <c r="M330" s="85"/>
      <c r="N330" s="85"/>
    </row>
    <row r="331" spans="4:14" ht="14.25">
      <c r="D331" s="85"/>
      <c r="E331" s="85"/>
      <c r="F331" s="85"/>
      <c r="G331" s="85"/>
      <c r="H331" s="85"/>
      <c r="I331" s="85"/>
      <c r="J331" s="85"/>
      <c r="K331" s="85"/>
      <c r="L331" s="85"/>
      <c r="M331" s="85"/>
      <c r="N331" s="85"/>
    </row>
    <row r="332" spans="4:14" ht="14.25">
      <c r="D332" s="85"/>
      <c r="E332" s="85"/>
      <c r="F332" s="85"/>
      <c r="G332" s="85"/>
      <c r="H332" s="85"/>
      <c r="I332" s="85"/>
      <c r="J332" s="85"/>
      <c r="K332" s="85"/>
      <c r="L332" s="85"/>
      <c r="M332" s="85"/>
      <c r="N332" s="85"/>
    </row>
    <row r="333" spans="4:14" ht="14.25">
      <c r="D333" s="85"/>
      <c r="E333" s="85"/>
      <c r="F333" s="85"/>
      <c r="G333" s="85"/>
      <c r="H333" s="85"/>
      <c r="I333" s="85"/>
      <c r="J333" s="85"/>
      <c r="K333" s="85"/>
      <c r="L333" s="85"/>
      <c r="M333" s="85"/>
      <c r="N333" s="85"/>
    </row>
    <row r="334" spans="4:14" ht="14.25">
      <c r="D334" s="85"/>
      <c r="E334" s="85"/>
      <c r="F334" s="85"/>
      <c r="G334" s="85"/>
      <c r="H334" s="85"/>
      <c r="I334" s="85"/>
      <c r="J334" s="85"/>
      <c r="K334" s="85"/>
      <c r="L334" s="85"/>
      <c r="M334" s="85"/>
      <c r="N334" s="85"/>
    </row>
    <row r="335" spans="4:14" ht="14.25">
      <c r="D335" s="85"/>
      <c r="E335" s="85"/>
      <c r="F335" s="85"/>
      <c r="G335" s="85"/>
      <c r="H335" s="85"/>
      <c r="I335" s="85"/>
      <c r="J335" s="85"/>
      <c r="K335" s="85"/>
      <c r="L335" s="85"/>
      <c r="M335" s="85"/>
      <c r="N335" s="85"/>
    </row>
    <row r="336" spans="4:14" ht="14.25">
      <c r="D336" s="85"/>
      <c r="E336" s="85"/>
      <c r="F336" s="85"/>
      <c r="G336" s="85"/>
      <c r="H336" s="85"/>
      <c r="I336" s="85"/>
      <c r="J336" s="85"/>
      <c r="K336" s="85"/>
      <c r="L336" s="85"/>
      <c r="M336" s="85"/>
      <c r="N336" s="85"/>
    </row>
    <row r="337" spans="4:14" ht="14.25">
      <c r="D337" s="85"/>
      <c r="E337" s="85"/>
      <c r="F337" s="85"/>
      <c r="G337" s="85"/>
      <c r="H337" s="85"/>
      <c r="I337" s="85"/>
      <c r="J337" s="85"/>
      <c r="K337" s="85"/>
      <c r="L337" s="85"/>
      <c r="M337" s="85"/>
      <c r="N337" s="85"/>
    </row>
    <row r="338" spans="4:14" ht="14.25">
      <c r="D338" s="85"/>
      <c r="E338" s="85"/>
      <c r="F338" s="85"/>
      <c r="G338" s="85"/>
      <c r="H338" s="85"/>
      <c r="I338" s="85"/>
      <c r="J338" s="85"/>
      <c r="K338" s="85"/>
      <c r="L338" s="85"/>
      <c r="M338" s="85"/>
      <c r="N338" s="85"/>
    </row>
    <row r="339" spans="4:14" ht="14.25">
      <c r="D339" s="85"/>
      <c r="E339" s="85"/>
      <c r="F339" s="85"/>
      <c r="G339" s="85"/>
      <c r="H339" s="85"/>
      <c r="I339" s="85"/>
      <c r="J339" s="85"/>
      <c r="K339" s="85"/>
      <c r="L339" s="85"/>
      <c r="M339" s="85"/>
      <c r="N339" s="85"/>
    </row>
    <row r="340" spans="4:14" ht="14.25">
      <c r="D340" s="85"/>
      <c r="E340" s="85"/>
      <c r="F340" s="85"/>
      <c r="G340" s="85"/>
      <c r="H340" s="85"/>
      <c r="I340" s="85"/>
      <c r="J340" s="85"/>
      <c r="K340" s="85"/>
      <c r="L340" s="85"/>
      <c r="M340" s="85"/>
      <c r="N340" s="85"/>
    </row>
    <row r="341" spans="4:14" ht="14.25">
      <c r="D341" s="85"/>
      <c r="E341" s="85"/>
      <c r="F341" s="85"/>
      <c r="G341" s="85"/>
      <c r="H341" s="85"/>
      <c r="I341" s="85"/>
      <c r="J341" s="85"/>
      <c r="K341" s="85"/>
      <c r="L341" s="85"/>
      <c r="M341" s="85"/>
      <c r="N341" s="85"/>
    </row>
  </sheetData>
  <mergeCells count="19">
    <mergeCell ref="F31:O31"/>
    <mergeCell ref="B7:G7"/>
    <mergeCell ref="C22:D22"/>
    <mergeCell ref="C23:D23"/>
    <mergeCell ref="H22:I22"/>
    <mergeCell ref="G22:G23"/>
    <mergeCell ref="H23:I23"/>
    <mergeCell ref="F22:F23"/>
    <mergeCell ref="A33:A34"/>
    <mergeCell ref="C32:C33"/>
    <mergeCell ref="D32:D33"/>
    <mergeCell ref="E32:E33"/>
    <mergeCell ref="B32:B33"/>
    <mergeCell ref="C6:E6"/>
    <mergeCell ref="B11:B12"/>
    <mergeCell ref="C11:C12"/>
    <mergeCell ref="D11:D12"/>
    <mergeCell ref="B8:G8"/>
    <mergeCell ref="F10:G10"/>
  </mergeCells>
  <printOptions horizontalCentered="1" verticalCentered="1"/>
  <pageMargins left="1.48" right="0.81" top="0.86" bottom="4.06"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I49"/>
  <sheetViews>
    <sheetView workbookViewId="0" topLeftCell="A1">
      <selection activeCell="E1" sqref="E1"/>
    </sheetView>
  </sheetViews>
  <sheetFormatPr defaultColWidth="11.421875" defaultRowHeight="12.75"/>
  <cols>
    <col min="2" max="2" width="28.00390625" style="0" customWidth="1"/>
    <col min="4" max="4" width="11.7109375" style="0" bestFit="1" customWidth="1"/>
    <col min="5" max="5" width="11.8515625" style="0" customWidth="1"/>
    <col min="6" max="6" width="10.7109375" style="0" customWidth="1"/>
  </cols>
  <sheetData>
    <row r="1" ht="15.75">
      <c r="E1" s="686"/>
    </row>
    <row r="2" spans="1:5" ht="15.75">
      <c r="A2" s="252"/>
      <c r="B2" s="694" t="s">
        <v>299</v>
      </c>
      <c r="C2" s="694"/>
      <c r="D2" s="252"/>
      <c r="E2" s="252"/>
    </row>
    <row r="3" spans="1:5" ht="13.5" thickBot="1">
      <c r="A3" s="252"/>
      <c r="B3" s="252"/>
      <c r="C3" s="252"/>
      <c r="D3" s="252"/>
      <c r="E3" s="252"/>
    </row>
    <row r="4" spans="1:5" ht="18.75" customHeight="1" thickBot="1">
      <c r="A4" s="723" t="s">
        <v>139</v>
      </c>
      <c r="B4" s="724"/>
      <c r="C4" s="724"/>
      <c r="D4" s="725"/>
      <c r="E4" s="252"/>
    </row>
    <row r="5" spans="1:8" ht="14.25">
      <c r="A5" s="254" t="s">
        <v>181</v>
      </c>
      <c r="B5" s="255" t="s">
        <v>182</v>
      </c>
      <c r="C5" s="255" t="s">
        <v>183</v>
      </c>
      <c r="D5" s="255" t="s">
        <v>184</v>
      </c>
      <c r="E5" s="252"/>
      <c r="F5" s="230"/>
      <c r="G5" s="230"/>
      <c r="H5" s="230"/>
    </row>
    <row r="6" spans="1:9" ht="15.75">
      <c r="A6" s="256"/>
      <c r="B6" s="257" t="s">
        <v>261</v>
      </c>
      <c r="C6" s="258">
        <v>2000</v>
      </c>
      <c r="D6" s="258">
        <v>2000</v>
      </c>
      <c r="E6" s="252"/>
      <c r="F6" s="721"/>
      <c r="G6" s="721"/>
      <c r="H6" s="721"/>
      <c r="I6" s="248"/>
    </row>
    <row r="7" spans="1:8" ht="15">
      <c r="A7" s="259">
        <v>25</v>
      </c>
      <c r="B7" s="260" t="s">
        <v>262</v>
      </c>
      <c r="C7" s="261">
        <v>5</v>
      </c>
      <c r="D7" s="261">
        <f aca="true" t="shared" si="0" ref="D7:D29">C7*A7</f>
        <v>125</v>
      </c>
      <c r="E7" s="252"/>
      <c r="F7" s="722"/>
      <c r="G7" s="722"/>
      <c r="H7" s="249"/>
    </row>
    <row r="8" spans="1:8" ht="12.75">
      <c r="A8" s="259">
        <v>20</v>
      </c>
      <c r="B8" s="260" t="s">
        <v>263</v>
      </c>
      <c r="C8" s="261">
        <v>1.9</v>
      </c>
      <c r="D8" s="261">
        <f t="shared" si="0"/>
        <v>38</v>
      </c>
      <c r="E8" s="252"/>
      <c r="F8" s="231"/>
      <c r="G8" s="234"/>
      <c r="H8" s="250"/>
    </row>
    <row r="9" spans="1:8" ht="12.75">
      <c r="A9" s="259">
        <v>30</v>
      </c>
      <c r="B9" s="260" t="s">
        <v>264</v>
      </c>
      <c r="C9" s="261">
        <v>2.5</v>
      </c>
      <c r="D9" s="261">
        <f t="shared" si="0"/>
        <v>75</v>
      </c>
      <c r="E9" s="252"/>
      <c r="F9" s="230"/>
      <c r="G9" s="230"/>
      <c r="H9" s="250"/>
    </row>
    <row r="10" spans="1:8" ht="16.5" customHeight="1">
      <c r="A10" s="259">
        <v>25</v>
      </c>
      <c r="B10" s="260" t="s">
        <v>265</v>
      </c>
      <c r="C10" s="261">
        <v>6</v>
      </c>
      <c r="D10" s="261">
        <f t="shared" si="0"/>
        <v>150</v>
      </c>
      <c r="E10" s="252"/>
      <c r="F10" s="230"/>
      <c r="G10" s="230"/>
      <c r="H10" s="230"/>
    </row>
    <row r="11" spans="1:5" ht="12.75">
      <c r="A11" s="259">
        <v>15</v>
      </c>
      <c r="B11" s="260" t="s">
        <v>266</v>
      </c>
      <c r="C11" s="261">
        <v>1</v>
      </c>
      <c r="D11" s="261">
        <f t="shared" si="0"/>
        <v>15</v>
      </c>
      <c r="E11" s="252"/>
    </row>
    <row r="12" spans="1:5" ht="12.75">
      <c r="A12" s="259">
        <v>40</v>
      </c>
      <c r="B12" s="260" t="s">
        <v>267</v>
      </c>
      <c r="C12" s="261">
        <v>2.5</v>
      </c>
      <c r="D12" s="261">
        <f t="shared" si="0"/>
        <v>100</v>
      </c>
      <c r="E12" s="252"/>
    </row>
    <row r="13" spans="1:5" ht="12.75">
      <c r="A13" s="259">
        <v>8</v>
      </c>
      <c r="B13" s="260" t="s">
        <v>268</v>
      </c>
      <c r="C13" s="261">
        <v>8</v>
      </c>
      <c r="D13" s="261">
        <f t="shared" si="0"/>
        <v>64</v>
      </c>
      <c r="E13" s="252"/>
    </row>
    <row r="14" spans="1:5" ht="12.75">
      <c r="A14" s="259">
        <v>4</v>
      </c>
      <c r="B14" s="260" t="s">
        <v>269</v>
      </c>
      <c r="C14" s="261">
        <v>19</v>
      </c>
      <c r="D14" s="261">
        <f t="shared" si="0"/>
        <v>76</v>
      </c>
      <c r="E14" s="252"/>
    </row>
    <row r="15" spans="1:5" ht="12.75">
      <c r="A15" s="259">
        <v>10</v>
      </c>
      <c r="B15" s="260" t="s">
        <v>270</v>
      </c>
      <c r="C15" s="261">
        <v>7.2</v>
      </c>
      <c r="D15" s="261">
        <f t="shared" si="0"/>
        <v>72</v>
      </c>
      <c r="E15" s="252"/>
    </row>
    <row r="16" spans="1:5" ht="12.75">
      <c r="A16" s="259">
        <v>10</v>
      </c>
      <c r="B16" s="260" t="s">
        <v>271</v>
      </c>
      <c r="C16" s="261">
        <v>1.23</v>
      </c>
      <c r="D16" s="261">
        <f t="shared" si="0"/>
        <v>12.3</v>
      </c>
      <c r="E16" s="252"/>
    </row>
    <row r="17" spans="1:5" ht="12.75">
      <c r="A17" s="259"/>
      <c r="B17" s="260" t="s">
        <v>272</v>
      </c>
      <c r="C17" s="261">
        <v>60</v>
      </c>
      <c r="D17" s="261">
        <v>60</v>
      </c>
      <c r="E17" s="252"/>
    </row>
    <row r="18" spans="1:5" ht="12.75">
      <c r="A18" s="259">
        <v>25</v>
      </c>
      <c r="B18" s="260" t="s">
        <v>273</v>
      </c>
      <c r="C18" s="261">
        <v>1</v>
      </c>
      <c r="D18" s="261">
        <f t="shared" si="0"/>
        <v>25</v>
      </c>
      <c r="E18" s="252"/>
    </row>
    <row r="19" spans="1:5" ht="12.75">
      <c r="A19" s="259"/>
      <c r="B19" s="260" t="s">
        <v>274</v>
      </c>
      <c r="C19" s="261">
        <v>200</v>
      </c>
      <c r="D19" s="261">
        <v>200</v>
      </c>
      <c r="E19" s="252"/>
    </row>
    <row r="20" spans="1:5" ht="12.75">
      <c r="A20" s="259"/>
      <c r="B20" s="260" t="s">
        <v>275</v>
      </c>
      <c r="C20" s="261">
        <v>80</v>
      </c>
      <c r="D20" s="261">
        <v>80</v>
      </c>
      <c r="E20" s="252"/>
    </row>
    <row r="21" spans="1:5" ht="12.75">
      <c r="A21" s="259">
        <v>10</v>
      </c>
      <c r="B21" s="260" t="s">
        <v>276</v>
      </c>
      <c r="C21" s="261">
        <v>8</v>
      </c>
      <c r="D21" s="261">
        <f t="shared" si="0"/>
        <v>80</v>
      </c>
      <c r="E21" s="252"/>
    </row>
    <row r="22" spans="1:5" ht="12.75">
      <c r="A22" s="259">
        <v>20</v>
      </c>
      <c r="B22" s="260" t="s">
        <v>277</v>
      </c>
      <c r="C22" s="261">
        <v>3</v>
      </c>
      <c r="D22" s="261">
        <f t="shared" si="0"/>
        <v>60</v>
      </c>
      <c r="E22" s="252"/>
    </row>
    <row r="23" spans="1:5" ht="12.75">
      <c r="A23" s="259">
        <v>12</v>
      </c>
      <c r="B23" s="260" t="s">
        <v>278</v>
      </c>
      <c r="C23" s="261">
        <v>3.5</v>
      </c>
      <c r="D23" s="261">
        <f t="shared" si="0"/>
        <v>42</v>
      </c>
      <c r="E23" s="252"/>
    </row>
    <row r="24" spans="1:5" ht="12.75">
      <c r="A24" s="259">
        <v>15</v>
      </c>
      <c r="B24" s="260" t="s">
        <v>279</v>
      </c>
      <c r="C24" s="261">
        <v>0.8</v>
      </c>
      <c r="D24" s="261">
        <f t="shared" si="0"/>
        <v>12</v>
      </c>
      <c r="E24" s="252"/>
    </row>
    <row r="25" spans="1:5" ht="12.75">
      <c r="A25" s="259">
        <v>10</v>
      </c>
      <c r="B25" s="260" t="s">
        <v>280</v>
      </c>
      <c r="C25" s="261">
        <v>38</v>
      </c>
      <c r="D25" s="261">
        <f t="shared" si="0"/>
        <v>380</v>
      </c>
      <c r="E25" s="252"/>
    </row>
    <row r="26" spans="1:5" ht="12.75">
      <c r="A26" s="259">
        <v>10</v>
      </c>
      <c r="B26" s="260" t="s">
        <v>281</v>
      </c>
      <c r="C26" s="261">
        <v>12</v>
      </c>
      <c r="D26" s="261">
        <f t="shared" si="0"/>
        <v>120</v>
      </c>
      <c r="E26" s="252"/>
    </row>
    <row r="27" spans="1:5" ht="12.75">
      <c r="A27" s="259">
        <v>10</v>
      </c>
      <c r="B27" s="260" t="s">
        <v>282</v>
      </c>
      <c r="C27" s="261">
        <v>13</v>
      </c>
      <c r="D27" s="261">
        <f t="shared" si="0"/>
        <v>130</v>
      </c>
      <c r="E27" s="252"/>
    </row>
    <row r="28" spans="1:5" ht="12.75">
      <c r="A28" s="259">
        <v>15</v>
      </c>
      <c r="B28" s="260" t="s">
        <v>283</v>
      </c>
      <c r="C28" s="261">
        <v>2</v>
      </c>
      <c r="D28" s="261">
        <f t="shared" si="0"/>
        <v>30</v>
      </c>
      <c r="E28" s="252"/>
    </row>
    <row r="29" spans="1:5" ht="12.75">
      <c r="A29" s="259">
        <v>20</v>
      </c>
      <c r="B29" s="260" t="s">
        <v>284</v>
      </c>
      <c r="C29" s="261">
        <v>2.5</v>
      </c>
      <c r="D29" s="261">
        <f t="shared" si="0"/>
        <v>50</v>
      </c>
      <c r="E29" s="252"/>
    </row>
    <row r="30" spans="1:5" ht="12.75">
      <c r="A30" s="259">
        <v>40</v>
      </c>
      <c r="B30" s="260" t="s">
        <v>285</v>
      </c>
      <c r="C30" s="261">
        <v>0.6</v>
      </c>
      <c r="D30" s="261">
        <f>C30*A30</f>
        <v>24</v>
      </c>
      <c r="E30" s="252"/>
    </row>
    <row r="31" spans="1:5" ht="12.75">
      <c r="A31" s="259">
        <v>25</v>
      </c>
      <c r="B31" s="260" t="s">
        <v>286</v>
      </c>
      <c r="C31" s="261">
        <v>0.9</v>
      </c>
      <c r="D31" s="261">
        <f>C31*A31</f>
        <v>22.5</v>
      </c>
      <c r="E31" s="252"/>
    </row>
    <row r="32" spans="1:5" ht="12.75">
      <c r="A32" s="259">
        <v>3</v>
      </c>
      <c r="B32" s="260" t="s">
        <v>287</v>
      </c>
      <c r="C32" s="261">
        <v>0.75</v>
      </c>
      <c r="D32" s="261">
        <f>C32*A32</f>
        <v>2.25</v>
      </c>
      <c r="E32" s="252"/>
    </row>
    <row r="33" spans="1:5" ht="12.75">
      <c r="A33" s="259">
        <v>5</v>
      </c>
      <c r="B33" s="260" t="s">
        <v>288</v>
      </c>
      <c r="C33" s="262">
        <v>2.5</v>
      </c>
      <c r="D33" s="261">
        <f>C33*A33</f>
        <v>12.5</v>
      </c>
      <c r="E33" s="252"/>
    </row>
    <row r="34" spans="1:5" ht="19.5" thickBot="1">
      <c r="A34" s="252"/>
      <c r="B34" s="252"/>
      <c r="C34" s="263" t="s">
        <v>137</v>
      </c>
      <c r="D34" s="264">
        <f>SUM(D6:D33)</f>
        <v>4057.55</v>
      </c>
      <c r="E34" s="252"/>
    </row>
    <row r="35" spans="1:5" ht="19.5" thickTop="1">
      <c r="A35" s="252"/>
      <c r="B35" s="252"/>
      <c r="C35" s="265"/>
      <c r="D35" s="266"/>
      <c r="E35" s="252"/>
    </row>
    <row r="36" spans="1:5" ht="12.75">
      <c r="A36" s="252"/>
      <c r="B36" s="252"/>
      <c r="C36" s="252"/>
      <c r="D36" s="252"/>
      <c r="E36" s="252"/>
    </row>
    <row r="37" spans="1:5" ht="15.75">
      <c r="A37" s="252"/>
      <c r="B37" s="694" t="s">
        <v>300</v>
      </c>
      <c r="C37" s="694"/>
      <c r="D37" s="252"/>
      <c r="E37" s="252"/>
    </row>
    <row r="38" spans="1:5" ht="13.5" thickBot="1">
      <c r="A38" s="252"/>
      <c r="B38" s="252"/>
      <c r="C38" s="252"/>
      <c r="D38" s="252"/>
      <c r="E38" s="252"/>
    </row>
    <row r="39" spans="1:5" ht="18" customHeight="1" thickBot="1">
      <c r="A39" s="723" t="s">
        <v>289</v>
      </c>
      <c r="B39" s="724"/>
      <c r="C39" s="724"/>
      <c r="D39" s="725"/>
      <c r="E39" s="252"/>
    </row>
    <row r="40" spans="1:5" ht="14.25">
      <c r="A40" s="717" t="s">
        <v>182</v>
      </c>
      <c r="B40" s="718"/>
      <c r="C40" s="267" t="s">
        <v>183</v>
      </c>
      <c r="D40" s="267" t="s">
        <v>184</v>
      </c>
      <c r="E40" s="252"/>
    </row>
    <row r="41" spans="1:5" ht="12.75">
      <c r="A41" s="719" t="s">
        <v>290</v>
      </c>
      <c r="B41" s="720"/>
      <c r="C41" s="268">
        <v>300</v>
      </c>
      <c r="D41" s="268">
        <v>300</v>
      </c>
      <c r="E41" s="252"/>
    </row>
    <row r="42" spans="1:5" ht="12.75">
      <c r="A42" s="719" t="s">
        <v>291</v>
      </c>
      <c r="B42" s="720"/>
      <c r="C42" s="261">
        <v>250</v>
      </c>
      <c r="D42" s="261">
        <v>250</v>
      </c>
      <c r="E42" s="252"/>
    </row>
    <row r="43" spans="1:5" ht="12.75">
      <c r="A43" s="719" t="s">
        <v>292</v>
      </c>
      <c r="B43" s="720"/>
      <c r="C43" s="261">
        <v>700</v>
      </c>
      <c r="D43" s="261">
        <v>700</v>
      </c>
      <c r="E43" s="252"/>
    </row>
    <row r="44" spans="1:5" ht="19.5" thickBot="1">
      <c r="A44" s="269"/>
      <c r="B44" s="269"/>
      <c r="C44" s="270" t="s">
        <v>137</v>
      </c>
      <c r="D44" s="264">
        <f>SUM(D41:D43)</f>
        <v>1250</v>
      </c>
      <c r="E44" s="252"/>
    </row>
    <row r="45" spans="1:5" ht="13.5" thickTop="1">
      <c r="A45" s="252"/>
      <c r="B45" s="252"/>
      <c r="C45" s="252"/>
      <c r="D45" s="252"/>
      <c r="E45" s="252"/>
    </row>
    <row r="46" spans="1:5" ht="16.5" customHeight="1">
      <c r="A46" s="252"/>
      <c r="B46" s="697" t="s">
        <v>400</v>
      </c>
      <c r="C46" s="697"/>
      <c r="D46" s="697"/>
      <c r="E46" s="252"/>
    </row>
    <row r="47" spans="1:5" ht="9.75" customHeight="1" thickBot="1">
      <c r="A47" s="252"/>
      <c r="B47" s="271"/>
      <c r="C47" s="271"/>
      <c r="D47" s="252"/>
      <c r="E47" s="252"/>
    </row>
    <row r="48" spans="1:5" ht="16.5" customHeight="1" thickBot="1">
      <c r="A48" s="713" t="s">
        <v>182</v>
      </c>
      <c r="B48" s="714"/>
      <c r="C48" s="274" t="s">
        <v>184</v>
      </c>
      <c r="D48" s="274" t="s">
        <v>372</v>
      </c>
      <c r="E48" s="273" t="s">
        <v>373</v>
      </c>
    </row>
    <row r="49" spans="1:5" ht="16.5" customHeight="1">
      <c r="A49" s="715" t="s">
        <v>162</v>
      </c>
      <c r="B49" s="716"/>
      <c r="C49" s="275">
        <f>D44</f>
        <v>1250</v>
      </c>
      <c r="D49" s="276">
        <v>5</v>
      </c>
      <c r="E49" s="277">
        <f>D44/D49</f>
        <v>250</v>
      </c>
    </row>
  </sheetData>
  <mergeCells count="13">
    <mergeCell ref="F6:H6"/>
    <mergeCell ref="F7:G7"/>
    <mergeCell ref="A4:D4"/>
    <mergeCell ref="A39:D39"/>
    <mergeCell ref="B2:C2"/>
    <mergeCell ref="B37:C37"/>
    <mergeCell ref="A48:B48"/>
    <mergeCell ref="A49:B49"/>
    <mergeCell ref="B46:D46"/>
    <mergeCell ref="A40:B40"/>
    <mergeCell ref="A41:B41"/>
    <mergeCell ref="A42:B42"/>
    <mergeCell ref="A43:B43"/>
  </mergeCells>
  <printOptions/>
  <pageMargins left="1.69" right="0.55" top="1.05"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G18"/>
  <sheetViews>
    <sheetView workbookViewId="0" topLeftCell="A1">
      <selection activeCell="G1" sqref="G1"/>
    </sheetView>
  </sheetViews>
  <sheetFormatPr defaultColWidth="11.421875" defaultRowHeight="12.75"/>
  <cols>
    <col min="1" max="1" width="4.00390625" style="0" customWidth="1"/>
    <col min="2" max="2" width="21.7109375" style="0" customWidth="1"/>
    <col min="3" max="3" width="10.8515625" style="0" customWidth="1"/>
    <col min="4" max="4" width="8.7109375" style="0" customWidth="1"/>
    <col min="5" max="5" width="19.7109375" style="0" customWidth="1"/>
    <col min="6" max="6" width="10.7109375" style="0" customWidth="1"/>
    <col min="7" max="7" width="8.7109375" style="0" customWidth="1"/>
  </cols>
  <sheetData>
    <row r="1" ht="15.75">
      <c r="G1" s="686"/>
    </row>
    <row r="2" ht="27.75" customHeight="1">
      <c r="G2" s="686"/>
    </row>
    <row r="4" spans="2:7" ht="15.75">
      <c r="B4" s="252"/>
      <c r="C4" s="694" t="s">
        <v>301</v>
      </c>
      <c r="D4" s="694"/>
      <c r="E4" s="694"/>
      <c r="F4" s="252"/>
      <c r="G4" s="252"/>
    </row>
    <row r="5" spans="2:7" ht="12.75">
      <c r="B5" s="252"/>
      <c r="C5" s="252"/>
      <c r="D5" s="252"/>
      <c r="E5" s="252"/>
      <c r="F5" s="252"/>
      <c r="G5" s="252"/>
    </row>
    <row r="6" spans="2:7" ht="18.75" customHeight="1">
      <c r="B6" s="252"/>
      <c r="C6" s="726" t="s">
        <v>294</v>
      </c>
      <c r="D6" s="726"/>
      <c r="E6" s="726"/>
      <c r="F6" s="252"/>
      <c r="G6" s="252"/>
    </row>
    <row r="7" spans="2:7" ht="13.5" thickBot="1">
      <c r="B7" s="252"/>
      <c r="C7" s="252"/>
      <c r="D7" s="252"/>
      <c r="E7" s="252"/>
      <c r="F7" s="252"/>
      <c r="G7" s="252"/>
    </row>
    <row r="8" spans="2:7" ht="15" customHeight="1" thickBot="1">
      <c r="B8" s="394" t="s">
        <v>293</v>
      </c>
      <c r="C8" s="395" t="s">
        <v>135</v>
      </c>
      <c r="D8" s="396" t="s">
        <v>136</v>
      </c>
      <c r="E8" s="397" t="s">
        <v>134</v>
      </c>
      <c r="F8" s="398" t="s">
        <v>135</v>
      </c>
      <c r="G8" s="399" t="s">
        <v>136</v>
      </c>
    </row>
    <row r="9" spans="2:7" ht="15" customHeight="1">
      <c r="B9" s="400" t="s">
        <v>161</v>
      </c>
      <c r="C9" s="401">
        <f>'Act.fijos resumen'!D95</f>
        <v>42735.73</v>
      </c>
      <c r="D9" s="402">
        <f>C9/$C$12</f>
        <v>0.889525652703146</v>
      </c>
      <c r="E9" s="400" t="s">
        <v>163</v>
      </c>
      <c r="F9" s="401">
        <v>12000</v>
      </c>
      <c r="G9" s="403">
        <f>F9/$F$12</f>
        <v>0.24977478640092846</v>
      </c>
    </row>
    <row r="10" spans="2:7" ht="15" customHeight="1" thickBot="1">
      <c r="B10" s="400" t="s">
        <v>162</v>
      </c>
      <c r="C10" s="401">
        <f>'Capital d trabajo'!D44</f>
        <v>1250</v>
      </c>
      <c r="D10" s="402">
        <f>C10/$C$12</f>
        <v>0.026018206916763383</v>
      </c>
      <c r="E10" s="400" t="s">
        <v>138</v>
      </c>
      <c r="F10" s="404">
        <f>C12-F9</f>
        <v>36043.280000000006</v>
      </c>
      <c r="G10" s="403">
        <f>F10/$F$12</f>
        <v>0.7502252135990716</v>
      </c>
    </row>
    <row r="11" spans="2:7" ht="15" customHeight="1" thickBot="1">
      <c r="B11" s="400" t="s">
        <v>139</v>
      </c>
      <c r="C11" s="404">
        <f>'Capital d trabajo'!D34</f>
        <v>4057.55</v>
      </c>
      <c r="D11" s="402">
        <f>C11/$C$12</f>
        <v>0.08445614038009061</v>
      </c>
      <c r="E11" s="405"/>
      <c r="F11" s="406"/>
      <c r="G11" s="407"/>
    </row>
    <row r="12" spans="2:7" ht="15" customHeight="1" thickBot="1">
      <c r="B12" s="408" t="s">
        <v>137</v>
      </c>
      <c r="C12" s="404">
        <f>SUM(C9:C11)</f>
        <v>48043.280000000006</v>
      </c>
      <c r="D12" s="409">
        <f>SUM(D9:D11)</f>
        <v>1</v>
      </c>
      <c r="E12" s="408" t="s">
        <v>137</v>
      </c>
      <c r="F12" s="404">
        <f>SUM(F9:F10)</f>
        <v>48043.280000000006</v>
      </c>
      <c r="G12" s="410">
        <f>SUM(G9:G10)</f>
        <v>1</v>
      </c>
    </row>
    <row r="13" spans="2:7" ht="12.75">
      <c r="B13" s="252"/>
      <c r="C13" s="252"/>
      <c r="D13" s="252"/>
      <c r="E13" s="252"/>
      <c r="F13" s="252"/>
      <c r="G13" s="252"/>
    </row>
    <row r="14" spans="2:7" ht="12.75">
      <c r="B14" s="252"/>
      <c r="C14" s="252"/>
      <c r="D14" s="252"/>
      <c r="E14" s="252"/>
      <c r="F14" s="252"/>
      <c r="G14" s="252"/>
    </row>
    <row r="15" spans="2:7" ht="12.75">
      <c r="B15" s="252"/>
      <c r="C15" s="252"/>
      <c r="D15" s="252"/>
      <c r="E15" s="252"/>
      <c r="F15" s="252"/>
      <c r="G15" s="252"/>
    </row>
    <row r="16" spans="2:7" ht="21" customHeight="1">
      <c r="B16" s="252"/>
      <c r="C16" s="727" t="s">
        <v>295</v>
      </c>
      <c r="D16" s="728"/>
      <c r="E16" s="729"/>
      <c r="F16" s="411">
        <f>Inversión!F10/3</f>
        <v>12014.426666666668</v>
      </c>
      <c r="G16" s="252"/>
    </row>
    <row r="17" spans="2:7" ht="21" customHeight="1">
      <c r="B17" s="252"/>
      <c r="C17" s="727" t="s">
        <v>401</v>
      </c>
      <c r="D17" s="728"/>
      <c r="E17" s="729"/>
      <c r="F17" s="412">
        <f>F16*100%/F10</f>
        <v>0.3333333333333333</v>
      </c>
      <c r="G17" s="252"/>
    </row>
    <row r="18" spans="2:7" ht="12.75">
      <c r="B18" s="252"/>
      <c r="C18" s="252"/>
      <c r="D18" s="252"/>
      <c r="E18" s="252"/>
      <c r="F18" s="252"/>
      <c r="G18" s="252"/>
    </row>
  </sheetData>
  <mergeCells count="4">
    <mergeCell ref="C6:E6"/>
    <mergeCell ref="C4:E4"/>
    <mergeCell ref="C16:E16"/>
    <mergeCell ref="C17:E17"/>
  </mergeCells>
  <printOptions/>
  <pageMargins left="0.75" right="0.75" top="0.89"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D27"/>
  <sheetViews>
    <sheetView workbookViewId="0" topLeftCell="A1">
      <selection activeCell="B3" sqref="B3"/>
    </sheetView>
  </sheetViews>
  <sheetFormatPr defaultColWidth="11.421875" defaultRowHeight="12.75"/>
  <cols>
    <col min="1" max="1" width="40.140625" style="0" bestFit="1" customWidth="1"/>
    <col min="2" max="2" width="21.28125" style="6" customWidth="1"/>
  </cols>
  <sheetData>
    <row r="1" ht="15.75">
      <c r="D1" s="686"/>
    </row>
    <row r="2" spans="1:3" ht="28.5" customHeight="1">
      <c r="A2" s="736" t="s">
        <v>305</v>
      </c>
      <c r="B2" s="736"/>
      <c r="C2" s="194"/>
    </row>
    <row r="3" spans="1:2" ht="13.5" thickBot="1">
      <c r="A3" s="252"/>
      <c r="B3" s="413"/>
    </row>
    <row r="4" spans="1:2" ht="16.5" thickBot="1">
      <c r="A4" s="730" t="s">
        <v>179</v>
      </c>
      <c r="B4" s="731"/>
    </row>
    <row r="5" spans="1:2" ht="15.75">
      <c r="A5" s="414"/>
      <c r="B5" s="413"/>
    </row>
    <row r="6" spans="1:2" ht="13.5" thickBot="1">
      <c r="A6" s="252"/>
      <c r="B6" s="415"/>
    </row>
    <row r="7" spans="1:2" ht="13.5" thickBot="1">
      <c r="A7" s="416" t="s">
        <v>170</v>
      </c>
      <c r="B7" s="417" t="s">
        <v>104</v>
      </c>
    </row>
    <row r="8" spans="1:2" ht="12.75">
      <c r="A8" s="418" t="s">
        <v>164</v>
      </c>
      <c r="B8" s="419"/>
    </row>
    <row r="9" spans="1:3" ht="13.5" thickBot="1">
      <c r="A9" s="420" t="s">
        <v>165</v>
      </c>
      <c r="B9" s="421">
        <f>4.5/15</f>
        <v>0.3</v>
      </c>
      <c r="C9" s="75"/>
    </row>
    <row r="10" spans="1:3" ht="12.75">
      <c r="A10" s="422"/>
      <c r="B10" s="423"/>
      <c r="C10" s="75"/>
    </row>
    <row r="11" spans="1:3" ht="12.75">
      <c r="A11" s="424" t="s">
        <v>232</v>
      </c>
      <c r="B11" s="425"/>
      <c r="C11" s="75"/>
    </row>
    <row r="12" spans="1:3" ht="13.5" thickBot="1">
      <c r="A12" s="426" t="s">
        <v>233</v>
      </c>
      <c r="B12" s="427">
        <f>3.5/8</f>
        <v>0.4375</v>
      </c>
      <c r="C12" s="75"/>
    </row>
    <row r="13" spans="1:3" ht="12.75">
      <c r="A13" s="422"/>
      <c r="B13" s="423"/>
      <c r="C13" s="75"/>
    </row>
    <row r="14" spans="1:3" ht="12.75">
      <c r="A14" s="424" t="s">
        <v>166</v>
      </c>
      <c r="B14" s="425"/>
      <c r="C14" s="75"/>
    </row>
    <row r="15" spans="1:3" ht="13.5" thickBot="1">
      <c r="A15" s="428" t="s">
        <v>235</v>
      </c>
      <c r="B15" s="427">
        <f>1.5/3.5</f>
        <v>0.42857142857142855</v>
      </c>
      <c r="C15" s="75"/>
    </row>
    <row r="16" spans="1:2" ht="12.75">
      <c r="A16" s="252"/>
      <c r="B16" s="429"/>
    </row>
    <row r="17" spans="1:2" ht="13.5" thickBot="1">
      <c r="A17" s="252"/>
      <c r="B17" s="252"/>
    </row>
    <row r="18" spans="1:2" ht="13.5" thickBot="1">
      <c r="A18" s="430" t="s">
        <v>236</v>
      </c>
      <c r="B18" s="431">
        <v>0.0146</v>
      </c>
    </row>
    <row r="19" spans="1:2" ht="13.5" thickBot="1">
      <c r="A19" s="252"/>
      <c r="B19" s="252"/>
    </row>
    <row r="20" spans="1:2" ht="13.5" thickBot="1">
      <c r="A20" s="430" t="s">
        <v>120</v>
      </c>
      <c r="B20" s="432">
        <v>0.1</v>
      </c>
    </row>
    <row r="21" spans="1:2" ht="13.5" thickBot="1">
      <c r="A21" s="252"/>
      <c r="B21" s="252"/>
    </row>
    <row r="22" spans="1:2" ht="15.75" customHeight="1" thickBot="1">
      <c r="A22" s="433" t="s">
        <v>177</v>
      </c>
      <c r="B22" s="431">
        <v>0.1012</v>
      </c>
    </row>
    <row r="23" spans="1:2" ht="13.5" thickBot="1">
      <c r="A23" s="252"/>
      <c r="B23" s="252"/>
    </row>
    <row r="24" spans="1:2" ht="15" customHeight="1" thickBot="1">
      <c r="A24" s="430" t="s">
        <v>402</v>
      </c>
      <c r="B24" s="434">
        <f>Inversión!F9</f>
        <v>12000</v>
      </c>
    </row>
    <row r="25" spans="1:2" ht="13.5" thickBot="1">
      <c r="A25" s="435"/>
      <c r="B25" s="436"/>
    </row>
    <row r="26" spans="1:2" ht="12.75">
      <c r="A26" s="734" t="s">
        <v>154</v>
      </c>
      <c r="B26" s="732">
        <v>0.2</v>
      </c>
    </row>
    <row r="27" spans="1:2" ht="13.5" thickBot="1">
      <c r="A27" s="735"/>
      <c r="B27" s="733"/>
    </row>
  </sheetData>
  <mergeCells count="4">
    <mergeCell ref="A4:B4"/>
    <mergeCell ref="B26:B27"/>
    <mergeCell ref="A26:A27"/>
    <mergeCell ref="A2:B2"/>
  </mergeCells>
  <printOptions horizontalCentered="1" verticalCentered="1"/>
  <pageMargins left="1.81" right="0.75" top="0.88" bottom="4.58" header="0" footer="0"/>
  <pageSetup fitToHeight="1" fitToWidth="1"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H75"/>
  <sheetViews>
    <sheetView workbookViewId="0" topLeftCell="A1">
      <selection activeCell="G1" sqref="G1"/>
    </sheetView>
  </sheetViews>
  <sheetFormatPr defaultColWidth="11.421875" defaultRowHeight="12.75"/>
  <cols>
    <col min="1" max="1" width="21.7109375" style="83" customWidth="1"/>
    <col min="2" max="2" width="11.140625" style="83" customWidth="1"/>
    <col min="3" max="3" width="11.421875" style="83" customWidth="1"/>
    <col min="4" max="4" width="22.421875" style="83" customWidth="1"/>
    <col min="5" max="16384" width="11.421875" style="83" customWidth="1"/>
  </cols>
  <sheetData>
    <row r="1" ht="15.75">
      <c r="G1" s="687"/>
    </row>
    <row r="2" spans="1:5" ht="15.75">
      <c r="A2" s="437"/>
      <c r="B2" s="736" t="s">
        <v>304</v>
      </c>
      <c r="C2" s="736"/>
      <c r="D2" s="736"/>
      <c r="E2" s="437"/>
    </row>
    <row r="3" spans="1:5" ht="16.5" thickBot="1">
      <c r="A3" s="437"/>
      <c r="B3" s="253"/>
      <c r="C3" s="253"/>
      <c r="D3" s="253"/>
      <c r="E3" s="437"/>
    </row>
    <row r="4" spans="1:5" ht="20.25" thickBot="1" thickTop="1">
      <c r="A4" s="737" t="s">
        <v>180</v>
      </c>
      <c r="B4" s="738"/>
      <c r="C4" s="738"/>
      <c r="D4" s="738"/>
      <c r="E4" s="739"/>
    </row>
    <row r="5" spans="1:5" ht="13.5" thickTop="1">
      <c r="A5" s="437"/>
      <c r="B5" s="437"/>
      <c r="C5" s="437"/>
      <c r="D5" s="437"/>
      <c r="E5" s="437"/>
    </row>
    <row r="6" spans="1:5" ht="12.75">
      <c r="A6" s="438" t="s">
        <v>117</v>
      </c>
      <c r="B6" s="439">
        <f>Supstos!B24</f>
        <v>12000</v>
      </c>
      <c r="C6" s="440"/>
      <c r="D6" s="437"/>
      <c r="E6" s="437"/>
    </row>
    <row r="7" spans="1:5" ht="12.75">
      <c r="A7" s="441" t="s">
        <v>109</v>
      </c>
      <c r="B7" s="442">
        <v>0.1012</v>
      </c>
      <c r="C7" s="440"/>
      <c r="D7" s="437"/>
      <c r="E7" s="437"/>
    </row>
    <row r="8" spans="1:5" ht="12.75">
      <c r="A8" s="443" t="s">
        <v>111</v>
      </c>
      <c r="B8" s="444">
        <f>C8</f>
        <v>0.008065728656571292</v>
      </c>
      <c r="C8" s="445">
        <f>((1+B7)^(1/12)-1)</f>
        <v>0.008065728656571292</v>
      </c>
      <c r="D8" s="437"/>
      <c r="E8" s="437"/>
    </row>
    <row r="9" spans="1:5" ht="12.75">
      <c r="A9" s="443" t="s">
        <v>148</v>
      </c>
      <c r="B9" s="446">
        <v>12</v>
      </c>
      <c r="C9" s="440"/>
      <c r="D9" s="437"/>
      <c r="E9" s="437"/>
    </row>
    <row r="10" spans="1:5" ht="12.75">
      <c r="A10" s="447" t="s">
        <v>110</v>
      </c>
      <c r="B10" s="448">
        <v>5</v>
      </c>
      <c r="C10" s="440"/>
      <c r="D10" s="437"/>
      <c r="E10" s="437"/>
    </row>
    <row r="11" spans="1:5" ht="12.75">
      <c r="A11" s="449" t="s">
        <v>112</v>
      </c>
      <c r="B11" s="450">
        <f>B9*B10</f>
        <v>60</v>
      </c>
      <c r="C11" s="437"/>
      <c r="D11" s="437"/>
      <c r="E11" s="437"/>
    </row>
    <row r="12" spans="1:5" ht="12.75">
      <c r="A12" s="437"/>
      <c r="B12" s="437"/>
      <c r="C12" s="437"/>
      <c r="D12" s="437"/>
      <c r="E12" s="437"/>
    </row>
    <row r="13" spans="1:5" ht="12.75">
      <c r="A13" s="451" t="s">
        <v>108</v>
      </c>
      <c r="B13" s="452" t="s">
        <v>113</v>
      </c>
      <c r="C13" s="452" t="s">
        <v>114</v>
      </c>
      <c r="D13" s="452" t="s">
        <v>115</v>
      </c>
      <c r="E13" s="453" t="s">
        <v>116</v>
      </c>
    </row>
    <row r="14" spans="1:5" ht="12.75">
      <c r="A14" s="454">
        <v>0</v>
      </c>
      <c r="B14" s="455"/>
      <c r="C14" s="455"/>
      <c r="D14" s="455"/>
      <c r="E14" s="456">
        <f>B6</f>
        <v>12000</v>
      </c>
    </row>
    <row r="15" spans="1:5" ht="12.75">
      <c r="A15" s="454">
        <v>1</v>
      </c>
      <c r="B15" s="455">
        <f>E14*$B$8</f>
        <v>96.7887438788555</v>
      </c>
      <c r="C15" s="455">
        <f>B6/B11</f>
        <v>200</v>
      </c>
      <c r="D15" s="455">
        <f>B15+C15</f>
        <v>296.7887438788555</v>
      </c>
      <c r="E15" s="457">
        <f aca="true" t="shared" si="0" ref="E15:E46">E14-C15</f>
        <v>11800</v>
      </c>
    </row>
    <row r="16" spans="1:5" ht="12.75">
      <c r="A16" s="458">
        <f>A15+1</f>
        <v>2</v>
      </c>
      <c r="B16" s="455">
        <f aca="true" t="shared" si="1" ref="B16:B74">E15*$B$8</f>
        <v>95.17559814754124</v>
      </c>
      <c r="C16" s="455">
        <f>C15</f>
        <v>200</v>
      </c>
      <c r="D16" s="455">
        <f aca="true" t="shared" si="2" ref="D16:D75">B16+C16</f>
        <v>295.1755981475412</v>
      </c>
      <c r="E16" s="457">
        <f t="shared" si="0"/>
        <v>11600</v>
      </c>
    </row>
    <row r="17" spans="1:5" ht="12.75">
      <c r="A17" s="454">
        <v>3</v>
      </c>
      <c r="B17" s="455">
        <f t="shared" si="1"/>
        <v>93.56245241622699</v>
      </c>
      <c r="C17" s="455">
        <f aca="true" t="shared" si="3" ref="C17:C74">C16</f>
        <v>200</v>
      </c>
      <c r="D17" s="455">
        <f t="shared" si="2"/>
        <v>293.56245241622696</v>
      </c>
      <c r="E17" s="457">
        <f t="shared" si="0"/>
        <v>11400</v>
      </c>
    </row>
    <row r="18" spans="1:5" ht="12.75">
      <c r="A18" s="454">
        <v>4</v>
      </c>
      <c r="B18" s="455">
        <f t="shared" si="1"/>
        <v>91.94930668491273</v>
      </c>
      <c r="C18" s="455">
        <f t="shared" si="3"/>
        <v>200</v>
      </c>
      <c r="D18" s="455">
        <f t="shared" si="2"/>
        <v>291.9493066849127</v>
      </c>
      <c r="E18" s="457">
        <f t="shared" si="0"/>
        <v>11200</v>
      </c>
    </row>
    <row r="19" spans="1:5" ht="12.75">
      <c r="A19" s="454">
        <v>5</v>
      </c>
      <c r="B19" s="455">
        <f>E18*$B$8</f>
        <v>90.33616095359847</v>
      </c>
      <c r="C19" s="455">
        <f>C18</f>
        <v>200</v>
      </c>
      <c r="D19" s="455">
        <f t="shared" si="2"/>
        <v>290.33616095359844</v>
      </c>
      <c r="E19" s="457">
        <f t="shared" si="0"/>
        <v>11000</v>
      </c>
    </row>
    <row r="20" spans="1:5" ht="12.75">
      <c r="A20" s="454">
        <v>6</v>
      </c>
      <c r="B20" s="455">
        <f t="shared" si="1"/>
        <v>88.7230152222842</v>
      </c>
      <c r="C20" s="455">
        <f t="shared" si="3"/>
        <v>200</v>
      </c>
      <c r="D20" s="455">
        <f t="shared" si="2"/>
        <v>288.7230152222842</v>
      </c>
      <c r="E20" s="457">
        <f t="shared" si="0"/>
        <v>10800</v>
      </c>
    </row>
    <row r="21" spans="1:5" ht="12.75">
      <c r="A21" s="454">
        <v>7</v>
      </c>
      <c r="B21" s="455">
        <f t="shared" si="1"/>
        <v>87.10986949096994</v>
      </c>
      <c r="C21" s="455">
        <f t="shared" si="3"/>
        <v>200</v>
      </c>
      <c r="D21" s="455">
        <f t="shared" si="2"/>
        <v>287.1098694909699</v>
      </c>
      <c r="E21" s="457">
        <f t="shared" si="0"/>
        <v>10600</v>
      </c>
    </row>
    <row r="22" spans="1:5" ht="12.75">
      <c r="A22" s="454">
        <v>8</v>
      </c>
      <c r="B22" s="455">
        <f t="shared" si="1"/>
        <v>85.4967237596557</v>
      </c>
      <c r="C22" s="455">
        <f t="shared" si="3"/>
        <v>200</v>
      </c>
      <c r="D22" s="455">
        <f t="shared" si="2"/>
        <v>285.4967237596557</v>
      </c>
      <c r="E22" s="457">
        <f t="shared" si="0"/>
        <v>10400</v>
      </c>
    </row>
    <row r="23" spans="1:5" ht="12.75">
      <c r="A23" s="454">
        <v>9</v>
      </c>
      <c r="B23" s="455">
        <f t="shared" si="1"/>
        <v>83.88357802834143</v>
      </c>
      <c r="C23" s="455">
        <f t="shared" si="3"/>
        <v>200</v>
      </c>
      <c r="D23" s="455">
        <f t="shared" si="2"/>
        <v>283.88357802834145</v>
      </c>
      <c r="E23" s="457">
        <f t="shared" si="0"/>
        <v>10200</v>
      </c>
    </row>
    <row r="24" spans="1:5" ht="12.75">
      <c r="A24" s="454">
        <v>10</v>
      </c>
      <c r="B24" s="455">
        <f t="shared" si="1"/>
        <v>82.27043229702717</v>
      </c>
      <c r="C24" s="455">
        <f t="shared" si="3"/>
        <v>200</v>
      </c>
      <c r="D24" s="455">
        <f t="shared" si="2"/>
        <v>282.2704322970272</v>
      </c>
      <c r="E24" s="457">
        <f t="shared" si="0"/>
        <v>10000</v>
      </c>
    </row>
    <row r="25" spans="1:5" ht="12.75">
      <c r="A25" s="454">
        <f>A24+1</f>
        <v>11</v>
      </c>
      <c r="B25" s="455">
        <f t="shared" si="1"/>
        <v>80.65728656571292</v>
      </c>
      <c r="C25" s="455">
        <f t="shared" si="3"/>
        <v>200</v>
      </c>
      <c r="D25" s="455">
        <f t="shared" si="2"/>
        <v>280.6572865657129</v>
      </c>
      <c r="E25" s="457">
        <f t="shared" si="0"/>
        <v>9800</v>
      </c>
    </row>
    <row r="26" spans="1:8" ht="12.75">
      <c r="A26" s="454">
        <f aca="true" t="shared" si="4" ref="A26:A74">A25+1</f>
        <v>12</v>
      </c>
      <c r="B26" s="455">
        <f t="shared" si="1"/>
        <v>79.04414083439866</v>
      </c>
      <c r="C26" s="455">
        <f t="shared" si="3"/>
        <v>200</v>
      </c>
      <c r="D26" s="455">
        <f t="shared" si="2"/>
        <v>279.04414083439866</v>
      </c>
      <c r="E26" s="457">
        <f t="shared" si="0"/>
        <v>9600</v>
      </c>
      <c r="G26" s="688">
        <f>SUM(B15:B26)</f>
        <v>1054.9973082795248</v>
      </c>
      <c r="H26" s="688">
        <f>SUM(C15:C26)</f>
        <v>2400</v>
      </c>
    </row>
    <row r="27" spans="1:8" ht="12.75">
      <c r="A27" s="454">
        <f t="shared" si="4"/>
        <v>13</v>
      </c>
      <c r="B27" s="455">
        <f t="shared" si="1"/>
        <v>77.4309951030844</v>
      </c>
      <c r="C27" s="455">
        <f t="shared" si="3"/>
        <v>200</v>
      </c>
      <c r="D27" s="455">
        <f t="shared" si="2"/>
        <v>277.4309951030844</v>
      </c>
      <c r="E27" s="457">
        <f t="shared" si="0"/>
        <v>9400</v>
      </c>
      <c r="G27" s="689"/>
      <c r="H27" s="689"/>
    </row>
    <row r="28" spans="1:8" ht="12.75">
      <c r="A28" s="454">
        <f t="shared" si="4"/>
        <v>14</v>
      </c>
      <c r="B28" s="455">
        <f t="shared" si="1"/>
        <v>75.81784937177014</v>
      </c>
      <c r="C28" s="455">
        <f t="shared" si="3"/>
        <v>200</v>
      </c>
      <c r="D28" s="455">
        <f t="shared" si="2"/>
        <v>275.81784937177014</v>
      </c>
      <c r="E28" s="457">
        <f t="shared" si="0"/>
        <v>9200</v>
      </c>
      <c r="G28" s="688">
        <f>B27:B38</f>
        <v>75.81784937177014</v>
      </c>
      <c r="H28" s="689"/>
    </row>
    <row r="29" spans="1:5" ht="12.75">
      <c r="A29" s="454">
        <f t="shared" si="4"/>
        <v>15</v>
      </c>
      <c r="B29" s="455">
        <f t="shared" si="1"/>
        <v>74.20470364045588</v>
      </c>
      <c r="C29" s="455">
        <f t="shared" si="3"/>
        <v>200</v>
      </c>
      <c r="D29" s="455">
        <f t="shared" si="2"/>
        <v>274.2047036404559</v>
      </c>
      <c r="E29" s="457">
        <f t="shared" si="0"/>
        <v>9000</v>
      </c>
    </row>
    <row r="30" spans="1:5" ht="12.75">
      <c r="A30" s="454">
        <f t="shared" si="4"/>
        <v>16</v>
      </c>
      <c r="B30" s="455">
        <f t="shared" si="1"/>
        <v>72.59155790914163</v>
      </c>
      <c r="C30" s="455">
        <f t="shared" si="3"/>
        <v>200</v>
      </c>
      <c r="D30" s="455">
        <f t="shared" si="2"/>
        <v>272.5915579091416</v>
      </c>
      <c r="E30" s="457">
        <f t="shared" si="0"/>
        <v>8800</v>
      </c>
    </row>
    <row r="31" spans="1:5" ht="12.75">
      <c r="A31" s="454">
        <f t="shared" si="4"/>
        <v>17</v>
      </c>
      <c r="B31" s="455">
        <f t="shared" si="1"/>
        <v>70.97841217782737</v>
      </c>
      <c r="C31" s="455">
        <f t="shared" si="3"/>
        <v>200</v>
      </c>
      <c r="D31" s="455">
        <f t="shared" si="2"/>
        <v>270.97841217782735</v>
      </c>
      <c r="E31" s="457">
        <f t="shared" si="0"/>
        <v>8600</v>
      </c>
    </row>
    <row r="32" spans="1:5" ht="12.75">
      <c r="A32" s="454">
        <f t="shared" si="4"/>
        <v>18</v>
      </c>
      <c r="B32" s="455">
        <f t="shared" si="1"/>
        <v>69.3652664465131</v>
      </c>
      <c r="C32" s="455">
        <f t="shared" si="3"/>
        <v>200</v>
      </c>
      <c r="D32" s="455">
        <f t="shared" si="2"/>
        <v>269.3652664465131</v>
      </c>
      <c r="E32" s="457">
        <f t="shared" si="0"/>
        <v>8400</v>
      </c>
    </row>
    <row r="33" spans="1:5" ht="12.75">
      <c r="A33" s="454">
        <f t="shared" si="4"/>
        <v>19</v>
      </c>
      <c r="B33" s="455">
        <f t="shared" si="1"/>
        <v>67.75212071519886</v>
      </c>
      <c r="C33" s="455">
        <f t="shared" si="3"/>
        <v>200</v>
      </c>
      <c r="D33" s="455">
        <f t="shared" si="2"/>
        <v>267.7521207151989</v>
      </c>
      <c r="E33" s="457">
        <f t="shared" si="0"/>
        <v>8200</v>
      </c>
    </row>
    <row r="34" spans="1:5" ht="12.75">
      <c r="A34" s="454">
        <f t="shared" si="4"/>
        <v>20</v>
      </c>
      <c r="B34" s="455">
        <f t="shared" si="1"/>
        <v>66.1389749838846</v>
      </c>
      <c r="C34" s="455">
        <f t="shared" si="3"/>
        <v>200</v>
      </c>
      <c r="D34" s="455">
        <f t="shared" si="2"/>
        <v>266.1389749838846</v>
      </c>
      <c r="E34" s="457">
        <f t="shared" si="0"/>
        <v>8000</v>
      </c>
    </row>
    <row r="35" spans="1:5" ht="12.75">
      <c r="A35" s="454">
        <f t="shared" si="4"/>
        <v>21</v>
      </c>
      <c r="B35" s="455">
        <f t="shared" si="1"/>
        <v>64.52582925257033</v>
      </c>
      <c r="C35" s="455">
        <f t="shared" si="3"/>
        <v>200</v>
      </c>
      <c r="D35" s="455">
        <f t="shared" si="2"/>
        <v>264.52582925257036</v>
      </c>
      <c r="E35" s="457">
        <f t="shared" si="0"/>
        <v>7800</v>
      </c>
    </row>
    <row r="36" spans="1:5" ht="12.75">
      <c r="A36" s="454">
        <f t="shared" si="4"/>
        <v>22</v>
      </c>
      <c r="B36" s="455">
        <f t="shared" si="1"/>
        <v>62.91268352125607</v>
      </c>
      <c r="C36" s="455">
        <f t="shared" si="3"/>
        <v>200</v>
      </c>
      <c r="D36" s="455">
        <f t="shared" si="2"/>
        <v>262.9126835212561</v>
      </c>
      <c r="E36" s="457">
        <f t="shared" si="0"/>
        <v>7600</v>
      </c>
    </row>
    <row r="37" spans="1:5" ht="12.75">
      <c r="A37" s="454">
        <f t="shared" si="4"/>
        <v>23</v>
      </c>
      <c r="B37" s="455">
        <f t="shared" si="1"/>
        <v>61.299537789941816</v>
      </c>
      <c r="C37" s="455">
        <f t="shared" si="3"/>
        <v>200</v>
      </c>
      <c r="D37" s="455">
        <f t="shared" si="2"/>
        <v>261.29953778994184</v>
      </c>
      <c r="E37" s="457">
        <f t="shared" si="0"/>
        <v>7400</v>
      </c>
    </row>
    <row r="38" spans="1:5" ht="12.75">
      <c r="A38" s="454">
        <f t="shared" si="4"/>
        <v>24</v>
      </c>
      <c r="B38" s="455">
        <f t="shared" si="1"/>
        <v>59.68639205862756</v>
      </c>
      <c r="C38" s="455">
        <f t="shared" si="3"/>
        <v>200</v>
      </c>
      <c r="D38" s="455">
        <f t="shared" si="2"/>
        <v>259.6863920586276</v>
      </c>
      <c r="E38" s="457">
        <f t="shared" si="0"/>
        <v>7200</v>
      </c>
    </row>
    <row r="39" spans="1:5" ht="12.75">
      <c r="A39" s="454">
        <f t="shared" si="4"/>
        <v>25</v>
      </c>
      <c r="B39" s="455">
        <f t="shared" si="1"/>
        <v>58.0732463273133</v>
      </c>
      <c r="C39" s="455">
        <f t="shared" si="3"/>
        <v>200</v>
      </c>
      <c r="D39" s="455">
        <f t="shared" si="2"/>
        <v>258.0732463273133</v>
      </c>
      <c r="E39" s="457">
        <f t="shared" si="0"/>
        <v>7000</v>
      </c>
    </row>
    <row r="40" spans="1:5" ht="12.75">
      <c r="A40" s="454">
        <f t="shared" si="4"/>
        <v>26</v>
      </c>
      <c r="B40" s="455">
        <f t="shared" si="1"/>
        <v>56.46010059599904</v>
      </c>
      <c r="C40" s="455">
        <f t="shared" si="3"/>
        <v>200</v>
      </c>
      <c r="D40" s="455">
        <f t="shared" si="2"/>
        <v>256.46010059599905</v>
      </c>
      <c r="E40" s="457">
        <f t="shared" si="0"/>
        <v>6800</v>
      </c>
    </row>
    <row r="41" spans="1:5" ht="12.75">
      <c r="A41" s="454">
        <f t="shared" si="4"/>
        <v>27</v>
      </c>
      <c r="B41" s="455">
        <f t="shared" si="1"/>
        <v>54.84695486468478</v>
      </c>
      <c r="C41" s="455">
        <f t="shared" si="3"/>
        <v>200</v>
      </c>
      <c r="D41" s="455">
        <f t="shared" si="2"/>
        <v>254.8469548646848</v>
      </c>
      <c r="E41" s="457">
        <f t="shared" si="0"/>
        <v>6600</v>
      </c>
    </row>
    <row r="42" spans="1:5" ht="12.75">
      <c r="A42" s="454">
        <f t="shared" si="4"/>
        <v>28</v>
      </c>
      <c r="B42" s="455">
        <f t="shared" si="1"/>
        <v>53.23380913337053</v>
      </c>
      <c r="C42" s="455">
        <f t="shared" si="3"/>
        <v>200</v>
      </c>
      <c r="D42" s="455">
        <f t="shared" si="2"/>
        <v>253.23380913337053</v>
      </c>
      <c r="E42" s="457">
        <f t="shared" si="0"/>
        <v>6400</v>
      </c>
    </row>
    <row r="43" spans="1:5" ht="12.75">
      <c r="A43" s="454">
        <f t="shared" si="4"/>
        <v>29</v>
      </c>
      <c r="B43" s="455">
        <f t="shared" si="1"/>
        <v>51.620663402056266</v>
      </c>
      <c r="C43" s="455">
        <f t="shared" si="3"/>
        <v>200</v>
      </c>
      <c r="D43" s="455">
        <f t="shared" si="2"/>
        <v>251.62066340205627</v>
      </c>
      <c r="E43" s="457">
        <f t="shared" si="0"/>
        <v>6200</v>
      </c>
    </row>
    <row r="44" spans="1:5" ht="12.75">
      <c r="A44" s="454">
        <f t="shared" si="4"/>
        <v>30</v>
      </c>
      <c r="B44" s="455">
        <f t="shared" si="1"/>
        <v>50.007517670742004</v>
      </c>
      <c r="C44" s="455">
        <f t="shared" si="3"/>
        <v>200</v>
      </c>
      <c r="D44" s="455">
        <f t="shared" si="2"/>
        <v>250.007517670742</v>
      </c>
      <c r="E44" s="457">
        <f t="shared" si="0"/>
        <v>6000</v>
      </c>
    </row>
    <row r="45" spans="1:5" ht="12.75">
      <c r="A45" s="454">
        <f t="shared" si="4"/>
        <v>31</v>
      </c>
      <c r="B45" s="455">
        <f t="shared" si="1"/>
        <v>48.39437193942775</v>
      </c>
      <c r="C45" s="455">
        <f t="shared" si="3"/>
        <v>200</v>
      </c>
      <c r="D45" s="455">
        <f t="shared" si="2"/>
        <v>248.39437193942774</v>
      </c>
      <c r="E45" s="457">
        <f t="shared" si="0"/>
        <v>5800</v>
      </c>
    </row>
    <row r="46" spans="1:5" ht="12.75">
      <c r="A46" s="454">
        <f t="shared" si="4"/>
        <v>32</v>
      </c>
      <c r="B46" s="455">
        <f t="shared" si="1"/>
        <v>46.781226208113495</v>
      </c>
      <c r="C46" s="455">
        <f t="shared" si="3"/>
        <v>200</v>
      </c>
      <c r="D46" s="455">
        <f t="shared" si="2"/>
        <v>246.78122620811348</v>
      </c>
      <c r="E46" s="457">
        <f t="shared" si="0"/>
        <v>5600</v>
      </c>
    </row>
    <row r="47" spans="1:5" ht="12.75">
      <c r="A47" s="454">
        <f t="shared" si="4"/>
        <v>33</v>
      </c>
      <c r="B47" s="455">
        <f t="shared" si="1"/>
        <v>45.16808047679923</v>
      </c>
      <c r="C47" s="455">
        <f t="shared" si="3"/>
        <v>200</v>
      </c>
      <c r="D47" s="455">
        <f t="shared" si="2"/>
        <v>245.16808047679922</v>
      </c>
      <c r="E47" s="457">
        <f aca="true" t="shared" si="5" ref="E47:E74">E46-C47</f>
        <v>5400</v>
      </c>
    </row>
    <row r="48" spans="1:5" ht="12.75">
      <c r="A48" s="454">
        <f t="shared" si="4"/>
        <v>34</v>
      </c>
      <c r="B48" s="455">
        <f t="shared" si="1"/>
        <v>43.55493474548497</v>
      </c>
      <c r="C48" s="455">
        <f t="shared" si="3"/>
        <v>200</v>
      </c>
      <c r="D48" s="455">
        <f t="shared" si="2"/>
        <v>243.55493474548496</v>
      </c>
      <c r="E48" s="457">
        <f t="shared" si="5"/>
        <v>5200</v>
      </c>
    </row>
    <row r="49" spans="1:5" ht="12.75">
      <c r="A49" s="454">
        <f t="shared" si="4"/>
        <v>35</v>
      </c>
      <c r="B49" s="455">
        <f t="shared" si="1"/>
        <v>41.941789014170716</v>
      </c>
      <c r="C49" s="455">
        <f t="shared" si="3"/>
        <v>200</v>
      </c>
      <c r="D49" s="455">
        <f t="shared" si="2"/>
        <v>241.94178901417072</v>
      </c>
      <c r="E49" s="457">
        <f t="shared" si="5"/>
        <v>5000</v>
      </c>
    </row>
    <row r="50" spans="1:5" ht="12.75">
      <c r="A50" s="454">
        <f t="shared" si="4"/>
        <v>36</v>
      </c>
      <c r="B50" s="455">
        <f t="shared" si="1"/>
        <v>40.32864328285646</v>
      </c>
      <c r="C50" s="455">
        <f t="shared" si="3"/>
        <v>200</v>
      </c>
      <c r="D50" s="455">
        <f t="shared" si="2"/>
        <v>240.32864328285646</v>
      </c>
      <c r="E50" s="457">
        <f t="shared" si="5"/>
        <v>4800</v>
      </c>
    </row>
    <row r="51" spans="1:5" ht="12.75">
      <c r="A51" s="454">
        <f t="shared" si="4"/>
        <v>37</v>
      </c>
      <c r="B51" s="455">
        <f t="shared" si="1"/>
        <v>38.7154975515422</v>
      </c>
      <c r="C51" s="455">
        <f t="shared" si="3"/>
        <v>200</v>
      </c>
      <c r="D51" s="455">
        <f t="shared" si="2"/>
        <v>238.7154975515422</v>
      </c>
      <c r="E51" s="457">
        <f t="shared" si="5"/>
        <v>4600</v>
      </c>
    </row>
    <row r="52" spans="1:5" ht="12.75">
      <c r="A52" s="454">
        <f t="shared" si="4"/>
        <v>38</v>
      </c>
      <c r="B52" s="455">
        <f t="shared" si="1"/>
        <v>37.10235182022794</v>
      </c>
      <c r="C52" s="455">
        <f t="shared" si="3"/>
        <v>200</v>
      </c>
      <c r="D52" s="455">
        <f t="shared" si="2"/>
        <v>237.10235182022794</v>
      </c>
      <c r="E52" s="457">
        <f t="shared" si="5"/>
        <v>4400</v>
      </c>
    </row>
    <row r="53" spans="1:5" ht="12.75">
      <c r="A53" s="454">
        <f t="shared" si="4"/>
        <v>39</v>
      </c>
      <c r="B53" s="455">
        <f t="shared" si="1"/>
        <v>35.48920608891368</v>
      </c>
      <c r="C53" s="455">
        <f t="shared" si="3"/>
        <v>200</v>
      </c>
      <c r="D53" s="455">
        <f t="shared" si="2"/>
        <v>235.48920608891368</v>
      </c>
      <c r="E53" s="457">
        <f t="shared" si="5"/>
        <v>4200</v>
      </c>
    </row>
    <row r="54" spans="1:5" ht="12.75">
      <c r="A54" s="454">
        <f t="shared" si="4"/>
        <v>40</v>
      </c>
      <c r="B54" s="455">
        <f t="shared" si="1"/>
        <v>33.87606035759943</v>
      </c>
      <c r="C54" s="455">
        <f t="shared" si="3"/>
        <v>200</v>
      </c>
      <c r="D54" s="455">
        <f t="shared" si="2"/>
        <v>233.87606035759944</v>
      </c>
      <c r="E54" s="457">
        <f t="shared" si="5"/>
        <v>4000</v>
      </c>
    </row>
    <row r="55" spans="1:5" ht="12.75">
      <c r="A55" s="454">
        <f t="shared" si="4"/>
        <v>41</v>
      </c>
      <c r="B55" s="455">
        <f t="shared" si="1"/>
        <v>32.262914626285166</v>
      </c>
      <c r="C55" s="455">
        <f t="shared" si="3"/>
        <v>200</v>
      </c>
      <c r="D55" s="455">
        <f t="shared" si="2"/>
        <v>232.26291462628518</v>
      </c>
      <c r="E55" s="457">
        <f t="shared" si="5"/>
        <v>3800</v>
      </c>
    </row>
    <row r="56" spans="1:5" ht="12.75">
      <c r="A56" s="454">
        <f t="shared" si="4"/>
        <v>42</v>
      </c>
      <c r="B56" s="455">
        <f t="shared" si="1"/>
        <v>30.649768894970908</v>
      </c>
      <c r="C56" s="455">
        <f t="shared" si="3"/>
        <v>200</v>
      </c>
      <c r="D56" s="455">
        <f t="shared" si="2"/>
        <v>230.64976889497092</v>
      </c>
      <c r="E56" s="457">
        <f t="shared" si="5"/>
        <v>3600</v>
      </c>
    </row>
    <row r="57" spans="1:5" ht="12.75">
      <c r="A57" s="454">
        <f t="shared" si="4"/>
        <v>43</v>
      </c>
      <c r="B57" s="455">
        <f t="shared" si="1"/>
        <v>29.03662316365665</v>
      </c>
      <c r="C57" s="455">
        <f t="shared" si="3"/>
        <v>200</v>
      </c>
      <c r="D57" s="455">
        <f t="shared" si="2"/>
        <v>229.03662316365666</v>
      </c>
      <c r="E57" s="457">
        <f t="shared" si="5"/>
        <v>3400</v>
      </c>
    </row>
    <row r="58" spans="1:5" ht="12.75">
      <c r="A58" s="454">
        <f t="shared" si="4"/>
        <v>44</v>
      </c>
      <c r="B58" s="455">
        <f t="shared" si="1"/>
        <v>27.42347743234239</v>
      </c>
      <c r="C58" s="455">
        <f t="shared" si="3"/>
        <v>200</v>
      </c>
      <c r="D58" s="455">
        <f t="shared" si="2"/>
        <v>227.4234774323424</v>
      </c>
      <c r="E58" s="457">
        <f t="shared" si="5"/>
        <v>3200</v>
      </c>
    </row>
    <row r="59" spans="1:5" ht="12.75">
      <c r="A59" s="454">
        <f t="shared" si="4"/>
        <v>45</v>
      </c>
      <c r="B59" s="455">
        <f t="shared" si="1"/>
        <v>25.810331701028133</v>
      </c>
      <c r="C59" s="455">
        <f t="shared" si="3"/>
        <v>200</v>
      </c>
      <c r="D59" s="455">
        <f t="shared" si="2"/>
        <v>225.81033170102813</v>
      </c>
      <c r="E59" s="457">
        <f t="shared" si="5"/>
        <v>3000</v>
      </c>
    </row>
    <row r="60" spans="1:5" ht="12.75">
      <c r="A60" s="454">
        <f t="shared" si="4"/>
        <v>46</v>
      </c>
      <c r="B60" s="455">
        <f t="shared" si="1"/>
        <v>24.197185969713875</v>
      </c>
      <c r="C60" s="455">
        <f t="shared" si="3"/>
        <v>200</v>
      </c>
      <c r="D60" s="455">
        <f t="shared" si="2"/>
        <v>224.19718596971387</v>
      </c>
      <c r="E60" s="457">
        <f t="shared" si="5"/>
        <v>2800</v>
      </c>
    </row>
    <row r="61" spans="1:5" ht="12.75">
      <c r="A61" s="454">
        <f t="shared" si="4"/>
        <v>47</v>
      </c>
      <c r="B61" s="455">
        <f t="shared" si="1"/>
        <v>22.584040238399616</v>
      </c>
      <c r="C61" s="455">
        <f t="shared" si="3"/>
        <v>200</v>
      </c>
      <c r="D61" s="455">
        <f t="shared" si="2"/>
        <v>222.5840402383996</v>
      </c>
      <c r="E61" s="457">
        <f t="shared" si="5"/>
        <v>2600</v>
      </c>
    </row>
    <row r="62" spans="1:5" ht="12.75">
      <c r="A62" s="454">
        <f t="shared" si="4"/>
        <v>48</v>
      </c>
      <c r="B62" s="455">
        <f t="shared" si="1"/>
        <v>20.970894507085358</v>
      </c>
      <c r="C62" s="455">
        <f t="shared" si="3"/>
        <v>200</v>
      </c>
      <c r="D62" s="455">
        <f t="shared" si="2"/>
        <v>220.97089450708535</v>
      </c>
      <c r="E62" s="457">
        <f t="shared" si="5"/>
        <v>2400</v>
      </c>
    </row>
    <row r="63" spans="1:5" ht="12.75">
      <c r="A63" s="454">
        <f t="shared" si="4"/>
        <v>49</v>
      </c>
      <c r="B63" s="455">
        <f t="shared" si="1"/>
        <v>19.3577487757711</v>
      </c>
      <c r="C63" s="455">
        <f t="shared" si="3"/>
        <v>200</v>
      </c>
      <c r="D63" s="455">
        <f t="shared" si="2"/>
        <v>219.35774877577109</v>
      </c>
      <c r="E63" s="457">
        <f t="shared" si="5"/>
        <v>2200</v>
      </c>
    </row>
    <row r="64" spans="1:5" ht="12.75">
      <c r="A64" s="454">
        <f t="shared" si="4"/>
        <v>50</v>
      </c>
      <c r="B64" s="455">
        <f t="shared" si="1"/>
        <v>17.74460304445684</v>
      </c>
      <c r="C64" s="455">
        <f t="shared" si="3"/>
        <v>200</v>
      </c>
      <c r="D64" s="455">
        <f t="shared" si="2"/>
        <v>217.74460304445685</v>
      </c>
      <c r="E64" s="457">
        <f t="shared" si="5"/>
        <v>2000</v>
      </c>
    </row>
    <row r="65" spans="1:5" ht="12.75">
      <c r="A65" s="454">
        <f t="shared" si="4"/>
        <v>51</v>
      </c>
      <c r="B65" s="455">
        <f t="shared" si="1"/>
        <v>16.131457313142583</v>
      </c>
      <c r="C65" s="455">
        <f t="shared" si="3"/>
        <v>200</v>
      </c>
      <c r="D65" s="455">
        <f t="shared" si="2"/>
        <v>216.1314573131426</v>
      </c>
      <c r="E65" s="457">
        <f t="shared" si="5"/>
        <v>1800</v>
      </c>
    </row>
    <row r="66" spans="1:5" ht="12.75">
      <c r="A66" s="454">
        <f t="shared" si="4"/>
        <v>52</v>
      </c>
      <c r="B66" s="455">
        <f t="shared" si="1"/>
        <v>14.518311581828325</v>
      </c>
      <c r="C66" s="455">
        <f t="shared" si="3"/>
        <v>200</v>
      </c>
      <c r="D66" s="455">
        <f t="shared" si="2"/>
        <v>214.51831158182833</v>
      </c>
      <c r="E66" s="457">
        <f t="shared" si="5"/>
        <v>1600</v>
      </c>
    </row>
    <row r="67" spans="1:5" ht="12.75">
      <c r="A67" s="454">
        <f t="shared" si="4"/>
        <v>53</v>
      </c>
      <c r="B67" s="455">
        <f t="shared" si="1"/>
        <v>12.905165850514067</v>
      </c>
      <c r="C67" s="455">
        <f t="shared" si="3"/>
        <v>200</v>
      </c>
      <c r="D67" s="455">
        <f t="shared" si="2"/>
        <v>212.90516585051407</v>
      </c>
      <c r="E67" s="457">
        <f t="shared" si="5"/>
        <v>1400</v>
      </c>
    </row>
    <row r="68" spans="1:5" ht="12.75">
      <c r="A68" s="454">
        <f t="shared" si="4"/>
        <v>54</v>
      </c>
      <c r="B68" s="455">
        <f t="shared" si="1"/>
        <v>11.292020119199808</v>
      </c>
      <c r="C68" s="455">
        <f t="shared" si="3"/>
        <v>200</v>
      </c>
      <c r="D68" s="455">
        <f t="shared" si="2"/>
        <v>211.2920201191998</v>
      </c>
      <c r="E68" s="457">
        <f t="shared" si="5"/>
        <v>1200</v>
      </c>
    </row>
    <row r="69" spans="1:5" ht="12.75">
      <c r="A69" s="454">
        <f t="shared" si="4"/>
        <v>55</v>
      </c>
      <c r="B69" s="455">
        <f t="shared" si="1"/>
        <v>9.67887438788555</v>
      </c>
      <c r="C69" s="455">
        <f t="shared" si="3"/>
        <v>200</v>
      </c>
      <c r="D69" s="455">
        <f t="shared" si="2"/>
        <v>209.67887438788554</v>
      </c>
      <c r="E69" s="457">
        <f t="shared" si="5"/>
        <v>1000</v>
      </c>
    </row>
    <row r="70" spans="1:5" ht="12.75">
      <c r="A70" s="454">
        <f t="shared" si="4"/>
        <v>56</v>
      </c>
      <c r="B70" s="455">
        <f t="shared" si="1"/>
        <v>8.065728656571292</v>
      </c>
      <c r="C70" s="455">
        <f t="shared" si="3"/>
        <v>200</v>
      </c>
      <c r="D70" s="455">
        <f t="shared" si="2"/>
        <v>208.06572865657128</v>
      </c>
      <c r="E70" s="457">
        <f t="shared" si="5"/>
        <v>800</v>
      </c>
    </row>
    <row r="71" spans="1:5" ht="12.75">
      <c r="A71" s="454">
        <f t="shared" si="4"/>
        <v>57</v>
      </c>
      <c r="B71" s="455">
        <f t="shared" si="1"/>
        <v>6.452582925257033</v>
      </c>
      <c r="C71" s="455">
        <f t="shared" si="3"/>
        <v>200</v>
      </c>
      <c r="D71" s="455">
        <f t="shared" si="2"/>
        <v>206.45258292525705</v>
      </c>
      <c r="E71" s="457">
        <f t="shared" si="5"/>
        <v>600</v>
      </c>
    </row>
    <row r="72" spans="1:5" ht="12.75">
      <c r="A72" s="454">
        <f t="shared" si="4"/>
        <v>58</v>
      </c>
      <c r="B72" s="455">
        <f t="shared" si="1"/>
        <v>4.839437193942775</v>
      </c>
      <c r="C72" s="455">
        <f t="shared" si="3"/>
        <v>200</v>
      </c>
      <c r="D72" s="455">
        <f t="shared" si="2"/>
        <v>204.83943719394279</v>
      </c>
      <c r="E72" s="457">
        <f t="shared" si="5"/>
        <v>400</v>
      </c>
    </row>
    <row r="73" spans="1:5" ht="12.75">
      <c r="A73" s="454">
        <f t="shared" si="4"/>
        <v>59</v>
      </c>
      <c r="B73" s="455">
        <f t="shared" si="1"/>
        <v>3.2262914626285166</v>
      </c>
      <c r="C73" s="455">
        <f t="shared" si="3"/>
        <v>200</v>
      </c>
      <c r="D73" s="455">
        <f t="shared" si="2"/>
        <v>203.22629146262852</v>
      </c>
      <c r="E73" s="457">
        <f t="shared" si="5"/>
        <v>200</v>
      </c>
    </row>
    <row r="74" spans="1:5" ht="12.75">
      <c r="A74" s="454">
        <f t="shared" si="4"/>
        <v>60</v>
      </c>
      <c r="B74" s="455">
        <f t="shared" si="1"/>
        <v>1.6131457313142583</v>
      </c>
      <c r="C74" s="455">
        <f t="shared" si="3"/>
        <v>200</v>
      </c>
      <c r="D74" s="455">
        <f t="shared" si="2"/>
        <v>201.61314573131426</v>
      </c>
      <c r="E74" s="457">
        <f t="shared" si="5"/>
        <v>0</v>
      </c>
    </row>
    <row r="75" spans="1:5" ht="12.75">
      <c r="A75" s="459" t="s">
        <v>13</v>
      </c>
      <c r="B75" s="459">
        <f>SUM(B15:B74)</f>
        <v>2952.0566883050897</v>
      </c>
      <c r="C75" s="459">
        <f>SUM(C15:C74)</f>
        <v>12000</v>
      </c>
      <c r="D75" s="459">
        <f t="shared" si="2"/>
        <v>14952.056688305089</v>
      </c>
      <c r="E75" s="459"/>
    </row>
  </sheetData>
  <mergeCells count="2">
    <mergeCell ref="B2:D2"/>
    <mergeCell ref="A4:E4"/>
  </mergeCells>
  <printOptions horizontalCentered="1" verticalCentered="1"/>
  <pageMargins left="0.75" right="0.75" top="0.82" bottom="0.57" header="0" footer="0"/>
  <pageSetup fitToHeight="1" fitToWidth="1" horizontalDpi="300" verticalDpi="300" orientation="portrait"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S72"/>
  <sheetViews>
    <sheetView workbookViewId="0" topLeftCell="A1">
      <selection activeCell="D5" sqref="D5"/>
    </sheetView>
  </sheetViews>
  <sheetFormatPr defaultColWidth="11.421875" defaultRowHeight="12.75"/>
  <cols>
    <col min="1" max="1" width="37.421875" style="77" customWidth="1"/>
    <col min="2" max="2" width="11.57421875" style="77" customWidth="1"/>
    <col min="3" max="3" width="8.7109375" style="77" customWidth="1"/>
    <col min="4" max="4" width="8.28125" style="77" customWidth="1"/>
    <col min="5" max="5" width="9.7109375" style="77" bestFit="1" customWidth="1"/>
    <col min="6" max="6" width="8.8515625" style="77" customWidth="1"/>
    <col min="7" max="7" width="11.7109375" style="77" bestFit="1" customWidth="1"/>
    <col min="8" max="10" width="9.421875" style="77" customWidth="1"/>
    <col min="11" max="11" width="7.7109375" style="77" customWidth="1"/>
    <col min="12" max="12" width="9.7109375" style="77" bestFit="1" customWidth="1"/>
    <col min="13" max="13" width="7.7109375" style="77" customWidth="1"/>
    <col min="14" max="14" width="10.8515625" style="77" bestFit="1" customWidth="1"/>
    <col min="15" max="18" width="8.7109375" style="77" bestFit="1" customWidth="1"/>
    <col min="19" max="16384" width="11.421875" style="77" customWidth="1"/>
  </cols>
  <sheetData>
    <row r="1" spans="1:10" ht="15.75">
      <c r="A1" s="460"/>
      <c r="B1" s="692" t="s">
        <v>121</v>
      </c>
      <c r="C1" s="462"/>
      <c r="D1" s="462"/>
      <c r="E1" s="462"/>
      <c r="F1" s="462"/>
      <c r="G1" s="462"/>
      <c r="H1" s="462"/>
      <c r="I1" s="462"/>
      <c r="J1" s="462"/>
    </row>
    <row r="2" spans="1:10" ht="15.75">
      <c r="A2" s="693" t="s">
        <v>310</v>
      </c>
      <c r="B2" s="691">
        <v>200</v>
      </c>
      <c r="C2" s="462"/>
      <c r="D2" s="462"/>
      <c r="E2" s="462"/>
      <c r="F2" s="462"/>
      <c r="G2" s="462"/>
      <c r="H2" s="462"/>
      <c r="I2" s="462"/>
      <c r="J2" s="462"/>
    </row>
    <row r="3" spans="1:10" ht="15.75">
      <c r="A3" s="690" t="s">
        <v>173</v>
      </c>
      <c r="B3" s="691">
        <v>150</v>
      </c>
      <c r="C3" s="462"/>
      <c r="D3" s="462"/>
      <c r="E3" s="462"/>
      <c r="F3" s="462"/>
      <c r="G3" s="462"/>
      <c r="H3" s="462"/>
      <c r="I3" s="462"/>
      <c r="J3" s="462"/>
    </row>
    <row r="4" spans="1:10" ht="15.75">
      <c r="A4" s="690" t="s">
        <v>174</v>
      </c>
      <c r="B4" s="691">
        <v>70</v>
      </c>
      <c r="C4" s="462"/>
      <c r="D4" s="462"/>
      <c r="E4" s="462"/>
      <c r="F4" s="462"/>
      <c r="G4" s="462"/>
      <c r="H4" s="462"/>
      <c r="I4" s="462"/>
      <c r="J4" s="462"/>
    </row>
    <row r="5" spans="1:9" ht="15.75">
      <c r="A5" s="690" t="s">
        <v>175</v>
      </c>
      <c r="B5" s="691">
        <v>100</v>
      </c>
      <c r="C5" s="462"/>
      <c r="D5" s="462"/>
      <c r="E5" s="462"/>
      <c r="F5" s="462"/>
      <c r="G5" s="462"/>
      <c r="H5" s="462"/>
      <c r="I5" s="462"/>
    </row>
    <row r="6" spans="1:9" ht="15.75">
      <c r="A6" s="690" t="s">
        <v>37</v>
      </c>
      <c r="B6" s="691">
        <v>100</v>
      </c>
      <c r="C6" s="462"/>
      <c r="D6" s="462"/>
      <c r="E6" s="462"/>
      <c r="F6" s="462"/>
      <c r="G6" s="462"/>
      <c r="H6" s="462"/>
      <c r="I6" s="462"/>
    </row>
    <row r="7" spans="1:10" ht="21.75" customHeight="1">
      <c r="A7" s="462"/>
      <c r="B7" s="462"/>
      <c r="C7" s="740" t="s">
        <v>302</v>
      </c>
      <c r="D7" s="740"/>
      <c r="E7" s="740"/>
      <c r="F7" s="740"/>
      <c r="G7" s="462"/>
      <c r="H7" s="462"/>
      <c r="I7" s="462"/>
      <c r="J7" s="462"/>
    </row>
    <row r="8" spans="1:10" ht="6.75" customHeight="1">
      <c r="A8" s="462"/>
      <c r="B8" s="462"/>
      <c r="C8" s="462"/>
      <c r="D8" s="462"/>
      <c r="E8" s="462"/>
      <c r="F8" s="462"/>
      <c r="G8" s="462"/>
      <c r="H8" s="462"/>
      <c r="I8" s="462"/>
      <c r="J8" s="462"/>
    </row>
    <row r="9" spans="1:11" s="96" customFormat="1" ht="15.75">
      <c r="A9" s="741" t="s">
        <v>178</v>
      </c>
      <c r="B9" s="741"/>
      <c r="C9" s="741"/>
      <c r="D9" s="741"/>
      <c r="E9" s="741"/>
      <c r="F9" s="741"/>
      <c r="G9" s="741"/>
      <c r="H9" s="741"/>
      <c r="I9" s="741"/>
      <c r="J9" s="741"/>
      <c r="K9" s="101"/>
    </row>
    <row r="10" spans="1:18" s="96" customFormat="1" ht="15.75">
      <c r="A10" s="742" t="str">
        <f>Ingresos!A28</f>
        <v>(Expresado en Dólares)</v>
      </c>
      <c r="B10" s="742"/>
      <c r="C10" s="742"/>
      <c r="D10" s="742"/>
      <c r="E10" s="742"/>
      <c r="F10" s="742"/>
      <c r="G10" s="742"/>
      <c r="H10" s="742"/>
      <c r="I10" s="742"/>
      <c r="J10" s="742"/>
      <c r="K10" s="102"/>
      <c r="L10" s="95"/>
      <c r="M10" s="95"/>
      <c r="N10" s="95"/>
      <c r="O10" s="95"/>
      <c r="P10" s="95"/>
      <c r="Q10" s="95"/>
      <c r="R10" s="95"/>
    </row>
    <row r="11" spans="1:18" s="96" customFormat="1" ht="9" customHeight="1" thickBot="1">
      <c r="A11" s="465"/>
      <c r="B11" s="463"/>
      <c r="C11" s="463"/>
      <c r="D11" s="463"/>
      <c r="E11" s="463"/>
      <c r="F11" s="463"/>
      <c r="G11" s="463"/>
      <c r="H11" s="463"/>
      <c r="I11" s="463"/>
      <c r="J11" s="463"/>
      <c r="K11" s="102"/>
      <c r="L11" s="95"/>
      <c r="M11" s="95"/>
      <c r="N11" s="95"/>
      <c r="O11" s="95"/>
      <c r="P11" s="95"/>
      <c r="Q11" s="95"/>
      <c r="R11" s="95"/>
    </row>
    <row r="12" spans="1:19" s="97" customFormat="1" ht="37.5" thickBot="1">
      <c r="A12" s="466" t="str">
        <f>'[1]Supuestos'!A8</f>
        <v>ALOJAMIENTO por persona</v>
      </c>
      <c r="B12" s="467" t="str">
        <f>Ingresos!B12</f>
        <v>ENE-MAR</v>
      </c>
      <c r="C12" s="467" t="str">
        <f>Ingresos!C12</f>
        <v>ABR-JUN</v>
      </c>
      <c r="D12" s="467" t="str">
        <f>Ingresos!D12</f>
        <v>JUL-SEP</v>
      </c>
      <c r="E12" s="467" t="str">
        <f>Ingresos!E12</f>
        <v>OCT-DIC</v>
      </c>
      <c r="F12" s="467" t="str">
        <f>Ingresos!F12</f>
        <v>SUB-TOTAL 1ER AÑO</v>
      </c>
      <c r="G12" s="467" t="str">
        <f>Ingresos!G12</f>
        <v>AÑO 2</v>
      </c>
      <c r="H12" s="467" t="str">
        <f>Ingresos!H12</f>
        <v>AÑO 3</v>
      </c>
      <c r="I12" s="467" t="str">
        <f>Ingresos!I12</f>
        <v>AÑO 4</v>
      </c>
      <c r="J12" s="467" t="str">
        <f>Ingresos!J12</f>
        <v>AÑO 5</v>
      </c>
      <c r="K12" s="96"/>
      <c r="L12" s="96"/>
      <c r="M12" s="96"/>
      <c r="N12" s="96"/>
      <c r="O12" s="96"/>
      <c r="P12" s="96"/>
      <c r="Q12" s="96"/>
      <c r="R12" s="96"/>
      <c r="S12" s="96"/>
    </row>
    <row r="13" spans="1:19" ht="15.75">
      <c r="A13" s="405" t="str">
        <f>'[1]Ingresos'!A31</f>
        <v>Alojamiento</v>
      </c>
      <c r="B13" s="342">
        <f>Ingresos!B31*Supstos!B9</f>
        <v>4050</v>
      </c>
      <c r="C13" s="342">
        <f>Ingresos!C31*Supstos!$B$9</f>
        <v>4050</v>
      </c>
      <c r="D13" s="342">
        <f>Ingresos!D31*Supstos!$B$9</f>
        <v>4050</v>
      </c>
      <c r="E13" s="342">
        <f>Ingresos!E31*Supstos!$B$9</f>
        <v>4050</v>
      </c>
      <c r="F13" s="342">
        <f>Ingresos!F31*Supstos!$B$9</f>
        <v>16200</v>
      </c>
      <c r="G13" s="342">
        <f>Ingresos!G31*Supstos!$B$9</f>
        <v>18080.172</v>
      </c>
      <c r="H13" s="342">
        <f>Ingresos!H31*Supstos!$B$9</f>
        <v>20178.55676232</v>
      </c>
      <c r="I13" s="342">
        <f>Ingresos!I31*Supstos!$B$9</f>
        <v>22520.48006015486</v>
      </c>
      <c r="J13" s="468">
        <f>Ingresos!J31*Supstos!$B$9</f>
        <v>25134.206975936435</v>
      </c>
      <c r="K13" s="96"/>
      <c r="L13" s="96"/>
      <c r="M13" s="96"/>
      <c r="N13" s="96"/>
      <c r="O13" s="96"/>
      <c r="P13" s="96"/>
      <c r="Q13" s="96"/>
      <c r="R13" s="96"/>
      <c r="S13" s="96"/>
    </row>
    <row r="14" spans="1:19" ht="15.75">
      <c r="A14" s="405" t="s">
        <v>54</v>
      </c>
      <c r="B14" s="342">
        <f>Ingresos!B32*Supstos!B12</f>
        <v>1942.5</v>
      </c>
      <c r="C14" s="342">
        <f>Ingresos!C32*Supstos!$B$12</f>
        <v>1942.5</v>
      </c>
      <c r="D14" s="342">
        <f>Ingresos!D32*Supstos!$B$12</f>
        <v>1942.5</v>
      </c>
      <c r="E14" s="342">
        <f>Ingresos!E32*Supstos!$B$12</f>
        <v>1942.5</v>
      </c>
      <c r="F14" s="342">
        <f>Ingresos!F32*Supstos!$B$12</f>
        <v>7770</v>
      </c>
      <c r="G14" s="342">
        <f>Ingresos!G32*Supstos!$B$12</f>
        <v>8671.786199999999</v>
      </c>
      <c r="H14" s="342">
        <f>Ingresos!H32*Supstos!$B$12</f>
        <v>9678.233706371999</v>
      </c>
      <c r="I14" s="342">
        <f>Ingresos!I32*Supstos!$B$12</f>
        <v>10801.489510333535</v>
      </c>
      <c r="J14" s="342">
        <f>Ingresos!J32*Supstos!$B$12</f>
        <v>12055.110382902843</v>
      </c>
      <c r="K14" s="96"/>
      <c r="L14" s="96"/>
      <c r="M14" s="96"/>
      <c r="N14" s="96"/>
      <c r="O14" s="96"/>
      <c r="P14" s="96"/>
      <c r="Q14" s="96"/>
      <c r="R14" s="96"/>
      <c r="S14" s="96"/>
    </row>
    <row r="15" spans="1:19" ht="16.5" thickBot="1">
      <c r="A15" s="405" t="str">
        <f>'[1]Ingresos'!A32</f>
        <v>Bebidas</v>
      </c>
      <c r="B15" s="342">
        <f>Ingresos!B33*Supstos!B15</f>
        <v>832.5</v>
      </c>
      <c r="C15" s="342">
        <f>Ingresos!C33*Supstos!B15</f>
        <v>832.5</v>
      </c>
      <c r="D15" s="342">
        <f>Ingresos!D33*Supstos!B15</f>
        <v>832.5</v>
      </c>
      <c r="E15" s="342">
        <f>Ingresos!E33*Supstos!B15</f>
        <v>832.5</v>
      </c>
      <c r="F15" s="342">
        <f>Ingresos!F33*Supstos!B15</f>
        <v>3330</v>
      </c>
      <c r="G15" s="342">
        <f>Ingresos!G33*Supstos!B15</f>
        <v>3716.4798</v>
      </c>
      <c r="H15" s="342">
        <f>Ingresos!H33*Supstos!B15</f>
        <v>4147.814445587999</v>
      </c>
      <c r="I15" s="342">
        <f>Ingresos!I33*Supstos!B15</f>
        <v>4629.209790142942</v>
      </c>
      <c r="J15" s="468">
        <f>Ingresos!J33*Supstos!B15</f>
        <v>5166.475878386933</v>
      </c>
      <c r="K15" s="96"/>
      <c r="L15" s="96"/>
      <c r="M15" s="96"/>
      <c r="N15" s="96"/>
      <c r="O15" s="96"/>
      <c r="P15" s="96"/>
      <c r="Q15" s="96"/>
      <c r="R15" s="96"/>
      <c r="S15" s="96"/>
    </row>
    <row r="16" spans="1:19" ht="16.5" thickBot="1">
      <c r="A16" s="469" t="s">
        <v>16</v>
      </c>
      <c r="B16" s="470">
        <f aca="true" t="shared" si="0" ref="B16:J16">SUM(B13:B15)</f>
        <v>6825</v>
      </c>
      <c r="C16" s="470">
        <f t="shared" si="0"/>
        <v>6825</v>
      </c>
      <c r="D16" s="470">
        <f t="shared" si="0"/>
        <v>6825</v>
      </c>
      <c r="E16" s="470">
        <f t="shared" si="0"/>
        <v>6825</v>
      </c>
      <c r="F16" s="470">
        <f t="shared" si="0"/>
        <v>27300</v>
      </c>
      <c r="G16" s="470">
        <f t="shared" si="0"/>
        <v>30468.438</v>
      </c>
      <c r="H16" s="470">
        <f t="shared" si="0"/>
        <v>34004.604914280004</v>
      </c>
      <c r="I16" s="470">
        <f t="shared" si="0"/>
        <v>37951.17936063134</v>
      </c>
      <c r="J16" s="471">
        <f t="shared" si="0"/>
        <v>42355.793237226215</v>
      </c>
      <c r="K16" s="96"/>
      <c r="L16" s="96"/>
      <c r="M16" s="96"/>
      <c r="N16" s="96"/>
      <c r="O16" s="96"/>
      <c r="P16" s="96"/>
      <c r="Q16" s="96"/>
      <c r="R16" s="96"/>
      <c r="S16" s="96"/>
    </row>
    <row r="17" spans="1:19" ht="15" customHeight="1">
      <c r="A17" s="462"/>
      <c r="B17" s="462"/>
      <c r="C17" s="462"/>
      <c r="D17" s="462"/>
      <c r="E17" s="462"/>
      <c r="F17" s="462"/>
      <c r="G17" s="462"/>
      <c r="H17" s="462"/>
      <c r="I17" s="462"/>
      <c r="J17" s="462"/>
      <c r="K17" s="96"/>
      <c r="L17" s="96"/>
      <c r="M17" s="96"/>
      <c r="N17" s="96"/>
      <c r="O17" s="96"/>
      <c r="P17" s="96"/>
      <c r="Q17" s="96"/>
      <c r="R17" s="96"/>
      <c r="S17" s="96"/>
    </row>
    <row r="18" spans="1:19" ht="21" customHeight="1">
      <c r="A18" s="462"/>
      <c r="B18" s="462"/>
      <c r="C18" s="740" t="s">
        <v>303</v>
      </c>
      <c r="D18" s="740"/>
      <c r="E18" s="740"/>
      <c r="F18" s="740"/>
      <c r="G18" s="462"/>
      <c r="H18" s="462"/>
      <c r="I18" s="462"/>
      <c r="J18" s="462"/>
      <c r="K18" s="96"/>
      <c r="L18" s="96"/>
      <c r="M18" s="96"/>
      <c r="N18" s="96"/>
      <c r="O18" s="96"/>
      <c r="P18" s="96"/>
      <c r="Q18" s="96"/>
      <c r="R18" s="96"/>
      <c r="S18" s="96"/>
    </row>
    <row r="19" spans="1:10" ht="6.75" customHeight="1">
      <c r="A19" s="462"/>
      <c r="B19" s="462"/>
      <c r="C19" s="462"/>
      <c r="D19" s="462"/>
      <c r="E19" s="462"/>
      <c r="F19" s="462"/>
      <c r="G19" s="462"/>
      <c r="H19" s="462"/>
      <c r="I19" s="462"/>
      <c r="J19" s="462"/>
    </row>
    <row r="20" spans="1:10" ht="15.75">
      <c r="A20" s="741" t="s">
        <v>149</v>
      </c>
      <c r="B20" s="741"/>
      <c r="C20" s="741"/>
      <c r="D20" s="741"/>
      <c r="E20" s="741"/>
      <c r="F20" s="741"/>
      <c r="G20" s="741"/>
      <c r="H20" s="741"/>
      <c r="I20" s="741"/>
      <c r="J20" s="741"/>
    </row>
    <row r="21" spans="1:18" ht="15.75">
      <c r="A21" s="742" t="str">
        <f>A10</f>
        <v>(Expresado en Dólares)</v>
      </c>
      <c r="B21" s="742"/>
      <c r="C21" s="742"/>
      <c r="D21" s="742"/>
      <c r="E21" s="742"/>
      <c r="F21" s="742"/>
      <c r="G21" s="742"/>
      <c r="H21" s="742"/>
      <c r="I21" s="742"/>
      <c r="J21" s="742"/>
      <c r="K21" s="102"/>
      <c r="L21" s="95"/>
      <c r="M21" s="95"/>
      <c r="N21" s="95"/>
      <c r="O21" s="95"/>
      <c r="P21" s="95"/>
      <c r="Q21" s="95"/>
      <c r="R21" s="95"/>
    </row>
    <row r="22" spans="1:18" ht="6" customHeight="1" thickBot="1">
      <c r="A22" s="465"/>
      <c r="B22" s="463"/>
      <c r="C22" s="463"/>
      <c r="D22" s="463"/>
      <c r="E22" s="463"/>
      <c r="F22" s="463"/>
      <c r="G22" s="463"/>
      <c r="H22" s="463"/>
      <c r="I22" s="463"/>
      <c r="J22" s="463"/>
      <c r="K22" s="102"/>
      <c r="L22" s="95"/>
      <c r="M22" s="95"/>
      <c r="N22" s="95"/>
      <c r="O22" s="95"/>
      <c r="P22" s="95"/>
      <c r="Q22" s="95"/>
      <c r="R22" s="95"/>
    </row>
    <row r="23" spans="1:14" s="97" customFormat="1" ht="27.75" customHeight="1" thickBot="1">
      <c r="A23" s="466" t="s">
        <v>103</v>
      </c>
      <c r="B23" s="473" t="str">
        <f>B12</f>
        <v>ENE-MAR</v>
      </c>
      <c r="C23" s="473" t="str">
        <f aca="true" t="shared" si="1" ref="C23:J23">C12</f>
        <v>ABR-JUN</v>
      </c>
      <c r="D23" s="473" t="str">
        <f t="shared" si="1"/>
        <v>JUL-SEP</v>
      </c>
      <c r="E23" s="473" t="str">
        <f t="shared" si="1"/>
        <v>OCT-DIC</v>
      </c>
      <c r="F23" s="474" t="str">
        <f t="shared" si="1"/>
        <v>SUB-TOTAL 1ER AÑO</v>
      </c>
      <c r="G23" s="473" t="str">
        <f t="shared" si="1"/>
        <v>AÑO 2</v>
      </c>
      <c r="H23" s="473" t="str">
        <f t="shared" si="1"/>
        <v>AÑO 3</v>
      </c>
      <c r="I23" s="473" t="str">
        <f t="shared" si="1"/>
        <v>AÑO 4</v>
      </c>
      <c r="J23" s="461" t="str">
        <f t="shared" si="1"/>
        <v>AÑO 5</v>
      </c>
      <c r="K23" s="102"/>
      <c r="L23" s="95"/>
      <c r="M23" s="95"/>
      <c r="N23" s="95"/>
    </row>
    <row r="24" spans="1:14" s="97" customFormat="1" ht="15.75" customHeight="1">
      <c r="A24" s="475" t="s">
        <v>26</v>
      </c>
      <c r="B24" s="476">
        <f>250*3</f>
        <v>750</v>
      </c>
      <c r="C24" s="477">
        <f aca="true" t="shared" si="2" ref="C24:E26">B24</f>
        <v>750</v>
      </c>
      <c r="D24" s="477">
        <f t="shared" si="2"/>
        <v>750</v>
      </c>
      <c r="E24" s="477">
        <f t="shared" si="2"/>
        <v>750</v>
      </c>
      <c r="F24" s="475">
        <f aca="true" t="shared" si="3" ref="F24:F34">SUM(B24:E24)</f>
        <v>3000</v>
      </c>
      <c r="G24" s="478">
        <f>F24+(F24*Supstos!$B$18)</f>
        <v>3043.8</v>
      </c>
      <c r="H24" s="478">
        <f>G24+(G24*Supstos!$B$18)</f>
        <v>3088.23948</v>
      </c>
      <c r="I24" s="478">
        <f>H24+(H24*Supstos!$B$18)</f>
        <v>3133.3277764080003</v>
      </c>
      <c r="J24" s="479">
        <f>I24+(I24*Supstos!$B$18)</f>
        <v>3179.074361943557</v>
      </c>
      <c r="K24" s="102"/>
      <c r="L24" s="95"/>
      <c r="M24" s="95"/>
      <c r="N24" s="95"/>
    </row>
    <row r="25" spans="1:14" s="97" customFormat="1" ht="15.75" customHeight="1">
      <c r="A25" s="475" t="s">
        <v>237</v>
      </c>
      <c r="B25" s="476">
        <f>220*3</f>
        <v>660</v>
      </c>
      <c r="C25" s="477">
        <f t="shared" si="2"/>
        <v>660</v>
      </c>
      <c r="D25" s="477">
        <f t="shared" si="2"/>
        <v>660</v>
      </c>
      <c r="E25" s="477">
        <f t="shared" si="2"/>
        <v>660</v>
      </c>
      <c r="F25" s="475">
        <f t="shared" si="3"/>
        <v>2640</v>
      </c>
      <c r="G25" s="478">
        <f>F25+(F25*Supstos!$B$18)</f>
        <v>2678.544</v>
      </c>
      <c r="H25" s="478">
        <f>G25+(G25*Supstos!$B$18)</f>
        <v>2717.6507423999997</v>
      </c>
      <c r="I25" s="478">
        <f>H25+(H25*Supstos!$B$18)</f>
        <v>2757.3284432390396</v>
      </c>
      <c r="J25" s="479">
        <f>I25+(I25*Supstos!$B$18)</f>
        <v>2797.58543851033</v>
      </c>
      <c r="K25" s="102"/>
      <c r="L25" s="251"/>
      <c r="M25" s="95"/>
      <c r="N25" s="95"/>
    </row>
    <row r="26" spans="1:14" s="97" customFormat="1" ht="15.75" customHeight="1">
      <c r="A26" s="475" t="s">
        <v>238</v>
      </c>
      <c r="B26" s="476">
        <f>220*3</f>
        <v>660</v>
      </c>
      <c r="C26" s="477">
        <f t="shared" si="2"/>
        <v>660</v>
      </c>
      <c r="D26" s="477">
        <f t="shared" si="2"/>
        <v>660</v>
      </c>
      <c r="E26" s="477">
        <f t="shared" si="2"/>
        <v>660</v>
      </c>
      <c r="F26" s="475">
        <f t="shared" si="3"/>
        <v>2640</v>
      </c>
      <c r="G26" s="478">
        <f>F26+(F26*Supstos!$B$18)</f>
        <v>2678.544</v>
      </c>
      <c r="H26" s="478">
        <f>G26+(G26*Supstos!$B$18)</f>
        <v>2717.6507423999997</v>
      </c>
      <c r="I26" s="478">
        <f>H26+(H26*Supstos!$B$18)</f>
        <v>2757.3284432390396</v>
      </c>
      <c r="J26" s="479">
        <f>I26+(I26*Supstos!$B$18)</f>
        <v>2797.58543851033</v>
      </c>
      <c r="K26" s="102"/>
      <c r="L26" s="251"/>
      <c r="M26" s="95"/>
      <c r="N26" s="95"/>
    </row>
    <row r="27" spans="1:14" s="97" customFormat="1" ht="15.75" customHeight="1">
      <c r="A27" s="475" t="s">
        <v>239</v>
      </c>
      <c r="B27" s="476">
        <f>220*3</f>
        <v>660</v>
      </c>
      <c r="C27" s="477">
        <f aca="true" t="shared" si="4" ref="C27:C34">B27</f>
        <v>660</v>
      </c>
      <c r="D27" s="477">
        <f aca="true" t="shared" si="5" ref="D27:D34">C27</f>
        <v>660</v>
      </c>
      <c r="E27" s="477">
        <f aca="true" t="shared" si="6" ref="E27:E34">D27</f>
        <v>660</v>
      </c>
      <c r="F27" s="475">
        <f t="shared" si="3"/>
        <v>2640</v>
      </c>
      <c r="G27" s="478">
        <f>F27+(F27*Supstos!$B$18)</f>
        <v>2678.544</v>
      </c>
      <c r="H27" s="478">
        <f>G27+(G27*Supstos!$B$18)</f>
        <v>2717.6507423999997</v>
      </c>
      <c r="I27" s="478">
        <f>H27+(H27*Supstos!$B$18)</f>
        <v>2757.3284432390396</v>
      </c>
      <c r="J27" s="479">
        <f>I27+(I27*Supstos!$B$18)</f>
        <v>2797.58543851033</v>
      </c>
      <c r="K27" s="102"/>
      <c r="L27" s="251"/>
      <c r="M27" s="95"/>
      <c r="N27" s="95"/>
    </row>
    <row r="28" spans="1:14" ht="18">
      <c r="A28" s="475" t="s">
        <v>374</v>
      </c>
      <c r="B28" s="476">
        <f>160*3</f>
        <v>480</v>
      </c>
      <c r="C28" s="477">
        <f t="shared" si="4"/>
        <v>480</v>
      </c>
      <c r="D28" s="477">
        <f t="shared" si="5"/>
        <v>480</v>
      </c>
      <c r="E28" s="477">
        <f t="shared" si="6"/>
        <v>480</v>
      </c>
      <c r="F28" s="475">
        <f t="shared" si="3"/>
        <v>1920</v>
      </c>
      <c r="G28" s="478">
        <f>F28+(F28*Supstos!$B$18)</f>
        <v>1948.032</v>
      </c>
      <c r="H28" s="478">
        <f>G28+(G28*Supstos!$B$18)</f>
        <v>1976.4732672</v>
      </c>
      <c r="I28" s="478">
        <f>H28+(H28*Supstos!$B$18)</f>
        <v>2005.32977690112</v>
      </c>
      <c r="J28" s="479">
        <f>I28+(I28*Supstos!$B$18)</f>
        <v>2034.6075916438765</v>
      </c>
      <c r="K28" s="95"/>
      <c r="L28" s="251"/>
      <c r="M28" s="95"/>
      <c r="N28" s="95"/>
    </row>
    <row r="29" spans="1:14" ht="15.75">
      <c r="A29" s="475" t="s">
        <v>176</v>
      </c>
      <c r="B29" s="476">
        <f aca="true" t="shared" si="7" ref="B29:B34">160*3</f>
        <v>480</v>
      </c>
      <c r="C29" s="477">
        <f t="shared" si="4"/>
        <v>480</v>
      </c>
      <c r="D29" s="477">
        <f t="shared" si="5"/>
        <v>480</v>
      </c>
      <c r="E29" s="477">
        <f t="shared" si="6"/>
        <v>480</v>
      </c>
      <c r="F29" s="475">
        <f t="shared" si="3"/>
        <v>1920</v>
      </c>
      <c r="G29" s="478">
        <f>F29+(F29*Supstos!$B$18)</f>
        <v>1948.032</v>
      </c>
      <c r="H29" s="478">
        <f>G29+(G29*Supstos!$B$18)</f>
        <v>1976.4732672</v>
      </c>
      <c r="I29" s="478">
        <f>H29+(H29*Supstos!$B$18)</f>
        <v>2005.32977690112</v>
      </c>
      <c r="J29" s="479">
        <f>I29+(I29*Supstos!$B$18)</f>
        <v>2034.6075916438765</v>
      </c>
      <c r="K29" s="95"/>
      <c r="L29" s="229"/>
      <c r="M29" s="95"/>
      <c r="N29" s="95"/>
    </row>
    <row r="30" spans="1:14" ht="15.75">
      <c r="A30" s="475" t="s">
        <v>244</v>
      </c>
      <c r="B30" s="476">
        <f t="shared" si="7"/>
        <v>480</v>
      </c>
      <c r="C30" s="477">
        <f t="shared" si="4"/>
        <v>480</v>
      </c>
      <c r="D30" s="477">
        <f t="shared" si="5"/>
        <v>480</v>
      </c>
      <c r="E30" s="477">
        <f t="shared" si="6"/>
        <v>480</v>
      </c>
      <c r="F30" s="475">
        <f t="shared" si="3"/>
        <v>1920</v>
      </c>
      <c r="G30" s="478">
        <f>F30+(F30*Supstos!$B$18)</f>
        <v>1948.032</v>
      </c>
      <c r="H30" s="478">
        <f>G30+(G30*Supstos!$B$18)</f>
        <v>1976.4732672</v>
      </c>
      <c r="I30" s="478">
        <f>H30+(H30*Supstos!$B$18)</f>
        <v>2005.32977690112</v>
      </c>
      <c r="J30" s="479">
        <f>I30+(I30*Supstos!$B$18)</f>
        <v>2034.6075916438765</v>
      </c>
      <c r="K30" s="95"/>
      <c r="L30" s="229"/>
      <c r="M30" s="95"/>
      <c r="N30" s="95"/>
    </row>
    <row r="31" spans="1:14" ht="15.75">
      <c r="A31" s="475" t="s">
        <v>240</v>
      </c>
      <c r="B31" s="476">
        <f t="shared" si="7"/>
        <v>480</v>
      </c>
      <c r="C31" s="477">
        <f t="shared" si="4"/>
        <v>480</v>
      </c>
      <c r="D31" s="477">
        <f t="shared" si="5"/>
        <v>480</v>
      </c>
      <c r="E31" s="477">
        <f t="shared" si="6"/>
        <v>480</v>
      </c>
      <c r="F31" s="475">
        <f t="shared" si="3"/>
        <v>1920</v>
      </c>
      <c r="G31" s="478">
        <f>F31+(F31*Supstos!$B$18)</f>
        <v>1948.032</v>
      </c>
      <c r="H31" s="478">
        <f>G31+(G31*Supstos!$B$18)</f>
        <v>1976.4732672</v>
      </c>
      <c r="I31" s="478">
        <f>H31+(H31*Supstos!$B$18)</f>
        <v>2005.32977690112</v>
      </c>
      <c r="J31" s="479">
        <f>I31+(I31*Supstos!$B$18)</f>
        <v>2034.6075916438765</v>
      </c>
      <c r="K31" s="95"/>
      <c r="L31" s="95"/>
      <c r="M31" s="95"/>
      <c r="N31" s="95"/>
    </row>
    <row r="32" spans="1:14" ht="15.75">
      <c r="A32" s="475" t="s">
        <v>241</v>
      </c>
      <c r="B32" s="476">
        <f t="shared" si="7"/>
        <v>480</v>
      </c>
      <c r="C32" s="477">
        <f t="shared" si="4"/>
        <v>480</v>
      </c>
      <c r="D32" s="477">
        <f t="shared" si="5"/>
        <v>480</v>
      </c>
      <c r="E32" s="477">
        <f t="shared" si="6"/>
        <v>480</v>
      </c>
      <c r="F32" s="475">
        <f t="shared" si="3"/>
        <v>1920</v>
      </c>
      <c r="G32" s="478">
        <f>F32+(F32*Supstos!$B$18)</f>
        <v>1948.032</v>
      </c>
      <c r="H32" s="478">
        <f>G32+(G32*Supstos!$B$18)</f>
        <v>1976.4732672</v>
      </c>
      <c r="I32" s="478">
        <f>H32+(H32*Supstos!$B$18)</f>
        <v>2005.32977690112</v>
      </c>
      <c r="J32" s="479">
        <f>I32+(I32*Supstos!$B$18)</f>
        <v>2034.6075916438765</v>
      </c>
      <c r="K32" s="95"/>
      <c r="L32" s="95"/>
      <c r="M32" s="95"/>
      <c r="N32" s="95"/>
    </row>
    <row r="33" spans="1:14" ht="15.75">
      <c r="A33" s="475" t="s">
        <v>242</v>
      </c>
      <c r="B33" s="476">
        <f t="shared" si="7"/>
        <v>480</v>
      </c>
      <c r="C33" s="477">
        <f t="shared" si="4"/>
        <v>480</v>
      </c>
      <c r="D33" s="477">
        <f t="shared" si="5"/>
        <v>480</v>
      </c>
      <c r="E33" s="477">
        <f t="shared" si="6"/>
        <v>480</v>
      </c>
      <c r="F33" s="475">
        <f t="shared" si="3"/>
        <v>1920</v>
      </c>
      <c r="G33" s="478">
        <f>F33+(F33*Supstos!$B$18)</f>
        <v>1948.032</v>
      </c>
      <c r="H33" s="478">
        <f>G33+(G33*Supstos!$B$18)</f>
        <v>1976.4732672</v>
      </c>
      <c r="I33" s="478">
        <f>H33+(H33*Supstos!$B$18)</f>
        <v>2005.32977690112</v>
      </c>
      <c r="J33" s="479">
        <f>I33+(I33*Supstos!$B$18)</f>
        <v>2034.6075916438765</v>
      </c>
      <c r="K33" s="95"/>
      <c r="L33" s="95"/>
      <c r="M33" s="95"/>
      <c r="N33" s="95"/>
    </row>
    <row r="34" spans="1:10" ht="15.75" thickBot="1">
      <c r="A34" s="475" t="s">
        <v>243</v>
      </c>
      <c r="B34" s="476">
        <f t="shared" si="7"/>
        <v>480</v>
      </c>
      <c r="C34" s="477">
        <f t="shared" si="4"/>
        <v>480</v>
      </c>
      <c r="D34" s="477">
        <f t="shared" si="5"/>
        <v>480</v>
      </c>
      <c r="E34" s="477">
        <f t="shared" si="6"/>
        <v>480</v>
      </c>
      <c r="F34" s="475">
        <f t="shared" si="3"/>
        <v>1920</v>
      </c>
      <c r="G34" s="478">
        <f>F34+(F34*Supstos!$B$18)</f>
        <v>1948.032</v>
      </c>
      <c r="H34" s="478">
        <f>G34+(G34*Supstos!$B$18)</f>
        <v>1976.4732672</v>
      </c>
      <c r="I34" s="478">
        <f>H34+(H34*Supstos!$B$18)</f>
        <v>2005.32977690112</v>
      </c>
      <c r="J34" s="479">
        <f>I34+(I34*Supstos!$B$18)</f>
        <v>2034.6075916438765</v>
      </c>
    </row>
    <row r="35" spans="1:14" ht="16.5" thickBot="1">
      <c r="A35" s="480" t="s">
        <v>107</v>
      </c>
      <c r="B35" s="481">
        <f aca="true" t="shared" si="8" ref="B35:J35">SUM(B24:B34)</f>
        <v>6090</v>
      </c>
      <c r="C35" s="482">
        <f t="shared" si="8"/>
        <v>6090</v>
      </c>
      <c r="D35" s="481">
        <f t="shared" si="8"/>
        <v>6090</v>
      </c>
      <c r="E35" s="483">
        <f t="shared" si="8"/>
        <v>6090</v>
      </c>
      <c r="F35" s="481">
        <f t="shared" si="8"/>
        <v>24360</v>
      </c>
      <c r="G35" s="481">
        <f t="shared" si="8"/>
        <v>24715.655999999995</v>
      </c>
      <c r="H35" s="481">
        <f t="shared" si="8"/>
        <v>25076.504577599993</v>
      </c>
      <c r="I35" s="481">
        <f t="shared" si="8"/>
        <v>25442.621544432954</v>
      </c>
      <c r="J35" s="481">
        <f t="shared" si="8"/>
        <v>25814.083818981675</v>
      </c>
      <c r="K35" s="95"/>
      <c r="L35" s="95"/>
      <c r="M35" s="95"/>
      <c r="N35" s="95"/>
    </row>
    <row r="36" spans="1:14" ht="11.25" customHeight="1">
      <c r="A36" s="462"/>
      <c r="B36" s="462"/>
      <c r="C36" s="462"/>
      <c r="D36" s="462"/>
      <c r="E36" s="462"/>
      <c r="F36" s="462"/>
      <c r="G36" s="462"/>
      <c r="H36" s="462"/>
      <c r="I36" s="462"/>
      <c r="J36" s="462"/>
      <c r="K36" s="95"/>
      <c r="L36" s="95"/>
      <c r="M36" s="95"/>
      <c r="N36" s="95"/>
    </row>
    <row r="37" spans="1:10" ht="7.5" customHeight="1">
      <c r="A37" s="462"/>
      <c r="B37" s="462"/>
      <c r="C37" s="462"/>
      <c r="D37" s="462"/>
      <c r="E37" s="462"/>
      <c r="F37" s="462"/>
      <c r="G37" s="462"/>
      <c r="H37" s="462"/>
      <c r="I37" s="462"/>
      <c r="J37" s="462"/>
    </row>
    <row r="38" spans="1:11" ht="15" customHeight="1">
      <c r="A38" s="741" t="s">
        <v>375</v>
      </c>
      <c r="B38" s="741"/>
      <c r="C38" s="741"/>
      <c r="D38" s="741"/>
      <c r="E38" s="741"/>
      <c r="F38" s="741"/>
      <c r="G38" s="741"/>
      <c r="H38" s="741"/>
      <c r="I38" s="741"/>
      <c r="J38" s="741"/>
      <c r="K38" s="100"/>
    </row>
    <row r="39" spans="1:18" ht="15" customHeight="1">
      <c r="A39" s="742" t="str">
        <f>A21</f>
        <v>(Expresado en Dólares)</v>
      </c>
      <c r="B39" s="742"/>
      <c r="C39" s="742"/>
      <c r="D39" s="742"/>
      <c r="E39" s="742"/>
      <c r="F39" s="742"/>
      <c r="G39" s="742"/>
      <c r="H39" s="742"/>
      <c r="I39" s="742"/>
      <c r="J39" s="742"/>
      <c r="K39" s="101"/>
      <c r="L39" s="96"/>
      <c r="M39" s="96"/>
      <c r="N39" s="96"/>
      <c r="O39" s="96"/>
      <c r="P39" s="96"/>
      <c r="Q39" s="96"/>
      <c r="R39" s="96"/>
    </row>
    <row r="40" spans="1:18" ht="8.25" customHeight="1" thickBot="1">
      <c r="A40" s="484"/>
      <c r="B40" s="484"/>
      <c r="C40" s="484"/>
      <c r="D40" s="484"/>
      <c r="E40" s="484"/>
      <c r="F40" s="484"/>
      <c r="G40" s="484"/>
      <c r="H40" s="484"/>
      <c r="I40" s="484"/>
      <c r="J40" s="484"/>
      <c r="K40" s="101"/>
      <c r="L40" s="96"/>
      <c r="M40" s="96"/>
      <c r="N40" s="96"/>
      <c r="O40" s="96"/>
      <c r="P40" s="96"/>
      <c r="Q40" s="96"/>
      <c r="R40" s="96"/>
    </row>
    <row r="41" spans="1:13" ht="27.75" customHeight="1" thickBot="1">
      <c r="A41" s="466" t="str">
        <f>A23</f>
        <v>DESGLOSE</v>
      </c>
      <c r="B41" s="485" t="str">
        <f aca="true" t="shared" si="9" ref="B41:J41">B23</f>
        <v>ENE-MAR</v>
      </c>
      <c r="C41" s="485" t="str">
        <f t="shared" si="9"/>
        <v>ABR-JUN</v>
      </c>
      <c r="D41" s="485" t="str">
        <f t="shared" si="9"/>
        <v>JUL-SEP</v>
      </c>
      <c r="E41" s="485" t="str">
        <f t="shared" si="9"/>
        <v>OCT-DIC</v>
      </c>
      <c r="F41" s="486" t="str">
        <f t="shared" si="9"/>
        <v>SUB-TOTAL 1ER AÑO</v>
      </c>
      <c r="G41" s="487" t="str">
        <f t="shared" si="9"/>
        <v>AÑO 2</v>
      </c>
      <c r="H41" s="488" t="str">
        <f t="shared" si="9"/>
        <v>AÑO 3</v>
      </c>
      <c r="I41" s="488" t="str">
        <f t="shared" si="9"/>
        <v>AÑO 4</v>
      </c>
      <c r="J41" s="488" t="str">
        <f t="shared" si="9"/>
        <v>AÑO 5</v>
      </c>
      <c r="K41" s="101"/>
      <c r="L41" s="96"/>
      <c r="M41" s="96"/>
    </row>
    <row r="42" spans="1:13" ht="15.75">
      <c r="A42" s="489" t="s">
        <v>311</v>
      </c>
      <c r="B42" s="478">
        <f>B2*3</f>
        <v>600</v>
      </c>
      <c r="C42" s="478">
        <f aca="true" t="shared" si="10" ref="C42:E48">B42</f>
        <v>600</v>
      </c>
      <c r="D42" s="478">
        <f t="shared" si="10"/>
        <v>600</v>
      </c>
      <c r="E42" s="478">
        <f t="shared" si="10"/>
        <v>600</v>
      </c>
      <c r="F42" s="405">
        <f aca="true" t="shared" si="11" ref="F42:F48">SUM(B42:E42)</f>
        <v>2400</v>
      </c>
      <c r="G42" s="490">
        <f>F42+(F42*Supstos!$B$18)</f>
        <v>2435.04</v>
      </c>
      <c r="H42" s="490">
        <f>G42+(G42*Supstos!$B$18)</f>
        <v>2470.591584</v>
      </c>
      <c r="I42" s="490">
        <f>H42+(H42*Supstos!$B$18)</f>
        <v>2506.6622211264</v>
      </c>
      <c r="J42" s="490">
        <f>I42+(I42*Supstos!$B$18)</f>
        <v>2543.2594895548455</v>
      </c>
      <c r="K42" s="96"/>
      <c r="L42" s="96"/>
      <c r="M42" s="96"/>
    </row>
    <row r="43" spans="1:13" ht="15.75">
      <c r="A43" s="475" t="s">
        <v>173</v>
      </c>
      <c r="B43" s="478">
        <f>B3*3</f>
        <v>450</v>
      </c>
      <c r="C43" s="478">
        <f t="shared" si="10"/>
        <v>450</v>
      </c>
      <c r="D43" s="478">
        <f t="shared" si="10"/>
        <v>450</v>
      </c>
      <c r="E43" s="478">
        <f t="shared" si="10"/>
        <v>450</v>
      </c>
      <c r="F43" s="405">
        <f t="shared" si="11"/>
        <v>1800</v>
      </c>
      <c r="G43" s="342">
        <f>F43+(F43*Supstos!$B$18)</f>
        <v>1826.28</v>
      </c>
      <c r="H43" s="491">
        <f>G43+(G43*Supstos!$B$18)</f>
        <v>1852.943688</v>
      </c>
      <c r="I43" s="342">
        <f>H43+(H43*Supstos!$B$18)</f>
        <v>1879.9966658448</v>
      </c>
      <c r="J43" s="342">
        <f>I43+(I43*Supstos!$B$18)</f>
        <v>1907.444617166134</v>
      </c>
      <c r="K43" s="96"/>
      <c r="L43" s="96"/>
      <c r="M43" s="96"/>
    </row>
    <row r="44" spans="1:13" ht="15.75">
      <c r="A44" s="475" t="s">
        <v>129</v>
      </c>
      <c r="B44" s="478"/>
      <c r="C44" s="478"/>
      <c r="D44" s="478"/>
      <c r="E44" s="478"/>
      <c r="F44" s="405">
        <f>'Act.fijos resumen'!$E$22</f>
        <v>5615.356380952381</v>
      </c>
      <c r="G44" s="405">
        <f>'Act.fijos resumen'!$E$22</f>
        <v>5615.356380952381</v>
      </c>
      <c r="H44" s="405">
        <f>'Act.fijos resumen'!$E$22</f>
        <v>5615.356380952381</v>
      </c>
      <c r="I44" s="342">
        <f>'Act.fijos resumen'!$E$23</f>
        <v>5646.689714285714</v>
      </c>
      <c r="J44" s="342">
        <f>'Act.fijos resumen'!$E$23</f>
        <v>5646.689714285714</v>
      </c>
      <c r="K44" s="96"/>
      <c r="L44" s="96"/>
      <c r="M44" s="96"/>
    </row>
    <row r="45" spans="1:13" ht="15.75">
      <c r="A45" s="475" t="s">
        <v>122</v>
      </c>
      <c r="B45" s="478">
        <f>B4*3</f>
        <v>210</v>
      </c>
      <c r="C45" s="478">
        <f t="shared" si="10"/>
        <v>210</v>
      </c>
      <c r="D45" s="478">
        <f t="shared" si="10"/>
        <v>210</v>
      </c>
      <c r="E45" s="478">
        <f t="shared" si="10"/>
        <v>210</v>
      </c>
      <c r="F45" s="405">
        <f t="shared" si="11"/>
        <v>840</v>
      </c>
      <c r="G45" s="342">
        <f>F45+(F45*Supstos!$B$18)</f>
        <v>852.264</v>
      </c>
      <c r="H45" s="342">
        <f>G45+(G45*Supstos!$B$18)</f>
        <v>864.7070544000001</v>
      </c>
      <c r="I45" s="342">
        <f>H45+(H45*Supstos!$B$18)</f>
        <v>877.33177739424</v>
      </c>
      <c r="J45" s="342">
        <f>I45+(I45*Supstos!$B$18)</f>
        <v>890.140821344196</v>
      </c>
      <c r="K45" s="96"/>
      <c r="L45" s="96"/>
      <c r="M45" s="96"/>
    </row>
    <row r="46" spans="1:13" ht="15.75">
      <c r="A46" s="475" t="s">
        <v>246</v>
      </c>
      <c r="B46" s="478">
        <v>200</v>
      </c>
      <c r="C46" s="478">
        <f t="shared" si="10"/>
        <v>200</v>
      </c>
      <c r="D46" s="478">
        <f t="shared" si="10"/>
        <v>200</v>
      </c>
      <c r="E46" s="478">
        <f t="shared" si="10"/>
        <v>200</v>
      </c>
      <c r="F46" s="405">
        <f t="shared" si="11"/>
        <v>800</v>
      </c>
      <c r="G46" s="342">
        <f>F46+(F46*Supstos!$B$18)</f>
        <v>811.68</v>
      </c>
      <c r="H46" s="342">
        <f>G46+(G46*Supstos!$B$18)</f>
        <v>823.530528</v>
      </c>
      <c r="I46" s="342">
        <f>H46+(H46*Supstos!$B$18)</f>
        <v>835.5540737088</v>
      </c>
      <c r="J46" s="342">
        <f>I46+(I46*Supstos!$B$18)</f>
        <v>847.7531631849486</v>
      </c>
      <c r="K46" s="96"/>
      <c r="L46" s="96"/>
      <c r="M46" s="96"/>
    </row>
    <row r="47" spans="1:13" ht="15.75">
      <c r="A47" s="475" t="s">
        <v>245</v>
      </c>
      <c r="B47" s="478">
        <f>B5*3</f>
        <v>300</v>
      </c>
      <c r="C47" s="478">
        <f t="shared" si="10"/>
        <v>300</v>
      </c>
      <c r="D47" s="478">
        <f t="shared" si="10"/>
        <v>300</v>
      </c>
      <c r="E47" s="478">
        <f t="shared" si="10"/>
        <v>300</v>
      </c>
      <c r="F47" s="405">
        <f t="shared" si="11"/>
        <v>1200</v>
      </c>
      <c r="G47" s="342">
        <f>F47+(F47*Supstos!$B$18)</f>
        <v>1217.52</v>
      </c>
      <c r="H47" s="342">
        <f>G47+(G47*Supstos!$B$18)</f>
        <v>1235.295792</v>
      </c>
      <c r="I47" s="342">
        <f>H47+(H47*Supstos!$B$18)</f>
        <v>1253.3311105632</v>
      </c>
      <c r="J47" s="342">
        <f>I47+(I47*Supstos!$B$18)</f>
        <v>1271.6297447774227</v>
      </c>
      <c r="K47" s="96"/>
      <c r="L47" s="96"/>
      <c r="M47" s="96"/>
    </row>
    <row r="48" spans="1:13" ht="16.5" thickBot="1">
      <c r="A48" s="475" t="s">
        <v>37</v>
      </c>
      <c r="B48" s="478">
        <f>B6*3</f>
        <v>300</v>
      </c>
      <c r="C48" s="478">
        <f t="shared" si="10"/>
        <v>300</v>
      </c>
      <c r="D48" s="478">
        <f t="shared" si="10"/>
        <v>300</v>
      </c>
      <c r="E48" s="478">
        <f t="shared" si="10"/>
        <v>300</v>
      </c>
      <c r="F48" s="492">
        <f t="shared" si="11"/>
        <v>1200</v>
      </c>
      <c r="G48" s="342">
        <f>F48+(F48*Supstos!$B$18)</f>
        <v>1217.52</v>
      </c>
      <c r="H48" s="342">
        <f>G48+(G48*Supstos!$B$18)</f>
        <v>1235.295792</v>
      </c>
      <c r="I48" s="342">
        <f>H48+(H48*Supstos!$B$18)</f>
        <v>1253.3311105632</v>
      </c>
      <c r="J48" s="342">
        <f>I48+(I48*Supstos!$B$18)</f>
        <v>1271.6297447774227</v>
      </c>
      <c r="K48" s="96"/>
      <c r="L48" s="96"/>
      <c r="M48" s="96"/>
    </row>
    <row r="49" spans="1:13" ht="16.5" thickBot="1">
      <c r="A49" s="493" t="s">
        <v>17</v>
      </c>
      <c r="B49" s="494">
        <f aca="true" t="shared" si="12" ref="B49:J49">SUM(B42:B48)</f>
        <v>2060</v>
      </c>
      <c r="C49" s="494">
        <f t="shared" si="12"/>
        <v>2060</v>
      </c>
      <c r="D49" s="494">
        <f t="shared" si="12"/>
        <v>2060</v>
      </c>
      <c r="E49" s="494">
        <f t="shared" si="12"/>
        <v>2060</v>
      </c>
      <c r="F49" s="481">
        <f t="shared" si="12"/>
        <v>13855.35638095238</v>
      </c>
      <c r="G49" s="481">
        <f t="shared" si="12"/>
        <v>13975.66038095238</v>
      </c>
      <c r="H49" s="494">
        <f t="shared" si="12"/>
        <v>14097.72081935238</v>
      </c>
      <c r="I49" s="494">
        <f t="shared" si="12"/>
        <v>14252.896673486353</v>
      </c>
      <c r="J49" s="481">
        <f t="shared" si="12"/>
        <v>14378.547295090684</v>
      </c>
      <c r="K49" s="96"/>
      <c r="L49" s="96"/>
      <c r="M49" s="96"/>
    </row>
    <row r="50" spans="1:13" ht="6.75" customHeight="1">
      <c r="A50" s="462"/>
      <c r="B50" s="462"/>
      <c r="C50" s="462"/>
      <c r="D50" s="462"/>
      <c r="E50" s="462"/>
      <c r="F50" s="462"/>
      <c r="G50" s="462"/>
      <c r="H50" s="462"/>
      <c r="I50" s="462"/>
      <c r="J50" s="462"/>
      <c r="K50" s="96"/>
      <c r="L50" s="96"/>
      <c r="M50" s="96"/>
    </row>
    <row r="51" spans="1:10" ht="5.25" customHeight="1">
      <c r="A51" s="462"/>
      <c r="B51" s="462"/>
      <c r="C51" s="462"/>
      <c r="D51" s="462"/>
      <c r="E51" s="462"/>
      <c r="F51" s="462"/>
      <c r="G51" s="462"/>
      <c r="H51" s="462"/>
      <c r="I51" s="462"/>
      <c r="J51" s="462"/>
    </row>
    <row r="52" spans="1:10" ht="15.75">
      <c r="A52" s="741" t="s">
        <v>147</v>
      </c>
      <c r="B52" s="741"/>
      <c r="C52" s="741"/>
      <c r="D52" s="741"/>
      <c r="E52" s="741"/>
      <c r="F52" s="741"/>
      <c r="G52" s="495"/>
      <c r="H52" s="462"/>
      <c r="I52" s="462"/>
      <c r="J52" s="462"/>
    </row>
    <row r="53" spans="1:10" ht="15.75">
      <c r="A53" s="742" t="str">
        <f>A39</f>
        <v>(Expresado en Dólares)</v>
      </c>
      <c r="B53" s="742"/>
      <c r="C53" s="742"/>
      <c r="D53" s="742"/>
      <c r="E53" s="742"/>
      <c r="F53" s="742"/>
      <c r="G53" s="495"/>
      <c r="H53" s="462"/>
      <c r="I53" s="462"/>
      <c r="J53" s="462"/>
    </row>
    <row r="54" spans="1:10" ht="6.75" customHeight="1" thickBot="1">
      <c r="A54" s="465"/>
      <c r="B54" s="495"/>
      <c r="C54" s="495"/>
      <c r="D54" s="495"/>
      <c r="E54" s="495"/>
      <c r="F54" s="495"/>
      <c r="G54" s="495"/>
      <c r="H54" s="462"/>
      <c r="I54" s="462"/>
      <c r="J54" s="462"/>
    </row>
    <row r="55" spans="1:10" ht="27.75" customHeight="1" thickBot="1">
      <c r="A55" s="466" t="str">
        <f>A41</f>
        <v>DESGLOSE</v>
      </c>
      <c r="B55" s="496" t="s">
        <v>123</v>
      </c>
      <c r="C55" s="496" t="s">
        <v>98</v>
      </c>
      <c r="D55" s="496" t="s">
        <v>99</v>
      </c>
      <c r="E55" s="496" t="s">
        <v>100</v>
      </c>
      <c r="F55" s="496" t="s">
        <v>101</v>
      </c>
      <c r="G55" s="495"/>
      <c r="H55" s="462"/>
      <c r="I55" s="462"/>
      <c r="J55" s="462"/>
    </row>
    <row r="56" spans="1:10" ht="15.75">
      <c r="A56" s="489" t="s">
        <v>124</v>
      </c>
      <c r="B56" s="497">
        <v>85</v>
      </c>
      <c r="C56" s="497">
        <f>B56+(B56*Supstos!$B$18)</f>
        <v>86.241</v>
      </c>
      <c r="D56" s="497">
        <f>C56+(C56*Supstos!$B$18)</f>
        <v>87.5001186</v>
      </c>
      <c r="E56" s="497">
        <f>D56+(D56*Supstos!$B$18)</f>
        <v>88.77762033155999</v>
      </c>
      <c r="F56" s="497">
        <f>E56+(E56*Supstos!$B$18)</f>
        <v>90.07377358840077</v>
      </c>
      <c r="G56" s="462"/>
      <c r="H56" s="462"/>
      <c r="I56" s="462"/>
      <c r="J56" s="462"/>
    </row>
    <row r="57" spans="1:10" ht="15.75">
      <c r="A57" s="475" t="s">
        <v>125</v>
      </c>
      <c r="B57" s="497">
        <v>100</v>
      </c>
      <c r="C57" s="497">
        <f>B57+(B57*Supstos!$B$18)</f>
        <v>101.46</v>
      </c>
      <c r="D57" s="497">
        <f>C57+(C57*Supstos!$B$18)</f>
        <v>102.941316</v>
      </c>
      <c r="E57" s="497">
        <f>D57+(D57*Supstos!$B$18)</f>
        <v>104.4442592136</v>
      </c>
      <c r="F57" s="497">
        <f>E57+(E57*Supstos!$B$18)</f>
        <v>105.96914539811857</v>
      </c>
      <c r="G57" s="462"/>
      <c r="H57" s="462"/>
      <c r="I57" s="462"/>
      <c r="J57" s="462"/>
    </row>
    <row r="58" spans="1:10" ht="15.75">
      <c r="A58" s="475" t="s">
        <v>150</v>
      </c>
      <c r="B58" s="497">
        <v>300</v>
      </c>
      <c r="C58" s="497">
        <f>B58+(B58*Supstos!$B$18)</f>
        <v>304.38</v>
      </c>
      <c r="D58" s="497">
        <f>C58+(C58*Supstos!$B$18)</f>
        <v>308.823948</v>
      </c>
      <c r="E58" s="497">
        <f>D58+(D58*Supstos!$B$18)</f>
        <v>313.3327776408</v>
      </c>
      <c r="F58" s="497">
        <f>E58+(E58*Supstos!$B$18)</f>
        <v>317.9074361943557</v>
      </c>
      <c r="G58" s="462"/>
      <c r="H58" s="462"/>
      <c r="I58" s="462"/>
      <c r="J58" s="462"/>
    </row>
    <row r="59" spans="1:10" ht="15.75">
      <c r="A59" s="475" t="s">
        <v>126</v>
      </c>
      <c r="B59" s="497">
        <v>15</v>
      </c>
      <c r="C59" s="497">
        <f>B59+(B59*Supstos!$B$18)</f>
        <v>15.219</v>
      </c>
      <c r="D59" s="497">
        <f>C59+(C59*Supstos!$B$18)</f>
        <v>15.4411974</v>
      </c>
      <c r="E59" s="497">
        <f>D59+(D59*Supstos!$B$18)</f>
        <v>15.66663888204</v>
      </c>
      <c r="F59" s="497">
        <f>E59+(E59*Supstos!$B$18)</f>
        <v>15.895371809717785</v>
      </c>
      <c r="G59" s="462"/>
      <c r="H59" s="462"/>
      <c r="I59" s="462"/>
      <c r="J59" s="462"/>
    </row>
    <row r="60" spans="1:10" ht="16.5" thickBot="1">
      <c r="A60" s="475" t="s">
        <v>127</v>
      </c>
      <c r="B60" s="497">
        <v>25</v>
      </c>
      <c r="C60" s="497">
        <f>B60+(B60*Supstos!$B$18)</f>
        <v>25.365</v>
      </c>
      <c r="D60" s="497">
        <f>C60+(C60*Supstos!$B$18)</f>
        <v>25.735329</v>
      </c>
      <c r="E60" s="497">
        <f>D60+(D60*Supstos!$B$18)</f>
        <v>26.1110648034</v>
      </c>
      <c r="F60" s="497">
        <f>E60+(E60*Supstos!$B$18)</f>
        <v>26.492286349529643</v>
      </c>
      <c r="G60" s="462"/>
      <c r="H60" s="462"/>
      <c r="I60" s="462"/>
      <c r="J60" s="462"/>
    </row>
    <row r="61" spans="1:10" ht="16.5" thickBot="1">
      <c r="A61" s="493" t="s">
        <v>140</v>
      </c>
      <c r="B61" s="498">
        <f>SUM(B56:B60)</f>
        <v>525</v>
      </c>
      <c r="C61" s="498">
        <f>SUM(C56:C60)</f>
        <v>532.665</v>
      </c>
      <c r="D61" s="498">
        <f>SUM(D56:D60)</f>
        <v>540.4419089999999</v>
      </c>
      <c r="E61" s="498">
        <f>SUM(E56:E60)</f>
        <v>548.3323608714</v>
      </c>
      <c r="F61" s="498">
        <f>SUM(F56:F60)</f>
        <v>556.3380133401224</v>
      </c>
      <c r="G61" s="462"/>
      <c r="H61" s="462"/>
      <c r="I61" s="462"/>
      <c r="J61" s="462"/>
    </row>
    <row r="62" spans="1:10" ht="15.75">
      <c r="A62" s="462"/>
      <c r="B62" s="462"/>
      <c r="C62" s="462"/>
      <c r="D62" s="462"/>
      <c r="E62" s="462"/>
      <c r="F62" s="462"/>
      <c r="G62" s="462"/>
      <c r="H62" s="462"/>
      <c r="I62" s="462"/>
      <c r="J62" s="462"/>
    </row>
    <row r="64" spans="1:7" ht="15.75">
      <c r="A64" s="743"/>
      <c r="B64" s="743"/>
      <c r="C64" s="743"/>
      <c r="D64" s="743"/>
      <c r="E64" s="743"/>
      <c r="F64" s="743"/>
      <c r="G64" s="100"/>
    </row>
    <row r="65" spans="1:7" ht="15.75">
      <c r="A65" s="743"/>
      <c r="B65" s="743"/>
      <c r="C65" s="743"/>
      <c r="D65" s="743"/>
      <c r="E65" s="743"/>
      <c r="F65" s="743"/>
      <c r="G65" s="100"/>
    </row>
    <row r="66" spans="1:7" ht="6.75" customHeight="1">
      <c r="A66" s="176"/>
      <c r="B66" s="177"/>
      <c r="C66" s="177"/>
      <c r="D66" s="177"/>
      <c r="E66" s="177"/>
      <c r="F66" s="177"/>
      <c r="G66" s="100"/>
    </row>
    <row r="67" spans="1:7" ht="15.75">
      <c r="A67" s="178"/>
      <c r="B67" s="179"/>
      <c r="C67" s="179"/>
      <c r="D67" s="179"/>
      <c r="E67" s="179"/>
      <c r="F67" s="179"/>
      <c r="G67" s="100"/>
    </row>
    <row r="68" spans="1:7" ht="15">
      <c r="A68" s="180"/>
      <c r="B68" s="180"/>
      <c r="C68" s="180"/>
      <c r="D68" s="180"/>
      <c r="E68" s="180"/>
      <c r="F68" s="180"/>
      <c r="G68" s="100"/>
    </row>
    <row r="69" spans="1:6" ht="15">
      <c r="A69" s="180"/>
      <c r="B69" s="180"/>
      <c r="C69" s="180"/>
      <c r="D69" s="180"/>
      <c r="E69" s="180"/>
      <c r="F69" s="180"/>
    </row>
    <row r="70" spans="1:6" ht="6" customHeight="1">
      <c r="A70" s="180"/>
      <c r="B70" s="180"/>
      <c r="C70" s="180"/>
      <c r="D70" s="180"/>
      <c r="E70" s="180"/>
      <c r="F70" s="180"/>
    </row>
    <row r="71" spans="1:6" ht="15">
      <c r="A71" s="181"/>
      <c r="B71" s="180"/>
      <c r="C71" s="180"/>
      <c r="D71" s="180"/>
      <c r="E71" s="180"/>
      <c r="F71" s="180"/>
    </row>
    <row r="72" spans="1:6" ht="15">
      <c r="A72" s="177"/>
      <c r="B72" s="177"/>
      <c r="C72" s="177"/>
      <c r="D72" s="177"/>
      <c r="E72" s="177"/>
      <c r="F72" s="177"/>
    </row>
  </sheetData>
  <mergeCells count="12">
    <mergeCell ref="A21:J21"/>
    <mergeCell ref="A64:F64"/>
    <mergeCell ref="A65:F65"/>
    <mergeCell ref="A38:J38"/>
    <mergeCell ref="A39:J39"/>
    <mergeCell ref="A52:F52"/>
    <mergeCell ref="A53:F53"/>
    <mergeCell ref="C7:F7"/>
    <mergeCell ref="A9:J9"/>
    <mergeCell ref="A10:J10"/>
    <mergeCell ref="A20:J20"/>
    <mergeCell ref="C18:F18"/>
  </mergeCells>
  <printOptions horizontalCentered="1" verticalCentered="1"/>
  <pageMargins left="1.02" right="0.71" top="0.73" bottom="0.78" header="0" footer="0"/>
  <pageSetup fitToHeight="1" fitToWidth="1" horizontalDpi="300" verticalDpi="300" orientation="portrait"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T34"/>
  <sheetViews>
    <sheetView zoomScale="95" zoomScaleNormal="95" workbookViewId="0" topLeftCell="B1">
      <selection activeCell="E12" sqref="E12"/>
    </sheetView>
  </sheetViews>
  <sheetFormatPr defaultColWidth="11.421875" defaultRowHeight="12.75"/>
  <cols>
    <col min="1" max="1" width="34.28125" style="77" customWidth="1"/>
    <col min="2" max="8" width="9.140625" style="77" customWidth="1"/>
    <col min="9" max="10" width="10.421875" style="77" customWidth="1"/>
    <col min="11" max="11" width="6.8515625" style="77" customWidth="1"/>
    <col min="12" max="13" width="6.7109375" style="77" customWidth="1"/>
    <col min="14" max="14" width="11.28125" style="77" customWidth="1"/>
    <col min="15" max="16384" width="11.421875" style="77" customWidth="1"/>
  </cols>
  <sheetData>
    <row r="1" ht="15.75">
      <c r="M1" s="462"/>
    </row>
    <row r="2" spans="1:13" ht="93.75" customHeight="1">
      <c r="A2" s="740" t="s">
        <v>306</v>
      </c>
      <c r="B2" s="740"/>
      <c r="C2" s="740"/>
      <c r="D2" s="740"/>
      <c r="E2" s="740"/>
      <c r="F2" s="740"/>
      <c r="G2" s="740"/>
      <c r="H2" s="740"/>
      <c r="I2" s="740"/>
      <c r="J2" s="740"/>
      <c r="K2" s="740"/>
      <c r="L2" s="740"/>
      <c r="M2" s="740"/>
    </row>
    <row r="3" spans="1:13" ht="6.75" customHeight="1">
      <c r="A3" s="462"/>
      <c r="B3" s="462"/>
      <c r="C3" s="462"/>
      <c r="D3" s="462"/>
      <c r="E3" s="462"/>
      <c r="F3" s="462"/>
      <c r="G3" s="462"/>
      <c r="H3" s="462"/>
      <c r="I3" s="462"/>
      <c r="J3" s="462"/>
      <c r="K3" s="462"/>
      <c r="L3" s="462"/>
      <c r="M3" s="462"/>
    </row>
    <row r="4" spans="1:13" ht="15.75">
      <c r="A4" s="741" t="s">
        <v>14</v>
      </c>
      <c r="B4" s="741"/>
      <c r="C4" s="741"/>
      <c r="D4" s="741"/>
      <c r="E4" s="741"/>
      <c r="F4" s="741"/>
      <c r="G4" s="741"/>
      <c r="H4" s="741"/>
      <c r="I4" s="741"/>
      <c r="J4" s="741"/>
      <c r="K4" s="741"/>
      <c r="L4" s="741"/>
      <c r="M4" s="741"/>
    </row>
    <row r="5" spans="1:13" ht="16.5" thickBot="1">
      <c r="A5" s="499" t="s">
        <v>381</v>
      </c>
      <c r="B5" s="462"/>
      <c r="C5" s="462"/>
      <c r="D5" s="462"/>
      <c r="E5" s="462"/>
      <c r="F5" s="462"/>
      <c r="G5" s="462"/>
      <c r="H5" s="462"/>
      <c r="I5" s="462"/>
      <c r="J5" s="462"/>
      <c r="K5" s="462"/>
      <c r="L5" s="462"/>
      <c r="M5" s="462"/>
    </row>
    <row r="6" spans="1:13" ht="21" customHeight="1" thickBot="1">
      <c r="A6" s="500" t="s">
        <v>170</v>
      </c>
      <c r="B6" s="501" t="s">
        <v>1</v>
      </c>
      <c r="C6" s="502" t="s">
        <v>2</v>
      </c>
      <c r="D6" s="503" t="s">
        <v>3</v>
      </c>
      <c r="E6" s="502" t="s">
        <v>4</v>
      </c>
      <c r="F6" s="503" t="s">
        <v>5</v>
      </c>
      <c r="G6" s="502" t="s">
        <v>6</v>
      </c>
      <c r="H6" s="503" t="s">
        <v>7</v>
      </c>
      <c r="I6" s="502" t="s">
        <v>8</v>
      </c>
      <c r="J6" s="503" t="s">
        <v>9</v>
      </c>
      <c r="K6" s="502" t="s">
        <v>10</v>
      </c>
      <c r="L6" s="503" t="s">
        <v>11</v>
      </c>
      <c r="M6" s="504" t="s">
        <v>12</v>
      </c>
    </row>
    <row r="7" spans="1:14" ht="15.75">
      <c r="A7" s="505" t="s">
        <v>167</v>
      </c>
      <c r="B7" s="506">
        <v>300</v>
      </c>
      <c r="C7" s="507">
        <f>B7</f>
        <v>300</v>
      </c>
      <c r="D7" s="507">
        <f aca="true" t="shared" si="0" ref="D7:M7">C7</f>
        <v>300</v>
      </c>
      <c r="E7" s="507">
        <f t="shared" si="0"/>
        <v>300</v>
      </c>
      <c r="F7" s="507">
        <f t="shared" si="0"/>
        <v>300</v>
      </c>
      <c r="G7" s="507">
        <f t="shared" si="0"/>
        <v>300</v>
      </c>
      <c r="H7" s="507">
        <f t="shared" si="0"/>
        <v>300</v>
      </c>
      <c r="I7" s="507">
        <f t="shared" si="0"/>
        <v>300</v>
      </c>
      <c r="J7" s="507">
        <f t="shared" si="0"/>
        <v>300</v>
      </c>
      <c r="K7" s="507">
        <f t="shared" si="0"/>
        <v>300</v>
      </c>
      <c r="L7" s="507">
        <f t="shared" si="0"/>
        <v>300</v>
      </c>
      <c r="M7" s="508">
        <f t="shared" si="0"/>
        <v>300</v>
      </c>
      <c r="N7" s="77">
        <f>SUM(B7:M7)</f>
        <v>3600</v>
      </c>
    </row>
    <row r="8" spans="1:14" ht="15.75">
      <c r="A8" s="509" t="s">
        <v>54</v>
      </c>
      <c r="B8" s="510">
        <v>185</v>
      </c>
      <c r="C8" s="510">
        <f>B8</f>
        <v>185</v>
      </c>
      <c r="D8" s="510">
        <f aca="true" t="shared" si="1" ref="D8:M8">C8</f>
        <v>185</v>
      </c>
      <c r="E8" s="510">
        <f t="shared" si="1"/>
        <v>185</v>
      </c>
      <c r="F8" s="510">
        <f t="shared" si="1"/>
        <v>185</v>
      </c>
      <c r="G8" s="510">
        <f t="shared" si="1"/>
        <v>185</v>
      </c>
      <c r="H8" s="510">
        <f t="shared" si="1"/>
        <v>185</v>
      </c>
      <c r="I8" s="510">
        <f t="shared" si="1"/>
        <v>185</v>
      </c>
      <c r="J8" s="510">
        <f t="shared" si="1"/>
        <v>185</v>
      </c>
      <c r="K8" s="510">
        <f t="shared" si="1"/>
        <v>185</v>
      </c>
      <c r="L8" s="510">
        <f t="shared" si="1"/>
        <v>185</v>
      </c>
      <c r="M8" s="511">
        <f t="shared" si="1"/>
        <v>185</v>
      </c>
      <c r="N8" s="77">
        <f>SUM(B8:M8)</f>
        <v>2220</v>
      </c>
    </row>
    <row r="9" spans="1:14" ht="16.5" thickBot="1">
      <c r="A9" s="512" t="s">
        <v>168</v>
      </c>
      <c r="B9" s="513">
        <v>185</v>
      </c>
      <c r="C9" s="513">
        <f>B9</f>
        <v>185</v>
      </c>
      <c r="D9" s="513">
        <f aca="true" t="shared" si="2" ref="D9:M9">C9</f>
        <v>185</v>
      </c>
      <c r="E9" s="513">
        <f t="shared" si="2"/>
        <v>185</v>
      </c>
      <c r="F9" s="513">
        <f t="shared" si="2"/>
        <v>185</v>
      </c>
      <c r="G9" s="513">
        <f t="shared" si="2"/>
        <v>185</v>
      </c>
      <c r="H9" s="513">
        <f t="shared" si="2"/>
        <v>185</v>
      </c>
      <c r="I9" s="513">
        <f t="shared" si="2"/>
        <v>185</v>
      </c>
      <c r="J9" s="513">
        <f t="shared" si="2"/>
        <v>185</v>
      </c>
      <c r="K9" s="513">
        <f t="shared" si="2"/>
        <v>185</v>
      </c>
      <c r="L9" s="513">
        <f t="shared" si="2"/>
        <v>185</v>
      </c>
      <c r="M9" s="514">
        <f t="shared" si="2"/>
        <v>185</v>
      </c>
      <c r="N9" s="77">
        <f>SUM(B9:M9)</f>
        <v>2220</v>
      </c>
    </row>
    <row r="10" spans="1:13" ht="15.75">
      <c r="A10" s="495"/>
      <c r="B10" s="495"/>
      <c r="C10" s="495"/>
      <c r="D10" s="495"/>
      <c r="E10" s="495"/>
      <c r="F10" s="495"/>
      <c r="G10" s="495"/>
      <c r="H10" s="495"/>
      <c r="I10" s="495"/>
      <c r="J10" s="495"/>
      <c r="K10" s="462"/>
      <c r="L10" s="462"/>
      <c r="M10" s="462"/>
    </row>
    <row r="11" spans="1:15" s="96" customFormat="1" ht="16.5" thickBot="1">
      <c r="A11" s="465" t="s">
        <v>169</v>
      </c>
      <c r="B11" s="463"/>
      <c r="C11" s="463"/>
      <c r="D11" s="463"/>
      <c r="E11" s="463"/>
      <c r="F11" s="463"/>
      <c r="G11" s="465"/>
      <c r="H11" s="465"/>
      <c r="I11" s="465"/>
      <c r="J11" s="465"/>
      <c r="K11" s="499"/>
      <c r="L11" s="499"/>
      <c r="M11" s="499"/>
      <c r="O11" s="95"/>
    </row>
    <row r="12" spans="1:14" s="97" customFormat="1" ht="39.75" thickBot="1">
      <c r="A12" s="500" t="s">
        <v>170</v>
      </c>
      <c r="B12" s="515" t="s">
        <v>130</v>
      </c>
      <c r="C12" s="516" t="s">
        <v>131</v>
      </c>
      <c r="D12" s="515" t="s">
        <v>132</v>
      </c>
      <c r="E12" s="517" t="s">
        <v>133</v>
      </c>
      <c r="F12" s="518" t="s">
        <v>119</v>
      </c>
      <c r="G12" s="516" t="s">
        <v>98</v>
      </c>
      <c r="H12" s="517" t="s">
        <v>99</v>
      </c>
      <c r="I12" s="516" t="s">
        <v>100</v>
      </c>
      <c r="J12" s="519" t="s">
        <v>101</v>
      </c>
      <c r="K12" s="499"/>
      <c r="L12" s="499"/>
      <c r="M12" s="499"/>
      <c r="N12" s="96"/>
    </row>
    <row r="13" spans="1:14" ht="15.75">
      <c r="A13" s="520" t="s">
        <v>167</v>
      </c>
      <c r="B13" s="521">
        <f>SUM(B7:D7)</f>
        <v>900</v>
      </c>
      <c r="C13" s="507">
        <f>SUM(E7:G7)</f>
        <v>900</v>
      </c>
      <c r="D13" s="506">
        <f>SUM(H7:J7)</f>
        <v>900</v>
      </c>
      <c r="E13" s="507">
        <f>SUM(K7:M7)</f>
        <v>900</v>
      </c>
      <c r="F13" s="507">
        <f>SUM(B13:E13)</f>
        <v>3600</v>
      </c>
      <c r="G13" s="521">
        <f>F13+(F13*Supstos!$B$20)</f>
        <v>3960</v>
      </c>
      <c r="H13" s="521">
        <f>G13+(G13*Supstos!$B$20)</f>
        <v>4356</v>
      </c>
      <c r="I13" s="521">
        <f>H13+(H13*Supstos!$B$20)</f>
        <v>4791.6</v>
      </c>
      <c r="J13" s="522">
        <f>I13+(I13*Supstos!$B$20)</f>
        <v>5270.76</v>
      </c>
      <c r="K13" s="499"/>
      <c r="L13" s="499"/>
      <c r="M13" s="499"/>
      <c r="N13" s="96"/>
    </row>
    <row r="14" spans="1:14" ht="15.75">
      <c r="A14" s="523" t="s">
        <v>54</v>
      </c>
      <c r="B14" s="524">
        <f>SUM(B8:D8)</f>
        <v>555</v>
      </c>
      <c r="C14" s="510">
        <f>SUM(E8:G8)</f>
        <v>555</v>
      </c>
      <c r="D14" s="510">
        <f>SUM(H8:J8)</f>
        <v>555</v>
      </c>
      <c r="E14" s="510">
        <f>SUM(K8:M8)</f>
        <v>555</v>
      </c>
      <c r="F14" s="510">
        <f>SUM(B14:E14)</f>
        <v>2220</v>
      </c>
      <c r="G14" s="510">
        <f>F14+(F14*Supstos!$B$20)</f>
        <v>2442</v>
      </c>
      <c r="H14" s="510">
        <f>G14+(G14*Supstos!$B$20)</f>
        <v>2686.2</v>
      </c>
      <c r="I14" s="510">
        <f>H14+(H14*Supstos!$B$20)</f>
        <v>2954.8199999999997</v>
      </c>
      <c r="J14" s="511">
        <f>I14+(I14*Supstos!$B$20)</f>
        <v>3250.3019999999997</v>
      </c>
      <c r="K14" s="499"/>
      <c r="L14" s="499"/>
      <c r="M14" s="525"/>
      <c r="N14" s="96"/>
    </row>
    <row r="15" spans="1:15" ht="16.5" thickBot="1">
      <c r="A15" s="526" t="s">
        <v>171</v>
      </c>
      <c r="B15" s="527">
        <f>SUM(B9:D9)</f>
        <v>555</v>
      </c>
      <c r="C15" s="528">
        <f>SUM(E9:G9)</f>
        <v>555</v>
      </c>
      <c r="D15" s="529">
        <f>SUM(H9:J9)</f>
        <v>555</v>
      </c>
      <c r="E15" s="528">
        <f>SUM(K9:M9)</f>
        <v>555</v>
      </c>
      <c r="F15" s="528">
        <f>SUM(B15:E15)</f>
        <v>2220</v>
      </c>
      <c r="G15" s="527">
        <f>F15+(F15*Supstos!$B$20)</f>
        <v>2442</v>
      </c>
      <c r="H15" s="527">
        <f>G15+(G15*Supstos!$B$20)</f>
        <v>2686.2</v>
      </c>
      <c r="I15" s="527">
        <f>H15+(H15*Supstos!$B$20)</f>
        <v>2954.8199999999997</v>
      </c>
      <c r="J15" s="530">
        <f>I15+(I15*Supstos!$B$20)</f>
        <v>3250.3019999999997</v>
      </c>
      <c r="K15" s="499"/>
      <c r="L15" s="462"/>
      <c r="M15" s="462"/>
      <c r="N15" s="77">
        <v>40</v>
      </c>
      <c r="O15" s="96">
        <v>25</v>
      </c>
    </row>
    <row r="16" spans="1:13" s="96" customFormat="1" ht="15.75">
      <c r="A16" s="531" t="s">
        <v>172</v>
      </c>
      <c r="B16" s="532">
        <f aca="true" t="shared" si="3" ref="B16:J16">SUM(B13:B15)</f>
        <v>2010</v>
      </c>
      <c r="C16" s="532">
        <f t="shared" si="3"/>
        <v>2010</v>
      </c>
      <c r="D16" s="532">
        <f t="shared" si="3"/>
        <v>2010</v>
      </c>
      <c r="E16" s="532">
        <f t="shared" si="3"/>
        <v>2010</v>
      </c>
      <c r="F16" s="532">
        <f t="shared" si="3"/>
        <v>8040</v>
      </c>
      <c r="G16" s="532">
        <f t="shared" si="3"/>
        <v>8844</v>
      </c>
      <c r="H16" s="532">
        <f t="shared" si="3"/>
        <v>9728.4</v>
      </c>
      <c r="I16" s="532">
        <f t="shared" si="3"/>
        <v>10701.24</v>
      </c>
      <c r="J16" s="532">
        <f t="shared" si="3"/>
        <v>11771.364</v>
      </c>
      <c r="K16" s="499"/>
      <c r="L16" s="499"/>
      <c r="M16" s="499"/>
    </row>
    <row r="17" spans="1:15" ht="15.75">
      <c r="A17" s="462"/>
      <c r="B17" s="462"/>
      <c r="C17" s="462"/>
      <c r="D17" s="462"/>
      <c r="E17" s="462"/>
      <c r="F17" s="462"/>
      <c r="G17" s="462"/>
      <c r="H17" s="462"/>
      <c r="I17" s="462"/>
      <c r="J17" s="462"/>
      <c r="K17" s="462"/>
      <c r="L17" s="462"/>
      <c r="M17" s="462"/>
      <c r="N17" s="77">
        <f>N15*25%</f>
        <v>10</v>
      </c>
      <c r="O17" s="96">
        <f>O15*35%</f>
        <v>8.75</v>
      </c>
    </row>
    <row r="18" spans="1:13" ht="15.75">
      <c r="A18" s="465" t="s">
        <v>151</v>
      </c>
      <c r="B18" s="495"/>
      <c r="C18" s="495"/>
      <c r="D18" s="495"/>
      <c r="E18" s="495"/>
      <c r="F18" s="495"/>
      <c r="G18" s="495"/>
      <c r="H18" s="495"/>
      <c r="I18" s="495"/>
      <c r="J18" s="495"/>
      <c r="K18" s="462"/>
      <c r="L18" s="462"/>
      <c r="M18" s="462"/>
    </row>
    <row r="19" spans="1:15" ht="15" customHeight="1">
      <c r="A19" s="533" t="s">
        <v>146</v>
      </c>
      <c r="B19" s="495"/>
      <c r="C19" s="495"/>
      <c r="D19" s="495"/>
      <c r="E19" s="495"/>
      <c r="F19" s="495"/>
      <c r="G19" s="495"/>
      <c r="H19" s="495"/>
      <c r="I19" s="495"/>
      <c r="J19" s="495"/>
      <c r="K19" s="462"/>
      <c r="L19" s="462"/>
      <c r="M19" s="462"/>
      <c r="N19" s="77">
        <f>N17*30</f>
        <v>300</v>
      </c>
      <c r="O19" s="96">
        <f>O17*30</f>
        <v>262.5</v>
      </c>
    </row>
    <row r="20" spans="1:15" s="96" customFormat="1" ht="8.25" customHeight="1" thickBot="1">
      <c r="A20" s="533"/>
      <c r="B20" s="463"/>
      <c r="C20" s="465"/>
      <c r="D20" s="465"/>
      <c r="E20" s="465"/>
      <c r="F20" s="465"/>
      <c r="G20" s="465"/>
      <c r="H20" s="465"/>
      <c r="I20" s="465"/>
      <c r="J20" s="465"/>
      <c r="K20" s="499"/>
      <c r="L20" s="499"/>
      <c r="M20" s="499"/>
      <c r="O20" s="95"/>
    </row>
    <row r="21" spans="1:14" s="97" customFormat="1" ht="39.75" thickBot="1">
      <c r="A21" s="500" t="s">
        <v>170</v>
      </c>
      <c r="B21" s="534" t="str">
        <f aca="true" t="shared" si="4" ref="B21:J21">B12</f>
        <v>ENE-MAR</v>
      </c>
      <c r="C21" s="516" t="str">
        <f t="shared" si="4"/>
        <v>ABR-JUN</v>
      </c>
      <c r="D21" s="515" t="str">
        <f t="shared" si="4"/>
        <v>JUL-SEP</v>
      </c>
      <c r="E21" s="516" t="str">
        <f t="shared" si="4"/>
        <v>OCT-DIC</v>
      </c>
      <c r="F21" s="535" t="str">
        <f t="shared" si="4"/>
        <v>SUB-TOTAL 1ER AÑO</v>
      </c>
      <c r="G21" s="516" t="str">
        <f t="shared" si="4"/>
        <v>AÑO 2</v>
      </c>
      <c r="H21" s="515" t="str">
        <f t="shared" si="4"/>
        <v>AÑO 3</v>
      </c>
      <c r="I21" s="516" t="str">
        <f t="shared" si="4"/>
        <v>AÑO 4</v>
      </c>
      <c r="J21" s="519" t="str">
        <f t="shared" si="4"/>
        <v>AÑO 5</v>
      </c>
      <c r="K21" s="536"/>
      <c r="L21" s="499"/>
      <c r="M21" s="499"/>
      <c r="N21" s="96"/>
    </row>
    <row r="22" spans="1:14" ht="15.75">
      <c r="A22" s="537" t="str">
        <f>A13</f>
        <v>Alojamiento</v>
      </c>
      <c r="B22" s="538">
        <v>15</v>
      </c>
      <c r="C22" s="538">
        <f>Ingresos!B22</f>
        <v>15</v>
      </c>
      <c r="D22" s="538">
        <f aca="true" t="shared" si="5" ref="D22:F24">C22</f>
        <v>15</v>
      </c>
      <c r="E22" s="538">
        <f t="shared" si="5"/>
        <v>15</v>
      </c>
      <c r="F22" s="538">
        <f t="shared" si="5"/>
        <v>15</v>
      </c>
      <c r="G22" s="538">
        <f>F22+(F22*Supstos!$B$18)</f>
        <v>15.219</v>
      </c>
      <c r="H22" s="538">
        <f>G22+(G22*Supstos!$B$18)</f>
        <v>15.4411974</v>
      </c>
      <c r="I22" s="538">
        <f>H22+(H22*Supstos!$B$18)</f>
        <v>15.66663888204</v>
      </c>
      <c r="J22" s="539">
        <f>I22+(I22*Supstos!$B$18)</f>
        <v>15.895371809717785</v>
      </c>
      <c r="K22" s="462"/>
      <c r="L22" s="525"/>
      <c r="M22" s="499"/>
      <c r="N22" s="96"/>
    </row>
    <row r="23" spans="1:14" ht="15.75">
      <c r="A23" s="509" t="s">
        <v>54</v>
      </c>
      <c r="B23" s="540">
        <v>8</v>
      </c>
      <c r="C23" s="540">
        <f>Ingresos!B23</f>
        <v>8</v>
      </c>
      <c r="D23" s="540">
        <f t="shared" si="5"/>
        <v>8</v>
      </c>
      <c r="E23" s="540">
        <f t="shared" si="5"/>
        <v>8</v>
      </c>
      <c r="F23" s="540">
        <f t="shared" si="5"/>
        <v>8</v>
      </c>
      <c r="G23" s="540">
        <f>F23+(F23*Supstos!$B$18)</f>
        <v>8.1168</v>
      </c>
      <c r="H23" s="540">
        <f>G23+(G23*Supstos!$B$18)</f>
        <v>8.23530528</v>
      </c>
      <c r="I23" s="540">
        <f>H23+(H23*Supstos!$B$18)</f>
        <v>8.355540737088</v>
      </c>
      <c r="J23" s="541">
        <f>I23+(I23*Supstos!$B$18)</f>
        <v>8.477531631849486</v>
      </c>
      <c r="K23" s="462"/>
      <c r="L23" s="499"/>
      <c r="M23" s="499"/>
      <c r="N23" s="96"/>
    </row>
    <row r="24" spans="1:14" ht="15.75">
      <c r="A24" s="509" t="str">
        <f>A15</f>
        <v>Bebidas</v>
      </c>
      <c r="B24" s="540">
        <v>3.5</v>
      </c>
      <c r="C24" s="540">
        <f>Ingresos!B24</f>
        <v>3.5</v>
      </c>
      <c r="D24" s="540">
        <f t="shared" si="5"/>
        <v>3.5</v>
      </c>
      <c r="E24" s="540">
        <f t="shared" si="5"/>
        <v>3.5</v>
      </c>
      <c r="F24" s="540">
        <f t="shared" si="5"/>
        <v>3.5</v>
      </c>
      <c r="G24" s="540">
        <f>F24+(F24*Supstos!$B$18)</f>
        <v>3.5511</v>
      </c>
      <c r="H24" s="540">
        <f>G24+(G24*Supstos!$B$18)</f>
        <v>3.60294606</v>
      </c>
      <c r="I24" s="540">
        <f>H24+(H24*Supstos!$B$18)</f>
        <v>3.655549072476</v>
      </c>
      <c r="J24" s="541">
        <f>I24+(I24*Supstos!$B$18)</f>
        <v>3.70892008893415</v>
      </c>
      <c r="K24" s="462"/>
      <c r="L24" s="499"/>
      <c r="M24" s="499"/>
      <c r="N24" s="96"/>
    </row>
    <row r="25" spans="1:14" ht="16.5" thickBot="1">
      <c r="A25" s="542"/>
      <c r="B25" s="543"/>
      <c r="C25" s="543"/>
      <c r="D25" s="543"/>
      <c r="E25" s="543"/>
      <c r="F25" s="543"/>
      <c r="G25" s="543"/>
      <c r="H25" s="543"/>
      <c r="I25" s="543"/>
      <c r="J25" s="544"/>
      <c r="K25" s="495"/>
      <c r="L25" s="465"/>
      <c r="M25" s="465"/>
      <c r="N25" s="96"/>
    </row>
    <row r="26" spans="1:14" ht="15.75">
      <c r="A26" s="495"/>
      <c r="B26" s="495"/>
      <c r="C26" s="495"/>
      <c r="D26" s="495"/>
      <c r="E26" s="495"/>
      <c r="F26" s="495"/>
      <c r="G26" s="495"/>
      <c r="H26" s="495"/>
      <c r="I26" s="495"/>
      <c r="J26" s="495"/>
      <c r="K26" s="495"/>
      <c r="L26" s="465"/>
      <c r="M26" s="465"/>
      <c r="N26" s="96"/>
    </row>
    <row r="27" spans="1:13" ht="15.75">
      <c r="A27" s="741" t="s">
        <v>15</v>
      </c>
      <c r="B27" s="741"/>
      <c r="C27" s="741"/>
      <c r="D27" s="741"/>
      <c r="E27" s="741"/>
      <c r="F27" s="741"/>
      <c r="G27" s="741"/>
      <c r="H27" s="741"/>
      <c r="I27" s="741"/>
      <c r="J27" s="741"/>
      <c r="K27" s="495"/>
      <c r="L27" s="495"/>
      <c r="M27" s="495"/>
    </row>
    <row r="28" spans="1:13" ht="15.75">
      <c r="A28" s="744" t="s">
        <v>146</v>
      </c>
      <c r="B28" s="744"/>
      <c r="C28" s="744"/>
      <c r="D28" s="744"/>
      <c r="E28" s="744"/>
      <c r="F28" s="744"/>
      <c r="G28" s="744"/>
      <c r="H28" s="744"/>
      <c r="I28" s="744"/>
      <c r="J28" s="744"/>
      <c r="K28" s="495"/>
      <c r="L28" s="495"/>
      <c r="M28" s="495"/>
    </row>
    <row r="29" spans="1:15" s="96" customFormat="1" ht="6" customHeight="1" thickBot="1">
      <c r="A29" s="484"/>
      <c r="B29" s="464"/>
      <c r="C29" s="484"/>
      <c r="D29" s="484"/>
      <c r="E29" s="484"/>
      <c r="F29" s="484"/>
      <c r="G29" s="484"/>
      <c r="H29" s="484"/>
      <c r="I29" s="484"/>
      <c r="J29" s="484"/>
      <c r="K29" s="465"/>
      <c r="L29" s="499"/>
      <c r="M29" s="499"/>
      <c r="O29" s="98"/>
    </row>
    <row r="30" spans="1:20" s="97" customFormat="1" ht="39.75" thickBot="1">
      <c r="A30" s="500" t="s">
        <v>170</v>
      </c>
      <c r="B30" s="545" t="str">
        <f>B21</f>
        <v>ENE-MAR</v>
      </c>
      <c r="C30" s="545" t="str">
        <f aca="true" t="shared" si="6" ref="C30:J30">C21</f>
        <v>ABR-JUN</v>
      </c>
      <c r="D30" s="545" t="str">
        <f t="shared" si="6"/>
        <v>JUL-SEP</v>
      </c>
      <c r="E30" s="545" t="str">
        <f t="shared" si="6"/>
        <v>OCT-DIC</v>
      </c>
      <c r="F30" s="546" t="str">
        <f t="shared" si="6"/>
        <v>SUB-TOTAL 1ER AÑO</v>
      </c>
      <c r="G30" s="545" t="str">
        <f t="shared" si="6"/>
        <v>AÑO 2</v>
      </c>
      <c r="H30" s="545" t="str">
        <f t="shared" si="6"/>
        <v>AÑO 3</v>
      </c>
      <c r="I30" s="545" t="str">
        <f t="shared" si="6"/>
        <v>AÑO 4</v>
      </c>
      <c r="J30" s="519" t="str">
        <f t="shared" si="6"/>
        <v>AÑO 5</v>
      </c>
      <c r="K30" s="495"/>
      <c r="L30" s="462"/>
      <c r="M30" s="462"/>
      <c r="N30" s="77"/>
      <c r="O30" s="77"/>
      <c r="P30" s="77"/>
      <c r="Q30" s="77"/>
      <c r="R30" s="77"/>
      <c r="S30" s="77"/>
      <c r="T30" s="77"/>
    </row>
    <row r="31" spans="1:13" ht="15.75">
      <c r="A31" s="547" t="s">
        <v>167</v>
      </c>
      <c r="B31" s="521">
        <f>B13*Ingresos!B22</f>
        <v>13500</v>
      </c>
      <c r="C31" s="521">
        <f aca="true" t="shared" si="7" ref="C31:J33">C13*C22</f>
        <v>13500</v>
      </c>
      <c r="D31" s="521">
        <f t="shared" si="7"/>
        <v>13500</v>
      </c>
      <c r="E31" s="521">
        <f t="shared" si="7"/>
        <v>13500</v>
      </c>
      <c r="F31" s="521">
        <f t="shared" si="7"/>
        <v>54000</v>
      </c>
      <c r="G31" s="521">
        <f t="shared" si="7"/>
        <v>60267.24</v>
      </c>
      <c r="H31" s="521">
        <f t="shared" si="7"/>
        <v>67261.8558744</v>
      </c>
      <c r="I31" s="521">
        <f t="shared" si="7"/>
        <v>75068.26686718287</v>
      </c>
      <c r="J31" s="522">
        <f t="shared" si="7"/>
        <v>83780.68991978811</v>
      </c>
      <c r="K31" s="462"/>
      <c r="L31" s="462"/>
      <c r="M31" s="462"/>
    </row>
    <row r="32" spans="1:13" ht="15.75">
      <c r="A32" s="548" t="s">
        <v>54</v>
      </c>
      <c r="B32" s="509">
        <f>B14*Ingresos!B23</f>
        <v>4440</v>
      </c>
      <c r="C32" s="510">
        <f t="shared" si="7"/>
        <v>4440</v>
      </c>
      <c r="D32" s="510">
        <f t="shared" si="7"/>
        <v>4440</v>
      </c>
      <c r="E32" s="510">
        <f t="shared" si="7"/>
        <v>4440</v>
      </c>
      <c r="F32" s="510">
        <f t="shared" si="7"/>
        <v>17760</v>
      </c>
      <c r="G32" s="510">
        <f t="shared" si="7"/>
        <v>19821.225599999998</v>
      </c>
      <c r="H32" s="510">
        <f t="shared" si="7"/>
        <v>22121.677043136</v>
      </c>
      <c r="I32" s="510">
        <f t="shared" si="7"/>
        <v>24689.118880762366</v>
      </c>
      <c r="J32" s="511">
        <f t="shared" si="7"/>
        <v>27554.538018063642</v>
      </c>
      <c r="K32" s="462"/>
      <c r="L32" s="462"/>
      <c r="M32" s="462"/>
    </row>
    <row r="33" spans="1:13" ht="16.5" thickBot="1">
      <c r="A33" s="547" t="s">
        <v>171</v>
      </c>
      <c r="B33" s="521">
        <f>B15*Ingresos!B24</f>
        <v>1942.5</v>
      </c>
      <c r="C33" s="521">
        <f t="shared" si="7"/>
        <v>1942.5</v>
      </c>
      <c r="D33" s="521">
        <f t="shared" si="7"/>
        <v>1942.5</v>
      </c>
      <c r="E33" s="521">
        <f t="shared" si="7"/>
        <v>1942.5</v>
      </c>
      <c r="F33" s="521">
        <f t="shared" si="7"/>
        <v>7770</v>
      </c>
      <c r="G33" s="521">
        <f t="shared" si="7"/>
        <v>8671.7862</v>
      </c>
      <c r="H33" s="521">
        <f t="shared" si="7"/>
        <v>9678.233706371999</v>
      </c>
      <c r="I33" s="521">
        <f t="shared" si="7"/>
        <v>10801.489510333533</v>
      </c>
      <c r="J33" s="522">
        <f t="shared" si="7"/>
        <v>12055.110382902843</v>
      </c>
      <c r="K33" s="462"/>
      <c r="L33" s="462"/>
      <c r="M33" s="462"/>
    </row>
    <row r="34" spans="1:20" s="87" customFormat="1" ht="16.5" thickBot="1">
      <c r="A34" s="493" t="s">
        <v>18</v>
      </c>
      <c r="B34" s="549">
        <f aca="true" t="shared" si="8" ref="B34:J34">SUM(B31:B33)</f>
        <v>19882.5</v>
      </c>
      <c r="C34" s="550">
        <f t="shared" si="8"/>
        <v>19882.5</v>
      </c>
      <c r="D34" s="550">
        <f t="shared" si="8"/>
        <v>19882.5</v>
      </c>
      <c r="E34" s="550">
        <f t="shared" si="8"/>
        <v>19882.5</v>
      </c>
      <c r="F34" s="550">
        <f t="shared" si="8"/>
        <v>79530</v>
      </c>
      <c r="G34" s="550">
        <f t="shared" si="8"/>
        <v>88760.2518</v>
      </c>
      <c r="H34" s="550">
        <f t="shared" si="8"/>
        <v>99061.76662390801</v>
      </c>
      <c r="I34" s="550">
        <f t="shared" si="8"/>
        <v>110558.87525827877</v>
      </c>
      <c r="J34" s="551">
        <f t="shared" si="8"/>
        <v>123390.3383207546</v>
      </c>
      <c r="K34" s="462"/>
      <c r="L34" s="462"/>
      <c r="M34" s="462"/>
      <c r="N34" s="77"/>
      <c r="O34" s="77"/>
      <c r="P34" s="77"/>
      <c r="Q34" s="77"/>
      <c r="R34" s="77"/>
      <c r="S34" s="77"/>
      <c r="T34" s="77"/>
    </row>
  </sheetData>
  <mergeCells count="4">
    <mergeCell ref="A2:M2"/>
    <mergeCell ref="A4:M4"/>
    <mergeCell ref="A28:J28"/>
    <mergeCell ref="A27:J27"/>
  </mergeCells>
  <printOptions horizontalCentered="1" verticalCentered="1"/>
  <pageMargins left="1.05" right="0.7874015748031497" top="0" bottom="3.2283464566929134" header="0.5905511811023623" footer="0"/>
  <pageSetup fitToHeight="1" fitToWidth="1" horizontalDpi="300" verticalDpi="300" orientation="portrait"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O76"/>
  <sheetViews>
    <sheetView workbookViewId="0" topLeftCell="A1">
      <selection activeCell="A1" sqref="A1"/>
    </sheetView>
  </sheetViews>
  <sheetFormatPr defaultColWidth="11.421875" defaultRowHeight="12.75"/>
  <cols>
    <col min="1" max="1" width="49.00390625" style="34" customWidth="1"/>
    <col min="2" max="2" width="11.421875" style="34" customWidth="1"/>
    <col min="3" max="3" width="10.421875" style="34" bestFit="1" customWidth="1"/>
    <col min="4" max="4" width="11.7109375" style="34" bestFit="1" customWidth="1"/>
    <col min="5" max="5" width="12.28125" style="34" bestFit="1" customWidth="1"/>
    <col min="6" max="6" width="11.7109375" style="34" bestFit="1" customWidth="1"/>
    <col min="7" max="7" width="13.421875" style="34" bestFit="1" customWidth="1"/>
    <col min="8" max="16384" width="11.421875" style="34" customWidth="1"/>
  </cols>
  <sheetData>
    <row r="1" ht="12.75">
      <c r="A1" s="213"/>
    </row>
    <row r="2" spans="1:7" ht="15.75">
      <c r="A2" s="758" t="s">
        <v>307</v>
      </c>
      <c r="B2" s="758"/>
      <c r="C2" s="758"/>
      <c r="D2" s="758"/>
      <c r="E2" s="758"/>
      <c r="F2" s="758"/>
      <c r="G2" s="758"/>
    </row>
    <row r="3" spans="1:7" ht="21.75" customHeight="1" thickBot="1">
      <c r="A3" s="462"/>
      <c r="B3" s="462"/>
      <c r="C3" s="462"/>
      <c r="D3" s="462"/>
      <c r="E3" s="462"/>
      <c r="F3" s="462"/>
      <c r="G3" s="462"/>
    </row>
    <row r="4" spans="1:15" ht="20.25" customHeight="1">
      <c r="A4" s="752" t="s">
        <v>327</v>
      </c>
      <c r="B4" s="753"/>
      <c r="C4" s="753"/>
      <c r="D4" s="753"/>
      <c r="E4" s="753"/>
      <c r="F4" s="753"/>
      <c r="G4" s="754"/>
      <c r="H4" s="115">
        <v>0.005</v>
      </c>
      <c r="I4" s="116"/>
      <c r="J4" s="116"/>
      <c r="K4" s="116"/>
      <c r="L4" s="116"/>
      <c r="M4" s="116"/>
      <c r="N4" s="116"/>
      <c r="O4" s="116"/>
    </row>
    <row r="5" spans="1:15" ht="15.75">
      <c r="A5" s="755" t="s">
        <v>388</v>
      </c>
      <c r="B5" s="756"/>
      <c r="C5" s="756"/>
      <c r="D5" s="756"/>
      <c r="E5" s="756"/>
      <c r="F5" s="756"/>
      <c r="G5" s="757"/>
      <c r="H5" s="116"/>
      <c r="I5" s="116"/>
      <c r="J5" s="116"/>
      <c r="K5" s="116"/>
      <c r="L5" s="116"/>
      <c r="M5" s="116"/>
      <c r="N5" s="116"/>
      <c r="O5" s="116"/>
    </row>
    <row r="6" spans="1:15" ht="6" customHeight="1" thickBot="1">
      <c r="A6" s="552"/>
      <c r="B6" s="553"/>
      <c r="C6" s="553"/>
      <c r="D6" s="553"/>
      <c r="E6" s="553"/>
      <c r="F6" s="553"/>
      <c r="G6" s="554"/>
      <c r="H6" s="116"/>
      <c r="I6" s="116"/>
      <c r="J6" s="116"/>
      <c r="K6" s="116"/>
      <c r="L6" s="116"/>
      <c r="M6" s="116"/>
      <c r="N6" s="116"/>
      <c r="O6" s="116"/>
    </row>
    <row r="7" spans="1:15" s="73" customFormat="1" ht="15" thickBot="1">
      <c r="A7" s="555" t="s">
        <v>0</v>
      </c>
      <c r="B7" s="556">
        <v>0</v>
      </c>
      <c r="C7" s="557">
        <v>1</v>
      </c>
      <c r="D7" s="558">
        <v>2</v>
      </c>
      <c r="E7" s="558">
        <v>3</v>
      </c>
      <c r="F7" s="559">
        <v>4</v>
      </c>
      <c r="G7" s="556">
        <v>5</v>
      </c>
      <c r="H7" s="117"/>
      <c r="I7" s="117"/>
      <c r="J7" s="117"/>
      <c r="K7" s="117"/>
      <c r="L7" s="117"/>
      <c r="M7" s="117"/>
      <c r="N7" s="117"/>
      <c r="O7" s="117"/>
    </row>
    <row r="8" spans="1:15" ht="12.75">
      <c r="A8" s="560" t="s">
        <v>106</v>
      </c>
      <c r="B8" s="561"/>
      <c r="C8" s="562"/>
      <c r="D8" s="563"/>
      <c r="E8" s="562"/>
      <c r="F8" s="563"/>
      <c r="G8" s="564"/>
      <c r="H8" s="116"/>
      <c r="I8" s="116"/>
      <c r="J8" s="116"/>
      <c r="K8" s="116"/>
      <c r="L8" s="116"/>
      <c r="M8" s="116"/>
      <c r="N8" s="116"/>
      <c r="O8" s="116"/>
    </row>
    <row r="9" spans="1:15" ht="12.75">
      <c r="A9" s="565" t="str">
        <f>Ingresos!A31</f>
        <v>Alojamiento</v>
      </c>
      <c r="B9" s="566"/>
      <c r="C9" s="564">
        <f>Ingresos!F31</f>
        <v>54000</v>
      </c>
      <c r="D9" s="563">
        <f>Ingresos!G31</f>
        <v>60267.24</v>
      </c>
      <c r="E9" s="564">
        <f>Ingresos!H31</f>
        <v>67261.8558744</v>
      </c>
      <c r="F9" s="563">
        <f>Ingresos!I31</f>
        <v>75068.26686718287</v>
      </c>
      <c r="G9" s="564">
        <f>Ingresos!J31</f>
        <v>83780.68991978811</v>
      </c>
      <c r="H9" s="116"/>
      <c r="I9" s="116"/>
      <c r="J9" s="116"/>
      <c r="K9" s="116"/>
      <c r="L9" s="116"/>
      <c r="M9" s="116"/>
      <c r="N9" s="116"/>
      <c r="O9" s="116"/>
    </row>
    <row r="10" spans="1:15" ht="12.75">
      <c r="A10" s="565" t="s">
        <v>54</v>
      </c>
      <c r="B10" s="566"/>
      <c r="C10" s="564">
        <f>Ingresos!F32</f>
        <v>17760</v>
      </c>
      <c r="D10" s="563">
        <f>Ingresos!G32</f>
        <v>19821.225599999998</v>
      </c>
      <c r="E10" s="564">
        <f>Ingresos!H32</f>
        <v>22121.677043136</v>
      </c>
      <c r="F10" s="563">
        <f>Ingresos!I32</f>
        <v>24689.118880762366</v>
      </c>
      <c r="G10" s="564">
        <f>Ingresos!J32</f>
        <v>27554.538018063642</v>
      </c>
      <c r="H10" s="116"/>
      <c r="I10" s="116"/>
      <c r="J10" s="116"/>
      <c r="K10" s="116"/>
      <c r="L10" s="116"/>
      <c r="M10" s="116"/>
      <c r="N10" s="116"/>
      <c r="O10" s="116"/>
    </row>
    <row r="11" spans="1:15" ht="12.75">
      <c r="A11" s="565" t="str">
        <f>Ingresos!A33</f>
        <v>Bebidas</v>
      </c>
      <c r="B11" s="566"/>
      <c r="C11" s="564">
        <f>Ingresos!F33</f>
        <v>7770</v>
      </c>
      <c r="D11" s="563">
        <f>Ingresos!G33</f>
        <v>8671.7862</v>
      </c>
      <c r="E11" s="564">
        <f>Ingresos!H33</f>
        <v>9678.233706371999</v>
      </c>
      <c r="F11" s="563">
        <f>Ingresos!I33</f>
        <v>10801.489510333533</v>
      </c>
      <c r="G11" s="564">
        <f>Ingresos!J33</f>
        <v>12055.110382902843</v>
      </c>
      <c r="H11" s="116"/>
      <c r="I11" s="116"/>
      <c r="J11" s="116"/>
      <c r="K11" s="116"/>
      <c r="L11" s="116"/>
      <c r="M11" s="116"/>
      <c r="N11" s="116"/>
      <c r="O11" s="116"/>
    </row>
    <row r="12" spans="1:15" ht="6" customHeight="1">
      <c r="A12" s="400"/>
      <c r="B12" s="566"/>
      <c r="C12" s="564"/>
      <c r="D12" s="563"/>
      <c r="E12" s="564"/>
      <c r="F12" s="563"/>
      <c r="G12" s="564"/>
      <c r="H12" s="116"/>
      <c r="I12" s="116"/>
      <c r="J12" s="116"/>
      <c r="K12" s="116"/>
      <c r="L12" s="116"/>
      <c r="M12" s="116"/>
      <c r="N12" s="116"/>
      <c r="O12" s="116"/>
    </row>
    <row r="13" spans="1:15" s="74" customFormat="1" ht="12.75">
      <c r="A13" s="567" t="s">
        <v>321</v>
      </c>
      <c r="B13" s="568"/>
      <c r="C13" s="569">
        <f>SUM(C9:C11)</f>
        <v>79530</v>
      </c>
      <c r="D13" s="570">
        <f>SUM(D9:D11)</f>
        <v>88760.2518</v>
      </c>
      <c r="E13" s="569">
        <f>SUM(E9:E11)</f>
        <v>99061.76662390801</v>
      </c>
      <c r="F13" s="570">
        <f>SUM(F9:F11)</f>
        <v>110558.87525827877</v>
      </c>
      <c r="G13" s="569">
        <f>SUM(G9:G11)</f>
        <v>123390.3383207546</v>
      </c>
      <c r="H13" s="118"/>
      <c r="I13" s="118"/>
      <c r="J13" s="118"/>
      <c r="K13" s="118"/>
      <c r="L13" s="118"/>
      <c r="M13" s="118"/>
      <c r="N13" s="118"/>
      <c r="O13" s="118"/>
    </row>
    <row r="14" spans="1:15" ht="5.25" customHeight="1">
      <c r="A14" s="400"/>
      <c r="B14" s="566"/>
      <c r="C14" s="564"/>
      <c r="D14" s="563"/>
      <c r="E14" s="564"/>
      <c r="F14" s="563"/>
      <c r="G14" s="564"/>
      <c r="H14" s="116"/>
      <c r="I14" s="116"/>
      <c r="J14" s="116"/>
      <c r="K14" s="116"/>
      <c r="L14" s="116"/>
      <c r="M14" s="116"/>
      <c r="N14" s="116"/>
      <c r="O14" s="116"/>
    </row>
    <row r="15" spans="1:15" ht="12.75">
      <c r="A15" s="560" t="s">
        <v>105</v>
      </c>
      <c r="B15" s="571"/>
      <c r="C15" s="564"/>
      <c r="D15" s="563"/>
      <c r="E15" s="564"/>
      <c r="F15" s="563"/>
      <c r="G15" s="564"/>
      <c r="H15" s="116"/>
      <c r="I15" s="116"/>
      <c r="J15" s="116"/>
      <c r="K15" s="116"/>
      <c r="L15" s="116"/>
      <c r="M15" s="116"/>
      <c r="N15" s="116"/>
      <c r="O15" s="116"/>
    </row>
    <row r="16" spans="1:15" ht="12.75">
      <c r="A16" s="565" t="str">
        <f>Costos!A9</f>
        <v> COSTOS VARIABLES TOTALES</v>
      </c>
      <c r="B16" s="566"/>
      <c r="C16" s="564">
        <f>Costos!F16</f>
        <v>27300</v>
      </c>
      <c r="D16" s="563">
        <f>Costos!G16</f>
        <v>30468.438</v>
      </c>
      <c r="E16" s="564">
        <f>Costos!H16</f>
        <v>34004.604914280004</v>
      </c>
      <c r="F16" s="563">
        <f>Costos!I16</f>
        <v>37951.17936063134</v>
      </c>
      <c r="G16" s="564">
        <f>Costos!J16</f>
        <v>42355.793237226215</v>
      </c>
      <c r="H16" s="116"/>
      <c r="I16" s="116"/>
      <c r="J16" s="116"/>
      <c r="K16" s="116"/>
      <c r="L16" s="116"/>
      <c r="M16" s="116"/>
      <c r="N16" s="116"/>
      <c r="O16" s="116"/>
    </row>
    <row r="17" spans="1:15" ht="12.75">
      <c r="A17" s="565" t="str">
        <f>Costos!A20</f>
        <v>GASTOS ADMINISTRATIVOS  (personal)</v>
      </c>
      <c r="B17" s="566"/>
      <c r="C17" s="564">
        <f>Costos!F35</f>
        <v>24360</v>
      </c>
      <c r="D17" s="563">
        <f>Costos!G35</f>
        <v>24715.655999999995</v>
      </c>
      <c r="E17" s="564">
        <f>Costos!H35</f>
        <v>25076.504577599993</v>
      </c>
      <c r="F17" s="563">
        <f>Costos!I35</f>
        <v>25442.621544432954</v>
      </c>
      <c r="G17" s="564">
        <f>Costos!J35</f>
        <v>25814.083818981675</v>
      </c>
      <c r="H17" s="116"/>
      <c r="I17" s="116"/>
      <c r="J17" s="116"/>
      <c r="K17" s="116"/>
      <c r="L17" s="116"/>
      <c r="M17" s="116"/>
      <c r="N17" s="116"/>
      <c r="O17" s="116"/>
    </row>
    <row r="18" spans="1:15" ht="12.75">
      <c r="A18" s="565" t="str">
        <f>Costos!A38</f>
        <v>GASTOS GENERALES</v>
      </c>
      <c r="B18" s="566"/>
      <c r="C18" s="564">
        <f>Costos!F49</f>
        <v>13855.35638095238</v>
      </c>
      <c r="D18" s="563">
        <f>Costos!G49</f>
        <v>13975.66038095238</v>
      </c>
      <c r="E18" s="564">
        <f>Costos!H49</f>
        <v>14097.72081935238</v>
      </c>
      <c r="F18" s="563">
        <f>Costos!I49</f>
        <v>14252.896673486353</v>
      </c>
      <c r="G18" s="564">
        <f>Costos!J49</f>
        <v>14378.547295090684</v>
      </c>
      <c r="H18" s="116"/>
      <c r="I18" s="116"/>
      <c r="J18" s="116"/>
      <c r="K18" s="116"/>
      <c r="L18" s="116"/>
      <c r="M18" s="116"/>
      <c r="N18" s="116"/>
      <c r="O18" s="116"/>
    </row>
    <row r="19" spans="1:15" ht="12.75">
      <c r="A19" s="565" t="str">
        <f>Costos!A52</f>
        <v>PAGO DE IMPUESTOS</v>
      </c>
      <c r="B19" s="566"/>
      <c r="C19" s="564">
        <f>Costos!B61</f>
        <v>525</v>
      </c>
      <c r="D19" s="563">
        <f>Costos!C61</f>
        <v>532.665</v>
      </c>
      <c r="E19" s="564">
        <f>Costos!D61</f>
        <v>540.4419089999999</v>
      </c>
      <c r="F19" s="563">
        <f>Costos!E61</f>
        <v>548.3323608714</v>
      </c>
      <c r="G19" s="564">
        <f>Costos!F61</f>
        <v>556.3380133401224</v>
      </c>
      <c r="H19" s="116"/>
      <c r="I19" s="116"/>
      <c r="J19" s="116"/>
      <c r="K19" s="116"/>
      <c r="L19" s="116"/>
      <c r="M19" s="116"/>
      <c r="N19" s="116"/>
      <c r="O19" s="116"/>
    </row>
    <row r="20" spans="1:15" ht="12.75">
      <c r="A20" s="565"/>
      <c r="B20" s="566"/>
      <c r="C20" s="564"/>
      <c r="D20" s="564"/>
      <c r="E20" s="564"/>
      <c r="F20" s="564"/>
      <c r="G20" s="564"/>
      <c r="H20" s="116"/>
      <c r="I20" s="116"/>
      <c r="J20" s="116"/>
      <c r="K20" s="116"/>
      <c r="L20" s="116"/>
      <c r="M20" s="116"/>
      <c r="N20" s="116"/>
      <c r="O20" s="116"/>
    </row>
    <row r="21" spans="1:15" ht="13.5" thickBot="1">
      <c r="A21" s="572" t="s">
        <v>322</v>
      </c>
      <c r="B21" s="573"/>
      <c r="C21" s="574">
        <f>SUM(C14:C20)</f>
        <v>66040.35638095238</v>
      </c>
      <c r="D21" s="575">
        <f>SUM(D14:D20)</f>
        <v>69692.41938095237</v>
      </c>
      <c r="E21" s="574">
        <f>SUM(E14:E20)</f>
        <v>73719.27222023238</v>
      </c>
      <c r="F21" s="575">
        <f>SUM(F14:F20)</f>
        <v>78195.02993942203</v>
      </c>
      <c r="G21" s="574">
        <f>SUM(G14:G20)</f>
        <v>83104.7623646387</v>
      </c>
      <c r="H21" s="116"/>
      <c r="I21" s="146"/>
      <c r="J21" s="146"/>
      <c r="K21" s="146"/>
      <c r="L21" s="146"/>
      <c r="M21" s="146"/>
      <c r="N21" s="146"/>
      <c r="O21" s="116"/>
    </row>
    <row r="22" spans="1:15" s="85" customFormat="1" ht="16.5" customHeight="1" thickBot="1">
      <c r="A22" s="576" t="s">
        <v>323</v>
      </c>
      <c r="B22" s="577"/>
      <c r="C22" s="577">
        <f>C13-C21</f>
        <v>13489.643619047623</v>
      </c>
      <c r="D22" s="578">
        <f>D13-D21</f>
        <v>19067.832419047627</v>
      </c>
      <c r="E22" s="577">
        <f>E13-E21</f>
        <v>25342.494403675635</v>
      </c>
      <c r="F22" s="578">
        <f>F13-F21</f>
        <v>32363.845318856736</v>
      </c>
      <c r="G22" s="577">
        <f>G13-G21</f>
        <v>40285.57595611591</v>
      </c>
      <c r="H22" s="119"/>
      <c r="I22" s="145">
        <f>C26/1.16</f>
        <v>5663.180973979068</v>
      </c>
      <c r="J22" s="145">
        <f>D26/(1.16)^2</f>
        <v>9200.18706534258</v>
      </c>
      <c r="K22" s="145">
        <f>E26/(1.16)^3</f>
        <v>12099.926378863318</v>
      </c>
      <c r="L22" s="145">
        <f>F26/(1.16)^4</f>
        <v>14419.788848630387</v>
      </c>
      <c r="M22" s="145">
        <f>G26/(1.16)^5</f>
        <v>16313.089230415542</v>
      </c>
      <c r="N22" s="145"/>
      <c r="O22" s="119"/>
    </row>
    <row r="23" spans="1:7" ht="17.25" customHeight="1" thickBot="1">
      <c r="A23" s="579" t="s">
        <v>376</v>
      </c>
      <c r="B23" s="580"/>
      <c r="C23" s="581">
        <f>+SUM('T.Amort'!B15:B26)</f>
        <v>1054.9973082795248</v>
      </c>
      <c r="D23" s="582">
        <f>SUM('T.Amort'!B27:B38)</f>
        <v>822.7043229702718</v>
      </c>
      <c r="E23" s="581">
        <f>SUM('T.Amort'!B39:B50)</f>
        <v>590.4113376610185</v>
      </c>
      <c r="F23" s="582">
        <f>SUM('T.Amort'!B51:B62)</f>
        <v>358.11835235176534</v>
      </c>
      <c r="G23" s="581">
        <f>SUM('T.Amort'!B63:B74)</f>
        <v>125.82536704251214</v>
      </c>
    </row>
    <row r="24" spans="1:7" s="86" customFormat="1" ht="15">
      <c r="A24" s="583" t="s">
        <v>320</v>
      </c>
      <c r="B24" s="584"/>
      <c r="C24" s="584">
        <f>-'Act.fijos resumen'!$E$22</f>
        <v>-5615.356380952381</v>
      </c>
      <c r="D24" s="585">
        <f>-'Act.fijos resumen'!$E$22</f>
        <v>-5615.356380952381</v>
      </c>
      <c r="E24" s="584">
        <f>-'Act.fijos resumen'!$E$22</f>
        <v>-5615.356380952381</v>
      </c>
      <c r="F24" s="585">
        <f>-'Act.fijos resumen'!$E$23</f>
        <v>-5646.689714285714</v>
      </c>
      <c r="G24" s="584">
        <f>-'Act.fijos resumen'!$E$23</f>
        <v>-5646.689714285714</v>
      </c>
    </row>
    <row r="25" spans="1:7" s="86" customFormat="1" ht="15">
      <c r="A25" s="586" t="s">
        <v>341</v>
      </c>
      <c r="B25" s="587"/>
      <c r="C25" s="587">
        <f>-'Capital d trabajo'!$E$49</f>
        <v>-250</v>
      </c>
      <c r="D25" s="587">
        <f>-'Capital d trabajo'!$E$49</f>
        <v>-250</v>
      </c>
      <c r="E25" s="587">
        <f>-'Capital d trabajo'!$E$49</f>
        <v>-250</v>
      </c>
      <c r="F25" s="587">
        <f>-'Capital d trabajo'!$E$49</f>
        <v>-250</v>
      </c>
      <c r="G25" s="587">
        <f>-'Capital d trabajo'!$E$49</f>
        <v>-250</v>
      </c>
    </row>
    <row r="26" spans="1:8" s="223" customFormat="1" ht="16.5" customHeight="1" thickBot="1">
      <c r="A26" s="588" t="s">
        <v>324</v>
      </c>
      <c r="B26" s="589"/>
      <c r="C26" s="590">
        <f>C22-C23+C24+C25</f>
        <v>6569.289929815718</v>
      </c>
      <c r="D26" s="590">
        <f>D22-D23+D24+D25</f>
        <v>12379.771715124974</v>
      </c>
      <c r="E26" s="590">
        <f>E22-E23+E24+E25</f>
        <v>18886.726685062236</v>
      </c>
      <c r="F26" s="590">
        <f>F22-F23+F24+F25</f>
        <v>26109.037252219256</v>
      </c>
      <c r="G26" s="590">
        <f>G22-G23+G24+G25</f>
        <v>34263.06087478768</v>
      </c>
      <c r="H26" s="74"/>
    </row>
    <row r="27" spans="1:9" s="99" customFormat="1" ht="16.5" customHeight="1">
      <c r="A27" s="583" t="s">
        <v>318</v>
      </c>
      <c r="B27" s="591"/>
      <c r="C27" s="591">
        <f>-C26*$I$27</f>
        <v>-985.3934894723577</v>
      </c>
      <c r="D27" s="592">
        <f>-D26*$I$27</f>
        <v>-1856.965757268746</v>
      </c>
      <c r="E27" s="591">
        <f>-E26*$I$27</f>
        <v>-2833.0090027593355</v>
      </c>
      <c r="F27" s="592">
        <f>-F26*$I$27</f>
        <v>-3916.355587832888</v>
      </c>
      <c r="G27" s="591">
        <f>-G26*$I$27</f>
        <v>-5139.459131218152</v>
      </c>
      <c r="I27" s="67">
        <v>0.15</v>
      </c>
    </row>
    <row r="28" spans="1:7" s="99" customFormat="1" ht="16.5" customHeight="1" thickBot="1">
      <c r="A28" s="593" t="s">
        <v>377</v>
      </c>
      <c r="B28" s="594"/>
      <c r="C28" s="595">
        <f>SUM(C26:C27)</f>
        <v>5583.89644034336</v>
      </c>
      <c r="D28" s="596">
        <f>SUM(D26:D27)</f>
        <v>10522.805957856228</v>
      </c>
      <c r="E28" s="595">
        <f>SUM(E26:E27)</f>
        <v>16053.7176823029</v>
      </c>
      <c r="F28" s="596">
        <f>SUM(F26:F27)</f>
        <v>22192.681664386368</v>
      </c>
      <c r="G28" s="595">
        <f>SUM(G26:G27)</f>
        <v>29123.601743569532</v>
      </c>
    </row>
    <row r="29" spans="1:9" s="99" customFormat="1" ht="16.5" customHeight="1">
      <c r="A29" s="583" t="s">
        <v>319</v>
      </c>
      <c r="B29" s="597"/>
      <c r="C29" s="597">
        <f>-C28*$I$29</f>
        <v>-1395.97411008584</v>
      </c>
      <c r="D29" s="591">
        <f>-D28*$I$29</f>
        <v>-2630.701489464057</v>
      </c>
      <c r="E29" s="592">
        <f>-E28*$I$29</f>
        <v>-4013.429420575725</v>
      </c>
      <c r="F29" s="591">
        <f>-F28*$I$29</f>
        <v>-5548.170416096592</v>
      </c>
      <c r="G29" s="598">
        <f>-G28*$I$29</f>
        <v>-7280.900435892383</v>
      </c>
      <c r="I29" s="67">
        <v>0.25</v>
      </c>
    </row>
    <row r="30" spans="1:7" s="99" customFormat="1" ht="16.5" customHeight="1" thickBot="1">
      <c r="A30" s="588" t="s">
        <v>378</v>
      </c>
      <c r="B30" s="599"/>
      <c r="C30" s="600">
        <f>SUM(C28:C29)</f>
        <v>4187.92233025752</v>
      </c>
      <c r="D30" s="589">
        <f>SUM(D28:D29)</f>
        <v>7892.104468392171</v>
      </c>
      <c r="E30" s="601">
        <f>SUM(E28:E29)</f>
        <v>12040.288261727175</v>
      </c>
      <c r="F30" s="589">
        <f>SUM(F28:F29)</f>
        <v>16644.511248289775</v>
      </c>
      <c r="G30" s="602">
        <f>SUM(G28:G29)</f>
        <v>21842.701307677147</v>
      </c>
    </row>
    <row r="31" spans="1:7" s="99" customFormat="1" ht="16.5" customHeight="1">
      <c r="A31" s="565" t="s">
        <v>129</v>
      </c>
      <c r="B31" s="400"/>
      <c r="C31" s="400">
        <f aca="true" t="shared" si="0" ref="C31:G32">-C24</f>
        <v>5615.356380952381</v>
      </c>
      <c r="D31" s="566">
        <f t="shared" si="0"/>
        <v>5615.356380952381</v>
      </c>
      <c r="E31" s="406">
        <f t="shared" si="0"/>
        <v>5615.356380952381</v>
      </c>
      <c r="F31" s="566">
        <f t="shared" si="0"/>
        <v>5646.689714285714</v>
      </c>
      <c r="G31" s="603">
        <f t="shared" si="0"/>
        <v>5646.689714285714</v>
      </c>
    </row>
    <row r="32" spans="1:7" s="99" customFormat="1" ht="16.5" customHeight="1">
      <c r="A32" s="565" t="str">
        <f>A25</f>
        <v>Amortización (activos nominales)</v>
      </c>
      <c r="B32" s="400"/>
      <c r="C32" s="400">
        <f t="shared" si="0"/>
        <v>250</v>
      </c>
      <c r="D32" s="566">
        <f t="shared" si="0"/>
        <v>250</v>
      </c>
      <c r="E32" s="406">
        <f t="shared" si="0"/>
        <v>250</v>
      </c>
      <c r="F32" s="566">
        <f t="shared" si="0"/>
        <v>250</v>
      </c>
      <c r="G32" s="603">
        <f t="shared" si="0"/>
        <v>250</v>
      </c>
    </row>
    <row r="33" spans="1:7" s="99" customFormat="1" ht="16.5" customHeight="1" thickBot="1">
      <c r="A33" s="565" t="s">
        <v>380</v>
      </c>
      <c r="B33" s="400"/>
      <c r="C33" s="400">
        <f>SUM('T.Amort'!C15:C26)</f>
        <v>2400</v>
      </c>
      <c r="D33" s="566">
        <f>SUM('T.Amort'!C27:C38)</f>
        <v>2400</v>
      </c>
      <c r="E33" s="406">
        <f>SUM('T.Amort'!C39:C50)</f>
        <v>2400</v>
      </c>
      <c r="F33" s="566">
        <f>SUM('T.Amort'!C51:C62)</f>
        <v>2400</v>
      </c>
      <c r="G33" s="603">
        <f>SUM('T.Amort'!C63:C74)</f>
        <v>2400</v>
      </c>
    </row>
    <row r="34" spans="1:7" s="99" customFormat="1" ht="16.5" customHeight="1" thickBot="1">
      <c r="A34" s="604" t="s">
        <v>293</v>
      </c>
      <c r="B34" s="605">
        <f>-Inversión!C9-'Capital d trabajo'!D44</f>
        <v>-43985.73</v>
      </c>
      <c r="C34" s="606"/>
      <c r="D34" s="607"/>
      <c r="E34" s="608"/>
      <c r="F34" s="607"/>
      <c r="G34" s="609"/>
    </row>
    <row r="35" spans="1:7" s="99" customFormat="1" ht="16.5" customHeight="1" thickBot="1">
      <c r="A35" s="534" t="s">
        <v>379</v>
      </c>
      <c r="B35" s="610">
        <f>Inversión!F9</f>
        <v>12000</v>
      </c>
      <c r="C35" s="552"/>
      <c r="D35" s="611"/>
      <c r="E35" s="553"/>
      <c r="F35" s="611"/>
      <c r="G35" s="554"/>
    </row>
    <row r="36" spans="1:7" s="99" customFormat="1" ht="16.5" customHeight="1" thickBot="1">
      <c r="A36" s="612" t="s">
        <v>316</v>
      </c>
      <c r="B36" s="613">
        <f>-'Capital d trabajo'!D34</f>
        <v>-4057.55</v>
      </c>
      <c r="C36" s="614"/>
      <c r="D36" s="607"/>
      <c r="E36" s="615"/>
      <c r="F36" s="607"/>
      <c r="G36" s="616">
        <f>-B36</f>
        <v>4057.55</v>
      </c>
    </row>
    <row r="37" spans="1:9" s="99" customFormat="1" ht="16.5" customHeight="1" thickBot="1">
      <c r="A37" s="617" t="s">
        <v>317</v>
      </c>
      <c r="B37" s="400"/>
      <c r="C37" s="542"/>
      <c r="D37" s="618"/>
      <c r="E37" s="543"/>
      <c r="F37" s="618"/>
      <c r="G37" s="619">
        <f>'Act.fijos resumen'!G22</f>
        <v>16570.281428571427</v>
      </c>
      <c r="H37" s="196"/>
      <c r="I37" s="196"/>
    </row>
    <row r="38" spans="1:9" s="147" customFormat="1" ht="26.25" customHeight="1" thickBot="1">
      <c r="A38" s="620" t="s">
        <v>325</v>
      </c>
      <c r="B38" s="621">
        <f>SUM(B34:B37)</f>
        <v>-36043.280000000006</v>
      </c>
      <c r="C38" s="621">
        <f>C30+C31-C33</f>
        <v>7403.278711209901</v>
      </c>
      <c r="D38" s="622">
        <f>D30+D31-D33</f>
        <v>11107.460849344552</v>
      </c>
      <c r="E38" s="621">
        <f>E30+E31-E33</f>
        <v>15255.644642679556</v>
      </c>
      <c r="F38" s="622">
        <f>F30+F31-F33</f>
        <v>19891.200962575487</v>
      </c>
      <c r="G38" s="621">
        <f>G30+G31-G33+G36+G37</f>
        <v>45717.22245053429</v>
      </c>
      <c r="H38" s="196"/>
      <c r="I38" s="196"/>
    </row>
    <row r="39" spans="1:10" ht="15.75">
      <c r="A39" s="623"/>
      <c r="B39" s="624"/>
      <c r="C39" s="625"/>
      <c r="D39" s="626"/>
      <c r="E39" s="495"/>
      <c r="F39" s="495"/>
      <c r="G39" s="627"/>
      <c r="H39" s="196"/>
      <c r="I39" s="120"/>
      <c r="J39" s="116"/>
    </row>
    <row r="40" spans="1:10" ht="8.25" customHeight="1">
      <c r="A40" s="623"/>
      <c r="B40" s="624"/>
      <c r="C40" s="625"/>
      <c r="D40" s="406"/>
      <c r="E40" s="495"/>
      <c r="F40" s="495"/>
      <c r="G40" s="627"/>
      <c r="H40" s="196"/>
      <c r="I40" s="120"/>
      <c r="J40" s="116"/>
    </row>
    <row r="41" spans="1:10" s="99" customFormat="1" ht="9.75" customHeight="1" thickBot="1">
      <c r="A41" s="623"/>
      <c r="B41" s="624"/>
      <c r="C41" s="625"/>
      <c r="D41" s="625"/>
      <c r="E41" s="625"/>
      <c r="F41" s="625"/>
      <c r="G41" s="625"/>
      <c r="H41" s="121"/>
      <c r="I41" s="121"/>
      <c r="J41" s="116"/>
    </row>
    <row r="42" spans="1:10" ht="21" customHeight="1" thickBot="1">
      <c r="A42" s="628"/>
      <c r="B42" s="789" t="s">
        <v>152</v>
      </c>
      <c r="C42" s="790"/>
      <c r="D42" s="791">
        <f>NPV(F51,C38:G38)+B38</f>
        <v>19559.714828486198</v>
      </c>
      <c r="E42" s="625"/>
      <c r="F42" s="625"/>
      <c r="G42" s="625"/>
      <c r="H42" s="120"/>
      <c r="I42" s="120"/>
      <c r="J42" s="116"/>
    </row>
    <row r="43" spans="1:10" ht="21" customHeight="1" thickBot="1">
      <c r="A43" s="628"/>
      <c r="B43" s="789" t="s">
        <v>153</v>
      </c>
      <c r="C43" s="790"/>
      <c r="D43" s="792">
        <f>IRR(B38:G38)</f>
        <v>0.32585347869361236</v>
      </c>
      <c r="E43" s="625"/>
      <c r="F43" s="629"/>
      <c r="G43" s="630"/>
      <c r="H43" s="120"/>
      <c r="I43" s="120"/>
      <c r="J43" s="116"/>
    </row>
    <row r="44" spans="1:10" ht="21" customHeight="1" thickBot="1">
      <c r="A44" s="623"/>
      <c r="B44" s="789" t="s">
        <v>397</v>
      </c>
      <c r="C44" s="790"/>
      <c r="D44" s="791" t="s">
        <v>398</v>
      </c>
      <c r="E44" s="495"/>
      <c r="F44" s="629"/>
      <c r="G44" s="627"/>
      <c r="H44" s="196"/>
      <c r="I44" s="120"/>
      <c r="J44" s="116"/>
    </row>
    <row r="45" spans="1:10" ht="18" customHeight="1" thickBot="1">
      <c r="A45" s="623"/>
      <c r="B45" s="624"/>
      <c r="C45" s="625"/>
      <c r="D45" s="406"/>
      <c r="E45" s="495"/>
      <c r="F45" s="495"/>
      <c r="G45" s="627"/>
      <c r="H45" s="196"/>
      <c r="I45" s="120"/>
      <c r="J45" s="116"/>
    </row>
    <row r="46" spans="1:10" ht="20.25" customHeight="1" thickBot="1">
      <c r="A46" s="747" t="s">
        <v>405</v>
      </c>
      <c r="B46" s="748"/>
      <c r="C46" s="748"/>
      <c r="D46" s="748"/>
      <c r="E46" s="748"/>
      <c r="F46" s="749"/>
      <c r="G46" s="630"/>
      <c r="H46" s="120"/>
      <c r="I46" s="120"/>
      <c r="J46" s="116"/>
    </row>
    <row r="47" spans="1:10" ht="14.25" customHeight="1">
      <c r="A47" s="750" t="s">
        <v>332</v>
      </c>
      <c r="B47" s="750" t="s">
        <v>337</v>
      </c>
      <c r="C47" s="750" t="s">
        <v>335</v>
      </c>
      <c r="D47" s="750" t="s">
        <v>338</v>
      </c>
      <c r="E47" s="631" t="s">
        <v>403</v>
      </c>
      <c r="F47" s="745" t="s">
        <v>342</v>
      </c>
      <c r="G47" s="627"/>
      <c r="H47" s="196"/>
      <c r="I47" s="120"/>
      <c r="J47" s="116"/>
    </row>
    <row r="48" spans="1:10" ht="12" customHeight="1" thickBot="1">
      <c r="A48" s="751"/>
      <c r="B48" s="751"/>
      <c r="C48" s="751"/>
      <c r="D48" s="751"/>
      <c r="E48" s="632" t="s">
        <v>404</v>
      </c>
      <c r="F48" s="746"/>
      <c r="G48" s="627"/>
      <c r="I48" s="196" t="s">
        <v>330</v>
      </c>
      <c r="J48" s="116"/>
    </row>
    <row r="49" spans="1:10" ht="15.75">
      <c r="A49" s="633" t="s">
        <v>333</v>
      </c>
      <c r="B49" s="634">
        <v>12000</v>
      </c>
      <c r="C49" s="635">
        <f>B49/B51</f>
        <v>0.24977624211643737</v>
      </c>
      <c r="D49" s="636">
        <f>Supstos!B22</f>
        <v>0.1012</v>
      </c>
      <c r="E49" s="635">
        <f>1-25%</f>
        <v>0.75</v>
      </c>
      <c r="F49" s="636">
        <f>C49*D49*E49</f>
        <v>0.018958016776637596</v>
      </c>
      <c r="G49" s="627"/>
      <c r="I49" s="196" t="s">
        <v>331</v>
      </c>
      <c r="J49" s="116"/>
    </row>
    <row r="50" spans="1:14" ht="16.5" thickBot="1">
      <c r="A50" s="637" t="s">
        <v>334</v>
      </c>
      <c r="B50" s="564">
        <v>36043</v>
      </c>
      <c r="C50" s="638">
        <f>B50/B51</f>
        <v>0.7502237578835627</v>
      </c>
      <c r="D50" s="638">
        <f>Supstos!B26</f>
        <v>0.2</v>
      </c>
      <c r="E50" s="564"/>
      <c r="F50" s="421">
        <f>C50*D50</f>
        <v>0.15004475157671254</v>
      </c>
      <c r="G50" s="495"/>
      <c r="H50" s="196"/>
      <c r="I50" s="196"/>
      <c r="J50" s="147"/>
      <c r="K50" s="201"/>
      <c r="L50" s="201"/>
      <c r="M50" s="201"/>
      <c r="N50" s="201"/>
    </row>
    <row r="51" spans="1:14" ht="15.75" thickBot="1">
      <c r="A51" s="639" t="s">
        <v>336</v>
      </c>
      <c r="B51" s="640">
        <f>SUM(B49:B50)</f>
        <v>48043</v>
      </c>
      <c r="C51" s="641">
        <f>SUM(C49:C50)</f>
        <v>1</v>
      </c>
      <c r="D51" s="642"/>
      <c r="E51" s="642"/>
      <c r="F51" s="643">
        <f>SUM(F49:F50)</f>
        <v>0.16900276835335015</v>
      </c>
      <c r="G51" s="626"/>
      <c r="H51" s="196"/>
      <c r="I51" s="196"/>
      <c r="J51" s="147"/>
      <c r="K51" s="201"/>
      <c r="L51" s="201"/>
      <c r="M51" s="201"/>
      <c r="N51" s="201"/>
    </row>
    <row r="52" spans="1:14" ht="15">
      <c r="A52" s="147"/>
      <c r="H52" s="196"/>
      <c r="I52" s="196"/>
      <c r="J52" s="147"/>
      <c r="K52" s="201"/>
      <c r="L52" s="201"/>
      <c r="M52" s="201"/>
      <c r="N52" s="201"/>
    </row>
    <row r="53" spans="1:14" ht="15">
      <c r="A53" s="147"/>
      <c r="H53" s="196"/>
      <c r="I53" s="196"/>
      <c r="J53" s="147"/>
      <c r="K53" s="201"/>
      <c r="L53" s="201"/>
      <c r="M53" s="201"/>
      <c r="N53" s="201"/>
    </row>
    <row r="54" spans="1:14" ht="12.75">
      <c r="A54" s="147"/>
      <c r="H54" s="147"/>
      <c r="I54" s="147"/>
      <c r="J54" s="147"/>
      <c r="K54" s="201"/>
      <c r="L54" s="201"/>
      <c r="M54" s="201"/>
      <c r="N54" s="201"/>
    </row>
    <row r="55" spans="1:14" ht="12.75">
      <c r="A55" s="147"/>
      <c r="H55" s="147"/>
      <c r="I55" s="147"/>
      <c r="J55" s="147"/>
      <c r="K55" s="201"/>
      <c r="L55" s="201"/>
      <c r="M55" s="201"/>
      <c r="N55" s="201"/>
    </row>
    <row r="56" spans="1:14" ht="15">
      <c r="A56" s="147"/>
      <c r="H56" s="196" t="s">
        <v>329</v>
      </c>
      <c r="I56" s="147"/>
      <c r="J56" s="147"/>
      <c r="K56" s="201"/>
      <c r="L56" s="201"/>
      <c r="M56" s="201"/>
      <c r="N56" s="201"/>
    </row>
    <row r="57" spans="1:14" ht="12.75">
      <c r="A57" s="147"/>
      <c r="B57" s="147"/>
      <c r="C57" s="147"/>
      <c r="D57" s="147"/>
      <c r="E57" s="147"/>
      <c r="F57" s="147"/>
      <c r="G57" s="147" t="s">
        <v>347</v>
      </c>
      <c r="H57" s="147"/>
      <c r="I57" s="147"/>
      <c r="J57" s="147"/>
      <c r="K57" s="201"/>
      <c r="L57" s="201"/>
      <c r="M57" s="201"/>
      <c r="N57" s="201"/>
    </row>
    <row r="58" spans="1:14" ht="12.75">
      <c r="A58" s="147"/>
      <c r="B58" s="147"/>
      <c r="C58" s="147"/>
      <c r="D58" s="147"/>
      <c r="E58" s="147"/>
      <c r="F58" s="147"/>
      <c r="G58" s="147"/>
      <c r="H58" s="147"/>
      <c r="I58" s="147"/>
      <c r="J58" s="147"/>
      <c r="K58" s="201"/>
      <c r="L58" s="201"/>
      <c r="M58" s="201"/>
      <c r="N58" s="201"/>
    </row>
    <row r="59" spans="1:10" s="202" customFormat="1" ht="12.75">
      <c r="A59" s="146"/>
      <c r="B59" s="146"/>
      <c r="C59" s="146"/>
      <c r="D59" s="146"/>
      <c r="E59" s="146"/>
      <c r="F59" s="146"/>
      <c r="G59" s="146"/>
      <c r="H59" s="146"/>
      <c r="I59" s="146"/>
      <c r="J59" s="146"/>
    </row>
    <row r="60" spans="5:10" s="202" customFormat="1" ht="12.75">
      <c r="E60" s="146"/>
      <c r="F60" s="203"/>
      <c r="G60" s="146"/>
      <c r="H60" s="146"/>
      <c r="I60" s="146"/>
      <c r="J60" s="146"/>
    </row>
    <row r="61" spans="2:10" s="202" customFormat="1" ht="12.75">
      <c r="B61" s="202" t="s">
        <v>340</v>
      </c>
      <c r="E61" s="146"/>
      <c r="F61" s="146"/>
      <c r="G61" s="146"/>
      <c r="H61" s="146"/>
      <c r="I61" s="146"/>
      <c r="J61" s="146"/>
    </row>
    <row r="62" s="202" customFormat="1" ht="12.75">
      <c r="B62" s="202" t="s">
        <v>348</v>
      </c>
    </row>
    <row r="63" s="202" customFormat="1" ht="12.75">
      <c r="B63" s="202" t="s">
        <v>349</v>
      </c>
    </row>
    <row r="64" s="202" customFormat="1" ht="12.75">
      <c r="B64" s="202" t="s">
        <v>350</v>
      </c>
    </row>
    <row r="65" s="202" customFormat="1" ht="12.75">
      <c r="B65" s="202" t="s">
        <v>351</v>
      </c>
    </row>
    <row r="66" spans="3:4" s="202" customFormat="1" ht="12.75">
      <c r="C66" s="202" t="s">
        <v>346</v>
      </c>
      <c r="D66" s="202">
        <v>20</v>
      </c>
    </row>
    <row r="67" spans="3:6" s="202" customFormat="1" ht="12.75">
      <c r="C67" s="202" t="s">
        <v>345</v>
      </c>
      <c r="D67" s="202">
        <f>100-D66</f>
        <v>80</v>
      </c>
      <c r="F67" s="202">
        <f>D66*E68</f>
        <v>5</v>
      </c>
    </row>
    <row r="68" spans="3:5" s="202" customFormat="1" ht="12.75">
      <c r="C68" s="202" t="s">
        <v>343</v>
      </c>
      <c r="D68" s="202">
        <f>D67*E68</f>
        <v>20</v>
      </c>
      <c r="E68" s="204">
        <f>25%</f>
        <v>0.25</v>
      </c>
    </row>
    <row r="69" spans="3:7" s="202" customFormat="1" ht="12.75">
      <c r="C69" s="202" t="s">
        <v>344</v>
      </c>
      <c r="D69" s="202">
        <f>D67-D68</f>
        <v>60</v>
      </c>
      <c r="G69" s="202" t="s">
        <v>343</v>
      </c>
    </row>
    <row r="70" spans="6:7" s="202" customFormat="1" ht="12.75">
      <c r="F70" s="202" t="s">
        <v>383</v>
      </c>
      <c r="G70" s="202">
        <v>25</v>
      </c>
    </row>
    <row r="71" spans="6:7" s="202" customFormat="1" ht="12.75">
      <c r="F71" s="202" t="s">
        <v>384</v>
      </c>
      <c r="G71" s="202">
        <v>20</v>
      </c>
    </row>
    <row r="72" spans="6:8" s="202" customFormat="1" ht="12.75">
      <c r="F72" s="202" t="s">
        <v>385</v>
      </c>
      <c r="G72" s="202">
        <f>G70-G71</f>
        <v>5</v>
      </c>
      <c r="H72" s="202" t="s">
        <v>386</v>
      </c>
    </row>
    <row r="73" s="202" customFormat="1" ht="12.75"/>
    <row r="74" spans="3:4" s="202" customFormat="1" ht="12.75">
      <c r="C74" s="202" t="s">
        <v>387</v>
      </c>
      <c r="D74" s="202">
        <v>1000</v>
      </c>
    </row>
    <row r="75" s="202" customFormat="1" ht="12.75">
      <c r="D75" s="202">
        <v>50</v>
      </c>
    </row>
    <row r="76" s="202" customFormat="1" ht="12.75">
      <c r="D76" s="202">
        <f>D74-D75</f>
        <v>950</v>
      </c>
    </row>
    <row r="77" s="202" customFormat="1" ht="12.75"/>
    <row r="78" s="202" customFormat="1" ht="12.75"/>
    <row r="79" s="202" customFormat="1" ht="12.75"/>
    <row r="80" s="202" customFormat="1" ht="12.75"/>
    <row r="81" s="202" customFormat="1" ht="12.75"/>
    <row r="82" s="202" customFormat="1" ht="12.75"/>
  </sheetData>
  <mergeCells count="12">
    <mergeCell ref="A4:G4"/>
    <mergeCell ref="A5:G5"/>
    <mergeCell ref="A2:G2"/>
    <mergeCell ref="B42:C42"/>
    <mergeCell ref="F47:F48"/>
    <mergeCell ref="A46:F46"/>
    <mergeCell ref="B44:C44"/>
    <mergeCell ref="B43:C43"/>
    <mergeCell ref="A47:A48"/>
    <mergeCell ref="B47:B48"/>
    <mergeCell ref="C47:C48"/>
    <mergeCell ref="D47:D48"/>
  </mergeCells>
  <printOptions horizontalCentered="1" verticalCentered="1"/>
  <pageMargins left="0.96" right="0.75" top="1.61" bottom="2.53" header="0" footer="0"/>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USER</dc:creator>
  <cp:keywords/>
  <dc:description/>
  <cp:lastModifiedBy>jerson</cp:lastModifiedBy>
  <cp:lastPrinted>2007-08-11T16:54:35Z</cp:lastPrinted>
  <dcterms:created xsi:type="dcterms:W3CDTF">2004-02-08T17:55:53Z</dcterms:created>
  <dcterms:modified xsi:type="dcterms:W3CDTF">2007-08-11T17:34:24Z</dcterms:modified>
  <cp:category/>
  <cp:version/>
  <cp:contentType/>
  <cp:contentStatus/>
</cp:coreProperties>
</file>