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tabRatio="950" firstSheet="1" activeTab="3"/>
  </bookViews>
  <sheets>
    <sheet name="plan de inversion" sheetId="1" r:id="rId1"/>
    <sheet name="financiamiento" sheetId="2" r:id="rId2"/>
    <sheet name="credito-comp" sheetId="3" r:id="rId3"/>
    <sheet name="proyeccion de ingresos" sheetId="4" r:id="rId4"/>
    <sheet name="Depreciacion" sheetId="5" r:id="rId5"/>
    <sheet name="sumin y servicios" sheetId="6" r:id="rId6"/>
    <sheet name="costos" sheetId="7" r:id="rId7"/>
    <sheet name="gastos" sheetId="8" r:id="rId8"/>
    <sheet name="perdidas y ganancia" sheetId="9" r:id="rId9"/>
    <sheet name="flujo de caja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>RONALD</author>
    <author>Eco45 </author>
  </authors>
  <commentList>
    <comment ref="B22" authorId="0">
      <text>
        <r>
          <rPr>
            <b/>
            <sz val="8"/>
            <rFont val="Tahoma"/>
            <family val="2"/>
          </rPr>
          <t>Traer al presente una inversión futura; Cuanto vale hoy mi negocio  o inversión a una tasa de rendimiento</t>
        </r>
      </text>
    </comment>
    <comment ref="B23" authorId="0">
      <text>
        <r>
          <rPr>
            <b/>
            <sz val="8"/>
            <rFont val="Tahoma"/>
            <family val="2"/>
          </rPr>
          <t>Me indica la tasa de rotación de mi dinero, es decir cuantas veces voy a ganar por mi inversion. Mi % de ganancia; Tasa de Rendimiento de mi inversión.</t>
        </r>
      </text>
    </comment>
    <comment ref="F31" authorId="1">
      <text>
        <r>
          <rPr>
            <sz val="8"/>
            <rFont val="Tahoma"/>
            <family val="0"/>
          </rPr>
          <t xml:space="preserve">89,82% es la proporcion de dinero que le presto al banco0,6375 es la rentabilidad menos los impuestos que se dben restar y 14,45% es el interes bancario 
</t>
        </r>
      </text>
    </comment>
    <comment ref="F30" authorId="1">
      <text>
        <r>
          <rPr>
            <b/>
            <sz val="8"/>
            <rFont val="Tahoma"/>
            <family val="0"/>
          </rPr>
          <t>10,18% es la proporcion del dinero propio y 35,95% es el costo del capital propio</t>
        </r>
      </text>
    </comment>
  </commentList>
</comments>
</file>

<file path=xl/comments4.xml><?xml version="1.0" encoding="utf-8"?>
<comments xmlns="http://schemas.openxmlformats.org/spreadsheetml/2006/main">
  <authors>
    <author>RONALD</author>
    <author>USA5</author>
    <author>USA1</author>
  </authors>
  <commentList>
    <comment ref="D37" authorId="0">
      <text>
        <r>
          <rPr>
            <b/>
            <sz val="8"/>
            <rFont val="Tahoma"/>
            <family val="2"/>
          </rPr>
          <t>Incremento:Es del 5% anual, se tomo en cuenta la tasa de inflación promedia de los ultimos periodos</t>
        </r>
        <r>
          <rPr>
            <sz val="8"/>
            <rFont val="Tahoma"/>
            <family val="2"/>
          </rPr>
          <t xml:space="preserve">
</t>
        </r>
      </text>
    </comment>
    <comment ref="K5" authorId="1">
      <text>
        <r>
          <rPr>
            <sz val="8"/>
            <rFont val="Tahoma"/>
            <family val="0"/>
          </rPr>
          <t xml:space="preserve">cantidad de personas en el dia mas alto, según datos registrados
</t>
        </r>
      </text>
    </comment>
    <comment ref="L5" authorId="1">
      <text>
        <r>
          <rPr>
            <sz val="8"/>
            <rFont val="Tahoma"/>
            <family val="0"/>
          </rPr>
          <t xml:space="preserve">cantidad de personas en el dia mas bajo, según datos registrados
</t>
        </r>
      </text>
    </comment>
    <comment ref="K4" authorId="1">
      <text>
        <r>
          <rPr>
            <sz val="8"/>
            <rFont val="Tahoma"/>
            <family val="0"/>
          </rPr>
          <t xml:space="preserve">porcentajes obtenidos del numero de personas interesadas en el servicio según encuestas realizadas
</t>
        </r>
      </text>
    </comment>
    <comment ref="E20" authorId="1">
      <text>
        <r>
          <rPr>
            <sz val="8"/>
            <rFont val="Tahoma"/>
            <family val="0"/>
          </rPr>
          <t xml:space="preserve">esto representa el 30% de un mes de gran demanda
</t>
        </r>
      </text>
    </comment>
    <comment ref="C32" authorId="1">
      <text>
        <r>
          <rPr>
            <sz val="8"/>
            <rFont val="Tahoma"/>
            <family val="0"/>
          </rPr>
          <t xml:space="preserve">comision por grupo por doce meses
</t>
        </r>
      </text>
    </comment>
    <comment ref="C31" authorId="1">
      <text>
        <r>
          <rPr>
            <sz val="8"/>
            <rFont val="Tahoma"/>
            <family val="0"/>
          </rPr>
          <t xml:space="preserve">ingresos por servicios rubro 1, anual, MGD + MBD
</t>
        </r>
      </text>
    </comment>
    <comment ref="D4" authorId="2">
      <text>
        <r>
          <rPr>
            <sz val="8"/>
            <rFont val="Tahoma"/>
            <family val="0"/>
          </rPr>
          <t xml:space="preserve">0,75usd X 4 pers. en 1 hora = 4usd X 4 horas de prestacion del servicio al día = 16 usd X 2 duchas = 32usd
</t>
        </r>
      </text>
    </comment>
    <comment ref="D5" authorId="2">
      <text>
        <r>
          <rPr>
            <sz val="8"/>
            <rFont val="Tahoma"/>
            <family val="0"/>
          </rPr>
          <t xml:space="preserve">0,50 X 6horas X 20 casilleros
</t>
        </r>
      </text>
    </comment>
  </commentList>
</comments>
</file>

<file path=xl/comments7.xml><?xml version="1.0" encoding="utf-8"?>
<comments xmlns="http://schemas.openxmlformats.org/spreadsheetml/2006/main">
  <authors>
    <author>RONALD</author>
    <author>USA5</author>
  </authors>
  <commentList>
    <comment ref="C11" authorId="0">
      <text>
        <r>
          <rPr>
            <sz val="8"/>
            <rFont val="Tahoma"/>
            <family val="2"/>
          </rPr>
          <t>$70 x 12 meses</t>
        </r>
      </text>
    </comment>
    <comment ref="B11" authorId="1">
      <text>
        <r>
          <rPr>
            <b/>
            <sz val="8"/>
            <rFont val="Tahoma"/>
            <family val="2"/>
          </rPr>
          <t>REVISION DE LA COMPUTADORA, BOMBA DE AGUA, ETC.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RONALD</author>
  </authors>
  <commentList>
    <comment ref="B7" authorId="0">
      <text>
        <r>
          <rPr>
            <b/>
            <sz val="8"/>
            <rFont val="Tahoma"/>
            <family val="2"/>
          </rPr>
          <t>Este gasto sirve para prever cualquier desembolso e imprevisto que se pueda presentar dentro del ejercicio de operaciones del negocio</t>
        </r>
      </text>
    </comment>
    <comment ref="C6" authorId="0">
      <text>
        <r>
          <rPr>
            <b/>
            <sz val="8"/>
            <rFont val="Tahoma"/>
            <family val="2"/>
          </rPr>
          <t>Este monto equivale a 450 por el administrador y 200 por el ayudante y 100 por el conserje. $750 x mes</t>
        </r>
      </text>
    </comment>
    <comment ref="F9" authorId="0">
      <text>
        <r>
          <rPr>
            <sz val="8"/>
            <rFont val="Tahoma"/>
            <family val="2"/>
          </rPr>
          <t xml:space="preserve">A partir de este periodo la depreciación disminuye. El equip. De computación se lo amortizó para los 3 primeros años. </t>
        </r>
      </text>
    </comment>
  </commentList>
</comments>
</file>

<file path=xl/sharedStrings.xml><?xml version="1.0" encoding="utf-8"?>
<sst xmlns="http://schemas.openxmlformats.org/spreadsheetml/2006/main" count="248" uniqueCount="184">
  <si>
    <t>PLAN DE INVERSIONES</t>
  </si>
  <si>
    <t>ACTIVOS FIJOS</t>
  </si>
  <si>
    <t>casilleros</t>
  </si>
  <si>
    <t>TOTAL DE LA INVERSION:</t>
  </si>
  <si>
    <t>FORMA DE FINANCIAMIENTO</t>
  </si>
  <si>
    <t>Recursos Propios</t>
  </si>
  <si>
    <t>Financiamiento Externo</t>
  </si>
  <si>
    <t>Total Financiamiento</t>
  </si>
  <si>
    <t>Plazo</t>
  </si>
  <si>
    <t>SALDO</t>
  </si>
  <si>
    <t>Servicios</t>
  </si>
  <si>
    <t>Alquiler B/Ducha</t>
  </si>
  <si>
    <t>Alquiler Casillero</t>
  </si>
  <si>
    <t>subtotal ingresos alquiler</t>
  </si>
  <si>
    <t>RUBRO 1:</t>
  </si>
  <si>
    <t>RUBRO 2:</t>
  </si>
  <si>
    <t>Subtotal ingresos comisión</t>
  </si>
  <si>
    <t>Año 1</t>
  </si>
  <si>
    <t>Año 2</t>
  </si>
  <si>
    <t>Año 3</t>
  </si>
  <si>
    <t>Año 4</t>
  </si>
  <si>
    <t>Año 5</t>
  </si>
  <si>
    <t>TOTAL INGRESOS POR AÑO</t>
  </si>
  <si>
    <t>AÑOS</t>
  </si>
  <si>
    <t>Energ. Elect.</t>
  </si>
  <si>
    <t>consumo mes</t>
  </si>
  <si>
    <t>No. Planillas</t>
  </si>
  <si>
    <t>Costo USD</t>
  </si>
  <si>
    <t>Agua</t>
  </si>
  <si>
    <t>Teléfono</t>
  </si>
  <si>
    <t>TOTAL</t>
  </si>
  <si>
    <t>COSTOS DIRECTOS</t>
  </si>
  <si>
    <t>SUBT. COST.DIRECTOS</t>
  </si>
  <si>
    <t>COSTOS INDIRECTOS</t>
  </si>
  <si>
    <t>TOTAL COSTOS</t>
  </si>
  <si>
    <t>GASTOS</t>
  </si>
  <si>
    <t>GASTOS ADMINISTRATIVOS</t>
  </si>
  <si>
    <t>GASTOS DE VENTAS</t>
  </si>
  <si>
    <t>GASTOS FINANCIEROS</t>
  </si>
  <si>
    <t>Intereses</t>
  </si>
  <si>
    <t>TOTAL DE GASTOS</t>
  </si>
  <si>
    <t>1. Ingresos Operativos</t>
  </si>
  <si>
    <t>SUBTOTAL</t>
  </si>
  <si>
    <t>Flujo Neto</t>
  </si>
  <si>
    <t>valor total del evento o grupo</t>
  </si>
  <si>
    <t>Comisión por grupo 10%</t>
  </si>
  <si>
    <t xml:space="preserve">escritorios </t>
  </si>
  <si>
    <t xml:space="preserve">sillas </t>
  </si>
  <si>
    <t>de la inversión</t>
  </si>
  <si>
    <t>unit</t>
  </si>
  <si>
    <t>semanal</t>
  </si>
  <si>
    <t>mes</t>
  </si>
  <si>
    <t>diario</t>
  </si>
  <si>
    <t>COSTOS</t>
  </si>
  <si>
    <t>Mercadeo, Publicidad</t>
  </si>
  <si>
    <t>TABLA DE AMORTIZACIÓN</t>
  </si>
  <si>
    <t>Prestamo</t>
  </si>
  <si>
    <t>Tasa de Interes ( * )</t>
  </si>
  <si>
    <t>Periodo de gracia</t>
  </si>
  <si>
    <t xml:space="preserve">Periodos </t>
  </si>
  <si>
    <t>Promedio %</t>
  </si>
  <si>
    <t>Personas</t>
  </si>
  <si>
    <t>D/Potencial</t>
  </si>
  <si>
    <t>Alta</t>
  </si>
  <si>
    <t>Baja</t>
  </si>
  <si>
    <t>Media</t>
  </si>
  <si>
    <t>Baños y Duchas</t>
  </si>
  <si>
    <t>P. Capital</t>
  </si>
  <si>
    <t>Cuota</t>
  </si>
  <si>
    <t>PAQUETE FIN DE SEMANA EN AYANGUE</t>
  </si>
  <si>
    <t>XPAX</t>
  </si>
  <si>
    <t>X20PAX</t>
  </si>
  <si>
    <t>DIA</t>
  </si>
  <si>
    <t>TRANSPORTE</t>
  </si>
  <si>
    <t>BUS</t>
  </si>
  <si>
    <t>BOTE/ SNORKEL</t>
  </si>
  <si>
    <t>HOSPEDAJE</t>
  </si>
  <si>
    <t>HOSTAL</t>
  </si>
  <si>
    <t>ALIMENTACION</t>
  </si>
  <si>
    <t>DESAYUNOS</t>
  </si>
  <si>
    <t>ALMUERZOS</t>
  </si>
  <si>
    <t>CENAS</t>
  </si>
  <si>
    <t>REFRIGERIOS</t>
  </si>
  <si>
    <t>BOX LUNCH</t>
  </si>
  <si>
    <t>GUIANZA</t>
  </si>
  <si>
    <t>GUIA</t>
  </si>
  <si>
    <t>FOGATA</t>
  </si>
  <si>
    <t>ANIMADORES</t>
  </si>
  <si>
    <t>BEBIDAS/ ALCOHOL.</t>
  </si>
  <si>
    <t>GANANCIA   10%</t>
  </si>
  <si>
    <t>TOTAL TOUR</t>
  </si>
  <si>
    <t>PVP</t>
  </si>
  <si>
    <t>X15PAX</t>
  </si>
  <si>
    <t>Activos Fijos</t>
  </si>
  <si>
    <t>Computadora</t>
  </si>
  <si>
    <t>Valor</t>
  </si>
  <si>
    <t>Historico</t>
  </si>
  <si>
    <t>Total</t>
  </si>
  <si>
    <t>Equipos de Computación</t>
  </si>
  <si>
    <t>1Computadora - impresora</t>
  </si>
  <si>
    <t>Muebles de Oficina</t>
  </si>
  <si>
    <t>Caja</t>
  </si>
  <si>
    <t>Desglose</t>
  </si>
  <si>
    <t>Proporcion de</t>
  </si>
  <si>
    <t>$250</t>
  </si>
  <si>
    <t>ACTIVOS CORRIENTES</t>
  </si>
  <si>
    <t xml:space="preserve">   Suministros de Oficina</t>
  </si>
  <si>
    <t xml:space="preserve">   Pago Tasas y Permisos de Funcionamiento</t>
  </si>
  <si>
    <t xml:space="preserve">   Gtos. De Publicidad </t>
  </si>
  <si>
    <t xml:space="preserve">         Revistas    $420</t>
  </si>
  <si>
    <t xml:space="preserve">         Folletos     $200</t>
  </si>
  <si>
    <t xml:space="preserve">   1Computadora - impresora</t>
  </si>
  <si>
    <t xml:space="preserve">   Sillas </t>
  </si>
  <si>
    <t xml:space="preserve">   Escritorios </t>
  </si>
  <si>
    <t xml:space="preserve">   Casilleros</t>
  </si>
  <si>
    <t>%</t>
  </si>
  <si>
    <t>SERVICIOS</t>
  </si>
  <si>
    <t>Subtotal/Servicios</t>
  </si>
  <si>
    <t>SUMINISTROS</t>
  </si>
  <si>
    <t>Sum. De Oficina</t>
  </si>
  <si>
    <t>Mantenimiento</t>
  </si>
  <si>
    <t>Suministros</t>
  </si>
  <si>
    <t xml:space="preserve">   Desembolsables</t>
  </si>
  <si>
    <t>Gtos. Corrientes e Improvistos</t>
  </si>
  <si>
    <t xml:space="preserve">   No Desembolsables</t>
  </si>
  <si>
    <t>Depreciación (Act.Fijos)</t>
  </si>
  <si>
    <t>Caja - Chica</t>
  </si>
  <si>
    <t>ESTADO DE PERDIDAS Y GANACIAS</t>
  </si>
  <si>
    <t>INGRESOS</t>
  </si>
  <si>
    <t xml:space="preserve">   Directos</t>
  </si>
  <si>
    <t xml:space="preserve">   Indirectos</t>
  </si>
  <si>
    <t>UTILIDAD BRUTA</t>
  </si>
  <si>
    <t xml:space="preserve">   Financieros</t>
  </si>
  <si>
    <t xml:space="preserve">   Publicidad / Vtas.</t>
  </si>
  <si>
    <t>UTIL. OPERATIVA</t>
  </si>
  <si>
    <t>FLUJO DE CAJA</t>
  </si>
  <si>
    <t>2. Costos</t>
  </si>
  <si>
    <t>Directos</t>
  </si>
  <si>
    <t>Indirectos</t>
  </si>
  <si>
    <t>3. Egresos</t>
  </si>
  <si>
    <t>Remuneracion/ Adm.</t>
  </si>
  <si>
    <t xml:space="preserve">   Remuneracion/ Adm.</t>
  </si>
  <si>
    <t xml:space="preserve">   Corrientes e Improvistos</t>
  </si>
  <si>
    <t xml:space="preserve">   Depreciación (Act.Fijos)</t>
  </si>
  <si>
    <t xml:space="preserve">   Pago de Deuda</t>
  </si>
  <si>
    <t xml:space="preserve">   Intereses</t>
  </si>
  <si>
    <t>VAN</t>
  </si>
  <si>
    <t>TIR</t>
  </si>
  <si>
    <t>COSTO DE CAPITAL</t>
  </si>
  <si>
    <t>COSTO DE CAPITAL PROPIO</t>
  </si>
  <si>
    <t>COSTO DE CAPITAL AJENO</t>
  </si>
  <si>
    <t>Servicios Basicos</t>
  </si>
  <si>
    <t>SUBT. COST.INDIRECTOS</t>
  </si>
  <si>
    <t>Utilidad Antes de Imp. Rent</t>
  </si>
  <si>
    <t>Utilidad Neta</t>
  </si>
  <si>
    <t>(-) 25% de Imp. Renta</t>
  </si>
  <si>
    <t>(-) 15% a Trabajadores</t>
  </si>
  <si>
    <t>Enero</t>
  </si>
  <si>
    <t>Febrero</t>
  </si>
  <si>
    <t>Marzo</t>
  </si>
  <si>
    <t>Abril</t>
  </si>
  <si>
    <t>Junio</t>
  </si>
  <si>
    <t>Julio</t>
  </si>
  <si>
    <t>Agosto</t>
  </si>
  <si>
    <t>Meses de Gran Demanda</t>
  </si>
  <si>
    <t>Costa</t>
  </si>
  <si>
    <t>Sierra</t>
  </si>
  <si>
    <t>Meses de Baja Demanda</t>
  </si>
  <si>
    <t>Mayo</t>
  </si>
  <si>
    <t>Septiembre</t>
  </si>
  <si>
    <t>Octubre</t>
  </si>
  <si>
    <t>Noviembre</t>
  </si>
  <si>
    <t>Diciembre</t>
  </si>
  <si>
    <t>Total de</t>
  </si>
  <si>
    <t>Paquetes y Comisiones</t>
  </si>
  <si>
    <t>Ingresos anuales</t>
  </si>
  <si>
    <t>pricipio contable de puesta en marcha dice: al valor del activo fijo se le debe sumar o incluir el costo o gasto de transporte e instalación,</t>
  </si>
  <si>
    <t>IMPREVISTOS 5%</t>
  </si>
  <si>
    <t>Gtos. Pre-operativos / Logisticos</t>
  </si>
  <si>
    <t>años de</t>
  </si>
  <si>
    <t>depreciación</t>
  </si>
  <si>
    <t>$ 3.223,03</t>
  </si>
  <si>
    <t>Subtotal/Suminist</t>
  </si>
  <si>
    <t>año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</si>
</sst>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[$$-409]#,##0.00"/>
    <numFmt numFmtId="189" formatCode="[$$-409]#,##0_ ;[Red]\-[$$-409]#,##0\ "/>
    <numFmt numFmtId="190" formatCode="0.0%"/>
    <numFmt numFmtId="191" formatCode="#,##0.0\ _p_t_a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[$$-409]#,##0.0_ ;[Red]\-[$$-409]#,##0.0\ "/>
    <numFmt numFmtId="199" formatCode="[$$-409]#,##0.00_ ;[Red]\-[$$-409]#,##0.00\ "/>
    <numFmt numFmtId="200" formatCode="0.000%"/>
    <numFmt numFmtId="201" formatCode="&quot;$&quot;\ #.##0.00;[Red]&quot;$&quot;\ #.##0.00"/>
    <numFmt numFmtId="202" formatCode="&quot;$&quot;\ #,##0.000;[Red]&quot;$&quot;\ \-#,##0.000"/>
    <numFmt numFmtId="203" formatCode="&quot;$&quot;\ #,##0.0;[Red]&quot;$&quot;\ \-#,##0.0"/>
    <numFmt numFmtId="204" formatCode="&quot;$&quot;\ #,##0.00"/>
    <numFmt numFmtId="205" formatCode="[$$-409]#,##0.000_ ;[Red]\-[$$-409]#,##0.000\ "/>
    <numFmt numFmtId="206" formatCode="0.000000000"/>
    <numFmt numFmtId="207" formatCode="0.0000000000"/>
    <numFmt numFmtId="208" formatCode="0.00000000"/>
    <numFmt numFmtId="209" formatCode="0.0000%"/>
    <numFmt numFmtId="210" formatCode="[$$-409]#.##0.00"/>
  </numFmts>
  <fonts count="41">
    <font>
      <sz val="10"/>
      <name val="Arial"/>
      <family val="0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u val="single"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3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88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188" fontId="0" fillId="0" borderId="10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191" fontId="0" fillId="0" borderId="0" xfId="0" applyNumberFormat="1" applyAlignment="1">
      <alignment/>
    </xf>
    <xf numFmtId="10" fontId="0" fillId="0" borderId="0" xfId="54" applyNumberFormat="1" applyFont="1" applyAlignment="1">
      <alignment/>
    </xf>
    <xf numFmtId="167" fontId="0" fillId="0" borderId="0" xfId="0" applyNumberFormat="1" applyAlignment="1">
      <alignment/>
    </xf>
    <xf numFmtId="9" fontId="0" fillId="0" borderId="0" xfId="54" applyFont="1" applyAlignment="1">
      <alignment/>
    </xf>
    <xf numFmtId="199" fontId="4" fillId="0" borderId="0" xfId="0" applyNumberFormat="1" applyFont="1" applyAlignment="1">
      <alignment/>
    </xf>
    <xf numFmtId="199" fontId="0" fillId="0" borderId="0" xfId="0" applyNumberFormat="1" applyAlignment="1">
      <alignment/>
    </xf>
    <xf numFmtId="0" fontId="0" fillId="0" borderId="0" xfId="0" applyBorder="1" applyAlignment="1">
      <alignment/>
    </xf>
    <xf numFmtId="183" fontId="0" fillId="0" borderId="0" xfId="0" applyNumberFormat="1" applyAlignment="1">
      <alignment/>
    </xf>
    <xf numFmtId="191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0" fontId="7" fillId="0" borderId="10" xfId="54" applyNumberFormat="1" applyFont="1" applyBorder="1" applyAlignment="1">
      <alignment/>
    </xf>
    <xf numFmtId="0" fontId="8" fillId="0" borderId="10" xfId="0" applyFont="1" applyBorder="1" applyAlignment="1">
      <alignment/>
    </xf>
    <xf numFmtId="204" fontId="0" fillId="0" borderId="10" xfId="0" applyNumberFormat="1" applyBorder="1" applyAlignment="1">
      <alignment horizontal="center"/>
    </xf>
    <xf numFmtId="204" fontId="0" fillId="7" borderId="10" xfId="0" applyNumberFormat="1" applyFill="1" applyBorder="1" applyAlignment="1">
      <alignment horizontal="center"/>
    </xf>
    <xf numFmtId="204" fontId="0" fillId="4" borderId="10" xfId="0" applyNumberFormat="1" applyFill="1" applyBorder="1" applyAlignment="1">
      <alignment/>
    </xf>
    <xf numFmtId="204" fontId="0" fillId="24" borderId="10" xfId="0" applyNumberFormat="1" applyFill="1" applyBorder="1" applyAlignment="1">
      <alignment/>
    </xf>
    <xf numFmtId="204" fontId="0" fillId="0" borderId="0" xfId="0" applyNumberFormat="1" applyAlignment="1">
      <alignment/>
    </xf>
    <xf numFmtId="4" fontId="0" fillId="0" borderId="0" xfId="0" applyNumberFormat="1" applyAlignment="1">
      <alignment/>
    </xf>
    <xf numFmtId="197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188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88" fontId="0" fillId="0" borderId="16" xfId="0" applyNumberFormat="1" applyBorder="1" applyAlignment="1">
      <alignment horizontal="center"/>
    </xf>
    <xf numFmtId="188" fontId="0" fillId="0" borderId="17" xfId="0" applyNumberFormat="1" applyBorder="1" applyAlignment="1">
      <alignment horizontal="center"/>
    </xf>
    <xf numFmtId="0" fontId="4" fillId="0" borderId="13" xfId="0" applyFont="1" applyBorder="1" applyAlignment="1">
      <alignment horizontal="center"/>
    </xf>
    <xf numFmtId="188" fontId="4" fillId="0" borderId="14" xfId="0" applyNumberFormat="1" applyFont="1" applyBorder="1" applyAlignment="1">
      <alignment horizontal="center"/>
    </xf>
    <xf numFmtId="188" fontId="4" fillId="0" borderId="15" xfId="0" applyNumberFormat="1" applyFont="1" applyBorder="1" applyAlignment="1">
      <alignment horizontal="center"/>
    </xf>
    <xf numFmtId="188" fontId="0" fillId="0" borderId="0" xfId="0" applyNumberFormat="1" applyFill="1" applyBorder="1" applyAlignment="1">
      <alignment horizontal="center"/>
    </xf>
    <xf numFmtId="0" fontId="0" fillId="0" borderId="18" xfId="0" applyBorder="1" applyAlignment="1">
      <alignment/>
    </xf>
    <xf numFmtId="199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99" fontId="0" fillId="0" borderId="22" xfId="0" applyNumberFormat="1" applyBorder="1" applyAlignment="1">
      <alignment/>
    </xf>
    <xf numFmtId="199" fontId="0" fillId="0" borderId="0" xfId="0" applyNumberFormat="1" applyBorder="1" applyAlignment="1">
      <alignment/>
    </xf>
    <xf numFmtId="199" fontId="11" fillId="0" borderId="0" xfId="0" applyNumberFormat="1" applyFont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88" fontId="4" fillId="0" borderId="27" xfId="0" applyNumberFormat="1" applyFont="1" applyBorder="1" applyAlignment="1">
      <alignment horizontal="center"/>
    </xf>
    <xf numFmtId="188" fontId="4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88" fontId="4" fillId="0" borderId="17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88" fontId="0" fillId="0" borderId="16" xfId="0" applyNumberFormat="1" applyFont="1" applyBorder="1" applyAlignment="1">
      <alignment horizontal="center"/>
    </xf>
    <xf numFmtId="188" fontId="0" fillId="0" borderId="31" xfId="0" applyNumberFormat="1" applyFont="1" applyBorder="1" applyAlignment="1">
      <alignment horizontal="center"/>
    </xf>
    <xf numFmtId="188" fontId="4" fillId="0" borderId="32" xfId="0" applyNumberFormat="1" applyFont="1" applyBorder="1" applyAlignment="1">
      <alignment horizontal="center"/>
    </xf>
    <xf numFmtId="188" fontId="13" fillId="0" borderId="0" xfId="0" applyNumberFormat="1" applyFont="1" applyAlignment="1">
      <alignment/>
    </xf>
    <xf numFmtId="18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0" fontId="4" fillId="0" borderId="0" xfId="54" applyNumberFormat="1" applyFont="1" applyAlignment="1">
      <alignment/>
    </xf>
    <xf numFmtId="0" fontId="0" fillId="24" borderId="0" xfId="0" applyFill="1" applyBorder="1" applyAlignment="1">
      <alignment/>
    </xf>
    <xf numFmtId="188" fontId="0" fillId="24" borderId="0" xfId="0" applyNumberFormat="1" applyFill="1" applyBorder="1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188" fontId="0" fillId="24" borderId="10" xfId="0" applyNumberFormat="1" applyFill="1" applyBorder="1" applyAlignment="1">
      <alignment/>
    </xf>
    <xf numFmtId="0" fontId="4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4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2" fontId="0" fillId="24" borderId="10" xfId="0" applyNumberFormat="1" applyFill="1" applyBorder="1" applyAlignment="1">
      <alignment/>
    </xf>
    <xf numFmtId="9" fontId="4" fillId="0" borderId="0" xfId="0" applyNumberFormat="1" applyFont="1" applyAlignment="1">
      <alignment/>
    </xf>
    <xf numFmtId="0" fontId="0" fillId="25" borderId="0" xfId="0" applyFill="1" applyAlignment="1">
      <alignment/>
    </xf>
    <xf numFmtId="189" fontId="0" fillId="25" borderId="0" xfId="0" applyNumberFormat="1" applyFill="1" applyAlignment="1">
      <alignment/>
    </xf>
    <xf numFmtId="0" fontId="4" fillId="25" borderId="0" xfId="0" applyFont="1" applyFill="1" applyAlignment="1">
      <alignment/>
    </xf>
    <xf numFmtId="199" fontId="0" fillId="25" borderId="0" xfId="0" applyNumberFormat="1" applyFill="1" applyAlignment="1">
      <alignment/>
    </xf>
    <xf numFmtId="0" fontId="4" fillId="25" borderId="0" xfId="0" applyFont="1" applyFill="1" applyAlignment="1">
      <alignment horizontal="center"/>
    </xf>
    <xf numFmtId="0" fontId="0" fillId="25" borderId="33" xfId="0" applyFill="1" applyBorder="1" applyAlignment="1">
      <alignment/>
    </xf>
    <xf numFmtId="0" fontId="0" fillId="25" borderId="34" xfId="0" applyFill="1" applyBorder="1" applyAlignment="1">
      <alignment/>
    </xf>
    <xf numFmtId="199" fontId="0" fillId="25" borderId="35" xfId="0" applyNumberFormat="1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0" xfId="0" applyFill="1" applyBorder="1" applyAlignment="1">
      <alignment/>
    </xf>
    <xf numFmtId="199" fontId="0" fillId="25" borderId="19" xfId="0" applyNumberFormat="1" applyFill="1" applyBorder="1" applyAlignment="1">
      <alignment/>
    </xf>
    <xf numFmtId="9" fontId="0" fillId="25" borderId="0" xfId="54" applyFont="1" applyFill="1" applyAlignment="1">
      <alignment/>
    </xf>
    <xf numFmtId="199" fontId="0" fillId="25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7" borderId="36" xfId="0" applyFill="1" applyBorder="1" applyAlignment="1">
      <alignment/>
    </xf>
    <xf numFmtId="0" fontId="0" fillId="7" borderId="0" xfId="0" applyFill="1" applyBorder="1" applyAlignment="1">
      <alignment/>
    </xf>
    <xf numFmtId="189" fontId="0" fillId="7" borderId="0" xfId="0" applyNumberFormat="1" applyFill="1" applyBorder="1" applyAlignment="1">
      <alignment/>
    </xf>
    <xf numFmtId="0" fontId="0" fillId="7" borderId="37" xfId="0" applyFill="1" applyBorder="1" applyAlignment="1">
      <alignment/>
    </xf>
    <xf numFmtId="0" fontId="9" fillId="7" borderId="18" xfId="0" applyFont="1" applyFill="1" applyBorder="1" applyAlignment="1">
      <alignment/>
    </xf>
    <xf numFmtId="0" fontId="0" fillId="7" borderId="19" xfId="0" applyFill="1" applyBorder="1" applyAlignment="1">
      <alignment/>
    </xf>
    <xf numFmtId="0" fontId="4" fillId="7" borderId="18" xfId="0" applyFont="1" applyFill="1" applyBorder="1" applyAlignment="1">
      <alignment/>
    </xf>
    <xf numFmtId="0" fontId="10" fillId="7" borderId="18" xfId="0" applyFont="1" applyFill="1" applyBorder="1" applyAlignment="1">
      <alignment/>
    </xf>
    <xf numFmtId="0" fontId="0" fillId="7" borderId="18" xfId="0" applyFill="1" applyBorder="1" applyAlignment="1">
      <alignment/>
    </xf>
    <xf numFmtId="0" fontId="4" fillId="7" borderId="20" xfId="0" applyFont="1" applyFill="1" applyBorder="1" applyAlignment="1">
      <alignment/>
    </xf>
    <xf numFmtId="0" fontId="0" fillId="7" borderId="21" xfId="0" applyFill="1" applyBorder="1" applyAlignment="1">
      <alignment/>
    </xf>
    <xf numFmtId="189" fontId="0" fillId="7" borderId="21" xfId="0" applyNumberFormat="1" applyFill="1" applyBorder="1" applyAlignment="1">
      <alignment/>
    </xf>
    <xf numFmtId="0" fontId="0" fillId="7" borderId="22" xfId="0" applyFill="1" applyBorder="1" applyAlignment="1">
      <alignment/>
    </xf>
    <xf numFmtId="0" fontId="7" fillId="24" borderId="18" xfId="0" applyFont="1" applyFill="1" applyBorder="1" applyAlignment="1">
      <alignment/>
    </xf>
    <xf numFmtId="204" fontId="7" fillId="24" borderId="0" xfId="0" applyNumberFormat="1" applyFont="1" applyFill="1" applyBorder="1" applyAlignment="1">
      <alignment/>
    </xf>
    <xf numFmtId="10" fontId="7" fillId="24" borderId="0" xfId="0" applyNumberFormat="1" applyFont="1" applyFill="1" applyBorder="1" applyAlignment="1">
      <alignment horizontal="right"/>
    </xf>
    <xf numFmtId="0" fontId="7" fillId="24" borderId="0" xfId="0" applyFont="1" applyFill="1" applyBorder="1" applyAlignment="1">
      <alignment/>
    </xf>
    <xf numFmtId="0" fontId="0" fillId="24" borderId="19" xfId="0" applyFill="1" applyBorder="1" applyAlignment="1">
      <alignment/>
    </xf>
    <xf numFmtId="0" fontId="7" fillId="24" borderId="20" xfId="0" applyFont="1" applyFill="1" applyBorder="1" applyAlignment="1">
      <alignment/>
    </xf>
    <xf numFmtId="204" fontId="7" fillId="24" borderId="21" xfId="0" applyNumberFormat="1" applyFont="1" applyFill="1" applyBorder="1" applyAlignment="1">
      <alignment/>
    </xf>
    <xf numFmtId="0" fontId="7" fillId="24" borderId="21" xfId="0" applyFont="1" applyFill="1" applyBorder="1" applyAlignment="1">
      <alignment/>
    </xf>
    <xf numFmtId="0" fontId="0" fillId="24" borderId="22" xfId="0" applyFill="1" applyBorder="1" applyAlignment="1">
      <alignment/>
    </xf>
    <xf numFmtId="199" fontId="7" fillId="0" borderId="10" xfId="0" applyNumberFormat="1" applyFont="1" applyBorder="1" applyAlignment="1">
      <alignment/>
    </xf>
    <xf numFmtId="0" fontId="34" fillId="24" borderId="10" xfId="0" applyFont="1" applyFill="1" applyBorder="1" applyAlignment="1">
      <alignment horizontal="center"/>
    </xf>
    <xf numFmtId="199" fontId="7" fillId="24" borderId="10" xfId="0" applyNumberFormat="1" applyFont="1" applyFill="1" applyBorder="1" applyAlignment="1">
      <alignment/>
    </xf>
    <xf numFmtId="0" fontId="34" fillId="22" borderId="10" xfId="0" applyFont="1" applyFill="1" applyBorder="1" applyAlignment="1">
      <alignment horizontal="center"/>
    </xf>
    <xf numFmtId="199" fontId="7" fillId="22" borderId="10" xfId="0" applyNumberFormat="1" applyFont="1" applyFill="1" applyBorder="1" applyAlignment="1">
      <alignment/>
    </xf>
    <xf numFmtId="0" fontId="34" fillId="8" borderId="10" xfId="0" applyFont="1" applyFill="1" applyBorder="1" applyAlignment="1">
      <alignment horizontal="center"/>
    </xf>
    <xf numFmtId="199" fontId="7" fillId="8" borderId="10" xfId="0" applyNumberFormat="1" applyFont="1" applyFill="1" applyBorder="1" applyAlignment="1">
      <alignment/>
    </xf>
    <xf numFmtId="0" fontId="34" fillId="7" borderId="10" xfId="0" applyFont="1" applyFill="1" applyBorder="1" applyAlignment="1">
      <alignment horizontal="center"/>
    </xf>
    <xf numFmtId="199" fontId="7" fillId="7" borderId="10" xfId="0" applyNumberFormat="1" applyFont="1" applyFill="1" applyBorder="1" applyAlignment="1">
      <alignment/>
    </xf>
    <xf numFmtId="0" fontId="34" fillId="4" borderId="10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199" fontId="7" fillId="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88" fontId="0" fillId="0" borderId="36" xfId="0" applyNumberFormat="1" applyFill="1" applyBorder="1" applyAlignment="1">
      <alignment/>
    </xf>
    <xf numFmtId="0" fontId="0" fillId="4" borderId="10" xfId="0" applyFill="1" applyBorder="1" applyAlignment="1">
      <alignment/>
    </xf>
    <xf numFmtId="0" fontId="7" fillId="4" borderId="10" xfId="0" applyFont="1" applyFill="1" applyBorder="1" applyAlignment="1">
      <alignment/>
    </xf>
    <xf numFmtId="188" fontId="7" fillId="4" borderId="10" xfId="0" applyNumberFormat="1" applyFont="1" applyFill="1" applyBorder="1" applyAlignment="1">
      <alignment/>
    </xf>
    <xf numFmtId="188" fontId="6" fillId="4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4" fillId="24" borderId="0" xfId="0" applyFont="1" applyFill="1" applyBorder="1" applyAlignment="1">
      <alignment/>
    </xf>
    <xf numFmtId="2" fontId="4" fillId="24" borderId="0" xfId="0" applyNumberFormat="1" applyFont="1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4" borderId="0" xfId="0" applyFont="1" applyFill="1" applyBorder="1" applyAlignment="1">
      <alignment/>
    </xf>
    <xf numFmtId="0" fontId="34" fillId="22" borderId="38" xfId="0" applyFont="1" applyFill="1" applyBorder="1" applyAlignment="1">
      <alignment/>
    </xf>
    <xf numFmtId="0" fontId="0" fillId="22" borderId="39" xfId="0" applyFill="1" applyBorder="1" applyAlignment="1">
      <alignment/>
    </xf>
    <xf numFmtId="0" fontId="0" fillId="22" borderId="40" xfId="0" applyFill="1" applyBorder="1" applyAlignment="1">
      <alignment/>
    </xf>
    <xf numFmtId="0" fontId="34" fillId="22" borderId="18" xfId="0" applyFont="1" applyFill="1" applyBorder="1" applyAlignment="1">
      <alignment/>
    </xf>
    <xf numFmtId="0" fontId="4" fillId="22" borderId="0" xfId="0" applyFont="1" applyFill="1" applyBorder="1" applyAlignment="1">
      <alignment horizontal="center"/>
    </xf>
    <xf numFmtId="0" fontId="0" fillId="22" borderId="0" xfId="0" applyFill="1" applyBorder="1" applyAlignment="1">
      <alignment/>
    </xf>
    <xf numFmtId="0" fontId="0" fillId="22" borderId="19" xfId="0" applyFill="1" applyBorder="1" applyAlignment="1">
      <alignment/>
    </xf>
    <xf numFmtId="0" fontId="0" fillId="22" borderId="18" xfId="0" applyFill="1" applyBorder="1" applyAlignment="1">
      <alignment/>
    </xf>
    <xf numFmtId="0" fontId="4" fillId="22" borderId="19" xfId="0" applyFont="1" applyFill="1" applyBorder="1" applyAlignment="1">
      <alignment horizontal="center"/>
    </xf>
    <xf numFmtId="0" fontId="4" fillId="22" borderId="41" xfId="0" applyFont="1" applyFill="1" applyBorder="1" applyAlignment="1">
      <alignment horizontal="center"/>
    </xf>
    <xf numFmtId="188" fontId="4" fillId="22" borderId="42" xfId="0" applyNumberFormat="1" applyFont="1" applyFill="1" applyBorder="1" applyAlignment="1">
      <alignment horizontal="center"/>
    </xf>
    <xf numFmtId="188" fontId="4" fillId="22" borderId="43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88" fontId="0" fillId="3" borderId="10" xfId="0" applyNumberFormat="1" applyFill="1" applyBorder="1" applyAlignment="1">
      <alignment horizontal="center"/>
    </xf>
    <xf numFmtId="188" fontId="0" fillId="3" borderId="12" xfId="0" applyNumberFormat="1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88" fontId="4" fillId="3" borderId="10" xfId="0" applyNumberFormat="1" applyFont="1" applyFill="1" applyBorder="1" applyAlignment="1">
      <alignment horizontal="center"/>
    </xf>
    <xf numFmtId="188" fontId="4" fillId="3" borderId="12" xfId="0" applyNumberFormat="1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188" fontId="0" fillId="7" borderId="10" xfId="0" applyNumberFormat="1" applyFill="1" applyBorder="1" applyAlignment="1">
      <alignment horizontal="center"/>
    </xf>
    <xf numFmtId="188" fontId="0" fillId="7" borderId="12" xfId="0" applyNumberFormat="1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3" fontId="0" fillId="7" borderId="10" xfId="0" applyNumberFormat="1" applyFill="1" applyBorder="1" applyAlignment="1">
      <alignment horizontal="center"/>
    </xf>
    <xf numFmtId="3" fontId="0" fillId="7" borderId="12" xfId="0" applyNumberFormat="1" applyFill="1" applyBorder="1" applyAlignment="1">
      <alignment horizontal="center"/>
    </xf>
    <xf numFmtId="188" fontId="4" fillId="7" borderId="10" xfId="0" applyNumberFormat="1" applyFont="1" applyFill="1" applyBorder="1" applyAlignment="1">
      <alignment horizontal="center"/>
    </xf>
    <xf numFmtId="188" fontId="4" fillId="7" borderId="12" xfId="0" applyNumberFormat="1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188" fontId="0" fillId="24" borderId="10" xfId="0" applyNumberFormat="1" applyFill="1" applyBorder="1" applyAlignment="1">
      <alignment horizontal="center"/>
    </xf>
    <xf numFmtId="188" fontId="0" fillId="24" borderId="12" xfId="0" applyNumberForma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3" fontId="0" fillId="24" borderId="10" xfId="0" applyNumberFormat="1" applyFill="1" applyBorder="1" applyAlignment="1">
      <alignment horizontal="center"/>
    </xf>
    <xf numFmtId="3" fontId="0" fillId="24" borderId="12" xfId="0" applyNumberFormat="1" applyFill="1" applyBorder="1" applyAlignment="1">
      <alignment horizontal="center"/>
    </xf>
    <xf numFmtId="188" fontId="4" fillId="24" borderId="10" xfId="0" applyNumberFormat="1" applyFont="1" applyFill="1" applyBorder="1" applyAlignment="1">
      <alignment horizontal="center"/>
    </xf>
    <xf numFmtId="188" fontId="4" fillId="24" borderId="12" xfId="0" applyNumberFormat="1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188" fontId="4" fillId="24" borderId="14" xfId="0" applyNumberFormat="1" applyFont="1" applyFill="1" applyBorder="1" applyAlignment="1">
      <alignment horizontal="center"/>
    </xf>
    <xf numFmtId="188" fontId="4" fillId="24" borderId="15" xfId="0" applyNumberFormat="1" applyFont="1" applyFill="1" applyBorder="1" applyAlignment="1">
      <alignment horizontal="center"/>
    </xf>
    <xf numFmtId="0" fontId="6" fillId="22" borderId="10" xfId="0" applyFont="1" applyFill="1" applyBorder="1" applyAlignment="1">
      <alignment/>
    </xf>
    <xf numFmtId="188" fontId="6" fillId="22" borderId="10" xfId="0" applyNumberFormat="1" applyFont="1" applyFill="1" applyBorder="1" applyAlignment="1">
      <alignment/>
    </xf>
    <xf numFmtId="188" fontId="7" fillId="24" borderId="10" xfId="0" applyNumberFormat="1" applyFont="1" applyFill="1" applyBorder="1" applyAlignment="1">
      <alignment/>
    </xf>
    <xf numFmtId="0" fontId="4" fillId="3" borderId="13" xfId="0" applyFont="1" applyFill="1" applyBorder="1" applyAlignment="1">
      <alignment horizontal="center"/>
    </xf>
    <xf numFmtId="188" fontId="6" fillId="3" borderId="14" xfId="0" applyNumberFormat="1" applyFont="1" applyFill="1" applyBorder="1" applyAlignment="1">
      <alignment/>
    </xf>
    <xf numFmtId="188" fontId="6" fillId="3" borderId="15" xfId="0" applyNumberFormat="1" applyFont="1" applyFill="1" applyBorder="1" applyAlignment="1">
      <alignment/>
    </xf>
    <xf numFmtId="0" fontId="0" fillId="3" borderId="25" xfId="0" applyFill="1" applyBorder="1" applyAlignment="1">
      <alignment/>
    </xf>
    <xf numFmtId="0" fontId="6" fillId="3" borderId="23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 horizontal="center"/>
    </xf>
    <xf numFmtId="0" fontId="4" fillId="24" borderId="11" xfId="0" applyFont="1" applyFill="1" applyBorder="1" applyAlignment="1">
      <alignment/>
    </xf>
    <xf numFmtId="188" fontId="7" fillId="24" borderId="12" xfId="0" applyNumberFormat="1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4" fillId="24" borderId="30" xfId="0" applyFont="1" applyFill="1" applyBorder="1" applyAlignment="1">
      <alignment horizontal="center"/>
    </xf>
    <xf numFmtId="188" fontId="7" fillId="24" borderId="16" xfId="0" applyNumberFormat="1" applyFont="1" applyFill="1" applyBorder="1" applyAlignment="1">
      <alignment/>
    </xf>
    <xf numFmtId="188" fontId="7" fillId="24" borderId="31" xfId="0" applyNumberFormat="1" applyFont="1" applyFill="1" applyBorder="1" applyAlignment="1">
      <alignment/>
    </xf>
    <xf numFmtId="0" fontId="0" fillId="24" borderId="30" xfId="0" applyFill="1" applyBorder="1" applyAlignment="1">
      <alignment/>
    </xf>
    <xf numFmtId="10" fontId="0" fillId="25" borderId="0" xfId="0" applyNumberFormat="1" applyFill="1" applyAlignment="1">
      <alignment/>
    </xf>
    <xf numFmtId="188" fontId="4" fillId="24" borderId="10" xfId="0" applyNumberFormat="1" applyFont="1" applyFill="1" applyBorder="1" applyAlignment="1">
      <alignment/>
    </xf>
    <xf numFmtId="0" fontId="9" fillId="4" borderId="10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0" fontId="7" fillId="4" borderId="44" xfId="0" applyFont="1" applyFill="1" applyBorder="1" applyAlignment="1">
      <alignment/>
    </xf>
    <xf numFmtId="199" fontId="7" fillId="4" borderId="45" xfId="0" applyNumberFormat="1" applyFont="1" applyFill="1" applyBorder="1" applyAlignment="1">
      <alignment/>
    </xf>
    <xf numFmtId="0" fontId="7" fillId="4" borderId="45" xfId="0" applyFont="1" applyFill="1" applyBorder="1" applyAlignment="1">
      <alignment horizontal="center"/>
    </xf>
    <xf numFmtId="199" fontId="7" fillId="4" borderId="46" xfId="0" applyNumberFormat="1" applyFont="1" applyFill="1" applyBorder="1" applyAlignment="1">
      <alignment/>
    </xf>
    <xf numFmtId="0" fontId="7" fillId="4" borderId="18" xfId="0" applyFont="1" applyFill="1" applyBorder="1" applyAlignment="1">
      <alignment/>
    </xf>
    <xf numFmtId="199" fontId="7" fillId="4" borderId="0" xfId="0" applyNumberFormat="1" applyFont="1" applyFill="1" applyBorder="1" applyAlignment="1">
      <alignment/>
    </xf>
    <xf numFmtId="0" fontId="7" fillId="4" borderId="0" xfId="0" applyFont="1" applyFill="1" applyBorder="1" applyAlignment="1">
      <alignment horizontal="center"/>
    </xf>
    <xf numFmtId="199" fontId="7" fillId="4" borderId="19" xfId="0" applyNumberFormat="1" applyFont="1" applyFill="1" applyBorder="1" applyAlignment="1">
      <alignment/>
    </xf>
    <xf numFmtId="0" fontId="6" fillId="4" borderId="20" xfId="0" applyFont="1" applyFill="1" applyBorder="1" applyAlignment="1">
      <alignment horizontal="center"/>
    </xf>
    <xf numFmtId="199" fontId="6" fillId="4" borderId="21" xfId="0" applyNumberFormat="1" applyFont="1" applyFill="1" applyBorder="1" applyAlignment="1">
      <alignment/>
    </xf>
    <xf numFmtId="0" fontId="7" fillId="4" borderId="21" xfId="0" applyFont="1" applyFill="1" applyBorder="1" applyAlignment="1">
      <alignment/>
    </xf>
    <xf numFmtId="199" fontId="6" fillId="4" borderId="22" xfId="0" applyNumberFormat="1" applyFont="1" applyFill="1" applyBorder="1" applyAlignment="1">
      <alignment/>
    </xf>
    <xf numFmtId="0" fontId="4" fillId="24" borderId="26" xfId="0" applyFont="1" applyFill="1" applyBorder="1" applyAlignment="1">
      <alignment horizontal="center"/>
    </xf>
    <xf numFmtId="188" fontId="4" fillId="24" borderId="27" xfId="0" applyNumberFormat="1" applyFont="1" applyFill="1" applyBorder="1" applyAlignment="1">
      <alignment horizontal="center"/>
    </xf>
    <xf numFmtId="188" fontId="4" fillId="24" borderId="28" xfId="0" applyNumberFormat="1" applyFont="1" applyFill="1" applyBorder="1" applyAlignment="1">
      <alignment horizontal="center"/>
    </xf>
    <xf numFmtId="199" fontId="9" fillId="24" borderId="0" xfId="0" applyNumberFormat="1" applyFont="1" applyFill="1" applyBorder="1" applyAlignment="1">
      <alignment/>
    </xf>
    <xf numFmtId="199" fontId="4" fillId="24" borderId="47" xfId="0" applyNumberFormat="1" applyFont="1" applyFill="1" applyBorder="1" applyAlignment="1">
      <alignment/>
    </xf>
    <xf numFmtId="189" fontId="0" fillId="4" borderId="0" xfId="0" applyNumberFormat="1" applyFill="1" applyBorder="1" applyAlignment="1">
      <alignment/>
    </xf>
    <xf numFmtId="199" fontId="0" fillId="4" borderId="0" xfId="0" applyNumberFormat="1" applyFill="1" applyBorder="1" applyAlignment="1">
      <alignment/>
    </xf>
    <xf numFmtId="199" fontId="0" fillId="22" borderId="0" xfId="0" applyNumberFormat="1" applyFill="1" applyBorder="1" applyAlignment="1">
      <alignment/>
    </xf>
    <xf numFmtId="189" fontId="0" fillId="22" borderId="0" xfId="0" applyNumberFormat="1" applyFill="1" applyBorder="1" applyAlignment="1">
      <alignment/>
    </xf>
    <xf numFmtId="0" fontId="6" fillId="24" borderId="12" xfId="0" applyFont="1" applyFill="1" applyBorder="1" applyAlignment="1">
      <alignment horizontal="center"/>
    </xf>
    <xf numFmtId="0" fontId="4" fillId="24" borderId="41" xfId="0" applyFont="1" applyFill="1" applyBorder="1" applyAlignment="1">
      <alignment/>
    </xf>
    <xf numFmtId="188" fontId="4" fillId="24" borderId="42" xfId="0" applyNumberFormat="1" applyFont="1" applyFill="1" applyBorder="1" applyAlignment="1">
      <alignment horizontal="center"/>
    </xf>
    <xf numFmtId="188" fontId="4" fillId="24" borderId="43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88" fontId="0" fillId="0" borderId="10" xfId="0" applyNumberFormat="1" applyFill="1" applyBorder="1" applyAlignment="1">
      <alignment horizontal="center"/>
    </xf>
    <xf numFmtId="188" fontId="0" fillId="0" borderId="12" xfId="0" applyNumberFormat="1" applyFill="1" applyBorder="1" applyAlignment="1">
      <alignment horizontal="center"/>
    </xf>
    <xf numFmtId="0" fontId="9" fillId="4" borderId="11" xfId="0" applyFont="1" applyFill="1" applyBorder="1" applyAlignment="1">
      <alignment/>
    </xf>
    <xf numFmtId="188" fontId="6" fillId="4" borderId="12" xfId="0" applyNumberFormat="1" applyFont="1" applyFill="1" applyBorder="1" applyAlignment="1">
      <alignment/>
    </xf>
    <xf numFmtId="0" fontId="0" fillId="4" borderId="11" xfId="0" applyFill="1" applyBorder="1" applyAlignment="1">
      <alignment/>
    </xf>
    <xf numFmtId="0" fontId="7" fillId="4" borderId="12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188" fontId="7" fillId="4" borderId="12" xfId="0" applyNumberFormat="1" applyFont="1" applyFill="1" applyBorder="1" applyAlignment="1">
      <alignment/>
    </xf>
    <xf numFmtId="0" fontId="0" fillId="4" borderId="18" xfId="0" applyFill="1" applyBorder="1" applyAlignment="1">
      <alignment/>
    </xf>
    <xf numFmtId="0" fontId="0" fillId="4" borderId="0" xfId="0" applyFill="1" applyBorder="1" applyAlignment="1">
      <alignment/>
    </xf>
    <xf numFmtId="0" fontId="7" fillId="4" borderId="19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188" fontId="4" fillId="24" borderId="12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88" fontId="7" fillId="0" borderId="0" xfId="0" applyNumberFormat="1" applyFont="1" applyFill="1" applyBorder="1" applyAlignment="1">
      <alignment/>
    </xf>
    <xf numFmtId="188" fontId="6" fillId="0" borderId="0" xfId="0" applyNumberFormat="1" applyFont="1" applyFill="1" applyBorder="1" applyAlignment="1">
      <alignment/>
    </xf>
    <xf numFmtId="0" fontId="34" fillId="7" borderId="10" xfId="0" applyFont="1" applyFill="1" applyBorder="1" applyAlignment="1">
      <alignment/>
    </xf>
    <xf numFmtId="2" fontId="0" fillId="7" borderId="10" xfId="0" applyNumberFormat="1" applyFill="1" applyBorder="1" applyAlignment="1">
      <alignment/>
    </xf>
    <xf numFmtId="0" fontId="0" fillId="7" borderId="10" xfId="0" applyFill="1" applyBorder="1" applyAlignment="1">
      <alignment/>
    </xf>
    <xf numFmtId="0" fontId="7" fillId="7" borderId="48" xfId="0" applyFont="1" applyFill="1" applyBorder="1" applyAlignment="1">
      <alignment/>
    </xf>
    <xf numFmtId="2" fontId="7" fillId="7" borderId="49" xfId="0" applyNumberFormat="1" applyFont="1" applyFill="1" applyBorder="1" applyAlignment="1">
      <alignment horizontal="center"/>
    </xf>
    <xf numFmtId="0" fontId="7" fillId="7" borderId="49" xfId="0" applyFont="1" applyFill="1" applyBorder="1" applyAlignment="1">
      <alignment horizontal="center"/>
    </xf>
    <xf numFmtId="0" fontId="7" fillId="7" borderId="50" xfId="0" applyFont="1" applyFill="1" applyBorder="1" applyAlignment="1">
      <alignment horizontal="center"/>
    </xf>
    <xf numFmtId="0" fontId="7" fillId="7" borderId="36" xfId="0" applyFont="1" applyFill="1" applyBorder="1" applyAlignment="1">
      <alignment/>
    </xf>
    <xf numFmtId="188" fontId="7" fillId="7" borderId="0" xfId="0" applyNumberFormat="1" applyFont="1" applyFill="1" applyBorder="1" applyAlignment="1">
      <alignment/>
    </xf>
    <xf numFmtId="188" fontId="7" fillId="7" borderId="37" xfId="0" applyNumberFormat="1" applyFont="1" applyFill="1" applyBorder="1" applyAlignment="1">
      <alignment/>
    </xf>
    <xf numFmtId="0" fontId="6" fillId="7" borderId="51" xfId="0" applyFont="1" applyFill="1" applyBorder="1" applyAlignment="1">
      <alignment/>
    </xf>
    <xf numFmtId="188" fontId="6" fillId="7" borderId="52" xfId="0" applyNumberFormat="1" applyFont="1" applyFill="1" applyBorder="1" applyAlignment="1">
      <alignment/>
    </xf>
    <xf numFmtId="188" fontId="6" fillId="7" borderId="53" xfId="0" applyNumberFormat="1" applyFont="1" applyFill="1" applyBorder="1" applyAlignment="1">
      <alignment/>
    </xf>
    <xf numFmtId="188" fontId="7" fillId="7" borderId="44" xfId="0" applyNumberFormat="1" applyFont="1" applyFill="1" applyBorder="1" applyAlignment="1">
      <alignment horizontal="center"/>
    </xf>
    <xf numFmtId="188" fontId="7" fillId="7" borderId="45" xfId="0" applyNumberFormat="1" applyFont="1" applyFill="1" applyBorder="1" applyAlignment="1">
      <alignment horizontal="center"/>
    </xf>
    <xf numFmtId="188" fontId="7" fillId="7" borderId="49" xfId="0" applyNumberFormat="1" applyFont="1" applyFill="1" applyBorder="1" applyAlignment="1">
      <alignment/>
    </xf>
    <xf numFmtId="0" fontId="6" fillId="7" borderId="36" xfId="0" applyFont="1" applyFill="1" applyBorder="1" applyAlignment="1">
      <alignment/>
    </xf>
    <xf numFmtId="188" fontId="6" fillId="7" borderId="0" xfId="0" applyNumberFormat="1" applyFont="1" applyFill="1" applyBorder="1" applyAlignment="1">
      <alignment/>
    </xf>
    <xf numFmtId="2" fontId="7" fillId="7" borderId="0" xfId="0" applyNumberFormat="1" applyFont="1" applyFill="1" applyBorder="1" applyAlignment="1">
      <alignment/>
    </xf>
    <xf numFmtId="0" fontId="7" fillId="7" borderId="37" xfId="0" applyFont="1" applyFill="1" applyBorder="1" applyAlignment="1">
      <alignment/>
    </xf>
    <xf numFmtId="0" fontId="7" fillId="7" borderId="51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22" borderId="48" xfId="0" applyFont="1" applyFill="1" applyBorder="1" applyAlignment="1">
      <alignment/>
    </xf>
    <xf numFmtId="0" fontId="7" fillId="22" borderId="36" xfId="0" applyFont="1" applyFill="1" applyBorder="1" applyAlignment="1">
      <alignment/>
    </xf>
    <xf numFmtId="0" fontId="6" fillId="22" borderId="0" xfId="0" applyFont="1" applyFill="1" applyBorder="1" applyAlignment="1">
      <alignment horizontal="center"/>
    </xf>
    <xf numFmtId="0" fontId="6" fillId="22" borderId="37" xfId="0" applyFont="1" applyFill="1" applyBorder="1" applyAlignment="1">
      <alignment horizontal="center"/>
    </xf>
    <xf numFmtId="0" fontId="12" fillId="22" borderId="36" xfId="0" applyFont="1" applyFill="1" applyBorder="1" applyAlignment="1">
      <alignment/>
    </xf>
    <xf numFmtId="188" fontId="7" fillId="22" borderId="0" xfId="0" applyNumberFormat="1" applyFont="1" applyFill="1" applyBorder="1" applyAlignment="1">
      <alignment/>
    </xf>
    <xf numFmtId="188" fontId="7" fillId="22" borderId="37" xfId="0" applyNumberFormat="1" applyFont="1" applyFill="1" applyBorder="1" applyAlignment="1">
      <alignment/>
    </xf>
    <xf numFmtId="0" fontId="7" fillId="22" borderId="10" xfId="0" applyFont="1" applyFill="1" applyBorder="1" applyAlignment="1">
      <alignment/>
    </xf>
    <xf numFmtId="188" fontId="7" fillId="22" borderId="10" xfId="0" applyNumberFormat="1" applyFont="1" applyFill="1" applyBorder="1" applyAlignment="1">
      <alignment/>
    </xf>
    <xf numFmtId="0" fontId="1" fillId="4" borderId="1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0" fillId="4" borderId="18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188" fontId="0" fillId="4" borderId="0" xfId="0" applyNumberFormat="1" applyFill="1" applyBorder="1" applyAlignment="1">
      <alignment/>
    </xf>
    <xf numFmtId="188" fontId="0" fillId="4" borderId="19" xfId="0" applyNumberFormat="1" applyFill="1" applyBorder="1" applyAlignment="1">
      <alignment/>
    </xf>
    <xf numFmtId="175" fontId="0" fillId="24" borderId="10" xfId="0" applyNumberFormat="1" applyFont="1" applyFill="1" applyBorder="1" applyAlignment="1">
      <alignment/>
    </xf>
    <xf numFmtId="8" fontId="0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9" fontId="0" fillId="24" borderId="42" xfId="0" applyNumberFormat="1" applyFont="1" applyFill="1" applyBorder="1" applyAlignment="1">
      <alignment/>
    </xf>
    <xf numFmtId="0" fontId="0" fillId="24" borderId="42" xfId="0" applyFont="1" applyFill="1" applyBorder="1" applyAlignment="1">
      <alignment/>
    </xf>
    <xf numFmtId="0" fontId="0" fillId="24" borderId="43" xfId="0" applyFont="1" applyFill="1" applyBorder="1" applyAlignment="1">
      <alignment/>
    </xf>
    <xf numFmtId="204" fontId="7" fillId="0" borderId="0" xfId="0" applyNumberFormat="1" applyFont="1" applyFill="1" applyBorder="1" applyAlignment="1">
      <alignment/>
    </xf>
    <xf numFmtId="188" fontId="7" fillId="7" borderId="36" xfId="0" applyNumberFormat="1" applyFont="1" applyFill="1" applyBorder="1" applyAlignment="1">
      <alignment/>
    </xf>
    <xf numFmtId="188" fontId="6" fillId="7" borderId="36" xfId="0" applyNumberFormat="1" applyFont="1" applyFill="1" applyBorder="1" applyAlignment="1">
      <alignment/>
    </xf>
    <xf numFmtId="188" fontId="7" fillId="3" borderId="0" xfId="0" applyNumberFormat="1" applyFont="1" applyFill="1" applyBorder="1" applyAlignment="1">
      <alignment/>
    </xf>
    <xf numFmtId="20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3" borderId="3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5" fillId="7" borderId="33" xfId="0" applyFont="1" applyFill="1" applyBorder="1" applyAlignment="1">
      <alignment horizontal="center"/>
    </xf>
    <xf numFmtId="0" fontId="5" fillId="7" borderId="34" xfId="0" applyFont="1" applyFill="1" applyBorder="1" applyAlignment="1">
      <alignment horizontal="center"/>
    </xf>
    <xf numFmtId="0" fontId="5" fillId="7" borderId="35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36" fillId="3" borderId="52" xfId="0" applyFont="1" applyFill="1" applyBorder="1" applyAlignment="1">
      <alignment horizontal="center"/>
    </xf>
    <xf numFmtId="0" fontId="1" fillId="26" borderId="38" xfId="0" applyFont="1" applyFill="1" applyBorder="1" applyAlignment="1">
      <alignment horizontal="center"/>
    </xf>
    <xf numFmtId="0" fontId="1" fillId="26" borderId="39" xfId="0" applyFont="1" applyFill="1" applyBorder="1" applyAlignment="1">
      <alignment horizontal="center"/>
    </xf>
    <xf numFmtId="0" fontId="1" fillId="26" borderId="40" xfId="0" applyFont="1" applyFill="1" applyBorder="1" applyAlignment="1">
      <alignment horizontal="center"/>
    </xf>
    <xf numFmtId="0" fontId="35" fillId="27" borderId="10" xfId="0" applyFont="1" applyFill="1" applyBorder="1" applyAlignment="1">
      <alignment horizontal="center"/>
    </xf>
    <xf numFmtId="0" fontId="6" fillId="22" borderId="49" xfId="0" applyFont="1" applyFill="1" applyBorder="1" applyAlignment="1">
      <alignment horizontal="center"/>
    </xf>
    <xf numFmtId="0" fontId="6" fillId="22" borderId="50" xfId="0" applyFont="1" applyFill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4" fillId="26" borderId="0" xfId="0" applyFont="1" applyFill="1" applyAlignment="1">
      <alignment horizontal="center"/>
    </xf>
    <xf numFmtId="0" fontId="37" fillId="7" borderId="25" xfId="0" applyFont="1" applyFill="1" applyBorder="1" applyAlignment="1">
      <alignment horizontal="center"/>
    </xf>
    <xf numFmtId="0" fontId="37" fillId="7" borderId="23" xfId="0" applyFont="1" applyFill="1" applyBorder="1" applyAlignment="1">
      <alignment horizontal="center"/>
    </xf>
    <xf numFmtId="0" fontId="37" fillId="7" borderId="2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2" fontId="0" fillId="7" borderId="0" xfId="0" applyNumberFormat="1" applyFill="1" applyAlignment="1">
      <alignment/>
    </xf>
    <xf numFmtId="0" fontId="7" fillId="24" borderId="52" xfId="0" applyFont="1" applyFill="1" applyBorder="1" applyAlignment="1">
      <alignment/>
    </xf>
    <xf numFmtId="188" fontId="6" fillId="24" borderId="52" xfId="0" applyNumberFormat="1" applyFont="1" applyFill="1" applyBorder="1" applyAlignment="1">
      <alignment/>
    </xf>
    <xf numFmtId="188" fontId="4" fillId="24" borderId="0" xfId="0" applyNumberFormat="1" applyFont="1" applyFill="1" applyAlignment="1">
      <alignment/>
    </xf>
    <xf numFmtId="190" fontId="0" fillId="0" borderId="10" xfId="54" applyNumberFormat="1" applyFont="1" applyBorder="1" applyAlignment="1">
      <alignment/>
    </xf>
    <xf numFmtId="190" fontId="0" fillId="0" borderId="10" xfId="0" applyNumberFormat="1" applyBorder="1" applyAlignment="1">
      <alignment/>
    </xf>
    <xf numFmtId="9" fontId="0" fillId="0" borderId="10" xfId="54" applyFont="1" applyBorder="1" applyAlignment="1">
      <alignment/>
    </xf>
    <xf numFmtId="1" fontId="0" fillId="22" borderId="10" xfId="0" applyNumberFormat="1" applyFill="1" applyBorder="1" applyAlignment="1">
      <alignment/>
    </xf>
    <xf numFmtId="0" fontId="0" fillId="22" borderId="1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32</xdr:row>
      <xdr:rowOff>66675</xdr:rowOff>
    </xdr:from>
    <xdr:to>
      <xdr:col>6</xdr:col>
      <xdr:colOff>685800</xdr:colOff>
      <xdr:row>42</xdr:row>
      <xdr:rowOff>152400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142875" y="6743700"/>
          <a:ext cx="5591175" cy="1704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Costo de Capital Propio: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Ke = KRF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β (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KM - KRF) + RILD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Ke = 5.20% + 1.98% (17.20% - 5.20%) + 6.99%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Ke = 35.95%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 = Costo de Capital Propio.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KRF = Tasa libre de Riesgo. Se obtiene de los bonos del tesoro de USA a 10 años plazo.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β =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Beta, Índice que mide la rentabilidad de la industria.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KM = Tasa de Rendimiento del mercado.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RILD = Riesgo País.   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1"/>
  <sheetViews>
    <sheetView zoomScale="115" zoomScaleNormal="115" zoomScalePageLayoutView="0" workbookViewId="0" topLeftCell="A2">
      <selection activeCell="J9" sqref="J9"/>
    </sheetView>
  </sheetViews>
  <sheetFormatPr defaultColWidth="11.421875" defaultRowHeight="12.75"/>
  <cols>
    <col min="1" max="1" width="5.28125" style="0" customWidth="1"/>
    <col min="2" max="2" width="24.421875" style="0" customWidth="1"/>
    <col min="3" max="3" width="16.421875" style="0" customWidth="1"/>
    <col min="4" max="4" width="9.7109375" style="0" customWidth="1"/>
    <col min="5" max="5" width="10.8515625" style="6" customWidth="1"/>
    <col min="7" max="7" width="10.421875" style="0" customWidth="1"/>
    <col min="8" max="8" width="17.00390625" style="0" customWidth="1"/>
    <col min="10" max="10" width="6.57421875" style="0" customWidth="1"/>
    <col min="11" max="11" width="12.28125" style="0" customWidth="1"/>
    <col min="12" max="12" width="10.57421875" style="0" customWidth="1"/>
  </cols>
  <sheetData>
    <row r="1" ht="13.5" thickBot="1"/>
    <row r="2" spans="2:7" ht="25.5" customHeight="1" thickBot="1">
      <c r="B2" s="300" t="s">
        <v>0</v>
      </c>
      <c r="C2" s="301"/>
      <c r="D2" s="301"/>
      <c r="E2" s="301"/>
      <c r="F2" s="301"/>
      <c r="G2" s="302"/>
    </row>
    <row r="3" spans="2:7" ht="12.75">
      <c r="B3" s="94"/>
      <c r="C3" s="95"/>
      <c r="D3" s="95"/>
      <c r="E3" s="96"/>
      <c r="F3" s="95"/>
      <c r="G3" s="97"/>
    </row>
    <row r="4" spans="2:7" ht="12.75">
      <c r="B4" s="98" t="s">
        <v>105</v>
      </c>
      <c r="C4" s="95"/>
      <c r="D4" s="95"/>
      <c r="E4" s="96"/>
      <c r="F4" s="219">
        <f>SUM(E6:E13)</f>
        <v>870</v>
      </c>
      <c r="G4" s="99"/>
    </row>
    <row r="5" spans="2:7" ht="12.75">
      <c r="B5" s="100"/>
      <c r="C5" s="95"/>
      <c r="D5" s="95"/>
      <c r="E5" s="221"/>
      <c r="F5" s="69"/>
      <c r="G5" s="99"/>
    </row>
    <row r="6" spans="2:7" ht="12.75">
      <c r="B6" s="101" t="s">
        <v>101</v>
      </c>
      <c r="C6" s="95"/>
      <c r="D6" s="145"/>
      <c r="E6" s="222">
        <f>SUM(D7:D9)</f>
        <v>770</v>
      </c>
      <c r="F6" s="69"/>
      <c r="G6" s="99"/>
    </row>
    <row r="7" spans="2:7" ht="12.75">
      <c r="B7" s="102" t="s">
        <v>106</v>
      </c>
      <c r="C7" s="95"/>
      <c r="D7" s="223">
        <v>50</v>
      </c>
      <c r="E7" s="221"/>
      <c r="F7" s="69"/>
      <c r="G7" s="99"/>
    </row>
    <row r="8" spans="2:7" ht="12.75">
      <c r="B8" s="102" t="s">
        <v>107</v>
      </c>
      <c r="C8" s="95"/>
      <c r="D8" s="223">
        <v>100</v>
      </c>
      <c r="E8" s="222"/>
      <c r="F8" s="69"/>
      <c r="G8" s="99"/>
    </row>
    <row r="9" spans="2:7" ht="12.75">
      <c r="B9" s="102" t="s">
        <v>108</v>
      </c>
      <c r="C9" s="95"/>
      <c r="D9" s="223">
        <v>620</v>
      </c>
      <c r="E9" s="222"/>
      <c r="F9" s="69"/>
      <c r="G9" s="99"/>
    </row>
    <row r="10" spans="2:7" ht="12.75">
      <c r="B10" s="102" t="s">
        <v>109</v>
      </c>
      <c r="C10" s="96"/>
      <c r="D10" s="224"/>
      <c r="E10" s="222"/>
      <c r="F10" s="69"/>
      <c r="G10" s="99"/>
    </row>
    <row r="11" spans="2:7" ht="12.75">
      <c r="B11" s="102" t="s">
        <v>110</v>
      </c>
      <c r="C11" s="96"/>
      <c r="D11" s="224"/>
      <c r="E11" s="222"/>
      <c r="F11" s="69"/>
      <c r="G11" s="99"/>
    </row>
    <row r="12" spans="2:7" ht="12.75">
      <c r="B12" s="102"/>
      <c r="C12" s="96"/>
      <c r="D12" s="224"/>
      <c r="E12" s="222"/>
      <c r="F12" s="69"/>
      <c r="G12" s="99"/>
    </row>
    <row r="13" spans="2:7" ht="12.75">
      <c r="B13" s="101" t="s">
        <v>126</v>
      </c>
      <c r="C13" s="96"/>
      <c r="D13" s="224"/>
      <c r="E13" s="222">
        <v>100</v>
      </c>
      <c r="F13" s="69"/>
      <c r="G13" s="99"/>
    </row>
    <row r="14" spans="2:7" ht="12.75">
      <c r="B14" s="102"/>
      <c r="C14" s="95"/>
      <c r="D14" s="223"/>
      <c r="E14" s="222"/>
      <c r="F14" s="69"/>
      <c r="G14" s="99"/>
    </row>
    <row r="15" spans="2:7" ht="12.75">
      <c r="B15" s="102"/>
      <c r="C15" s="96"/>
      <c r="D15" s="224"/>
      <c r="E15" s="222"/>
      <c r="F15" s="69"/>
      <c r="G15" s="99"/>
    </row>
    <row r="16" spans="2:7" ht="12.75">
      <c r="B16" s="98" t="s">
        <v>1</v>
      </c>
      <c r="C16" s="96"/>
      <c r="D16" s="224"/>
      <c r="E16" s="221"/>
      <c r="F16" s="219">
        <f>SUM(E18:E21)</f>
        <v>2470</v>
      </c>
      <c r="G16" s="99"/>
    </row>
    <row r="17" spans="2:7" ht="12.75">
      <c r="B17" s="102"/>
      <c r="C17" s="95"/>
      <c r="D17" s="145"/>
      <c r="E17" s="221"/>
      <c r="F17" s="69"/>
      <c r="G17" s="99"/>
    </row>
    <row r="18" spans="2:7" ht="12.75">
      <c r="B18" s="101" t="s">
        <v>98</v>
      </c>
      <c r="C18" s="95"/>
      <c r="D18" s="145"/>
      <c r="E18" s="222">
        <f>SUM(D19)</f>
        <v>778.8288288288288</v>
      </c>
      <c r="F18" s="69"/>
      <c r="G18" s="99"/>
    </row>
    <row r="19" spans="2:7" ht="12.75">
      <c r="B19" s="102" t="s">
        <v>111</v>
      </c>
      <c r="C19" s="95"/>
      <c r="D19" s="223">
        <f>+G34</f>
        <v>778.8288288288288</v>
      </c>
      <c r="E19" s="221"/>
      <c r="F19" s="69"/>
      <c r="G19" s="99"/>
    </row>
    <row r="20" spans="2:7" ht="12.75">
      <c r="B20" s="102"/>
      <c r="C20" s="95"/>
      <c r="D20" s="223"/>
      <c r="E20" s="221"/>
      <c r="F20" s="69"/>
      <c r="G20" s="99"/>
    </row>
    <row r="21" spans="2:7" ht="12.75">
      <c r="B21" s="101" t="s">
        <v>100</v>
      </c>
      <c r="C21" s="95"/>
      <c r="D21" s="145"/>
      <c r="E21" s="222">
        <f>SUM(D22:D24)</f>
        <v>1691.1711711711712</v>
      </c>
      <c r="F21" s="69"/>
      <c r="G21" s="99"/>
    </row>
    <row r="22" spans="2:7" ht="12.75">
      <c r="B22" s="102" t="s">
        <v>112</v>
      </c>
      <c r="C22" s="95"/>
      <c r="D22" s="223">
        <f>+G35</f>
        <v>133.51351351351352</v>
      </c>
      <c r="E22" s="221"/>
      <c r="F22" s="69"/>
      <c r="G22" s="99"/>
    </row>
    <row r="23" spans="2:7" ht="12.75">
      <c r="B23" s="102" t="s">
        <v>113</v>
      </c>
      <c r="C23" s="95"/>
      <c r="D23" s="223">
        <f>+G36</f>
        <v>556.3063063063063</v>
      </c>
      <c r="E23" s="221"/>
      <c r="F23" s="69"/>
      <c r="G23" s="99"/>
    </row>
    <row r="24" spans="2:7" ht="12.75">
      <c r="B24" s="102" t="s">
        <v>114</v>
      </c>
      <c r="C24" s="95"/>
      <c r="D24" s="223">
        <f>+G37</f>
        <v>1001.3513513513514</v>
      </c>
      <c r="E24" s="221"/>
      <c r="F24" s="69"/>
      <c r="G24" s="99"/>
    </row>
    <row r="25" spans="2:7" ht="12.75">
      <c r="B25" s="102"/>
      <c r="C25" s="95"/>
      <c r="D25" s="145"/>
      <c r="E25" s="222"/>
      <c r="F25" s="69"/>
      <c r="G25" s="99"/>
    </row>
    <row r="26" spans="2:7" ht="12.75">
      <c r="B26" s="102"/>
      <c r="C26" s="95"/>
      <c r="D26" s="145"/>
      <c r="E26" s="222"/>
      <c r="F26" s="69"/>
      <c r="G26" s="99"/>
    </row>
    <row r="27" spans="2:7" ht="13.5" thickBot="1">
      <c r="B27" s="102"/>
      <c r="C27" s="95"/>
      <c r="D27" s="95"/>
      <c r="E27" s="221"/>
      <c r="F27" s="69"/>
      <c r="G27" s="99"/>
    </row>
    <row r="28" spans="2:7" ht="13.5" thickBot="1">
      <c r="B28" s="103" t="s">
        <v>3</v>
      </c>
      <c r="C28" s="104"/>
      <c r="D28" s="104"/>
      <c r="E28" s="105"/>
      <c r="F28" s="220">
        <f>(F4+F16)</f>
        <v>3340</v>
      </c>
      <c r="G28" s="106"/>
    </row>
    <row r="29" spans="2:7" ht="12.75">
      <c r="B29" s="80"/>
      <c r="C29" s="80"/>
      <c r="D29" s="80"/>
      <c r="E29" s="81"/>
      <c r="F29" s="80"/>
      <c r="G29" s="80"/>
    </row>
    <row r="30" spans="2:7" ht="32.25" customHeight="1">
      <c r="B30" s="80"/>
      <c r="C30" s="80"/>
      <c r="D30" s="80"/>
      <c r="E30" s="81"/>
      <c r="F30" s="80"/>
      <c r="G30" s="80"/>
    </row>
    <row r="31" spans="2:7" ht="12.75">
      <c r="B31" s="80"/>
      <c r="C31" s="80"/>
      <c r="D31" s="80"/>
      <c r="E31" s="81"/>
      <c r="F31" s="80"/>
      <c r="G31" s="80"/>
    </row>
    <row r="32" spans="2:7" ht="13.5" thickBot="1">
      <c r="B32" s="82" t="s">
        <v>102</v>
      </c>
      <c r="C32" s="80"/>
      <c r="D32" s="80"/>
      <c r="E32" s="80"/>
      <c r="F32" s="84" t="s">
        <v>103</v>
      </c>
      <c r="G32" s="80"/>
    </row>
    <row r="33" spans="2:7" ht="13.5" thickBot="1">
      <c r="B33" s="85" t="s">
        <v>178</v>
      </c>
      <c r="C33" s="86"/>
      <c r="D33" s="87">
        <v>250</v>
      </c>
      <c r="E33" s="84" t="s">
        <v>115</v>
      </c>
      <c r="F33" s="84" t="s">
        <v>104</v>
      </c>
      <c r="G33" s="80"/>
    </row>
    <row r="34" spans="2:7" ht="12.75">
      <c r="B34" s="88" t="s">
        <v>99</v>
      </c>
      <c r="C34" s="89"/>
      <c r="D34" s="90">
        <v>700</v>
      </c>
      <c r="E34" s="91">
        <f>(D34/$D$38)</f>
        <v>0.3153153153153153</v>
      </c>
      <c r="F34" s="92">
        <f>($D$33*E34)</f>
        <v>78.82882882882883</v>
      </c>
      <c r="G34" s="83">
        <f>(D34+F34)</f>
        <v>778.8288288288288</v>
      </c>
    </row>
    <row r="35" spans="2:7" ht="12.75">
      <c r="B35" s="44" t="s">
        <v>47</v>
      </c>
      <c r="C35" s="18"/>
      <c r="D35" s="45">
        <v>120</v>
      </c>
      <c r="E35" s="15">
        <f>(D35/$D$38)</f>
        <v>0.05405405405405406</v>
      </c>
      <c r="F35" s="49">
        <f>($D$33*E35)</f>
        <v>13.513513513513514</v>
      </c>
      <c r="G35" s="17">
        <f>(D35+F35)</f>
        <v>133.51351351351352</v>
      </c>
    </row>
    <row r="36" spans="2:7" ht="12.75">
      <c r="B36" s="44" t="s">
        <v>46</v>
      </c>
      <c r="C36" s="18"/>
      <c r="D36" s="45">
        <v>500</v>
      </c>
      <c r="E36" s="15">
        <f>(D36/$D$38)</f>
        <v>0.22522522522522523</v>
      </c>
      <c r="F36" s="49">
        <f>($D$33*E36)</f>
        <v>56.306306306306304</v>
      </c>
      <c r="G36" s="17">
        <f>(D36+F36)</f>
        <v>556.3063063063063</v>
      </c>
    </row>
    <row r="37" spans="2:7" ht="13.5" thickBot="1">
      <c r="B37" s="46" t="s">
        <v>2</v>
      </c>
      <c r="C37" s="47"/>
      <c r="D37" s="48">
        <v>900</v>
      </c>
      <c r="E37" s="15">
        <f>(D37/$D$38)</f>
        <v>0.40540540540540543</v>
      </c>
      <c r="F37" s="49">
        <f>($D$33*E37)</f>
        <v>101.35135135135135</v>
      </c>
      <c r="G37" s="17">
        <f>(D37+F37)</f>
        <v>1001.3513513513514</v>
      </c>
    </row>
    <row r="38" spans="4:7" ht="12.75">
      <c r="D38" s="16">
        <f>SUM(D34:D37)</f>
        <v>2220</v>
      </c>
      <c r="E38" s="79">
        <f>SUM(E34:E37)</f>
        <v>1</v>
      </c>
      <c r="F38" s="16">
        <f>SUM(F34:F37)</f>
        <v>250</v>
      </c>
      <c r="G38" s="16">
        <f>SUM(G34:G37)</f>
        <v>2470</v>
      </c>
    </row>
    <row r="39" spans="5:7" ht="12.75">
      <c r="E39"/>
      <c r="G39" s="50">
        <f>(D38+F38)</f>
        <v>2470</v>
      </c>
    </row>
    <row r="41" ht="12.75">
      <c r="B41" t="s">
        <v>176</v>
      </c>
    </row>
  </sheetData>
  <sheetProtection/>
  <mergeCells count="1">
    <mergeCell ref="B2:G2"/>
  </mergeCells>
  <printOptions/>
  <pageMargins left="0.75" right="0.75" top="1" bottom="1" header="0" footer="0"/>
  <pageSetup horizontalDpi="120" verticalDpi="12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32"/>
  <sheetViews>
    <sheetView zoomScale="115" zoomScaleNormal="115" zoomScalePageLayoutView="0" workbookViewId="0" topLeftCell="A1">
      <selection activeCell="C22" sqref="C22"/>
    </sheetView>
  </sheetViews>
  <sheetFormatPr defaultColWidth="11.421875" defaultRowHeight="12.75"/>
  <cols>
    <col min="1" max="1" width="3.8515625" style="0" customWidth="1"/>
    <col min="2" max="2" width="22.00390625" style="0" customWidth="1"/>
    <col min="3" max="3" width="10.7109375" style="0" customWidth="1"/>
    <col min="4" max="4" width="12.57421875" style="0" customWidth="1"/>
    <col min="5" max="5" width="12.8515625" style="0" customWidth="1"/>
    <col min="6" max="6" width="13.7109375" style="0" customWidth="1"/>
    <col min="7" max="7" width="13.57421875" style="0" customWidth="1"/>
    <col min="8" max="8" width="12.57421875" style="0" bestFit="1" customWidth="1"/>
  </cols>
  <sheetData>
    <row r="1" spans="2:8" ht="22.5" customHeight="1">
      <c r="B1" s="321" t="s">
        <v>135</v>
      </c>
      <c r="C1" s="322"/>
      <c r="D1" s="322"/>
      <c r="E1" s="322"/>
      <c r="F1" s="322"/>
      <c r="G1" s="322"/>
      <c r="H1" s="323"/>
    </row>
    <row r="2" spans="2:8" ht="18.75" customHeight="1">
      <c r="B2" s="279"/>
      <c r="C2" s="280"/>
      <c r="D2" s="324" t="s">
        <v>23</v>
      </c>
      <c r="E2" s="324"/>
      <c r="F2" s="324"/>
      <c r="G2" s="324"/>
      <c r="H2" s="325"/>
    </row>
    <row r="3" spans="2:8" ht="15.75">
      <c r="B3" s="234"/>
      <c r="C3" s="281">
        <v>0</v>
      </c>
      <c r="D3" s="281">
        <v>1</v>
      </c>
      <c r="E3" s="281">
        <v>2</v>
      </c>
      <c r="F3" s="281">
        <v>3</v>
      </c>
      <c r="G3" s="281">
        <v>4</v>
      </c>
      <c r="H3" s="282">
        <v>5</v>
      </c>
    </row>
    <row r="4" spans="2:8" ht="15.75">
      <c r="B4" s="232" t="s">
        <v>41</v>
      </c>
      <c r="C4" s="201"/>
      <c r="D4" s="133">
        <f>+'perdidas y ganancia'!C4</f>
        <v>16918.5</v>
      </c>
      <c r="E4" s="133">
        <f>+'perdidas y ganancia'!D4</f>
        <v>17764.425</v>
      </c>
      <c r="F4" s="133">
        <f>+'perdidas y ganancia'!E4</f>
        <v>18652.64625</v>
      </c>
      <c r="G4" s="133">
        <f>+'perdidas y ganancia'!F4</f>
        <v>19585.278562500003</v>
      </c>
      <c r="H4" s="233">
        <f>+'perdidas y ganancia'!G4</f>
        <v>20564.542490625005</v>
      </c>
    </row>
    <row r="5" spans="2:8" ht="15">
      <c r="B5" s="234"/>
      <c r="C5" s="130"/>
      <c r="D5" s="131"/>
      <c r="E5" s="131"/>
      <c r="F5" s="131"/>
      <c r="G5" s="131"/>
      <c r="H5" s="235"/>
    </row>
    <row r="6" spans="2:8" ht="15.75">
      <c r="B6" s="232" t="s">
        <v>136</v>
      </c>
      <c r="C6" s="201"/>
      <c r="D6" s="133">
        <f>SUM(D8:D11)</f>
        <v>3260</v>
      </c>
      <c r="E6" s="133">
        <f>SUM(E8:E11)</f>
        <v>3423</v>
      </c>
      <c r="F6" s="133">
        <f>SUM(F8:F11)</f>
        <v>3594.15</v>
      </c>
      <c r="G6" s="133">
        <f>SUM(G8:G11)</f>
        <v>3773.8575000000005</v>
      </c>
      <c r="H6" s="233">
        <f>SUM(H8:H11)</f>
        <v>3962.5503750000003</v>
      </c>
    </row>
    <row r="7" spans="2:8" ht="15">
      <c r="B7" s="236" t="s">
        <v>137</v>
      </c>
      <c r="C7" s="201"/>
      <c r="D7" s="131"/>
      <c r="E7" s="131"/>
      <c r="F7" s="131"/>
      <c r="G7" s="131"/>
      <c r="H7" s="235"/>
    </row>
    <row r="8" spans="2:8" ht="15">
      <c r="B8" s="234" t="s">
        <v>10</v>
      </c>
      <c r="C8" s="130"/>
      <c r="D8" s="132">
        <f>+costos!C6</f>
        <v>2220</v>
      </c>
      <c r="E8" s="132">
        <f>+costos!D6</f>
        <v>2331</v>
      </c>
      <c r="F8" s="132">
        <f>+costos!E6</f>
        <v>2447.55</v>
      </c>
      <c r="G8" s="132">
        <f>+costos!F6</f>
        <v>2569.9275000000002</v>
      </c>
      <c r="H8" s="237">
        <f>+costos!G6</f>
        <v>2698.423875</v>
      </c>
    </row>
    <row r="9" spans="2:8" ht="15">
      <c r="B9" s="234" t="s">
        <v>121</v>
      </c>
      <c r="C9" s="130"/>
      <c r="D9" s="132">
        <f>+costos!C7</f>
        <v>200</v>
      </c>
      <c r="E9" s="132">
        <f>+costos!D7</f>
        <v>210</v>
      </c>
      <c r="F9" s="132">
        <f>+costos!E7</f>
        <v>220.5</v>
      </c>
      <c r="G9" s="132">
        <f>+costos!F7</f>
        <v>231.525</v>
      </c>
      <c r="H9" s="237">
        <f>+costos!G7</f>
        <v>243.10125000000002</v>
      </c>
    </row>
    <row r="10" spans="2:8" ht="15">
      <c r="B10" s="236" t="s">
        <v>138</v>
      </c>
      <c r="C10" s="130"/>
      <c r="D10" s="132"/>
      <c r="E10" s="132"/>
      <c r="F10" s="132"/>
      <c r="G10" s="132"/>
      <c r="H10" s="237"/>
    </row>
    <row r="11" spans="2:8" ht="15">
      <c r="B11" s="234" t="s">
        <v>120</v>
      </c>
      <c r="C11" s="130"/>
      <c r="D11" s="132">
        <f>+costos!C11</f>
        <v>840</v>
      </c>
      <c r="E11" s="132">
        <f>+costos!D11</f>
        <v>882</v>
      </c>
      <c r="F11" s="132">
        <f>+costos!E11</f>
        <v>926.1</v>
      </c>
      <c r="G11" s="132">
        <f>+costos!F11</f>
        <v>972.4050000000001</v>
      </c>
      <c r="H11" s="237">
        <f>+costos!G11</f>
        <v>1021.0252500000001</v>
      </c>
    </row>
    <row r="12" spans="2:8" ht="8.25" customHeight="1">
      <c r="B12" s="238"/>
      <c r="C12" s="239"/>
      <c r="D12" s="139"/>
      <c r="E12" s="139"/>
      <c r="F12" s="139"/>
      <c r="G12" s="139"/>
      <c r="H12" s="240"/>
    </row>
    <row r="13" spans="2:8" ht="15.75">
      <c r="B13" s="232" t="s">
        <v>139</v>
      </c>
      <c r="C13" s="201"/>
      <c r="D13" s="133">
        <f>SUM(D14:D19)</f>
        <v>13371.754059552793</v>
      </c>
      <c r="E13" s="133">
        <f>SUM(E14:E19)</f>
        <v>10634.726726726727</v>
      </c>
      <c r="F13" s="133">
        <f>SUM(F14:F19)</f>
        <v>11145.026726726726</v>
      </c>
      <c r="G13" s="133">
        <f>SUM(G14:G19)</f>
        <v>11364.695</v>
      </c>
      <c r="H13" s="233">
        <f>SUM(H14:H19)</f>
        <v>11927.300749999999</v>
      </c>
    </row>
    <row r="14" spans="2:8" ht="15">
      <c r="B14" s="234" t="s">
        <v>141</v>
      </c>
      <c r="C14" s="130"/>
      <c r="D14" s="132">
        <f>+'perdidas y ganancia'!C11</f>
        <v>9000</v>
      </c>
      <c r="E14" s="132">
        <f>+'perdidas y ganancia'!D11</f>
        <v>9450</v>
      </c>
      <c r="F14" s="132">
        <f>+'perdidas y ganancia'!E11</f>
        <v>9922.5</v>
      </c>
      <c r="G14" s="132">
        <f>+'perdidas y ganancia'!F11</f>
        <v>10418.625</v>
      </c>
      <c r="H14" s="237">
        <f>+'perdidas y ganancia'!G11</f>
        <v>10939.55625</v>
      </c>
    </row>
    <row r="15" spans="2:8" ht="15">
      <c r="B15" s="234" t="s">
        <v>142</v>
      </c>
      <c r="C15" s="130"/>
      <c r="D15" s="132">
        <f>+'perdidas y ganancia'!C12</f>
        <v>100</v>
      </c>
      <c r="E15" s="132">
        <f>+'perdidas y ganancia'!D12</f>
        <v>105</v>
      </c>
      <c r="F15" s="132">
        <f>+'perdidas y ganancia'!E12</f>
        <v>110.25</v>
      </c>
      <c r="G15" s="132">
        <f>+'perdidas y ganancia'!F12</f>
        <v>115.7625</v>
      </c>
      <c r="H15" s="237">
        <f>+'perdidas y ganancia'!G12</f>
        <v>121.550625</v>
      </c>
    </row>
    <row r="16" spans="2:8" ht="15">
      <c r="B16" s="234" t="s">
        <v>143</v>
      </c>
      <c r="C16" s="130"/>
      <c r="D16" s="132">
        <f>+'perdidas y ganancia'!C13</f>
        <v>428.7267267267267</v>
      </c>
      <c r="E16" s="132">
        <f>+'perdidas y ganancia'!D13</f>
        <v>428.7267267267267</v>
      </c>
      <c r="F16" s="132">
        <f>+'perdidas y ganancia'!E13</f>
        <v>428.7267267267267</v>
      </c>
      <c r="G16" s="132">
        <f>+'perdidas y ganancia'!F13</f>
        <v>112.58</v>
      </c>
      <c r="H16" s="237">
        <f>+'perdidas y ganancia'!G13</f>
        <v>112.58</v>
      </c>
    </row>
    <row r="17" spans="2:8" ht="15">
      <c r="B17" s="234" t="s">
        <v>133</v>
      </c>
      <c r="C17" s="130"/>
      <c r="D17" s="132">
        <f>+'perdidas y ganancia'!C14</f>
        <v>620</v>
      </c>
      <c r="E17" s="132">
        <f>+'perdidas y ganancia'!D14</f>
        <v>651</v>
      </c>
      <c r="F17" s="132">
        <f>+'perdidas y ganancia'!E14</f>
        <v>683.55</v>
      </c>
      <c r="G17" s="132">
        <f>+'perdidas y ganancia'!F14</f>
        <v>717.7275</v>
      </c>
      <c r="H17" s="237">
        <f>+'perdidas y ganancia'!G14</f>
        <v>753.613875</v>
      </c>
    </row>
    <row r="18" spans="2:8" ht="15">
      <c r="B18" s="234" t="s">
        <v>144</v>
      </c>
      <c r="C18" s="130"/>
      <c r="D18" s="132">
        <f>+'credito-comp'!E24</f>
        <v>3000.000000000019</v>
      </c>
      <c r="E18" s="132">
        <v>0</v>
      </c>
      <c r="F18" s="132">
        <v>0</v>
      </c>
      <c r="G18" s="132">
        <v>0</v>
      </c>
      <c r="H18" s="237">
        <v>0</v>
      </c>
    </row>
    <row r="19" spans="2:8" s="3" customFormat="1" ht="15">
      <c r="B19" s="241" t="s">
        <v>145</v>
      </c>
      <c r="C19" s="202"/>
      <c r="D19" s="132">
        <f>+'credito-comp'!D24</f>
        <v>223.02733282604896</v>
      </c>
      <c r="E19" s="132">
        <v>0</v>
      </c>
      <c r="F19" s="132">
        <v>0</v>
      </c>
      <c r="G19" s="132">
        <v>0</v>
      </c>
      <c r="H19" s="237">
        <v>0</v>
      </c>
    </row>
    <row r="20" spans="2:8" s="3" customFormat="1" ht="9" customHeight="1">
      <c r="B20" s="283"/>
      <c r="C20" s="284"/>
      <c r="D20" s="285"/>
      <c r="E20" s="285"/>
      <c r="F20" s="285"/>
      <c r="G20" s="285"/>
      <c r="H20" s="286"/>
    </row>
    <row r="21" spans="2:8" ht="12.75">
      <c r="B21" s="192" t="s">
        <v>43</v>
      </c>
      <c r="C21" s="200">
        <f>-financiamiento!C6</f>
        <v>-3340</v>
      </c>
      <c r="D21" s="200">
        <f>(D4-D6-D13)</f>
        <v>286.7459404472065</v>
      </c>
      <c r="E21" s="200">
        <f>(E4-E6-E13)</f>
        <v>3706.698273273272</v>
      </c>
      <c r="F21" s="200">
        <f>(F4-F6-F13)</f>
        <v>3913.4695232732756</v>
      </c>
      <c r="G21" s="200">
        <f>(G4-G6-G13)</f>
        <v>4446.7260625000035</v>
      </c>
      <c r="H21" s="242">
        <f>(H4-H6-H13)</f>
        <v>4674.691365625007</v>
      </c>
    </row>
    <row r="22" spans="2:8" ht="12.75">
      <c r="B22" s="192" t="s">
        <v>146</v>
      </c>
      <c r="C22" s="287">
        <f>NPV(F32,C21:H21)</f>
        <v>7288.416894235227</v>
      </c>
      <c r="D22" s="288"/>
      <c r="E22" s="289"/>
      <c r="F22" s="289"/>
      <c r="G22" s="289"/>
      <c r="H22" s="290"/>
    </row>
    <row r="23" spans="2:8" ht="13.5" thickBot="1">
      <c r="B23" s="226" t="s">
        <v>147</v>
      </c>
      <c r="C23" s="291">
        <f>IRR(C21:H21)</f>
        <v>0.6582615618930602</v>
      </c>
      <c r="D23" s="292"/>
      <c r="E23" s="292"/>
      <c r="F23" s="292"/>
      <c r="G23" s="292"/>
      <c r="H23" s="293"/>
    </row>
    <row r="24" spans="2:8" ht="12.75">
      <c r="B24" s="82"/>
      <c r="C24" s="199"/>
      <c r="D24" s="80"/>
      <c r="E24" s="80"/>
      <c r="F24" s="80"/>
      <c r="G24" s="80"/>
      <c r="H24" s="80"/>
    </row>
    <row r="25" spans="2:3" ht="12.75">
      <c r="B25" s="3"/>
      <c r="C25" s="66"/>
    </row>
    <row r="26" spans="2:3" ht="12.75">
      <c r="B26" s="3"/>
      <c r="C26" s="66"/>
    </row>
    <row r="27" spans="2:3" ht="52.5" customHeight="1">
      <c r="B27" s="3"/>
      <c r="C27" s="66"/>
    </row>
    <row r="28" ht="43.5" customHeight="1">
      <c r="B28" s="3"/>
    </row>
    <row r="29" ht="12.75">
      <c r="C29" s="3" t="s">
        <v>148</v>
      </c>
    </row>
    <row r="30" spans="3:6" ht="12.75">
      <c r="C30" s="65" t="s">
        <v>149</v>
      </c>
      <c r="F30" s="13">
        <f>(financiamiento!D3)*0.3595</f>
        <v>0.03659580838323353</v>
      </c>
    </row>
    <row r="31" spans="3:8" ht="12.75">
      <c r="C31" s="65" t="s">
        <v>150</v>
      </c>
      <c r="F31" s="13">
        <f>(financiamiento!D4)*0.6375*0.1445</f>
        <v>0.08274139221556884</v>
      </c>
      <c r="H31" s="13">
        <f>((financiamiento!D3*(0.3595)+(financiamiento!D4*(1-0.3625)*(0.1445))))</f>
        <v>0.11933720059880237</v>
      </c>
    </row>
    <row r="32" ht="12.75">
      <c r="F32" s="68">
        <f>+F30+F31</f>
        <v>0.11933720059880237</v>
      </c>
    </row>
  </sheetData>
  <sheetProtection/>
  <mergeCells count="2">
    <mergeCell ref="B1:H1"/>
    <mergeCell ref="D2:H2"/>
  </mergeCells>
  <printOptions/>
  <pageMargins left="0.75" right="0.75" top="1" bottom="1" header="0" footer="0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3"/>
  <sheetViews>
    <sheetView zoomScale="145" zoomScaleNormal="145" zoomScalePageLayoutView="0" workbookViewId="0" topLeftCell="A1">
      <selection activeCell="G8" sqref="G8"/>
    </sheetView>
  </sheetViews>
  <sheetFormatPr defaultColWidth="11.421875" defaultRowHeight="12.75"/>
  <cols>
    <col min="1" max="1" width="2.7109375" style="0" customWidth="1"/>
    <col min="2" max="2" width="24.57421875" style="0" customWidth="1"/>
    <col min="3" max="3" width="12.421875" style="0" customWidth="1"/>
    <col min="4" max="4" width="13.00390625" style="0" customWidth="1"/>
  </cols>
  <sheetData>
    <row r="1" ht="44.25" customHeight="1" thickBot="1"/>
    <row r="2" spans="2:6" ht="22.5" customHeight="1" thickBot="1">
      <c r="B2" s="303" t="s">
        <v>4</v>
      </c>
      <c r="C2" s="304"/>
      <c r="D2" s="304"/>
      <c r="E2" s="304"/>
      <c r="F2" s="305"/>
    </row>
    <row r="3" spans="2:6" ht="16.5" customHeight="1">
      <c r="B3" s="107" t="s">
        <v>5</v>
      </c>
      <c r="C3" s="108">
        <f>C6-C4</f>
        <v>340</v>
      </c>
      <c r="D3" s="109">
        <f>C3/$C$6</f>
        <v>0.10179640718562874</v>
      </c>
      <c r="E3" s="110" t="s">
        <v>48</v>
      </c>
      <c r="F3" s="111"/>
    </row>
    <row r="4" spans="2:6" ht="19.5" customHeight="1">
      <c r="B4" s="107" t="s">
        <v>6</v>
      </c>
      <c r="C4" s="108">
        <v>3000</v>
      </c>
      <c r="D4" s="109">
        <f>C4/$C$6</f>
        <v>0.8982035928143712</v>
      </c>
      <c r="E4" s="110" t="s">
        <v>48</v>
      </c>
      <c r="F4" s="111"/>
    </row>
    <row r="5" spans="2:6" ht="15">
      <c r="B5" s="107"/>
      <c r="C5" s="108"/>
      <c r="D5" s="110"/>
      <c r="E5" s="110"/>
      <c r="F5" s="111"/>
    </row>
    <row r="6" spans="2:6" ht="18.75" customHeight="1" thickBot="1">
      <c r="B6" s="112" t="s">
        <v>7</v>
      </c>
      <c r="C6" s="113">
        <f>'plan de inversion'!F28</f>
        <v>3340</v>
      </c>
      <c r="D6" s="114"/>
      <c r="E6" s="114"/>
      <c r="F6" s="115"/>
    </row>
    <row r="8" ht="12.75">
      <c r="D8" s="15"/>
    </row>
    <row r="9" spans="2:4" ht="12.75">
      <c r="B9" s="306"/>
      <c r="C9" s="306"/>
      <c r="D9" s="15"/>
    </row>
    <row r="10" spans="2:3" ht="15">
      <c r="B10" s="243"/>
      <c r="C10" s="294"/>
    </row>
    <row r="11" spans="2:3" ht="15">
      <c r="B11" s="243"/>
      <c r="C11" s="294"/>
    </row>
    <row r="12" spans="2:3" ht="15">
      <c r="B12" s="243"/>
      <c r="C12" s="294"/>
    </row>
    <row r="13" spans="2:3" ht="15">
      <c r="B13" s="243"/>
      <c r="C13" s="294"/>
    </row>
  </sheetData>
  <sheetProtection/>
  <mergeCells count="2">
    <mergeCell ref="B2:F2"/>
    <mergeCell ref="B9:C9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14.00390625" style="1" customWidth="1"/>
    <col min="3" max="3" width="12.57421875" style="0" bestFit="1" customWidth="1"/>
    <col min="4" max="5" width="13.7109375" style="0" customWidth="1"/>
    <col min="6" max="6" width="12.57421875" style="0" bestFit="1" customWidth="1"/>
    <col min="7" max="7" width="47.57421875" style="0" customWidth="1"/>
    <col min="8" max="8" width="13.00390625" style="0" customWidth="1"/>
    <col min="9" max="10" width="13.421875" style="0" customWidth="1"/>
    <col min="11" max="11" width="12.140625" style="0" customWidth="1"/>
  </cols>
  <sheetData>
    <row r="2" spans="2:5" ht="21.75" customHeight="1">
      <c r="B2"/>
      <c r="C2" s="307" t="s">
        <v>55</v>
      </c>
      <c r="D2" s="308"/>
      <c r="E2" s="309"/>
    </row>
    <row r="3" spans="2:5" ht="15" customHeight="1">
      <c r="B3"/>
      <c r="C3" s="7"/>
      <c r="D3" s="7"/>
      <c r="E3" s="7"/>
    </row>
    <row r="4" spans="2:5" ht="15" customHeight="1">
      <c r="B4"/>
      <c r="C4" s="23" t="s">
        <v>56</v>
      </c>
      <c r="D4" s="23"/>
      <c r="E4" s="23">
        <f>financiamiento!C4</f>
        <v>3000</v>
      </c>
    </row>
    <row r="5" spans="2:10" ht="15" customHeight="1">
      <c r="B5"/>
      <c r="C5" s="23" t="s">
        <v>57</v>
      </c>
      <c r="D5" s="23"/>
      <c r="E5" s="24">
        <v>0.1345</v>
      </c>
      <c r="H5" s="13"/>
      <c r="J5" s="15"/>
    </row>
    <row r="6" spans="2:10" ht="15" customHeight="1">
      <c r="B6"/>
      <c r="C6" s="23" t="s">
        <v>8</v>
      </c>
      <c r="D6" s="23"/>
      <c r="E6" s="23">
        <v>12</v>
      </c>
      <c r="J6" s="13"/>
    </row>
    <row r="7" spans="2:5" ht="15">
      <c r="B7"/>
      <c r="C7" s="23" t="s">
        <v>58</v>
      </c>
      <c r="D7" s="23"/>
      <c r="E7" s="23">
        <v>0</v>
      </c>
    </row>
    <row r="8" ht="12.75">
      <c r="B8"/>
    </row>
    <row r="9" ht="12.75">
      <c r="B9"/>
    </row>
    <row r="10" spans="2:3" ht="12.75">
      <c r="B10"/>
      <c r="C10" s="19"/>
    </row>
    <row r="11" spans="2:11" s="11" customFormat="1" ht="21" customHeight="1">
      <c r="B11" s="125" t="s">
        <v>59</v>
      </c>
      <c r="C11" s="123" t="s">
        <v>9</v>
      </c>
      <c r="D11" s="121" t="s">
        <v>39</v>
      </c>
      <c r="E11" s="119" t="s">
        <v>67</v>
      </c>
      <c r="F11" s="117" t="s">
        <v>68</v>
      </c>
      <c r="H11" s="125" t="s">
        <v>59</v>
      </c>
      <c r="I11" s="121" t="s">
        <v>39</v>
      </c>
      <c r="J11" s="119" t="s">
        <v>67</v>
      </c>
      <c r="K11" s="117" t="s">
        <v>68</v>
      </c>
    </row>
    <row r="12" spans="2:11" ht="15">
      <c r="B12" s="126">
        <v>1</v>
      </c>
      <c r="C12" s="124">
        <f>+E4</f>
        <v>3000</v>
      </c>
      <c r="D12" s="122">
        <f>(C12*$E$5/12)</f>
        <v>33.625</v>
      </c>
      <c r="E12" s="120">
        <f>(F12-D12)</f>
        <v>234.960611068839</v>
      </c>
      <c r="F12" s="118">
        <f>PMT(E5/12,12,-C12)</f>
        <v>268.585611068839</v>
      </c>
      <c r="H12" s="23">
        <v>12</v>
      </c>
      <c r="I12" s="127">
        <v>223.03</v>
      </c>
      <c r="J12" s="127">
        <v>3000</v>
      </c>
      <c r="K12" s="127" t="s">
        <v>181</v>
      </c>
    </row>
    <row r="13" spans="2:6" ht="15" customHeight="1">
      <c r="B13" s="126">
        <v>2</v>
      </c>
      <c r="C13" s="124">
        <f>(C12-E12)</f>
        <v>2765.039388931161</v>
      </c>
      <c r="D13" s="122">
        <f aca="true" t="shared" si="0" ref="D13:D23">(C13*$E$5/12)</f>
        <v>30.991483150936762</v>
      </c>
      <c r="E13" s="120">
        <f aca="true" t="shared" si="1" ref="E13:E23">(F13-D13)</f>
        <v>237.59412791790223</v>
      </c>
      <c r="F13" s="118">
        <f>+F12</f>
        <v>268.585611068839</v>
      </c>
    </row>
    <row r="14" spans="2:10" ht="15" customHeight="1">
      <c r="B14" s="126">
        <v>3</v>
      </c>
      <c r="C14" s="124">
        <f aca="true" t="shared" si="2" ref="C14:C23">(C13-E13)</f>
        <v>2527.4452610132585</v>
      </c>
      <c r="D14" s="122">
        <f t="shared" si="0"/>
        <v>28.328448967190273</v>
      </c>
      <c r="E14" s="120">
        <f t="shared" si="1"/>
        <v>240.25716210164873</v>
      </c>
      <c r="F14" s="118">
        <f aca="true" t="shared" si="3" ref="F14:F23">+F13</f>
        <v>268.585611068839</v>
      </c>
      <c r="J14" s="14"/>
    </row>
    <row r="15" spans="2:6" ht="15" customHeight="1">
      <c r="B15" s="126">
        <v>4</v>
      </c>
      <c r="C15" s="124">
        <f t="shared" si="2"/>
        <v>2287.18809891161</v>
      </c>
      <c r="D15" s="122">
        <f t="shared" si="0"/>
        <v>25.635566608634296</v>
      </c>
      <c r="E15" s="120">
        <f t="shared" si="1"/>
        <v>242.9500444602047</v>
      </c>
      <c r="F15" s="118">
        <f t="shared" si="3"/>
        <v>268.585611068839</v>
      </c>
    </row>
    <row r="16" spans="2:6" ht="15" customHeight="1">
      <c r="B16" s="126">
        <v>5</v>
      </c>
      <c r="C16" s="124">
        <f t="shared" si="2"/>
        <v>2044.238054451405</v>
      </c>
      <c r="D16" s="122">
        <f t="shared" si="0"/>
        <v>22.91250152697617</v>
      </c>
      <c r="E16" s="120">
        <f t="shared" si="1"/>
        <v>245.67310954186283</v>
      </c>
      <c r="F16" s="118">
        <f t="shared" si="3"/>
        <v>268.585611068839</v>
      </c>
    </row>
    <row r="17" spans="2:6" ht="15" customHeight="1">
      <c r="B17" s="126">
        <v>6</v>
      </c>
      <c r="C17" s="124">
        <f t="shared" si="2"/>
        <v>1798.5649449095422</v>
      </c>
      <c r="D17" s="122">
        <f t="shared" si="0"/>
        <v>20.158915424194454</v>
      </c>
      <c r="E17" s="120">
        <f t="shared" si="1"/>
        <v>248.42669564464455</v>
      </c>
      <c r="F17" s="118">
        <f t="shared" si="3"/>
        <v>268.585611068839</v>
      </c>
    </row>
    <row r="18" spans="2:6" ht="15" customHeight="1">
      <c r="B18" s="126">
        <v>7</v>
      </c>
      <c r="C18" s="124">
        <f t="shared" si="2"/>
        <v>1550.1382492648977</v>
      </c>
      <c r="D18" s="122">
        <f t="shared" si="0"/>
        <v>17.37446621051073</v>
      </c>
      <c r="E18" s="120">
        <f t="shared" si="1"/>
        <v>251.21114485832828</v>
      </c>
      <c r="F18" s="118">
        <f t="shared" si="3"/>
        <v>268.585611068839</v>
      </c>
    </row>
    <row r="19" spans="2:6" ht="15" customHeight="1">
      <c r="B19" s="126">
        <v>8</v>
      </c>
      <c r="C19" s="124">
        <f t="shared" si="2"/>
        <v>1298.9271044065695</v>
      </c>
      <c r="D19" s="122">
        <f t="shared" si="0"/>
        <v>14.5588079618903</v>
      </c>
      <c r="E19" s="120">
        <f t="shared" si="1"/>
        <v>254.0268031069487</v>
      </c>
      <c r="F19" s="118">
        <f t="shared" si="3"/>
        <v>268.585611068839</v>
      </c>
    </row>
    <row r="20" spans="2:6" ht="15" customHeight="1">
      <c r="B20" s="126">
        <v>9</v>
      </c>
      <c r="C20" s="124">
        <f t="shared" si="2"/>
        <v>1044.9003012996209</v>
      </c>
      <c r="D20" s="122">
        <f t="shared" si="0"/>
        <v>11.711590877066584</v>
      </c>
      <c r="E20" s="120">
        <f t="shared" si="1"/>
        <v>256.8740201917724</v>
      </c>
      <c r="F20" s="118">
        <f t="shared" si="3"/>
        <v>268.585611068839</v>
      </c>
    </row>
    <row r="21" spans="2:6" ht="15" customHeight="1">
      <c r="B21" s="126">
        <v>10</v>
      </c>
      <c r="C21" s="124">
        <f t="shared" si="2"/>
        <v>788.0262811078485</v>
      </c>
      <c r="D21" s="122">
        <f t="shared" si="0"/>
        <v>8.832461234083803</v>
      </c>
      <c r="E21" s="120">
        <f t="shared" si="1"/>
        <v>259.7531498347552</v>
      </c>
      <c r="F21" s="118">
        <f t="shared" si="3"/>
        <v>268.585611068839</v>
      </c>
    </row>
    <row r="22" spans="2:6" ht="15" customHeight="1">
      <c r="B22" s="126">
        <v>11</v>
      </c>
      <c r="C22" s="124">
        <f t="shared" si="2"/>
        <v>528.2731312730932</v>
      </c>
      <c r="D22" s="122">
        <f t="shared" si="0"/>
        <v>5.9210613463525865</v>
      </c>
      <c r="E22" s="120">
        <f t="shared" si="1"/>
        <v>262.6645497224864</v>
      </c>
      <c r="F22" s="118">
        <f t="shared" si="3"/>
        <v>268.585611068839</v>
      </c>
    </row>
    <row r="23" spans="2:6" ht="15" customHeight="1">
      <c r="B23" s="126">
        <v>12</v>
      </c>
      <c r="C23" s="124">
        <f t="shared" si="2"/>
        <v>265.6085815506068</v>
      </c>
      <c r="D23" s="122">
        <f t="shared" si="0"/>
        <v>2.9770295182130515</v>
      </c>
      <c r="E23" s="120">
        <f t="shared" si="1"/>
        <v>265.60858155062596</v>
      </c>
      <c r="F23" s="118">
        <f t="shared" si="3"/>
        <v>268.585611068839</v>
      </c>
    </row>
    <row r="24" spans="2:7" ht="15" customHeight="1">
      <c r="B24" s="22"/>
      <c r="C24" s="116"/>
      <c r="D24" s="127">
        <f>SUM(D12:D23)</f>
        <v>223.02733282604896</v>
      </c>
      <c r="E24" s="127">
        <f>SUM(E12:E23)</f>
        <v>3000.000000000019</v>
      </c>
      <c r="F24" s="127">
        <f>SUM(F12:F23)</f>
        <v>3223.0273328260687</v>
      </c>
      <c r="G24" s="20"/>
    </row>
    <row r="25" spans="2:6" ht="15" customHeight="1">
      <c r="B25"/>
      <c r="C25" s="12"/>
      <c r="D25" s="12"/>
      <c r="E25" s="12"/>
      <c r="F25" s="12"/>
    </row>
    <row r="26" spans="2:8" ht="15" customHeight="1">
      <c r="B26"/>
      <c r="C26" s="12"/>
      <c r="D26" s="12"/>
      <c r="E26" s="12"/>
      <c r="F26" s="12"/>
      <c r="H26" s="14"/>
    </row>
    <row r="27" ht="12.75">
      <c r="B27" s="21"/>
    </row>
  </sheetData>
  <sheetProtection/>
  <mergeCells count="1">
    <mergeCell ref="C2:E2"/>
  </mergeCells>
  <printOptions/>
  <pageMargins left="0.75" right="0.75" top="1" bottom="1" header="0" footer="0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123"/>
  <sheetViews>
    <sheetView tabSelected="1" zoomScale="85" zoomScaleNormal="85" zoomScalePageLayoutView="0" workbookViewId="0" topLeftCell="G1">
      <selection activeCell="M14" sqref="J2:M14"/>
    </sheetView>
  </sheetViews>
  <sheetFormatPr defaultColWidth="11.421875" defaultRowHeight="12.75"/>
  <cols>
    <col min="1" max="1" width="3.28125" style="0" customWidth="1"/>
    <col min="2" max="2" width="31.00390625" style="0" customWidth="1"/>
    <col min="3" max="3" width="10.28125" style="4" customWidth="1"/>
    <col min="4" max="4" width="12.00390625" style="4" customWidth="1"/>
    <col min="5" max="5" width="9.8515625" style="0" customWidth="1"/>
    <col min="6" max="6" width="11.57421875" style="0" customWidth="1"/>
    <col min="7" max="7" width="10.140625" style="0" customWidth="1"/>
    <col min="8" max="8" width="45.8515625" style="0" customWidth="1"/>
    <col min="9" max="9" width="19.00390625" style="0" customWidth="1"/>
  </cols>
  <sheetData>
    <row r="1" spans="2:6" ht="30" customHeight="1">
      <c r="B1" s="310" t="s">
        <v>128</v>
      </c>
      <c r="C1" s="310"/>
      <c r="D1" s="310"/>
      <c r="E1" s="310"/>
      <c r="F1" s="310"/>
    </row>
    <row r="2" spans="2:13" ht="17.25" customHeight="1">
      <c r="B2" s="246" t="s">
        <v>14</v>
      </c>
      <c r="C2" s="247"/>
      <c r="D2" s="247"/>
      <c r="E2" s="248"/>
      <c r="F2" s="248"/>
      <c r="J2" s="334"/>
      <c r="K2" s="334" t="s">
        <v>66</v>
      </c>
      <c r="L2" s="334"/>
      <c r="M2" s="334"/>
    </row>
    <row r="3" spans="2:13" ht="15">
      <c r="B3" s="249" t="s">
        <v>10</v>
      </c>
      <c r="C3" s="250" t="s">
        <v>49</v>
      </c>
      <c r="D3" s="250" t="s">
        <v>52</v>
      </c>
      <c r="E3" s="251" t="s">
        <v>50</v>
      </c>
      <c r="F3" s="252" t="s">
        <v>51</v>
      </c>
      <c r="J3" s="7"/>
      <c r="K3" s="7" t="s">
        <v>63</v>
      </c>
      <c r="L3" s="7" t="s">
        <v>64</v>
      </c>
      <c r="M3" s="7" t="s">
        <v>65</v>
      </c>
    </row>
    <row r="4" spans="2:13" ht="15">
      <c r="B4" s="253" t="s">
        <v>11</v>
      </c>
      <c r="C4" s="254">
        <v>0.75</v>
      </c>
      <c r="D4" s="254">
        <f>((C4*4)*4)*2</f>
        <v>24</v>
      </c>
      <c r="E4" s="254">
        <f>(D4*5)</f>
        <v>120</v>
      </c>
      <c r="F4" s="255">
        <f>(E4*4)</f>
        <v>480</v>
      </c>
      <c r="J4" s="7" t="s">
        <v>60</v>
      </c>
      <c r="K4" s="330">
        <v>0.16</v>
      </c>
      <c r="L4" s="331">
        <f>+K4</f>
        <v>0.16</v>
      </c>
      <c r="M4" s="7"/>
    </row>
    <row r="5" spans="2:13" ht="15">
      <c r="B5" s="253" t="s">
        <v>12</v>
      </c>
      <c r="C5" s="254">
        <v>0.5</v>
      </c>
      <c r="D5" s="254">
        <f>(C5*6)*20</f>
        <v>60</v>
      </c>
      <c r="E5" s="254">
        <f>(D5*5)</f>
        <v>300</v>
      </c>
      <c r="F5" s="255">
        <f>(E5*4)</f>
        <v>1200</v>
      </c>
      <c r="J5" s="7" t="s">
        <v>61</v>
      </c>
      <c r="K5" s="7">
        <f>(5000+42)/2</f>
        <v>2521</v>
      </c>
      <c r="L5" s="7">
        <f>(351+31)/2</f>
        <v>191</v>
      </c>
      <c r="M5" s="7"/>
    </row>
    <row r="6" spans="2:13" ht="15">
      <c r="B6" s="253"/>
      <c r="C6" s="254"/>
      <c r="D6" s="254"/>
      <c r="E6" s="254"/>
      <c r="F6" s="255"/>
      <c r="J6" s="7" t="s">
        <v>62</v>
      </c>
      <c r="K6" s="7">
        <f>(K5*K4)</f>
        <v>403.36</v>
      </c>
      <c r="L6" s="7">
        <f>(L5*L4)</f>
        <v>30.560000000000002</v>
      </c>
      <c r="M6" s="333">
        <f>(K6+L6)/2</f>
        <v>216.96</v>
      </c>
    </row>
    <row r="7" spans="2:13" ht="15.75">
      <c r="B7" s="256" t="s">
        <v>13</v>
      </c>
      <c r="C7" s="257">
        <f>C4+C5</f>
        <v>1.25</v>
      </c>
      <c r="D7" s="257">
        <f>D4+D5</f>
        <v>84</v>
      </c>
      <c r="E7" s="257">
        <f>E4+E5</f>
        <v>420</v>
      </c>
      <c r="F7" s="258">
        <f>F4+F5</f>
        <v>1680</v>
      </c>
      <c r="G7" s="129"/>
      <c r="H7" s="137"/>
      <c r="I7" s="18"/>
      <c r="J7" s="7"/>
      <c r="K7" s="7"/>
      <c r="L7" s="7"/>
      <c r="M7" s="7"/>
    </row>
    <row r="8" spans="2:13" ht="15.75">
      <c r="B8" s="256"/>
      <c r="C8" s="257"/>
      <c r="D8" s="257"/>
      <c r="E8" s="257"/>
      <c r="F8" s="258"/>
      <c r="G8" s="137"/>
      <c r="H8" s="137"/>
      <c r="I8" s="18"/>
      <c r="J8" s="7"/>
      <c r="K8" s="7"/>
      <c r="L8" s="7"/>
      <c r="M8" s="7"/>
    </row>
    <row r="9" spans="2:13" ht="19.5" customHeight="1">
      <c r="B9" s="246" t="s">
        <v>15</v>
      </c>
      <c r="C9" s="259" t="s">
        <v>49</v>
      </c>
      <c r="D9" s="260" t="s">
        <v>51</v>
      </c>
      <c r="E9" s="259"/>
      <c r="F9" s="260" t="s">
        <v>183</v>
      </c>
      <c r="J9" s="7"/>
      <c r="K9" s="7" t="s">
        <v>63</v>
      </c>
      <c r="L9" s="7" t="s">
        <v>64</v>
      </c>
      <c r="M9" s="7" t="s">
        <v>65</v>
      </c>
    </row>
    <row r="10" spans="2:13" ht="15">
      <c r="B10" s="249"/>
      <c r="C10" s="261"/>
      <c r="D10" s="261"/>
      <c r="E10" s="295"/>
      <c r="F10" s="97"/>
      <c r="J10" s="7" t="s">
        <v>60</v>
      </c>
      <c r="K10" s="330">
        <v>0.15</v>
      </c>
      <c r="L10" s="331">
        <f>+K10</f>
        <v>0.15</v>
      </c>
      <c r="M10" s="7"/>
    </row>
    <row r="11" spans="2:13" ht="15">
      <c r="B11" s="253" t="s">
        <v>45</v>
      </c>
      <c r="C11" s="254">
        <f>F78</f>
        <v>198.5</v>
      </c>
      <c r="D11" s="254">
        <f>C11</f>
        <v>198.5</v>
      </c>
      <c r="E11" s="295"/>
      <c r="F11" s="297">
        <f>D11*12</f>
        <v>2382</v>
      </c>
      <c r="J11" s="7" t="s">
        <v>61</v>
      </c>
      <c r="K11" s="7">
        <f>(5000+42)/2</f>
        <v>2521</v>
      </c>
      <c r="L11" s="7">
        <f>(351+31)/2</f>
        <v>191</v>
      </c>
      <c r="M11" s="7"/>
    </row>
    <row r="12" spans="2:13" ht="15">
      <c r="B12" s="253"/>
      <c r="C12" s="254"/>
      <c r="D12" s="254"/>
      <c r="E12" s="295"/>
      <c r="F12" s="97"/>
      <c r="J12" s="7" t="s">
        <v>62</v>
      </c>
      <c r="K12" s="7">
        <f>(K11*K10)</f>
        <v>378.15</v>
      </c>
      <c r="L12" s="7">
        <f>(L11*L10)</f>
        <v>28.65</v>
      </c>
      <c r="M12" s="333">
        <f>(K12+L12)/2</f>
        <v>203.39999999999998</v>
      </c>
    </row>
    <row r="13" spans="2:13" ht="15.75">
      <c r="B13" s="262" t="s">
        <v>16</v>
      </c>
      <c r="C13" s="263">
        <f>C10+C11</f>
        <v>198.5</v>
      </c>
      <c r="D13" s="263">
        <f>D10+D11</f>
        <v>198.5</v>
      </c>
      <c r="E13" s="296"/>
      <c r="F13" s="97"/>
      <c r="J13" s="7"/>
      <c r="K13" s="7"/>
      <c r="L13" s="7"/>
      <c r="M13" s="7"/>
    </row>
    <row r="14" spans="2:13" ht="15">
      <c r="B14" s="253"/>
      <c r="C14" s="264"/>
      <c r="D14" s="264"/>
      <c r="E14" s="253"/>
      <c r="F14" s="265"/>
      <c r="J14" s="7"/>
      <c r="K14" s="7"/>
      <c r="L14" s="7">
        <v>30</v>
      </c>
      <c r="M14" s="332">
        <f>L14/M12</f>
        <v>0.1474926253687316</v>
      </c>
    </row>
    <row r="15" spans="2:6" ht="15.75">
      <c r="B15" s="266"/>
      <c r="C15" s="326"/>
      <c r="D15" s="326"/>
      <c r="E15" s="327" t="s">
        <v>30</v>
      </c>
      <c r="F15" s="328">
        <f>F7+D13</f>
        <v>1878.5</v>
      </c>
    </row>
    <row r="16" spans="2:6" ht="12.75">
      <c r="B16" s="18"/>
      <c r="C16" s="67"/>
      <c r="D16" s="67"/>
      <c r="E16" s="18"/>
      <c r="F16" s="64"/>
    </row>
    <row r="17" spans="2:6" ht="12.75">
      <c r="B17" s="18"/>
      <c r="C17" s="67"/>
      <c r="D17" s="67"/>
      <c r="E17" s="18"/>
      <c r="F17" s="64"/>
    </row>
    <row r="18" spans="2:8" ht="12.75">
      <c r="B18" s="135" t="s">
        <v>164</v>
      </c>
      <c r="C18" s="136"/>
      <c r="D18" s="136" t="s">
        <v>167</v>
      </c>
      <c r="E18" s="69"/>
      <c r="F18" s="70"/>
      <c r="G18" s="71"/>
      <c r="H18" s="128"/>
    </row>
    <row r="19" spans="2:8" ht="12.75">
      <c r="B19" s="74" t="s">
        <v>165</v>
      </c>
      <c r="C19" s="72"/>
      <c r="D19" s="72"/>
      <c r="E19" s="71"/>
      <c r="F19" s="71"/>
      <c r="G19" s="71"/>
      <c r="H19" s="128"/>
    </row>
    <row r="20" spans="2:10" ht="12.75">
      <c r="B20" s="71" t="s">
        <v>157</v>
      </c>
      <c r="C20" s="73">
        <f>+$F$7</f>
        <v>1680</v>
      </c>
      <c r="D20" s="72"/>
      <c r="E20" s="73">
        <f>(C20*0.3)</f>
        <v>504</v>
      </c>
      <c r="F20" s="72" t="s">
        <v>168</v>
      </c>
      <c r="G20" s="71"/>
      <c r="H20" s="128"/>
      <c r="J20" s="128"/>
    </row>
    <row r="21" spans="2:10" ht="12.75">
      <c r="B21" s="71" t="s">
        <v>158</v>
      </c>
      <c r="C21" s="73">
        <f>+$F$7</f>
        <v>1680</v>
      </c>
      <c r="D21" s="72"/>
      <c r="E21" s="73">
        <f>(C21*0.3)</f>
        <v>504</v>
      </c>
      <c r="F21" s="72" t="s">
        <v>161</v>
      </c>
      <c r="G21" s="71"/>
      <c r="H21" s="128"/>
      <c r="J21" s="128"/>
    </row>
    <row r="22" spans="2:10" ht="12.75">
      <c r="B22" s="71" t="s">
        <v>159</v>
      </c>
      <c r="C22" s="73">
        <f>+$F$7</f>
        <v>1680</v>
      </c>
      <c r="D22" s="72"/>
      <c r="E22" s="73">
        <f>(C22*0.3)</f>
        <v>504</v>
      </c>
      <c r="F22" s="72" t="s">
        <v>170</v>
      </c>
      <c r="G22" s="71"/>
      <c r="H22" s="128"/>
      <c r="J22" s="128"/>
    </row>
    <row r="23" spans="2:10" ht="12.75">
      <c r="B23" s="71" t="s">
        <v>160</v>
      </c>
      <c r="C23" s="73">
        <f>+$F$7</f>
        <v>1680</v>
      </c>
      <c r="D23" s="72"/>
      <c r="E23" s="73">
        <f>(C23*0.3)</f>
        <v>504</v>
      </c>
      <c r="F23" s="72" t="s">
        <v>171</v>
      </c>
      <c r="G23" s="71"/>
      <c r="H23" s="128"/>
      <c r="J23" s="128"/>
    </row>
    <row r="24" spans="2:10" ht="12.75">
      <c r="B24" s="74" t="s">
        <v>166</v>
      </c>
      <c r="C24" s="73"/>
      <c r="D24" s="72"/>
      <c r="E24" s="73">
        <v>760.5</v>
      </c>
      <c r="F24" s="72" t="s">
        <v>172</v>
      </c>
      <c r="G24" s="71"/>
      <c r="H24" s="128"/>
      <c r="J24" s="128"/>
    </row>
    <row r="25" spans="2:10" ht="12.75">
      <c r="B25" s="71" t="s">
        <v>162</v>
      </c>
      <c r="C25" s="73">
        <f>+$C$23</f>
        <v>1680</v>
      </c>
      <c r="D25" s="72"/>
      <c r="E25" s="73"/>
      <c r="F25" s="71"/>
      <c r="G25" s="71"/>
      <c r="H25" s="128"/>
      <c r="J25" s="128"/>
    </row>
    <row r="26" spans="2:10" ht="12.75">
      <c r="B26" s="71" t="s">
        <v>163</v>
      </c>
      <c r="C26" s="73">
        <f>+$C$23</f>
        <v>1680</v>
      </c>
      <c r="D26" s="72"/>
      <c r="E26" s="73"/>
      <c r="F26" s="71" t="s">
        <v>173</v>
      </c>
      <c r="G26" s="71"/>
      <c r="H26" s="128"/>
      <c r="J26" s="128"/>
    </row>
    <row r="27" spans="2:10" ht="12.75">
      <c r="B27" s="71" t="s">
        <v>169</v>
      </c>
      <c r="C27" s="73">
        <f>+$C$23</f>
        <v>1680</v>
      </c>
      <c r="D27" s="72"/>
      <c r="E27" s="73"/>
      <c r="F27" s="71" t="s">
        <v>10</v>
      </c>
      <c r="G27" s="71"/>
      <c r="H27" s="128"/>
      <c r="J27" s="128"/>
    </row>
    <row r="28" spans="2:10" ht="12.75">
      <c r="B28" s="71"/>
      <c r="C28" s="73">
        <f>SUM(C20:C27)</f>
        <v>11760</v>
      </c>
      <c r="D28" s="72"/>
      <c r="E28" s="73">
        <f>SUM(E20:E27)</f>
        <v>2776.5</v>
      </c>
      <c r="F28" s="329">
        <f>(C28+E28)</f>
        <v>14536.5</v>
      </c>
      <c r="G28" s="71"/>
      <c r="H28" s="128"/>
      <c r="J28" s="128"/>
    </row>
    <row r="29" spans="2:10" ht="12.75">
      <c r="B29" s="71"/>
      <c r="C29" s="72"/>
      <c r="D29" s="72"/>
      <c r="E29" s="71"/>
      <c r="F29" s="71"/>
      <c r="G29" s="71"/>
      <c r="H29" s="128"/>
      <c r="J29" s="128"/>
    </row>
    <row r="30" spans="2:10" ht="12.75">
      <c r="B30" s="74" t="s">
        <v>175</v>
      </c>
      <c r="C30" s="72"/>
      <c r="D30" s="72"/>
      <c r="E30" s="71"/>
      <c r="F30" s="71"/>
      <c r="G30" s="71"/>
      <c r="H30" s="128"/>
      <c r="J30" s="128"/>
    </row>
    <row r="31" spans="2:10" ht="12.75">
      <c r="B31" s="75" t="s">
        <v>10</v>
      </c>
      <c r="C31" s="73">
        <f>+F28</f>
        <v>14536.5</v>
      </c>
      <c r="D31" s="72"/>
      <c r="E31" s="71"/>
      <c r="F31" s="71"/>
      <c r="G31" s="71"/>
      <c r="H31" s="128"/>
      <c r="J31" s="128"/>
    </row>
    <row r="32" spans="2:10" ht="12.75">
      <c r="B32" s="75" t="s">
        <v>174</v>
      </c>
      <c r="C32" s="73">
        <f>(D11*12)</f>
        <v>2382</v>
      </c>
      <c r="D32" s="72"/>
      <c r="E32" s="71"/>
      <c r="F32" s="71"/>
      <c r="G32" s="71"/>
      <c r="H32" s="128"/>
      <c r="J32" s="128"/>
    </row>
    <row r="33" spans="2:12" ht="12.75">
      <c r="B33" s="76" t="s">
        <v>97</v>
      </c>
      <c r="C33" s="73">
        <f>SUM(C31:C32)</f>
        <v>16918.5</v>
      </c>
      <c r="D33" s="72"/>
      <c r="E33" s="71"/>
      <c r="F33" s="71"/>
      <c r="G33" s="71"/>
      <c r="H33" s="128"/>
      <c r="J33" s="128"/>
      <c r="K33" s="128"/>
      <c r="L33" s="128"/>
    </row>
    <row r="34" spans="2:12" ht="12.75">
      <c r="B34" s="71"/>
      <c r="C34" s="72"/>
      <c r="D34" s="72"/>
      <c r="E34" s="71"/>
      <c r="F34" s="71"/>
      <c r="G34" s="71"/>
      <c r="H34" s="128"/>
      <c r="J34" s="128"/>
      <c r="K34" s="128"/>
      <c r="L34" s="128"/>
    </row>
    <row r="35" spans="2:12" ht="12.75">
      <c r="B35" s="75"/>
      <c r="C35" s="77" t="s">
        <v>17</v>
      </c>
      <c r="D35" s="77" t="s">
        <v>18</v>
      </c>
      <c r="E35" s="77" t="s">
        <v>19</v>
      </c>
      <c r="F35" s="77" t="s">
        <v>20</v>
      </c>
      <c r="G35" s="77" t="s">
        <v>21</v>
      </c>
      <c r="H35" s="138"/>
      <c r="J35" s="299"/>
      <c r="K35" s="128"/>
      <c r="L35" s="128"/>
    </row>
    <row r="36" spans="2:12" ht="12.75">
      <c r="B36" s="75"/>
      <c r="C36" s="78"/>
      <c r="D36" s="78"/>
      <c r="E36" s="75"/>
      <c r="F36" s="75"/>
      <c r="G36" s="75"/>
      <c r="H36" s="93"/>
      <c r="J36" s="128"/>
      <c r="K36" s="128"/>
      <c r="L36" s="128"/>
    </row>
    <row r="37" spans="2:12" ht="12.75">
      <c r="B37" s="75" t="s">
        <v>22</v>
      </c>
      <c r="C37" s="73">
        <f>+C33</f>
        <v>16918.5</v>
      </c>
      <c r="D37" s="73">
        <f>(C37*1.05)</f>
        <v>17764.425</v>
      </c>
      <c r="E37" s="73">
        <f>(D37*1.05)</f>
        <v>18652.64625</v>
      </c>
      <c r="F37" s="73">
        <f>(E37*1.05)</f>
        <v>19585.278562500003</v>
      </c>
      <c r="G37" s="73">
        <f>(F37*1.05)</f>
        <v>20564.542490625005</v>
      </c>
      <c r="H37" s="137"/>
      <c r="J37" s="128"/>
      <c r="K37" s="128"/>
      <c r="L37" s="128"/>
    </row>
    <row r="38" spans="2:8" ht="12.75">
      <c r="B38" s="128"/>
      <c r="C38" s="134"/>
      <c r="D38" s="134"/>
      <c r="E38" s="128"/>
      <c r="F38" s="128"/>
      <c r="G38" s="128"/>
      <c r="H38" s="128"/>
    </row>
    <row r="39" spans="2:11" ht="12.75">
      <c r="B39" s="128"/>
      <c r="C39" s="134"/>
      <c r="D39" s="134"/>
      <c r="E39" s="128"/>
      <c r="F39" s="128"/>
      <c r="G39" s="128"/>
      <c r="H39" s="128"/>
      <c r="K39" s="3" t="s">
        <v>44</v>
      </c>
    </row>
    <row r="40" spans="2:11" ht="12.75">
      <c r="B40" s="128"/>
      <c r="C40" s="134"/>
      <c r="D40" s="134"/>
      <c r="E40" s="128"/>
      <c r="F40" s="128"/>
      <c r="G40" s="128"/>
      <c r="H40" s="128"/>
      <c r="K40" s="5">
        <v>1000</v>
      </c>
    </row>
    <row r="41" spans="2:11" ht="12.75">
      <c r="B41" s="128"/>
      <c r="C41" s="134"/>
      <c r="D41" s="134"/>
      <c r="E41" s="128"/>
      <c r="F41" s="128"/>
      <c r="G41" s="128"/>
      <c r="H41" s="128"/>
      <c r="K41" s="5"/>
    </row>
    <row r="42" spans="2:11" ht="12.75">
      <c r="B42" s="128"/>
      <c r="C42" s="134"/>
      <c r="D42" s="134"/>
      <c r="E42" s="128"/>
      <c r="F42" s="128"/>
      <c r="G42" s="128"/>
      <c r="H42" s="128"/>
      <c r="K42" s="5"/>
    </row>
    <row r="43" spans="2:11" ht="12.75">
      <c r="B43" s="128"/>
      <c r="C43" s="134"/>
      <c r="D43" s="134"/>
      <c r="E43" s="128"/>
      <c r="F43" s="128"/>
      <c r="G43" s="128"/>
      <c r="H43" s="128"/>
      <c r="K43" s="5"/>
    </row>
    <row r="44" spans="2:11" ht="12.75">
      <c r="B44" s="128"/>
      <c r="C44" s="134"/>
      <c r="D44" s="134"/>
      <c r="E44" s="128"/>
      <c r="F44" s="128"/>
      <c r="G44" s="128"/>
      <c r="H44" s="128"/>
      <c r="K44" s="5"/>
    </row>
    <row r="45" spans="2:11" ht="12.75">
      <c r="B45" s="128"/>
      <c r="C45" s="134"/>
      <c r="D45" s="134"/>
      <c r="E45" s="128"/>
      <c r="F45" s="128"/>
      <c r="G45" s="128"/>
      <c r="H45" s="128"/>
      <c r="K45" s="5"/>
    </row>
    <row r="46" spans="2:11" ht="12.75">
      <c r="B46" s="128"/>
      <c r="C46" s="134"/>
      <c r="D46" s="134"/>
      <c r="E46" s="128"/>
      <c r="F46" s="128"/>
      <c r="G46" s="128"/>
      <c r="H46" s="128"/>
      <c r="K46" s="5"/>
    </row>
    <row r="50" spans="2:6" ht="12.75">
      <c r="B50" s="7"/>
      <c r="C50" s="2" t="s">
        <v>70</v>
      </c>
      <c r="D50" s="2" t="s">
        <v>92</v>
      </c>
      <c r="E50" s="2" t="s">
        <v>72</v>
      </c>
      <c r="F50" s="2" t="s">
        <v>30</v>
      </c>
    </row>
    <row r="51" spans="2:6" ht="12.75">
      <c r="B51" s="8" t="s">
        <v>73</v>
      </c>
      <c r="C51" s="26"/>
      <c r="D51" s="26"/>
      <c r="E51" s="26"/>
      <c r="F51" s="26"/>
    </row>
    <row r="52" spans="2:6" ht="12.75">
      <c r="B52" s="7" t="s">
        <v>74</v>
      </c>
      <c r="C52" s="26">
        <f>F52/15</f>
        <v>40</v>
      </c>
      <c r="D52" s="26"/>
      <c r="E52" s="26">
        <v>200</v>
      </c>
      <c r="F52" s="26">
        <f>E52*3</f>
        <v>600</v>
      </c>
    </row>
    <row r="53" spans="2:6" ht="12.75">
      <c r="B53" s="7" t="s">
        <v>75</v>
      </c>
      <c r="C53" s="26">
        <v>12</v>
      </c>
      <c r="D53" s="26">
        <f>C53*15</f>
        <v>180</v>
      </c>
      <c r="E53" s="26"/>
      <c r="F53" s="26">
        <f>D53</f>
        <v>180</v>
      </c>
    </row>
    <row r="54" spans="2:6" ht="12.75">
      <c r="B54" s="7"/>
      <c r="C54" s="26"/>
      <c r="D54" s="26"/>
      <c r="E54" s="26"/>
      <c r="F54" s="26"/>
    </row>
    <row r="55" spans="2:6" ht="12.75">
      <c r="B55" s="7"/>
      <c r="C55" s="26"/>
      <c r="D55" s="26"/>
      <c r="E55" s="26"/>
      <c r="F55" s="26"/>
    </row>
    <row r="56" spans="2:6" ht="12.75">
      <c r="B56" s="7"/>
      <c r="C56" s="26"/>
      <c r="D56" s="26"/>
      <c r="E56" s="26"/>
      <c r="F56" s="26"/>
    </row>
    <row r="57" spans="2:6" ht="12.75">
      <c r="B57" s="8" t="s">
        <v>76</v>
      </c>
      <c r="C57" s="26"/>
      <c r="D57" s="26"/>
      <c r="E57" s="26"/>
      <c r="F57" s="26"/>
    </row>
    <row r="58" spans="2:6" ht="12.75">
      <c r="B58" s="7" t="s">
        <v>77</v>
      </c>
      <c r="C58" s="26">
        <v>20</v>
      </c>
      <c r="D58" s="26">
        <f>C58*15</f>
        <v>300</v>
      </c>
      <c r="E58" s="26"/>
      <c r="F58" s="26">
        <f>D58</f>
        <v>300</v>
      </c>
    </row>
    <row r="59" spans="2:6" ht="12.75">
      <c r="B59" s="7"/>
      <c r="C59" s="26"/>
      <c r="D59" s="26"/>
      <c r="E59" s="26"/>
      <c r="F59" s="26"/>
    </row>
    <row r="60" spans="2:6" ht="12.75">
      <c r="B60" s="8" t="s">
        <v>78</v>
      </c>
      <c r="C60" s="26"/>
      <c r="D60" s="26"/>
      <c r="E60" s="26"/>
      <c r="F60" s="26"/>
    </row>
    <row r="61" spans="2:6" ht="12.75">
      <c r="B61" s="7" t="s">
        <v>79</v>
      </c>
      <c r="C61" s="26">
        <v>8</v>
      </c>
      <c r="D61" s="26">
        <f>C61*15</f>
        <v>120</v>
      </c>
      <c r="E61" s="26"/>
      <c r="F61" s="26">
        <f>D61</f>
        <v>120</v>
      </c>
    </row>
    <row r="62" spans="2:6" ht="12.75">
      <c r="B62" s="7" t="s">
        <v>80</v>
      </c>
      <c r="C62" s="26">
        <v>18</v>
      </c>
      <c r="D62" s="26">
        <f>C62*15</f>
        <v>270</v>
      </c>
      <c r="E62" s="26"/>
      <c r="F62" s="26">
        <f>D62</f>
        <v>270</v>
      </c>
    </row>
    <row r="63" spans="2:6" ht="12.75">
      <c r="B63" s="7" t="s">
        <v>81</v>
      </c>
      <c r="C63" s="26">
        <v>12</v>
      </c>
      <c r="D63" s="26">
        <f>C63*15</f>
        <v>180</v>
      </c>
      <c r="E63" s="26"/>
      <c r="F63" s="26">
        <f>D63</f>
        <v>180</v>
      </c>
    </row>
    <row r="64" spans="2:6" ht="12.75">
      <c r="B64" s="7" t="s">
        <v>82</v>
      </c>
      <c r="C64" s="26">
        <v>1</v>
      </c>
      <c r="D64" s="26">
        <f>C64*15</f>
        <v>15</v>
      </c>
      <c r="E64" s="26"/>
      <c r="F64" s="26">
        <f>D64</f>
        <v>15</v>
      </c>
    </row>
    <row r="65" spans="2:6" ht="12.75">
      <c r="B65" s="7" t="s">
        <v>83</v>
      </c>
      <c r="C65" s="26">
        <v>2</v>
      </c>
      <c r="D65" s="26">
        <f>C65*15</f>
        <v>30</v>
      </c>
      <c r="E65" s="26"/>
      <c r="F65" s="26">
        <f>D65</f>
        <v>30</v>
      </c>
    </row>
    <row r="66" spans="2:6" ht="12.75">
      <c r="B66" s="7"/>
      <c r="C66" s="26"/>
      <c r="D66" s="26"/>
      <c r="E66" s="26"/>
      <c r="F66" s="26"/>
    </row>
    <row r="67" spans="2:6" ht="12.75">
      <c r="B67" s="8" t="s">
        <v>84</v>
      </c>
      <c r="C67" s="26"/>
      <c r="D67" s="26"/>
      <c r="E67" s="26"/>
      <c r="F67" s="26"/>
    </row>
    <row r="68" spans="2:6" ht="12.75">
      <c r="B68" s="7" t="s">
        <v>85</v>
      </c>
      <c r="C68" s="26">
        <v>4.5</v>
      </c>
      <c r="D68" s="26"/>
      <c r="E68" s="26"/>
      <c r="F68" s="26">
        <v>90</v>
      </c>
    </row>
    <row r="69" spans="2:6" ht="12.75">
      <c r="B69" s="7"/>
      <c r="C69" s="26"/>
      <c r="D69" s="26"/>
      <c r="E69" s="26"/>
      <c r="F69" s="26"/>
    </row>
    <row r="70" spans="2:6" ht="12.75">
      <c r="B70" s="8" t="s">
        <v>86</v>
      </c>
      <c r="C70" s="26"/>
      <c r="D70" s="26"/>
      <c r="E70" s="26"/>
      <c r="F70" s="26"/>
    </row>
    <row r="71" spans="2:6" ht="12.75">
      <c r="B71" s="7" t="s">
        <v>87</v>
      </c>
      <c r="C71" s="26">
        <v>5</v>
      </c>
      <c r="D71" s="26"/>
      <c r="E71" s="26"/>
      <c r="F71" s="26">
        <v>100</v>
      </c>
    </row>
    <row r="72" spans="2:6" ht="12.75">
      <c r="B72" s="7" t="s">
        <v>88</v>
      </c>
      <c r="C72" s="26">
        <v>5</v>
      </c>
      <c r="D72" s="26"/>
      <c r="E72" s="26"/>
      <c r="F72" s="26">
        <v>100</v>
      </c>
    </row>
    <row r="73" spans="2:6" ht="12.75">
      <c r="B73" s="7"/>
      <c r="C73" s="26"/>
      <c r="D73" s="26"/>
      <c r="E73" s="26"/>
      <c r="F73" s="7"/>
    </row>
    <row r="74" spans="2:6" ht="12.75">
      <c r="B74" s="7" t="s">
        <v>42</v>
      </c>
      <c r="C74" s="27">
        <f>SUM(C52:C73)</f>
        <v>127.5</v>
      </c>
      <c r="D74" s="26"/>
      <c r="E74" s="26"/>
      <c r="F74" s="27">
        <f>SUM(F52:F72)</f>
        <v>1985</v>
      </c>
    </row>
    <row r="75" spans="2:6" ht="12.75">
      <c r="B75" s="7"/>
      <c r="C75" s="26"/>
      <c r="D75" s="26"/>
      <c r="E75" s="26"/>
      <c r="F75" s="26"/>
    </row>
    <row r="76" spans="2:6" ht="12.75">
      <c r="B76" s="7" t="s">
        <v>177</v>
      </c>
      <c r="C76" s="26">
        <f>(C74*0.05)</f>
        <v>6.375</v>
      </c>
      <c r="D76" s="26"/>
      <c r="E76" s="26"/>
      <c r="F76" s="26">
        <f>(F74*5)/100</f>
        <v>99.25</v>
      </c>
    </row>
    <row r="77" spans="2:6" ht="12.75">
      <c r="B77" s="7"/>
      <c r="C77" s="26"/>
      <c r="D77" s="26"/>
      <c r="E77" s="26"/>
      <c r="F77" s="26"/>
    </row>
    <row r="78" spans="2:7" ht="12.75">
      <c r="B78" s="7" t="s">
        <v>89</v>
      </c>
      <c r="C78" s="26">
        <f>(C74*0.1)</f>
        <v>12.75</v>
      </c>
      <c r="D78" s="26"/>
      <c r="E78" s="26"/>
      <c r="F78" s="26">
        <f>(F74*10)/100</f>
        <v>198.5</v>
      </c>
      <c r="G78" s="298"/>
    </row>
    <row r="79" spans="2:6" ht="12.75">
      <c r="B79" s="7"/>
      <c r="C79" s="7"/>
      <c r="D79" s="7"/>
      <c r="E79" s="7"/>
      <c r="F79" s="7"/>
    </row>
    <row r="80" spans="2:6" ht="12.75">
      <c r="B80" s="7" t="s">
        <v>90</v>
      </c>
      <c r="C80" s="28">
        <f>C74+C76+C78</f>
        <v>146.625</v>
      </c>
      <c r="D80" s="7"/>
      <c r="E80" s="7"/>
      <c r="F80" s="28">
        <f>F74+F76+F78</f>
        <v>2282.75</v>
      </c>
    </row>
    <row r="81" spans="2:6" ht="12.75">
      <c r="B81" s="7"/>
      <c r="C81" s="7"/>
      <c r="D81" s="7"/>
      <c r="E81" s="7"/>
      <c r="F81" s="7"/>
    </row>
    <row r="82" spans="2:6" ht="12.75">
      <c r="B82" s="7" t="s">
        <v>91</v>
      </c>
      <c r="C82" s="29">
        <v>150</v>
      </c>
      <c r="D82" s="7"/>
      <c r="E82" s="7"/>
      <c r="F82" s="7"/>
    </row>
    <row r="84" spans="3:5" ht="12.75">
      <c r="C84" s="32"/>
      <c r="D84" s="32"/>
      <c r="E84" s="32"/>
    </row>
    <row r="85" spans="3:10" ht="12.75">
      <c r="C85" s="32"/>
      <c r="D85" s="32"/>
      <c r="E85" s="32"/>
      <c r="F85" s="31"/>
      <c r="J85" s="30"/>
    </row>
    <row r="86" spans="3:6" ht="49.5" customHeight="1">
      <c r="C86" s="32"/>
      <c r="D86" s="32"/>
      <c r="E86" s="32"/>
      <c r="F86" s="31"/>
    </row>
    <row r="87" spans="3:6" ht="12.75">
      <c r="C87" s="32"/>
      <c r="D87" s="32"/>
      <c r="E87" s="32"/>
      <c r="F87" s="31"/>
    </row>
    <row r="88" spans="3:6" ht="12.75">
      <c r="C88" s="32"/>
      <c r="D88" s="32"/>
      <c r="E88" s="32"/>
      <c r="F88" s="31"/>
    </row>
    <row r="89" spans="3:6" ht="12.75">
      <c r="C89" s="32"/>
      <c r="D89" s="32"/>
      <c r="E89" s="32"/>
      <c r="F89" s="31"/>
    </row>
    <row r="90" spans="2:6" ht="23.25">
      <c r="B90" s="25" t="s">
        <v>69</v>
      </c>
      <c r="C90" s="7"/>
      <c r="D90" s="7"/>
      <c r="E90" s="7"/>
      <c r="F90" s="7"/>
    </row>
    <row r="91" spans="2:6" ht="12.75">
      <c r="B91" s="7"/>
      <c r="C91" s="2" t="s">
        <v>70</v>
      </c>
      <c r="D91" s="2" t="s">
        <v>71</v>
      </c>
      <c r="E91" s="2" t="s">
        <v>72</v>
      </c>
      <c r="F91" s="2" t="s">
        <v>30</v>
      </c>
    </row>
    <row r="92" spans="2:6" ht="12.75">
      <c r="B92" s="8" t="s">
        <v>73</v>
      </c>
      <c r="C92" s="26"/>
      <c r="D92" s="26"/>
      <c r="E92" s="26"/>
      <c r="F92" s="26"/>
    </row>
    <row r="93" spans="2:6" ht="12.75">
      <c r="B93" s="7" t="s">
        <v>74</v>
      </c>
      <c r="C93" s="26">
        <f>F93/20</f>
        <v>30</v>
      </c>
      <c r="D93" s="26"/>
      <c r="E93" s="26">
        <v>200</v>
      </c>
      <c r="F93" s="26">
        <f>E93*3</f>
        <v>600</v>
      </c>
    </row>
    <row r="94" spans="2:6" ht="12.75">
      <c r="B94" s="7" t="s">
        <v>75</v>
      </c>
      <c r="C94" s="26">
        <v>12</v>
      </c>
      <c r="D94" s="26">
        <f>C94*20</f>
        <v>240</v>
      </c>
      <c r="E94" s="26"/>
      <c r="F94" s="26">
        <f>D94</f>
        <v>240</v>
      </c>
    </row>
    <row r="95" spans="2:6" ht="12.75">
      <c r="B95" s="7"/>
      <c r="C95" s="26"/>
      <c r="D95" s="26"/>
      <c r="E95" s="26"/>
      <c r="F95" s="26"/>
    </row>
    <row r="96" spans="2:6" ht="12.75">
      <c r="B96" s="7"/>
      <c r="C96" s="26"/>
      <c r="D96" s="26"/>
      <c r="E96" s="26"/>
      <c r="F96" s="26"/>
    </row>
    <row r="97" spans="2:6" ht="12.75">
      <c r="B97" s="7"/>
      <c r="C97" s="26"/>
      <c r="D97" s="26"/>
      <c r="E97" s="26"/>
      <c r="F97" s="26"/>
    </row>
    <row r="98" spans="2:6" ht="12.75">
      <c r="B98" s="8" t="s">
        <v>76</v>
      </c>
      <c r="C98" s="26"/>
      <c r="D98" s="26"/>
      <c r="E98" s="26"/>
      <c r="F98" s="26"/>
    </row>
    <row r="99" spans="2:6" ht="12.75">
      <c r="B99" s="7" t="s">
        <v>77</v>
      </c>
      <c r="C99" s="26">
        <v>20</v>
      </c>
      <c r="D99" s="26">
        <f>C99*20</f>
        <v>400</v>
      </c>
      <c r="E99" s="26"/>
      <c r="F99" s="26">
        <f>D99</f>
        <v>400</v>
      </c>
    </row>
    <row r="100" spans="2:6" ht="12.75">
      <c r="B100" s="7"/>
      <c r="C100" s="26"/>
      <c r="D100" s="26"/>
      <c r="E100" s="26"/>
      <c r="F100" s="26"/>
    </row>
    <row r="101" spans="2:6" ht="12.75">
      <c r="B101" s="8" t="s">
        <v>78</v>
      </c>
      <c r="C101" s="26"/>
      <c r="D101" s="26"/>
      <c r="E101" s="26"/>
      <c r="F101" s="26"/>
    </row>
    <row r="102" spans="2:6" ht="12.75">
      <c r="B102" s="7" t="s">
        <v>79</v>
      </c>
      <c r="C102" s="26">
        <v>8</v>
      </c>
      <c r="D102" s="26">
        <f>C102*20</f>
        <v>160</v>
      </c>
      <c r="E102" s="26"/>
      <c r="F102" s="26">
        <f>D102</f>
        <v>160</v>
      </c>
    </row>
    <row r="103" spans="2:6" ht="12.75">
      <c r="B103" s="7" t="s">
        <v>80</v>
      </c>
      <c r="C103" s="26">
        <v>18</v>
      </c>
      <c r="D103" s="26">
        <f>C103*20</f>
        <v>360</v>
      </c>
      <c r="E103" s="26"/>
      <c r="F103" s="26">
        <f>D103</f>
        <v>360</v>
      </c>
    </row>
    <row r="104" spans="2:6" ht="12.75">
      <c r="B104" s="7" t="s">
        <v>81</v>
      </c>
      <c r="C104" s="26">
        <v>12</v>
      </c>
      <c r="D104" s="26">
        <f>C104*20</f>
        <v>240</v>
      </c>
      <c r="E104" s="26"/>
      <c r="F104" s="26">
        <f>D104</f>
        <v>240</v>
      </c>
    </row>
    <row r="105" spans="2:6" ht="12.75">
      <c r="B105" s="7" t="s">
        <v>82</v>
      </c>
      <c r="C105" s="26">
        <v>1</v>
      </c>
      <c r="D105" s="26">
        <f>C105*20</f>
        <v>20</v>
      </c>
      <c r="E105" s="26"/>
      <c r="F105" s="26">
        <f>D105</f>
        <v>20</v>
      </c>
    </row>
    <row r="106" spans="2:6" ht="12.75">
      <c r="B106" s="7" t="s">
        <v>83</v>
      </c>
      <c r="C106" s="26">
        <v>2</v>
      </c>
      <c r="D106" s="26">
        <f>C106*20</f>
        <v>40</v>
      </c>
      <c r="E106" s="26"/>
      <c r="F106" s="26">
        <f>D106</f>
        <v>40</v>
      </c>
    </row>
    <row r="107" spans="2:6" ht="12.75">
      <c r="B107" s="7"/>
      <c r="C107" s="26"/>
      <c r="D107" s="26"/>
      <c r="E107" s="26"/>
      <c r="F107" s="26"/>
    </row>
    <row r="108" spans="2:6" ht="12.75">
      <c r="B108" s="8" t="s">
        <v>84</v>
      </c>
      <c r="C108" s="26"/>
      <c r="D108" s="26"/>
      <c r="E108" s="26"/>
      <c r="F108" s="26"/>
    </row>
    <row r="109" spans="2:6" ht="12.75">
      <c r="B109" s="7" t="s">
        <v>85</v>
      </c>
      <c r="C109" s="26">
        <v>4.5</v>
      </c>
      <c r="D109" s="26"/>
      <c r="E109" s="26"/>
      <c r="F109" s="26">
        <v>90</v>
      </c>
    </row>
    <row r="110" spans="2:6" ht="12.75">
      <c r="B110" s="7"/>
      <c r="C110" s="26"/>
      <c r="D110" s="26"/>
      <c r="E110" s="26"/>
      <c r="F110" s="26"/>
    </row>
    <row r="111" spans="2:6" ht="12.75">
      <c r="B111" s="8" t="s">
        <v>86</v>
      </c>
      <c r="C111" s="26"/>
      <c r="D111" s="26"/>
      <c r="E111" s="26"/>
      <c r="F111" s="26"/>
    </row>
    <row r="112" spans="2:6" ht="12.75">
      <c r="B112" s="7" t="s">
        <v>87</v>
      </c>
      <c r="C112" s="26">
        <v>5</v>
      </c>
      <c r="D112" s="26"/>
      <c r="E112" s="26"/>
      <c r="F112" s="26">
        <v>100</v>
      </c>
    </row>
    <row r="113" spans="2:6" ht="12.75">
      <c r="B113" s="7" t="s">
        <v>88</v>
      </c>
      <c r="C113" s="26">
        <v>5</v>
      </c>
      <c r="D113" s="26"/>
      <c r="E113" s="26"/>
      <c r="F113" s="26">
        <v>100</v>
      </c>
    </row>
    <row r="114" spans="2:6" ht="12.75">
      <c r="B114" s="7"/>
      <c r="C114" s="26"/>
      <c r="D114" s="26"/>
      <c r="E114" s="26"/>
      <c r="F114" s="7"/>
    </row>
    <row r="115" spans="2:6" ht="12.75">
      <c r="B115" s="7" t="s">
        <v>42</v>
      </c>
      <c r="C115" s="27">
        <f>SUM(C93:C114)</f>
        <v>117.5</v>
      </c>
      <c r="D115" s="26"/>
      <c r="E115" s="26"/>
      <c r="F115" s="27">
        <f>SUM(F93:F113)</f>
        <v>2350</v>
      </c>
    </row>
    <row r="116" spans="2:6" ht="12.75">
      <c r="B116" s="7"/>
      <c r="C116" s="26"/>
      <c r="D116" s="26"/>
      <c r="E116" s="26"/>
      <c r="F116" s="26"/>
    </row>
    <row r="117" spans="2:6" ht="12.75">
      <c r="B117" s="7" t="s">
        <v>177</v>
      </c>
      <c r="C117" s="7">
        <f>(C115*0.05)</f>
        <v>5.875</v>
      </c>
      <c r="D117" s="7"/>
      <c r="E117" s="7"/>
      <c r="F117" s="9">
        <f>(F115*5)/100</f>
        <v>117.5</v>
      </c>
    </row>
    <row r="118" spans="2:6" ht="12.75">
      <c r="B118" s="7"/>
      <c r="C118" s="7"/>
      <c r="D118" s="7"/>
      <c r="E118" s="7"/>
      <c r="F118" s="9"/>
    </row>
    <row r="119" spans="2:6" ht="12.75">
      <c r="B119" s="7" t="s">
        <v>89</v>
      </c>
      <c r="C119" s="7">
        <f>(C115*0.1)</f>
        <v>11.75</v>
      </c>
      <c r="D119" s="7"/>
      <c r="E119" s="7"/>
      <c r="F119" s="9">
        <f>(F115*10)/100</f>
        <v>235</v>
      </c>
    </row>
    <row r="120" spans="2:6" ht="12.75">
      <c r="B120" s="7"/>
      <c r="C120" s="7"/>
      <c r="D120" s="7"/>
      <c r="E120" s="7"/>
      <c r="F120" s="7"/>
    </row>
    <row r="121" spans="2:6" ht="12.75">
      <c r="B121" s="7" t="s">
        <v>90</v>
      </c>
      <c r="C121" s="28">
        <f>C115+C117+C119</f>
        <v>135.125</v>
      </c>
      <c r="D121" s="7"/>
      <c r="E121" s="7"/>
      <c r="F121" s="28">
        <f>F115+F117+F119</f>
        <v>2702.5</v>
      </c>
    </row>
    <row r="122" spans="2:6" ht="12.75">
      <c r="B122" s="7"/>
      <c r="C122" s="7"/>
      <c r="D122" s="7"/>
      <c r="E122" s="7"/>
      <c r="F122" s="7"/>
    </row>
    <row r="123" spans="2:6" ht="12.75">
      <c r="B123" s="7" t="s">
        <v>91</v>
      </c>
      <c r="C123" s="29">
        <v>140</v>
      </c>
      <c r="D123" s="7"/>
      <c r="E123" s="7"/>
      <c r="F123" s="7"/>
    </row>
  </sheetData>
  <sheetProtection/>
  <mergeCells count="1">
    <mergeCell ref="B1:F1"/>
  </mergeCell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3:I10"/>
  <sheetViews>
    <sheetView zoomScalePageLayoutView="0" workbookViewId="0" topLeftCell="A1">
      <selection activeCell="H30" sqref="H30"/>
    </sheetView>
  </sheetViews>
  <sheetFormatPr defaultColWidth="11.421875" defaultRowHeight="12.75"/>
  <cols>
    <col min="1" max="1" width="4.421875" style="0" customWidth="1"/>
    <col min="2" max="2" width="18.28125" style="0" customWidth="1"/>
    <col min="3" max="3" width="12.140625" style="0" customWidth="1"/>
    <col min="4" max="4" width="12.8515625" style="0" customWidth="1"/>
    <col min="5" max="5" width="11.8515625" style="0" customWidth="1"/>
    <col min="6" max="6" width="10.140625" style="0" customWidth="1"/>
    <col min="7" max="7" width="12.00390625" style="0" customWidth="1"/>
    <col min="8" max="8" width="10.28125" style="0" customWidth="1"/>
    <col min="9" max="9" width="11.140625" style="0" customWidth="1"/>
  </cols>
  <sheetData>
    <row r="2" ht="13.5" thickBot="1"/>
    <row r="3" spans="2:9" ht="15" customHeight="1">
      <c r="B3" s="140" t="s">
        <v>93</v>
      </c>
      <c r="C3" s="141"/>
      <c r="D3" s="141"/>
      <c r="E3" s="141"/>
      <c r="F3" s="141"/>
      <c r="G3" s="141"/>
      <c r="H3" s="141"/>
      <c r="I3" s="142"/>
    </row>
    <row r="4" spans="2:9" ht="15" customHeight="1">
      <c r="B4" s="143"/>
      <c r="C4" s="144" t="s">
        <v>95</v>
      </c>
      <c r="D4" s="144" t="s">
        <v>179</v>
      </c>
      <c r="E4" s="145"/>
      <c r="F4" s="145"/>
      <c r="G4" s="145"/>
      <c r="H4" s="145"/>
      <c r="I4" s="146"/>
    </row>
    <row r="5" spans="2:9" ht="15" customHeight="1">
      <c r="B5" s="147"/>
      <c r="C5" s="144" t="s">
        <v>96</v>
      </c>
      <c r="D5" s="144" t="s">
        <v>180</v>
      </c>
      <c r="E5" s="144">
        <v>1</v>
      </c>
      <c r="F5" s="144">
        <v>2</v>
      </c>
      <c r="G5" s="144">
        <v>3</v>
      </c>
      <c r="H5" s="144">
        <v>4</v>
      </c>
      <c r="I5" s="148">
        <v>5</v>
      </c>
    </row>
    <row r="6" spans="2:9" ht="15" customHeight="1">
      <c r="B6" s="204" t="s">
        <v>94</v>
      </c>
      <c r="C6" s="205">
        <f>'plan de inversion'!E18</f>
        <v>778.8288288288288</v>
      </c>
      <c r="D6" s="206">
        <v>3</v>
      </c>
      <c r="E6" s="205">
        <f>(C6/D6)</f>
        <v>259.6096096096096</v>
      </c>
      <c r="F6" s="205">
        <v>268.06</v>
      </c>
      <c r="G6" s="205">
        <v>268.06</v>
      </c>
      <c r="H6" s="205">
        <v>0</v>
      </c>
      <c r="I6" s="207">
        <v>0</v>
      </c>
    </row>
    <row r="7" spans="2:9" ht="15" customHeight="1">
      <c r="B7" s="208" t="s">
        <v>47</v>
      </c>
      <c r="C7" s="209">
        <f>'plan de inversion'!D22</f>
        <v>133.51351351351352</v>
      </c>
      <c r="D7" s="210">
        <v>10</v>
      </c>
      <c r="E7" s="209">
        <f>(C7/D7)</f>
        <v>13.35135135135135</v>
      </c>
      <c r="F7" s="209">
        <v>3.45</v>
      </c>
      <c r="G7" s="209">
        <v>3.45</v>
      </c>
      <c r="H7" s="209">
        <v>3.45</v>
      </c>
      <c r="I7" s="211">
        <v>3.45</v>
      </c>
    </row>
    <row r="8" spans="2:9" ht="15" customHeight="1">
      <c r="B8" s="204" t="s">
        <v>46</v>
      </c>
      <c r="C8" s="205">
        <f>'plan de inversion'!D23</f>
        <v>556.3063063063063</v>
      </c>
      <c r="D8" s="206">
        <v>10</v>
      </c>
      <c r="E8" s="205">
        <f>(C8/D8)</f>
        <v>55.63063063063063</v>
      </c>
      <c r="F8" s="205">
        <v>5.74</v>
      </c>
      <c r="G8" s="205">
        <v>5.74</v>
      </c>
      <c r="H8" s="205">
        <v>5.74</v>
      </c>
      <c r="I8" s="207">
        <v>5.74</v>
      </c>
    </row>
    <row r="9" spans="2:9" ht="15" customHeight="1">
      <c r="B9" s="208" t="s">
        <v>2</v>
      </c>
      <c r="C9" s="209">
        <f>'plan de inversion'!D24</f>
        <v>1001.3513513513514</v>
      </c>
      <c r="D9" s="210">
        <v>10</v>
      </c>
      <c r="E9" s="209">
        <f>(C9/D9)</f>
        <v>100.13513513513513</v>
      </c>
      <c r="F9" s="209">
        <v>103.39</v>
      </c>
      <c r="G9" s="209">
        <v>103.39</v>
      </c>
      <c r="H9" s="209">
        <v>103.39</v>
      </c>
      <c r="I9" s="211">
        <v>103.39</v>
      </c>
    </row>
    <row r="10" spans="2:9" ht="15" customHeight="1" thickBot="1">
      <c r="B10" s="212" t="s">
        <v>97</v>
      </c>
      <c r="C10" s="213">
        <f>SUM(C6:C9)</f>
        <v>2470</v>
      </c>
      <c r="D10" s="214"/>
      <c r="E10" s="213">
        <f>SUM(E6:E9)</f>
        <v>428.7267267267267</v>
      </c>
      <c r="F10" s="213">
        <f>SUM(F6:F9)</f>
        <v>380.64</v>
      </c>
      <c r="G10" s="213">
        <f>SUM(G6:G9)</f>
        <v>380.64</v>
      </c>
      <c r="H10" s="213">
        <f>SUM(H6:H9)</f>
        <v>112.58</v>
      </c>
      <c r="I10" s="215">
        <f>SUM(I6:I9)</f>
        <v>112.58</v>
      </c>
    </row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5"/>
  <sheetViews>
    <sheetView zoomScalePageLayoutView="0" workbookViewId="0" topLeftCell="A1">
      <selection activeCell="H31" sqref="H31"/>
    </sheetView>
  </sheetViews>
  <sheetFormatPr defaultColWidth="11.421875" defaultRowHeight="12.75"/>
  <cols>
    <col min="1" max="1" width="2.7109375" style="0" customWidth="1"/>
    <col min="2" max="2" width="16.421875" style="0" customWidth="1"/>
    <col min="3" max="3" width="10.00390625" style="0" customWidth="1"/>
    <col min="4" max="4" width="9.8515625" style="0" customWidth="1"/>
    <col min="5" max="5" width="9.421875" style="0" customWidth="1"/>
    <col min="6" max="7" width="9.28125" style="0" customWidth="1"/>
  </cols>
  <sheetData>
    <row r="1" ht="13.5" thickBot="1"/>
    <row r="2" spans="2:7" ht="23.25" customHeight="1" thickBot="1">
      <c r="B2" s="311" t="s">
        <v>23</v>
      </c>
      <c r="C2" s="312"/>
      <c r="D2" s="312"/>
      <c r="E2" s="312"/>
      <c r="F2" s="312"/>
      <c r="G2" s="313"/>
    </row>
    <row r="3" spans="2:7" ht="16.5" thickBot="1">
      <c r="B3" s="35"/>
      <c r="C3" s="36">
        <v>1</v>
      </c>
      <c r="D3" s="36">
        <v>2</v>
      </c>
      <c r="E3" s="36">
        <v>3</v>
      </c>
      <c r="F3" s="36">
        <v>4</v>
      </c>
      <c r="G3" s="37">
        <v>5</v>
      </c>
    </row>
    <row r="4" spans="2:7" ht="12.75">
      <c r="B4" s="53" t="s">
        <v>116</v>
      </c>
      <c r="C4" s="51"/>
      <c r="D4" s="51"/>
      <c r="E4" s="51"/>
      <c r="F4" s="51"/>
      <c r="G4" s="52"/>
    </row>
    <row r="5" spans="2:7" ht="12.75">
      <c r="B5" s="152" t="s">
        <v>24</v>
      </c>
      <c r="C5" s="153"/>
      <c r="D5" s="153"/>
      <c r="E5" s="153"/>
      <c r="F5" s="153"/>
      <c r="G5" s="154"/>
    </row>
    <row r="6" spans="2:7" ht="12.75">
      <c r="B6" s="155" t="s">
        <v>25</v>
      </c>
      <c r="C6" s="156">
        <v>30</v>
      </c>
      <c r="D6" s="156">
        <f>(C6*5/100)+C6</f>
        <v>31.5</v>
      </c>
      <c r="E6" s="156">
        <f>(D6*5/100)+D6</f>
        <v>33.075</v>
      </c>
      <c r="F6" s="156">
        <f>(E6*5/100)+E6</f>
        <v>34.728750000000005</v>
      </c>
      <c r="G6" s="157">
        <f>(F6*5/100)+F6</f>
        <v>36.465187500000006</v>
      </c>
    </row>
    <row r="7" spans="2:7" ht="12.75">
      <c r="B7" s="155" t="s">
        <v>26</v>
      </c>
      <c r="C7" s="158">
        <v>12</v>
      </c>
      <c r="D7" s="158">
        <v>12</v>
      </c>
      <c r="E7" s="158">
        <v>12</v>
      </c>
      <c r="F7" s="158">
        <v>12</v>
      </c>
      <c r="G7" s="159">
        <v>12</v>
      </c>
    </row>
    <row r="8" spans="2:7" ht="12.75">
      <c r="B8" s="152" t="s">
        <v>27</v>
      </c>
      <c r="C8" s="160">
        <f>C6*C7</f>
        <v>360</v>
      </c>
      <c r="D8" s="160">
        <f>D6*D7</f>
        <v>378</v>
      </c>
      <c r="E8" s="160">
        <f>E6*E7</f>
        <v>396.90000000000003</v>
      </c>
      <c r="F8" s="160">
        <f>F6*F7</f>
        <v>416.74500000000006</v>
      </c>
      <c r="G8" s="161">
        <f>G6*G7</f>
        <v>437.58225000000004</v>
      </c>
    </row>
    <row r="9" spans="2:7" ht="12.75">
      <c r="B9" s="33"/>
      <c r="C9" s="10"/>
      <c r="D9" s="10"/>
      <c r="E9" s="10"/>
      <c r="F9" s="10"/>
      <c r="G9" s="34"/>
    </row>
    <row r="10" spans="2:7" ht="12.75">
      <c r="B10" s="162" t="s">
        <v>28</v>
      </c>
      <c r="C10" s="163"/>
      <c r="D10" s="163"/>
      <c r="E10" s="163"/>
      <c r="F10" s="163"/>
      <c r="G10" s="164"/>
    </row>
    <row r="11" spans="2:7" ht="12.75">
      <c r="B11" s="165" t="s">
        <v>25</v>
      </c>
      <c r="C11" s="163">
        <v>120</v>
      </c>
      <c r="D11" s="163">
        <f>(C11*5/100)+C11</f>
        <v>126</v>
      </c>
      <c r="E11" s="163">
        <f>(D11*5/100)+D11</f>
        <v>132.3</v>
      </c>
      <c r="F11" s="163">
        <f>(E11*5/100)+E11</f>
        <v>138.91500000000002</v>
      </c>
      <c r="G11" s="164">
        <f>(F11*5/100)+F11</f>
        <v>145.86075000000002</v>
      </c>
    </row>
    <row r="12" spans="2:7" ht="12.75">
      <c r="B12" s="165" t="s">
        <v>26</v>
      </c>
      <c r="C12" s="166">
        <v>12</v>
      </c>
      <c r="D12" s="166">
        <v>12</v>
      </c>
      <c r="E12" s="166">
        <v>12</v>
      </c>
      <c r="F12" s="166">
        <v>12</v>
      </c>
      <c r="G12" s="167">
        <v>12</v>
      </c>
    </row>
    <row r="13" spans="2:7" ht="12.75">
      <c r="B13" s="162" t="s">
        <v>27</v>
      </c>
      <c r="C13" s="168">
        <f>C11*C12</f>
        <v>1440</v>
      </c>
      <c r="D13" s="168">
        <f>D11*D12</f>
        <v>1512</v>
      </c>
      <c r="E13" s="168">
        <f>E11*E12</f>
        <v>1587.6000000000001</v>
      </c>
      <c r="F13" s="168">
        <f>F11*F12</f>
        <v>1666.9800000000002</v>
      </c>
      <c r="G13" s="169">
        <f>G11*G12</f>
        <v>1750.3290000000002</v>
      </c>
    </row>
    <row r="14" spans="2:7" ht="12.75">
      <c r="B14" s="33"/>
      <c r="C14" s="10"/>
      <c r="D14" s="10"/>
      <c r="E14" s="10"/>
      <c r="F14" s="10"/>
      <c r="G14" s="34"/>
    </row>
    <row r="15" spans="2:7" ht="12.75">
      <c r="B15" s="170" t="s">
        <v>29</v>
      </c>
      <c r="C15" s="171"/>
      <c r="D15" s="171"/>
      <c r="E15" s="171"/>
      <c r="F15" s="171"/>
      <c r="G15" s="172"/>
    </row>
    <row r="16" spans="2:7" ht="12.75">
      <c r="B16" s="173" t="s">
        <v>25</v>
      </c>
      <c r="C16" s="171">
        <v>35</v>
      </c>
      <c r="D16" s="171">
        <f>(C16*5/100)+C16</f>
        <v>36.75</v>
      </c>
      <c r="E16" s="171">
        <f>(D16*5/100)+D16</f>
        <v>38.5875</v>
      </c>
      <c r="F16" s="171">
        <f>(E16*5/100)+E16</f>
        <v>40.516875</v>
      </c>
      <c r="G16" s="172">
        <f>(F16*5/100)+F16</f>
        <v>42.54271875</v>
      </c>
    </row>
    <row r="17" spans="2:7" ht="12.75">
      <c r="B17" s="173" t="s">
        <v>26</v>
      </c>
      <c r="C17" s="174">
        <v>12</v>
      </c>
      <c r="D17" s="174">
        <v>12</v>
      </c>
      <c r="E17" s="174">
        <v>12</v>
      </c>
      <c r="F17" s="174">
        <v>12</v>
      </c>
      <c r="G17" s="175">
        <v>12</v>
      </c>
    </row>
    <row r="18" spans="2:7" ht="13.5" thickBot="1">
      <c r="B18" s="170" t="s">
        <v>27</v>
      </c>
      <c r="C18" s="176">
        <f>C16*C17</f>
        <v>420</v>
      </c>
      <c r="D18" s="176">
        <f>D16*D17</f>
        <v>441</v>
      </c>
      <c r="E18" s="176">
        <f>E16*E17</f>
        <v>463.04999999999995</v>
      </c>
      <c r="F18" s="176">
        <f>F16*F17</f>
        <v>486.2025</v>
      </c>
      <c r="G18" s="177">
        <f>G16*G17</f>
        <v>510.51262499999996</v>
      </c>
    </row>
    <row r="19" spans="2:7" ht="13.5" thickBot="1">
      <c r="B19" s="178" t="s">
        <v>117</v>
      </c>
      <c r="C19" s="179">
        <f>C8+C13+C18</f>
        <v>2220</v>
      </c>
      <c r="D19" s="179">
        <f>D8+D13+D18</f>
        <v>2331</v>
      </c>
      <c r="E19" s="179">
        <f>E8+E13+E18</f>
        <v>2447.55</v>
      </c>
      <c r="F19" s="179">
        <f>F8+F13+F18</f>
        <v>2569.9275000000002</v>
      </c>
      <c r="G19" s="180">
        <f>G8+G13+G18</f>
        <v>2698.423875</v>
      </c>
    </row>
    <row r="20" spans="2:7" ht="12.75">
      <c r="B20" s="216"/>
      <c r="C20" s="217"/>
      <c r="D20" s="217"/>
      <c r="E20" s="217"/>
      <c r="F20" s="217"/>
      <c r="G20" s="218"/>
    </row>
    <row r="21" spans="2:7" ht="12.75">
      <c r="B21" s="54" t="s">
        <v>118</v>
      </c>
      <c r="C21" s="55"/>
      <c r="D21" s="55"/>
      <c r="E21" s="55"/>
      <c r="F21" s="55"/>
      <c r="G21" s="56"/>
    </row>
    <row r="22" spans="2:7" ht="13.5" thickBot="1">
      <c r="B22" s="59" t="s">
        <v>119</v>
      </c>
      <c r="C22" s="38">
        <v>200</v>
      </c>
      <c r="D22" s="60">
        <f>(C22*1.05)</f>
        <v>210</v>
      </c>
      <c r="E22" s="60">
        <f>(D22*1.05)</f>
        <v>220.5</v>
      </c>
      <c r="F22" s="60">
        <f>(E22*1.05)</f>
        <v>231.525</v>
      </c>
      <c r="G22" s="61">
        <f>(F22*1.05)</f>
        <v>243.10125000000002</v>
      </c>
    </row>
    <row r="23" spans="2:7" ht="13.5" thickBot="1">
      <c r="B23" s="40" t="s">
        <v>182</v>
      </c>
      <c r="C23" s="41">
        <f>SUM(C22)</f>
        <v>200</v>
      </c>
      <c r="D23" s="41">
        <f>SUM(D22)</f>
        <v>210</v>
      </c>
      <c r="E23" s="41">
        <f>SUM(E22)</f>
        <v>220.5</v>
      </c>
      <c r="F23" s="41">
        <f>SUM(F22)</f>
        <v>231.525</v>
      </c>
      <c r="G23" s="42">
        <f>SUM(G22)</f>
        <v>243.10125000000002</v>
      </c>
    </row>
    <row r="24" spans="2:7" ht="12.75">
      <c r="B24" s="57"/>
      <c r="C24" s="39"/>
      <c r="D24" s="58"/>
      <c r="E24" s="58"/>
      <c r="F24" s="58"/>
      <c r="G24" s="62"/>
    </row>
    <row r="25" spans="2:7" ht="15.75" customHeight="1" thickBot="1">
      <c r="B25" s="149" t="s">
        <v>30</v>
      </c>
      <c r="C25" s="150">
        <f>(C19+C23)</f>
        <v>2420</v>
      </c>
      <c r="D25" s="150">
        <f>(D19+D23)</f>
        <v>2541</v>
      </c>
      <c r="E25" s="150">
        <f>(E19+E23)</f>
        <v>2668.05</v>
      </c>
      <c r="F25" s="150">
        <f>(F19+F23)</f>
        <v>2801.4525000000003</v>
      </c>
      <c r="G25" s="151">
        <f>(G19+G23)</f>
        <v>2941.525125</v>
      </c>
    </row>
  </sheetData>
  <sheetProtection/>
  <mergeCells count="1">
    <mergeCell ref="B2:G2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14"/>
  <sheetViews>
    <sheetView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30.00390625" style="0" customWidth="1"/>
    <col min="3" max="4" width="13.421875" style="0" customWidth="1"/>
    <col min="5" max="5" width="13.57421875" style="0" customWidth="1"/>
    <col min="6" max="6" width="13.8515625" style="0" customWidth="1"/>
    <col min="7" max="7" width="13.421875" style="0" customWidth="1"/>
    <col min="10" max="10" width="19.00390625" style="0" customWidth="1"/>
  </cols>
  <sheetData>
    <row r="2" spans="2:7" ht="24" customHeight="1">
      <c r="B2" s="314" t="s">
        <v>53</v>
      </c>
      <c r="C2" s="314"/>
      <c r="D2" s="314"/>
      <c r="E2" s="314"/>
      <c r="F2" s="314"/>
      <c r="G2" s="314"/>
    </row>
    <row r="3" spans="2:7" ht="15.75">
      <c r="B3" s="270"/>
      <c r="C3" s="315" t="s">
        <v>23</v>
      </c>
      <c r="D3" s="315"/>
      <c r="E3" s="315"/>
      <c r="F3" s="315"/>
      <c r="G3" s="316"/>
    </row>
    <row r="4" spans="2:12" ht="15.75">
      <c r="B4" s="271"/>
      <c r="C4" s="272">
        <v>1</v>
      </c>
      <c r="D4" s="272">
        <v>2</v>
      </c>
      <c r="E4" s="272">
        <v>3</v>
      </c>
      <c r="F4" s="272">
        <v>4</v>
      </c>
      <c r="G4" s="273">
        <v>5</v>
      </c>
      <c r="J4" s="18"/>
      <c r="K4" s="18"/>
      <c r="L4" s="18"/>
    </row>
    <row r="5" spans="2:12" ht="15.75">
      <c r="B5" s="274" t="s">
        <v>31</v>
      </c>
      <c r="C5" s="275"/>
      <c r="D5" s="275"/>
      <c r="E5" s="275"/>
      <c r="F5" s="275"/>
      <c r="G5" s="276"/>
      <c r="J5" s="243"/>
      <c r="K5" s="267"/>
      <c r="L5" s="267"/>
    </row>
    <row r="6" spans="2:12" ht="15">
      <c r="B6" s="277" t="s">
        <v>151</v>
      </c>
      <c r="C6" s="278">
        <f>+'sumin y servicios'!C19</f>
        <v>2220</v>
      </c>
      <c r="D6" s="278">
        <f>+'sumin y servicios'!D19</f>
        <v>2331</v>
      </c>
      <c r="E6" s="278">
        <f>+'sumin y servicios'!E19</f>
        <v>2447.55</v>
      </c>
      <c r="F6" s="278">
        <f>+'sumin y servicios'!F19</f>
        <v>2569.9275000000002</v>
      </c>
      <c r="G6" s="278">
        <f>+'sumin y servicios'!G19</f>
        <v>2698.423875</v>
      </c>
      <c r="J6" s="268"/>
      <c r="K6" s="244"/>
      <c r="L6" s="244"/>
    </row>
    <row r="7" spans="2:12" ht="15">
      <c r="B7" s="277" t="s">
        <v>121</v>
      </c>
      <c r="C7" s="278">
        <f>+'sumin y servicios'!C23</f>
        <v>200</v>
      </c>
      <c r="D7" s="278">
        <f>+'sumin y servicios'!D23</f>
        <v>210</v>
      </c>
      <c r="E7" s="278">
        <f>+'sumin y servicios'!E23</f>
        <v>220.5</v>
      </c>
      <c r="F7" s="278">
        <f>+'sumin y servicios'!F23</f>
        <v>231.525</v>
      </c>
      <c r="G7" s="278">
        <f>+'sumin y servicios'!G23</f>
        <v>243.10125000000002</v>
      </c>
      <c r="J7" s="243"/>
      <c r="K7" s="244"/>
      <c r="L7" s="244"/>
    </row>
    <row r="8" spans="2:12" ht="15.75">
      <c r="B8" s="181" t="s">
        <v>32</v>
      </c>
      <c r="C8" s="278">
        <f>SUM(C6:C7)</f>
        <v>2420</v>
      </c>
      <c r="D8" s="278">
        <f>SUM(D6:D7)</f>
        <v>2541</v>
      </c>
      <c r="E8" s="278">
        <f>SUM(E6:E7)</f>
        <v>2668.05</v>
      </c>
      <c r="F8" s="278">
        <f>SUM(F6:F7)</f>
        <v>2801.4525000000003</v>
      </c>
      <c r="G8" s="278">
        <f>SUM(G6:G7)</f>
        <v>2941.525125</v>
      </c>
      <c r="J8" s="243"/>
      <c r="K8" s="244"/>
      <c r="L8" s="244"/>
    </row>
    <row r="9" spans="2:12" ht="21.75" customHeight="1">
      <c r="B9" s="271"/>
      <c r="C9" s="275"/>
      <c r="D9" s="275"/>
      <c r="E9" s="275"/>
      <c r="F9" s="275"/>
      <c r="G9" s="276"/>
      <c r="J9" s="269"/>
      <c r="K9" s="244"/>
      <c r="L9" s="244"/>
    </row>
    <row r="10" spans="2:12" ht="15">
      <c r="B10" s="274" t="s">
        <v>33</v>
      </c>
      <c r="C10" s="275"/>
      <c r="D10" s="275"/>
      <c r="E10" s="275"/>
      <c r="F10" s="275"/>
      <c r="G10" s="276"/>
      <c r="J10" s="243"/>
      <c r="K10" s="244"/>
      <c r="L10" s="244"/>
    </row>
    <row r="11" spans="2:12" ht="15">
      <c r="B11" s="277" t="s">
        <v>120</v>
      </c>
      <c r="C11" s="278">
        <f>(70*12)</f>
        <v>840</v>
      </c>
      <c r="D11" s="278">
        <f>(C11*1.05)</f>
        <v>882</v>
      </c>
      <c r="E11" s="278">
        <f>(D11*1.05)</f>
        <v>926.1</v>
      </c>
      <c r="F11" s="278">
        <f>(E11*1.05)</f>
        <v>972.4050000000001</v>
      </c>
      <c r="G11" s="278">
        <f>(F11*1.05)</f>
        <v>1021.0252500000001</v>
      </c>
      <c r="J11" s="268"/>
      <c r="K11" s="244"/>
      <c r="L11" s="244"/>
    </row>
    <row r="12" spans="2:12" ht="15.75">
      <c r="B12" s="181" t="s">
        <v>152</v>
      </c>
      <c r="C12" s="278">
        <f>SUM(C11)</f>
        <v>840</v>
      </c>
      <c r="D12" s="278">
        <f>SUM(D11)</f>
        <v>882</v>
      </c>
      <c r="E12" s="278">
        <f>SUM(E11)</f>
        <v>926.1</v>
      </c>
      <c r="F12" s="278">
        <f>SUM(F11)</f>
        <v>972.4050000000001</v>
      </c>
      <c r="G12" s="278">
        <f>SUM(G11)</f>
        <v>1021.0252500000001</v>
      </c>
      <c r="J12" s="243"/>
      <c r="K12" s="244"/>
      <c r="L12" s="244"/>
    </row>
    <row r="13" spans="2:12" ht="18.75" customHeight="1">
      <c r="B13" s="181" t="s">
        <v>34</v>
      </c>
      <c r="C13" s="182">
        <f>(C8+C12)</f>
        <v>3260</v>
      </c>
      <c r="D13" s="182">
        <f>(D8+D12)</f>
        <v>3423</v>
      </c>
      <c r="E13" s="182">
        <f>(E8+E12)</f>
        <v>3594.15</v>
      </c>
      <c r="F13" s="182">
        <f>(F8+F12)</f>
        <v>3773.8575000000005</v>
      </c>
      <c r="G13" s="182">
        <f>(G8+G12)</f>
        <v>3962.5503750000003</v>
      </c>
      <c r="J13" s="269"/>
      <c r="K13" s="244"/>
      <c r="L13" s="244"/>
    </row>
    <row r="14" spans="10:12" ht="15.75">
      <c r="J14" s="269"/>
      <c r="K14" s="245"/>
      <c r="L14" s="245"/>
    </row>
  </sheetData>
  <sheetProtection/>
  <mergeCells count="2">
    <mergeCell ref="B2:G2"/>
    <mergeCell ref="C3:G3"/>
  </mergeCell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N17"/>
  <sheetViews>
    <sheetView zoomScale="145" zoomScaleNormal="145" zoomScalePageLayoutView="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7" width="10.7109375" style="0" customWidth="1"/>
  </cols>
  <sheetData>
    <row r="1" ht="13.5" thickBot="1"/>
    <row r="2" spans="2:7" ht="20.25" customHeight="1">
      <c r="B2" s="317" t="s">
        <v>35</v>
      </c>
      <c r="C2" s="318"/>
      <c r="D2" s="318"/>
      <c r="E2" s="318"/>
      <c r="F2" s="318"/>
      <c r="G2" s="319"/>
    </row>
    <row r="3" spans="2:7" ht="15.75">
      <c r="B3" s="190"/>
      <c r="C3" s="203">
        <v>1</v>
      </c>
      <c r="D3" s="203">
        <v>2</v>
      </c>
      <c r="E3" s="203">
        <v>3</v>
      </c>
      <c r="F3" s="203">
        <v>4</v>
      </c>
      <c r="G3" s="225">
        <v>5</v>
      </c>
    </row>
    <row r="4" spans="2:14" ht="12.75">
      <c r="B4" s="192" t="s">
        <v>36</v>
      </c>
      <c r="C4" s="171"/>
      <c r="D4" s="171"/>
      <c r="E4" s="171"/>
      <c r="F4" s="171"/>
      <c r="G4" s="172"/>
      <c r="H4" s="63"/>
      <c r="I4" s="63"/>
      <c r="J4" s="63"/>
      <c r="K4" s="63"/>
      <c r="L4" s="63"/>
      <c r="M4" s="5"/>
      <c r="N4" s="5"/>
    </row>
    <row r="5" spans="2:7" ht="12.75">
      <c r="B5" s="192" t="s">
        <v>122</v>
      </c>
      <c r="C5" s="171"/>
      <c r="D5" s="171"/>
      <c r="E5" s="171"/>
      <c r="F5" s="171"/>
      <c r="G5" s="172"/>
    </row>
    <row r="6" spans="2:9" ht="12.75">
      <c r="B6" s="190" t="s">
        <v>140</v>
      </c>
      <c r="C6" s="171">
        <f>(450*12)+(200*12)+(100*12)</f>
        <v>9000</v>
      </c>
      <c r="D6" s="171">
        <f aca="true" t="shared" si="0" ref="D6:G7">(C6*5/100)+C6</f>
        <v>9450</v>
      </c>
      <c r="E6" s="171">
        <f t="shared" si="0"/>
        <v>9922.5</v>
      </c>
      <c r="F6" s="171">
        <f t="shared" si="0"/>
        <v>10418.625</v>
      </c>
      <c r="G6" s="172">
        <f t="shared" si="0"/>
        <v>10939.55625</v>
      </c>
      <c r="I6" s="43"/>
    </row>
    <row r="7" spans="2:9" ht="12.75">
      <c r="B7" s="190" t="s">
        <v>123</v>
      </c>
      <c r="C7" s="171">
        <f>+'plan de inversion'!E13</f>
        <v>100</v>
      </c>
      <c r="D7" s="171">
        <f t="shared" si="0"/>
        <v>105</v>
      </c>
      <c r="E7" s="171">
        <f t="shared" si="0"/>
        <v>110.25</v>
      </c>
      <c r="F7" s="171">
        <f t="shared" si="0"/>
        <v>115.7625</v>
      </c>
      <c r="G7" s="172">
        <f t="shared" si="0"/>
        <v>121.550625</v>
      </c>
      <c r="I7" s="43"/>
    </row>
    <row r="8" spans="2:7" ht="12.75">
      <c r="B8" s="192" t="s">
        <v>124</v>
      </c>
      <c r="C8" s="171"/>
      <c r="D8" s="171"/>
      <c r="E8" s="171"/>
      <c r="F8" s="171"/>
      <c r="G8" s="172"/>
    </row>
    <row r="9" spans="2:7" ht="12.75">
      <c r="B9" s="190" t="s">
        <v>125</v>
      </c>
      <c r="C9" s="171">
        <f>Depreciacion!E10</f>
        <v>428.7267267267267</v>
      </c>
      <c r="D9" s="171">
        <f>C9</f>
        <v>428.7267267267267</v>
      </c>
      <c r="E9" s="171">
        <f>D9</f>
        <v>428.7267267267267</v>
      </c>
      <c r="F9" s="171">
        <f>+Depreciacion!H10</f>
        <v>112.58</v>
      </c>
      <c r="G9" s="172">
        <f>+Depreciacion!I10</f>
        <v>112.58</v>
      </c>
    </row>
    <row r="10" spans="2:7" ht="12.75">
      <c r="B10" s="229"/>
      <c r="C10" s="230"/>
      <c r="D10" s="230"/>
      <c r="E10" s="230"/>
      <c r="F10" s="230"/>
      <c r="G10" s="231"/>
    </row>
    <row r="11" spans="2:7" ht="12.75">
      <c r="B11" s="192" t="s">
        <v>37</v>
      </c>
      <c r="C11" s="171"/>
      <c r="D11" s="171"/>
      <c r="E11" s="171"/>
      <c r="F11" s="171"/>
      <c r="G11" s="172"/>
    </row>
    <row r="12" spans="2:7" ht="12.75">
      <c r="B12" s="190" t="s">
        <v>54</v>
      </c>
      <c r="C12" s="171">
        <f>+'plan de inversion'!D9</f>
        <v>620</v>
      </c>
      <c r="D12" s="171">
        <f>(C12*5/100)+C12</f>
        <v>651</v>
      </c>
      <c r="E12" s="171">
        <f>(D12*5/100)+D12</f>
        <v>683.55</v>
      </c>
      <c r="F12" s="171">
        <f>(E12*5/100)+E12</f>
        <v>717.7275</v>
      </c>
      <c r="G12" s="172">
        <f>(F12*5/100)+F12</f>
        <v>753.613875</v>
      </c>
    </row>
    <row r="13" spans="2:7" ht="12.75">
      <c r="B13" s="229"/>
      <c r="C13" s="230"/>
      <c r="D13" s="230"/>
      <c r="E13" s="230"/>
      <c r="F13" s="230"/>
      <c r="G13" s="231"/>
    </row>
    <row r="14" spans="2:7" ht="12.75">
      <c r="B14" s="192" t="s">
        <v>38</v>
      </c>
      <c r="C14" s="171"/>
      <c r="D14" s="171"/>
      <c r="E14" s="171"/>
      <c r="F14" s="171"/>
      <c r="G14" s="172"/>
    </row>
    <row r="15" spans="2:7" ht="12.75">
      <c r="B15" s="190" t="s">
        <v>39</v>
      </c>
      <c r="C15" s="171">
        <f>'credito-comp'!D24</f>
        <v>223.02733282604896</v>
      </c>
      <c r="D15" s="171">
        <v>0</v>
      </c>
      <c r="E15" s="171">
        <v>0</v>
      </c>
      <c r="F15" s="171">
        <v>0</v>
      </c>
      <c r="G15" s="172">
        <v>0</v>
      </c>
    </row>
    <row r="16" spans="2:7" ht="12.75">
      <c r="B16" s="229"/>
      <c r="C16" s="230"/>
      <c r="D16" s="230"/>
      <c r="E16" s="230"/>
      <c r="F16" s="230"/>
      <c r="G16" s="231"/>
    </row>
    <row r="17" spans="2:7" ht="13.5" thickBot="1">
      <c r="B17" s="226" t="s">
        <v>40</v>
      </c>
      <c r="C17" s="227">
        <f>SUM(C6:C16)</f>
        <v>10371.754059552775</v>
      </c>
      <c r="D17" s="227">
        <f>SUM(D6:D16)</f>
        <v>10634.726726726727</v>
      </c>
      <c r="E17" s="227">
        <f>SUM(E6:E16)</f>
        <v>11145.026726726726</v>
      </c>
      <c r="F17" s="227">
        <f>SUM(F6:F16)</f>
        <v>11364.695</v>
      </c>
      <c r="G17" s="228">
        <f>SUM(G6:G16)</f>
        <v>11927.300749999999</v>
      </c>
    </row>
  </sheetData>
  <sheetProtection/>
  <mergeCells count="1">
    <mergeCell ref="B2:G2"/>
  </mergeCells>
  <printOptions/>
  <pageMargins left="0.75" right="0.75" top="1" bottom="1" header="0" footer="0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H21"/>
  <sheetViews>
    <sheetView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5.28125" style="0" customWidth="1"/>
    <col min="2" max="2" width="25.00390625" style="0" customWidth="1"/>
    <col min="3" max="7" width="12.7109375" style="0" bestFit="1" customWidth="1"/>
  </cols>
  <sheetData>
    <row r="1" spans="2:7" ht="24" customHeight="1" thickBot="1">
      <c r="B1" s="320" t="s">
        <v>127</v>
      </c>
      <c r="C1" s="320"/>
      <c r="D1" s="320"/>
      <c r="E1" s="320"/>
      <c r="F1" s="320"/>
      <c r="G1" s="320"/>
    </row>
    <row r="2" spans="2:7" ht="15.75">
      <c r="B2" s="187"/>
      <c r="C2" s="188">
        <v>1</v>
      </c>
      <c r="D2" s="188">
        <v>2</v>
      </c>
      <c r="E2" s="188">
        <v>3</v>
      </c>
      <c r="F2" s="188">
        <v>4</v>
      </c>
      <c r="G2" s="189">
        <v>5</v>
      </c>
    </row>
    <row r="3" spans="2:7" ht="12.75">
      <c r="B3" s="190"/>
      <c r="C3" s="77"/>
      <c r="D3" s="77"/>
      <c r="E3" s="77"/>
      <c r="F3" s="77"/>
      <c r="G3" s="191"/>
    </row>
    <row r="4" spans="2:7" ht="15">
      <c r="B4" s="192" t="s">
        <v>128</v>
      </c>
      <c r="C4" s="183">
        <f>'proyeccion de ingresos'!C37</f>
        <v>16918.5</v>
      </c>
      <c r="D4" s="183">
        <f>'proyeccion de ingresos'!D37</f>
        <v>17764.425</v>
      </c>
      <c r="E4" s="183">
        <f>'proyeccion de ingresos'!E37</f>
        <v>18652.64625</v>
      </c>
      <c r="F4" s="183">
        <f>'proyeccion de ingresos'!F37</f>
        <v>19585.278562500003</v>
      </c>
      <c r="G4" s="193">
        <f>'proyeccion de ingresos'!G37</f>
        <v>20564.542490625005</v>
      </c>
    </row>
    <row r="5" spans="2:7" ht="15">
      <c r="B5" s="192" t="s">
        <v>53</v>
      </c>
      <c r="C5" s="183"/>
      <c r="D5" s="183"/>
      <c r="E5" s="183"/>
      <c r="F5" s="183"/>
      <c r="G5" s="193"/>
    </row>
    <row r="6" spans="2:7" ht="15">
      <c r="B6" s="194" t="s">
        <v>129</v>
      </c>
      <c r="C6" s="183">
        <f>+costos!C8</f>
        <v>2420</v>
      </c>
      <c r="D6" s="183">
        <f>+costos!D8</f>
        <v>2541</v>
      </c>
      <c r="E6" s="183">
        <f>+costos!E8</f>
        <v>2668.05</v>
      </c>
      <c r="F6" s="183">
        <f>+costos!F8</f>
        <v>2801.4525000000003</v>
      </c>
      <c r="G6" s="193">
        <f>+costos!G8</f>
        <v>2941.525125</v>
      </c>
    </row>
    <row r="7" spans="2:7" ht="15">
      <c r="B7" s="194" t="s">
        <v>130</v>
      </c>
      <c r="C7" s="183">
        <f>+costos!C13</f>
        <v>3260</v>
      </c>
      <c r="D7" s="183">
        <f>+costos!D13</f>
        <v>3423</v>
      </c>
      <c r="E7" s="183">
        <f>+costos!E13</f>
        <v>3594.15</v>
      </c>
      <c r="F7" s="183">
        <f>+costos!F13</f>
        <v>3773.8575000000005</v>
      </c>
      <c r="G7" s="193">
        <f>+costos!G13</f>
        <v>3962.5503750000003</v>
      </c>
    </row>
    <row r="8" spans="2:7" ht="15">
      <c r="B8" s="170" t="s">
        <v>131</v>
      </c>
      <c r="C8" s="183">
        <f>(C4-C6-C7)</f>
        <v>11238.5</v>
      </c>
      <c r="D8" s="183">
        <f>(D4-D6-D7)</f>
        <v>11800.425</v>
      </c>
      <c r="E8" s="183">
        <f>(E4-E6-E7)</f>
        <v>12390.446250000003</v>
      </c>
      <c r="F8" s="183">
        <f>(F4-F6-F7)</f>
        <v>13009.968562500004</v>
      </c>
      <c r="G8" s="193">
        <f>(G4-G6-G7)</f>
        <v>13660.466990625004</v>
      </c>
    </row>
    <row r="9" spans="2:7" ht="11.25" customHeight="1">
      <c r="B9" s="190"/>
      <c r="C9" s="183"/>
      <c r="D9" s="183"/>
      <c r="E9" s="183"/>
      <c r="F9" s="183"/>
      <c r="G9" s="193"/>
    </row>
    <row r="10" spans="2:7" ht="15">
      <c r="B10" s="192" t="s">
        <v>35</v>
      </c>
      <c r="C10" s="183"/>
      <c r="D10" s="183"/>
      <c r="E10" s="183"/>
      <c r="F10" s="183"/>
      <c r="G10" s="193"/>
    </row>
    <row r="11" spans="2:8" ht="15">
      <c r="B11" s="190" t="s">
        <v>141</v>
      </c>
      <c r="C11" s="183">
        <f>+gastos!C6</f>
        <v>9000</v>
      </c>
      <c r="D11" s="183">
        <f>+gastos!D6</f>
        <v>9450</v>
      </c>
      <c r="E11" s="183">
        <f>+gastos!E6</f>
        <v>9922.5</v>
      </c>
      <c r="F11" s="183">
        <f>+gastos!F6</f>
        <v>10418.625</v>
      </c>
      <c r="G11" s="193">
        <f>+gastos!G6</f>
        <v>10939.55625</v>
      </c>
      <c r="H11" s="5"/>
    </row>
    <row r="12" spans="2:7" ht="15">
      <c r="B12" s="190" t="s">
        <v>142</v>
      </c>
      <c r="C12" s="183">
        <f>+gastos!C7</f>
        <v>100</v>
      </c>
      <c r="D12" s="183">
        <f>+gastos!D7</f>
        <v>105</v>
      </c>
      <c r="E12" s="183">
        <f>+gastos!E7</f>
        <v>110.25</v>
      </c>
      <c r="F12" s="183">
        <f>+gastos!F7</f>
        <v>115.7625</v>
      </c>
      <c r="G12" s="193">
        <f>+gastos!G7</f>
        <v>121.550625</v>
      </c>
    </row>
    <row r="13" spans="2:7" ht="15">
      <c r="B13" s="190" t="s">
        <v>143</v>
      </c>
      <c r="C13" s="183">
        <f>+gastos!C9</f>
        <v>428.7267267267267</v>
      </c>
      <c r="D13" s="183">
        <f>+gastos!D9</f>
        <v>428.7267267267267</v>
      </c>
      <c r="E13" s="183">
        <f>+gastos!E9</f>
        <v>428.7267267267267</v>
      </c>
      <c r="F13" s="183">
        <f>+gastos!F9</f>
        <v>112.58</v>
      </c>
      <c r="G13" s="193">
        <f>+gastos!G9</f>
        <v>112.58</v>
      </c>
    </row>
    <row r="14" spans="2:7" ht="15">
      <c r="B14" s="190" t="s">
        <v>133</v>
      </c>
      <c r="C14" s="183">
        <f>+gastos!C12</f>
        <v>620</v>
      </c>
      <c r="D14" s="183">
        <f>+gastos!D12</f>
        <v>651</v>
      </c>
      <c r="E14" s="183">
        <f>+gastos!E12</f>
        <v>683.55</v>
      </c>
      <c r="F14" s="183">
        <f>+gastos!F12</f>
        <v>717.7275</v>
      </c>
      <c r="G14" s="193">
        <f>+gastos!G12</f>
        <v>753.613875</v>
      </c>
    </row>
    <row r="15" spans="2:7" ht="15">
      <c r="B15" s="190" t="s">
        <v>132</v>
      </c>
      <c r="C15" s="183">
        <f>+gastos!C15</f>
        <v>223.02733282604896</v>
      </c>
      <c r="D15" s="183">
        <f>+'credito-comp'!G24</f>
        <v>0</v>
      </c>
      <c r="E15" s="183">
        <f>+'credito-comp'!H24</f>
        <v>0</v>
      </c>
      <c r="F15" s="183">
        <f>+'credito-comp'!I24</f>
        <v>0</v>
      </c>
      <c r="G15" s="193">
        <f>+'credito-comp'!J24</f>
        <v>0</v>
      </c>
    </row>
    <row r="16" spans="2:7" ht="11.25" customHeight="1">
      <c r="B16" s="190"/>
      <c r="C16" s="183"/>
      <c r="D16" s="183"/>
      <c r="E16" s="183"/>
      <c r="F16" s="183"/>
      <c r="G16" s="193"/>
    </row>
    <row r="17" spans="2:7" ht="15">
      <c r="B17" s="195" t="s">
        <v>134</v>
      </c>
      <c r="C17" s="196">
        <f>(C8-(SUM(C11:C15)))</f>
        <v>866.7459404472247</v>
      </c>
      <c r="D17" s="196">
        <f>(D8-(SUM(D11:D15)))</f>
        <v>1165.6982732732722</v>
      </c>
      <c r="E17" s="196">
        <f>(E8-(SUM(E11:E15)))</f>
        <v>1245.4195232732764</v>
      </c>
      <c r="F17" s="196">
        <f>(F8-(SUM(F11:F15)))</f>
        <v>1645.2735625000041</v>
      </c>
      <c r="G17" s="197">
        <f>(G8-(SUM(G11:G15)))</f>
        <v>1733.1662406250052</v>
      </c>
    </row>
    <row r="18" spans="2:7" ht="15">
      <c r="B18" s="190" t="s">
        <v>156</v>
      </c>
      <c r="C18" s="196">
        <f>(C17*0.15)</f>
        <v>130.0118910670837</v>
      </c>
      <c r="D18" s="196">
        <f>(D17*0.15)</f>
        <v>174.85474099099082</v>
      </c>
      <c r="E18" s="196">
        <f>(E17*0.15)</f>
        <v>186.81292849099145</v>
      </c>
      <c r="F18" s="196">
        <f>(F17*0.15)</f>
        <v>246.7910343750006</v>
      </c>
      <c r="G18" s="197">
        <f>(G17*0.15)</f>
        <v>259.9749360937508</v>
      </c>
    </row>
    <row r="19" spans="2:7" ht="15">
      <c r="B19" s="190" t="s">
        <v>153</v>
      </c>
      <c r="C19" s="196">
        <f>(C17-C18)</f>
        <v>736.734049380141</v>
      </c>
      <c r="D19" s="196">
        <f>(D17-D18)</f>
        <v>990.8435322822813</v>
      </c>
      <c r="E19" s="196">
        <f>(E17-E18)</f>
        <v>1058.606594782285</v>
      </c>
      <c r="F19" s="196">
        <f>(F17-F18)</f>
        <v>1398.4825281250035</v>
      </c>
      <c r="G19" s="197">
        <f>(G17-G18)</f>
        <v>1473.1913045312544</v>
      </c>
    </row>
    <row r="20" spans="2:7" ht="15.75" thickBot="1">
      <c r="B20" s="198" t="s">
        <v>155</v>
      </c>
      <c r="C20" s="196">
        <f>(C19*0.25)</f>
        <v>184.18351234503524</v>
      </c>
      <c r="D20" s="196">
        <f>(D19*0.25)</f>
        <v>247.71088307057033</v>
      </c>
      <c r="E20" s="196">
        <f>(E19*0.25)</f>
        <v>264.6516486955712</v>
      </c>
      <c r="F20" s="196">
        <f>(F19*0.25)</f>
        <v>349.62063203125086</v>
      </c>
      <c r="G20" s="197">
        <f>(G19*0.25)</f>
        <v>368.2978261328136</v>
      </c>
    </row>
    <row r="21" spans="2:7" ht="16.5" thickBot="1">
      <c r="B21" s="184" t="s">
        <v>154</v>
      </c>
      <c r="C21" s="185">
        <f>(C19-C20)</f>
        <v>552.5505370351057</v>
      </c>
      <c r="D21" s="185">
        <f>(D19-D20)</f>
        <v>743.1326492117109</v>
      </c>
      <c r="E21" s="185">
        <f>(E19-E20)</f>
        <v>793.9549460867137</v>
      </c>
      <c r="F21" s="185">
        <f>(F19-F20)</f>
        <v>1048.8618960937526</v>
      </c>
      <c r="G21" s="186">
        <f>(G19-G20)</f>
        <v>1104.893478398441</v>
      </c>
    </row>
  </sheetData>
  <sheetProtection/>
  <mergeCells count="1">
    <mergeCell ref="B1:G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Cyber &amp; M@S</dc:creator>
  <cp:keywords/>
  <dc:description/>
  <cp:lastModifiedBy>PC1</cp:lastModifiedBy>
  <cp:lastPrinted>2007-07-17T05:48:51Z</cp:lastPrinted>
  <dcterms:created xsi:type="dcterms:W3CDTF">2007-06-08T23:54:25Z</dcterms:created>
  <dcterms:modified xsi:type="dcterms:W3CDTF">2007-09-21T00:36:41Z</dcterms:modified>
  <cp:category/>
  <cp:version/>
  <cp:contentType/>
  <cp:contentStatus/>
</cp:coreProperties>
</file>