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4055" windowHeight="5100" tabRatio="616" firstSheet="5" activeTab="9"/>
  </bookViews>
  <sheets>
    <sheet name="Hoja1" sheetId="1" r:id="rId1"/>
    <sheet name="Hoja2" sheetId="2" r:id="rId2"/>
    <sheet name="OBJETIVOS" sheetId="3" r:id="rId3"/>
    <sheet name="Hoja3" sheetId="4" r:id="rId4"/>
    <sheet name="meta agua" sheetId="5" r:id="rId5"/>
    <sheet name="meta electrica" sheetId="6" r:id="rId6"/>
    <sheet name="meta merma" sheetId="7" r:id="rId7"/>
    <sheet name="transportacion " sheetId="8" r:id="rId8"/>
    <sheet name="VENTAS" sheetId="9" r:id="rId9"/>
    <sheet name="ana costos" sheetId="10" r:id="rId10"/>
    <sheet name="Hoja4" sheetId="11" r:id="rId11"/>
    <sheet name="Hoja5" sheetId="12" r:id="rId12"/>
    <sheet name="Hoja6" sheetId="13" state="hidden" r:id="rId13"/>
    <sheet name="Hoja7" sheetId="14" r:id="rId14"/>
  </sheets>
  <calcPr calcId="125725"/>
</workbook>
</file>

<file path=xl/calcChain.xml><?xml version="1.0" encoding="utf-8"?>
<calcChain xmlns="http://schemas.openxmlformats.org/spreadsheetml/2006/main">
  <c r="G122" i="10"/>
  <c r="H122" s="1"/>
  <c r="I122" s="1"/>
  <c r="J122" s="1"/>
  <c r="K122" s="1"/>
  <c r="L122" s="1"/>
  <c r="P112"/>
  <c r="P113"/>
  <c r="P114"/>
  <c r="P115"/>
  <c r="P116"/>
  <c r="P111"/>
  <c r="E77"/>
  <c r="F77"/>
  <c r="G77"/>
  <c r="H77"/>
  <c r="I77"/>
  <c r="J77"/>
  <c r="K77"/>
  <c r="L77"/>
  <c r="M77"/>
  <c r="N77"/>
  <c r="O77"/>
  <c r="D77"/>
  <c r="E45"/>
  <c r="E48" s="1"/>
  <c r="F45"/>
  <c r="F48" s="1"/>
  <c r="G45"/>
  <c r="G48" s="1"/>
  <c r="H45"/>
  <c r="H48" s="1"/>
  <c r="I45"/>
  <c r="I48" s="1"/>
  <c r="J45"/>
  <c r="J48" s="1"/>
  <c r="K45"/>
  <c r="K48" s="1"/>
  <c r="L45"/>
  <c r="L48" s="1"/>
  <c r="M45"/>
  <c r="M48" s="1"/>
  <c r="N45"/>
  <c r="N48" s="1"/>
  <c r="O45"/>
  <c r="O48" s="1"/>
  <c r="D45"/>
  <c r="D48" s="1"/>
  <c r="O28"/>
  <c r="E28"/>
  <c r="F28"/>
  <c r="G28"/>
  <c r="H28"/>
  <c r="I28"/>
  <c r="J28"/>
  <c r="K28"/>
  <c r="L28"/>
  <c r="M28"/>
  <c r="N28"/>
  <c r="E27"/>
  <c r="F27"/>
  <c r="G27"/>
  <c r="H27"/>
  <c r="I27"/>
  <c r="J27"/>
  <c r="K27"/>
  <c r="L27"/>
  <c r="M27"/>
  <c r="N27"/>
  <c r="O27"/>
  <c r="D28"/>
  <c r="D27"/>
  <c r="E26"/>
  <c r="F26"/>
  <c r="G26"/>
  <c r="H26"/>
  <c r="I26"/>
  <c r="J26"/>
  <c r="K26"/>
  <c r="L26"/>
  <c r="M26"/>
  <c r="N26"/>
  <c r="O26"/>
  <c r="D26"/>
  <c r="E25"/>
  <c r="F25"/>
  <c r="G25"/>
  <c r="H25"/>
  <c r="I25"/>
  <c r="J25"/>
  <c r="K25"/>
  <c r="L25"/>
  <c r="M25"/>
  <c r="N25"/>
  <c r="O25"/>
  <c r="D25"/>
  <c r="E24"/>
  <c r="F24"/>
  <c r="G24"/>
  <c r="H24"/>
  <c r="I24"/>
  <c r="J24"/>
  <c r="K24"/>
  <c r="L24"/>
  <c r="M24"/>
  <c r="N24"/>
  <c r="O24"/>
  <c r="D24"/>
  <c r="P13"/>
  <c r="P14"/>
  <c r="P15"/>
  <c r="P16"/>
  <c r="P12"/>
  <c r="O29" l="1"/>
  <c r="M29"/>
  <c r="K29"/>
  <c r="I29"/>
  <c r="G29"/>
  <c r="E29"/>
  <c r="D29"/>
  <c r="N29"/>
  <c r="L29"/>
  <c r="J29"/>
  <c r="H29"/>
  <c r="F29"/>
  <c r="P117"/>
  <c r="Q114" s="1"/>
  <c r="D67" i="7"/>
  <c r="T22" i="8"/>
  <c r="U29" i="7"/>
  <c r="D74"/>
  <c r="G70" s="1"/>
  <c r="D75"/>
  <c r="D76"/>
  <c r="D77"/>
  <c r="D78"/>
  <c r="D68"/>
  <c r="G71" s="1"/>
  <c r="D69"/>
  <c r="G72" s="1"/>
  <c r="D70"/>
  <c r="G73" s="1"/>
  <c r="D71"/>
  <c r="G74" s="1"/>
  <c r="M32" i="8"/>
  <c r="E12" i="7"/>
  <c r="F12"/>
  <c r="G12"/>
  <c r="H12"/>
  <c r="I12"/>
  <c r="J12"/>
  <c r="K12"/>
  <c r="L12"/>
  <c r="M12"/>
  <c r="N12"/>
  <c r="O12"/>
  <c r="D12"/>
  <c r="E11"/>
  <c r="F11"/>
  <c r="G11"/>
  <c r="H11"/>
  <c r="I11"/>
  <c r="J11"/>
  <c r="K11"/>
  <c r="L11"/>
  <c r="M11"/>
  <c r="N11"/>
  <c r="O11"/>
  <c r="D11"/>
  <c r="A8"/>
  <c r="P10" i="6"/>
  <c r="C32" i="8"/>
  <c r="D32"/>
  <c r="E32"/>
  <c r="F32"/>
  <c r="G32"/>
  <c r="H32"/>
  <c r="I32"/>
  <c r="J32"/>
  <c r="K32"/>
  <c r="L32"/>
  <c r="C33"/>
  <c r="D33"/>
  <c r="E33"/>
  <c r="F33"/>
  <c r="G33"/>
  <c r="H33"/>
  <c r="I33"/>
  <c r="J33"/>
  <c r="K33"/>
  <c r="L33"/>
  <c r="M33"/>
  <c r="I34"/>
  <c r="L34"/>
  <c r="M34"/>
  <c r="H35"/>
  <c r="I35"/>
  <c r="J35"/>
  <c r="K35"/>
  <c r="L35"/>
  <c r="M35"/>
  <c r="C36"/>
  <c r="D36"/>
  <c r="E36"/>
  <c r="F36"/>
  <c r="G36"/>
  <c r="H36"/>
  <c r="I36"/>
  <c r="J36"/>
  <c r="K36"/>
  <c r="L36"/>
  <c r="M36"/>
  <c r="B33"/>
  <c r="B36"/>
  <c r="O36" s="1"/>
  <c r="B32"/>
  <c r="S47" i="7"/>
  <c r="T47"/>
  <c r="U47"/>
  <c r="V47"/>
  <c r="W47"/>
  <c r="X47"/>
  <c r="Y47"/>
  <c r="Z47"/>
  <c r="AA47"/>
  <c r="AB47"/>
  <c r="AC47"/>
  <c r="AD47"/>
  <c r="T48"/>
  <c r="U48"/>
  <c r="V48"/>
  <c r="W48"/>
  <c r="X48"/>
  <c r="Y48"/>
  <c r="Z48"/>
  <c r="AA48"/>
  <c r="AB48"/>
  <c r="AC48"/>
  <c r="AD48"/>
  <c r="Z49"/>
  <c r="AC49"/>
  <c r="AD49"/>
  <c r="Y50"/>
  <c r="Z50"/>
  <c r="AA50"/>
  <c r="AB50"/>
  <c r="AC50"/>
  <c r="AD50"/>
  <c r="T51"/>
  <c r="U51"/>
  <c r="V51"/>
  <c r="W51"/>
  <c r="X51"/>
  <c r="Y51"/>
  <c r="Z51"/>
  <c r="AA51"/>
  <c r="AB51"/>
  <c r="AC51"/>
  <c r="AD51"/>
  <c r="S48"/>
  <c r="S51"/>
  <c r="S42"/>
  <c r="T38"/>
  <c r="U38"/>
  <c r="V38"/>
  <c r="W38"/>
  <c r="X38"/>
  <c r="Y38"/>
  <c r="Z38"/>
  <c r="AA38"/>
  <c r="AB38"/>
  <c r="AC38"/>
  <c r="AD38"/>
  <c r="T39"/>
  <c r="U39"/>
  <c r="V39"/>
  <c r="W39"/>
  <c r="X39"/>
  <c r="Y39"/>
  <c r="Z39"/>
  <c r="AA39"/>
  <c r="AB39"/>
  <c r="AC39"/>
  <c r="AD39"/>
  <c r="Z40"/>
  <c r="AC40"/>
  <c r="AD40"/>
  <c r="Y41"/>
  <c r="Z41"/>
  <c r="AA41"/>
  <c r="AB41"/>
  <c r="AC41"/>
  <c r="AD41"/>
  <c r="T42"/>
  <c r="U42"/>
  <c r="V42"/>
  <c r="W42"/>
  <c r="X42"/>
  <c r="Y42"/>
  <c r="Z42"/>
  <c r="AA42"/>
  <c r="AB42"/>
  <c r="AC42"/>
  <c r="AD42"/>
  <c r="S39"/>
  <c r="S38"/>
  <c r="E15"/>
  <c r="F15"/>
  <c r="G15"/>
  <c r="H15"/>
  <c r="I15"/>
  <c r="J15"/>
  <c r="K15"/>
  <c r="L15"/>
  <c r="M15"/>
  <c r="N15"/>
  <c r="O15"/>
  <c r="D15"/>
  <c r="E57"/>
  <c r="E60" s="1"/>
  <c r="F57"/>
  <c r="F60" s="1"/>
  <c r="G57"/>
  <c r="G60" s="1"/>
  <c r="H57"/>
  <c r="H60" s="1"/>
  <c r="I57"/>
  <c r="I60" s="1"/>
  <c r="J57"/>
  <c r="J60" s="1"/>
  <c r="K57"/>
  <c r="K60" s="1"/>
  <c r="L57"/>
  <c r="L60" s="1"/>
  <c r="M57"/>
  <c r="M60" s="1"/>
  <c r="N57"/>
  <c r="N60" s="1"/>
  <c r="O57"/>
  <c r="O60" s="1"/>
  <c r="D57"/>
  <c r="D60" s="1"/>
  <c r="M23" i="8"/>
  <c r="L23"/>
  <c r="K23"/>
  <c r="J23"/>
  <c r="I23"/>
  <c r="H23"/>
  <c r="G23"/>
  <c r="F23"/>
  <c r="E23"/>
  <c r="D23"/>
  <c r="C23"/>
  <c r="B23"/>
  <c r="E34" i="7"/>
  <c r="F34"/>
  <c r="G34"/>
  <c r="H34"/>
  <c r="I34"/>
  <c r="J34"/>
  <c r="K34"/>
  <c r="L34"/>
  <c r="M34"/>
  <c r="N34"/>
  <c r="O34"/>
  <c r="D34"/>
  <c r="H70" l="1"/>
  <c r="G75"/>
  <c r="H71" s="1"/>
  <c r="O35" i="8"/>
  <c r="AE38" i="7"/>
  <c r="AE48"/>
  <c r="O32" i="8"/>
  <c r="O33"/>
  <c r="O34"/>
  <c r="Q115" i="10"/>
  <c r="Q112"/>
  <c r="Q116"/>
  <c r="Q113"/>
  <c r="Q111"/>
  <c r="H72" i="7"/>
  <c r="H74"/>
  <c r="H73"/>
  <c r="AE41"/>
  <c r="AE42"/>
  <c r="AE49"/>
  <c r="AE39"/>
  <c r="AE40"/>
  <c r="AE51"/>
  <c r="AE50"/>
  <c r="AE47"/>
  <c r="O8"/>
  <c r="O9" s="1"/>
  <c r="N8"/>
  <c r="N9" s="1"/>
  <c r="M8"/>
  <c r="M9" s="1"/>
  <c r="L8"/>
  <c r="L9" s="1"/>
  <c r="K8"/>
  <c r="K9" s="1"/>
  <c r="J8"/>
  <c r="J9" s="1"/>
  <c r="I8"/>
  <c r="I9" s="1"/>
  <c r="H8"/>
  <c r="H9" s="1"/>
  <c r="G8"/>
  <c r="G9" s="1"/>
  <c r="F8"/>
  <c r="F9" s="1"/>
  <c r="E8"/>
  <c r="E9" s="1"/>
  <c r="D8"/>
  <c r="D9" s="1"/>
  <c r="E8" i="6"/>
  <c r="E13" s="1"/>
  <c r="F8"/>
  <c r="F13" s="1"/>
  <c r="H8"/>
  <c r="H13" s="1"/>
  <c r="I14"/>
  <c r="K14"/>
  <c r="M14"/>
  <c r="O14"/>
  <c r="G13"/>
  <c r="I13"/>
  <c r="K13"/>
  <c r="M13"/>
  <c r="O13"/>
  <c r="P8"/>
  <c r="P13" s="1"/>
  <c r="O8"/>
  <c r="N8"/>
  <c r="N13" s="1"/>
  <c r="M8"/>
  <c r="L8"/>
  <c r="L13" s="1"/>
  <c r="K8"/>
  <c r="K9" s="1"/>
  <c r="J8"/>
  <c r="J9" s="1"/>
  <c r="J14" s="1"/>
  <c r="I8"/>
  <c r="H9"/>
  <c r="H14" s="1"/>
  <c r="G8"/>
  <c r="G9" s="1"/>
  <c r="G14" s="1"/>
  <c r="F9"/>
  <c r="F14" s="1"/>
  <c r="I9"/>
  <c r="L9"/>
  <c r="L14" s="1"/>
  <c r="M9"/>
  <c r="N9"/>
  <c r="N14" s="1"/>
  <c r="O9"/>
  <c r="P9"/>
  <c r="P14" s="1"/>
  <c r="F10"/>
  <c r="G10"/>
  <c r="H10"/>
  <c r="I10"/>
  <c r="J10"/>
  <c r="K10"/>
  <c r="L10"/>
  <c r="M10"/>
  <c r="N10"/>
  <c r="O10"/>
  <c r="E10"/>
  <c r="U16" i="5"/>
  <c r="T16"/>
  <c r="S16"/>
  <c r="E17"/>
  <c r="F15"/>
  <c r="G15"/>
  <c r="H15"/>
  <c r="I15"/>
  <c r="J15"/>
  <c r="K15"/>
  <c r="L15"/>
  <c r="M15"/>
  <c r="N15"/>
  <c r="O15"/>
  <c r="P15"/>
  <c r="E15"/>
  <c r="C11"/>
  <c r="C16" s="1"/>
  <c r="C18" s="1"/>
  <c r="F7" i="3"/>
  <c r="G7"/>
  <c r="E7"/>
  <c r="D7"/>
  <c r="G14"/>
  <c r="F14"/>
  <c r="E14"/>
  <c r="D14"/>
  <c r="F17" i="5"/>
  <c r="F18" s="1"/>
  <c r="G17"/>
  <c r="G18" s="1"/>
  <c r="H17"/>
  <c r="H18" s="1"/>
  <c r="I17"/>
  <c r="I18" s="1"/>
  <c r="J17"/>
  <c r="J18" s="1"/>
  <c r="K17"/>
  <c r="K18" s="1"/>
  <c r="L17"/>
  <c r="L18" s="1"/>
  <c r="M17"/>
  <c r="M18" s="1"/>
  <c r="N17"/>
  <c r="N18" s="1"/>
  <c r="O17"/>
  <c r="O18" s="1"/>
  <c r="P17"/>
  <c r="P18" s="1"/>
  <c r="T17" l="1"/>
  <c r="E9" i="6"/>
  <c r="E14" s="1"/>
  <c r="S14" s="1"/>
  <c r="J13"/>
  <c r="S17" i="5"/>
  <c r="E18"/>
  <c r="U17"/>
  <c r="T13" i="6"/>
  <c r="T14"/>
  <c r="R14"/>
  <c r="R13"/>
  <c r="S13"/>
  <c r="E25" i="5" l="1"/>
  <c r="E27" s="1"/>
  <c r="U18"/>
  <c r="S18"/>
  <c r="T18"/>
  <c r="N25" l="1"/>
  <c r="N27" s="1"/>
  <c r="J25"/>
  <c r="J27" s="1"/>
  <c r="F25"/>
  <c r="F27" s="1"/>
  <c r="O25"/>
  <c r="O27" s="1"/>
  <c r="K25"/>
  <c r="K27" s="1"/>
  <c r="G25"/>
  <c r="G27" s="1"/>
  <c r="P25"/>
  <c r="P27" s="1"/>
  <c r="L25"/>
  <c r="L27" s="1"/>
  <c r="H25"/>
  <c r="H27" s="1"/>
  <c r="M25"/>
  <c r="M27" s="1"/>
  <c r="I25"/>
  <c r="I27" s="1"/>
</calcChain>
</file>

<file path=xl/sharedStrings.xml><?xml version="1.0" encoding="utf-8"?>
<sst xmlns="http://schemas.openxmlformats.org/spreadsheetml/2006/main" count="852" uniqueCount="240">
  <si>
    <t>INDICADOR</t>
  </si>
  <si>
    <t>TIPO DE INDICADOR</t>
  </si>
  <si>
    <t>FORMULA</t>
  </si>
  <si>
    <t>OBJETIVO QUE BUSCA</t>
  </si>
  <si>
    <t>EFICIENCIA</t>
  </si>
  <si>
    <t>PRESENTA LA RELACION EXISTENTE ENTRE EL  NUMERO DE PRODUCTO DEFECTUOSO CON EL TOTAL DE PRODUCCION</t>
  </si>
  <si>
    <t xml:space="preserve"> EFICIENCIA RENTABILIDAD</t>
  </si>
  <si>
    <t xml:space="preserve">CONTROLAR LA CANTIDAD DE INSUMO EMPLEADO EN UN TURNO </t>
  </si>
  <si>
    <t xml:space="preserve">REPORTE DE PRODUCCION </t>
  </si>
  <si>
    <t>MENSUAL</t>
  </si>
  <si>
    <t>FUENTE DE DATOS</t>
  </si>
  <si>
    <t xml:space="preserve">RESPONSABLE DEL SEGUIMIENTO </t>
  </si>
  <si>
    <t>CONOCER CUAL PUERTO ES EL QUE EMPLEA ADECUADAMENTE LOS RECURSOS EN RAZON A LAS VENTAS.</t>
  </si>
  <si>
    <t xml:space="preserve">EFICIENCIA </t>
  </si>
  <si>
    <t>CONOCER LA CANTIDAD QUE CADA PUERTO REPORTA COMO PRODUCTO DEFECTUOSOS, DEBIDO A LAS CONDICIONES EN LAS QUE SE CONSERVA, EN RAZON A LA CANTIDAD TOTAL DE PRODUCTO EN INVENTARIO</t>
  </si>
  <si>
    <t xml:space="preserve">ENCARGADO DE OBTENCION DE DATOS </t>
  </si>
  <si>
    <t xml:space="preserve">COORDINADOR DE PRODUCCION </t>
  </si>
  <si>
    <t>EVALUACION</t>
  </si>
  <si>
    <t>JEFE DE OPERACIONES/ GERENTE GENERAL</t>
  </si>
  <si>
    <t>CONCORDANCIA CON:</t>
  </si>
  <si>
    <t>FRECUENCIA DE EVALUACION</t>
  </si>
  <si>
    <t>REPORTES MENSUALES DE VENTAS POR PUERTO</t>
  </si>
  <si>
    <t>Consumo de KWH por turno</t>
  </si>
  <si>
    <t>VALOR MEDIO  SEMANAL</t>
  </si>
  <si>
    <t>VALOR MAXIMO SEMANAL</t>
  </si>
  <si>
    <t>VALOR MINIMO SEMANAL</t>
  </si>
  <si>
    <t xml:space="preserve">Marquetas defectuosas totales                   de los  puntos de venta  </t>
  </si>
  <si>
    <t>Venta total en marquetas                         en el puerto de Santa rosa</t>
  </si>
  <si>
    <t>Venta total en marquetas                          en el puerto de Machalilla</t>
  </si>
  <si>
    <t>Venta total en marquetas                         en el puerto de Palmar</t>
  </si>
  <si>
    <t>Venta total en marquetas                       en el puerto de Anconcito</t>
  </si>
  <si>
    <t>Venta total en marquetas                       en el puerto de Chanduy</t>
  </si>
  <si>
    <t xml:space="preserve">Marquetas defectuosas                             en planta de produccion </t>
  </si>
  <si>
    <t>META VALOR  SEMANAL</t>
  </si>
  <si>
    <r>
      <rPr>
        <b/>
        <sz val="7"/>
        <rFont val="Times New Roman"/>
        <family val="1"/>
      </rPr>
      <t xml:space="preserve"> </t>
    </r>
    <r>
      <rPr>
        <b/>
        <sz val="12"/>
        <rFont val="Arial"/>
        <family val="2"/>
      </rPr>
      <t xml:space="preserve">Venta totales de los  puertos en marquetas por turno </t>
    </r>
  </si>
  <si>
    <t>Marquetas defectuosas  del                                    punto de venta  Chanduy</t>
  </si>
  <si>
    <t>Marquetas defectuosas del                  punto de venta Anconcito</t>
  </si>
  <si>
    <t>Marquetas defectuosas del                        punto de venta Palmar</t>
  </si>
  <si>
    <t>Marquetas defectuosas del                      punto de venta Santa rosa</t>
  </si>
  <si>
    <t>Marquetas defectuosas del                    punto de venta Machalilla</t>
  </si>
  <si>
    <t xml:space="preserve">Consumo de materia prima agua                     en metros cúbicos </t>
  </si>
  <si>
    <t xml:space="preserve">Capacidad de produccion en unidades          de marquetas por turno </t>
  </si>
  <si>
    <t>Eficacia de pronósticos</t>
  </si>
  <si>
    <t>Porcentaje de desperdicio en la planta</t>
  </si>
  <si>
    <t xml:space="preserve">Rendimiento de comercialización del puerto por turno </t>
  </si>
  <si>
    <t>Porcentaje de ventas durante el turno</t>
  </si>
  <si>
    <t>Razón de corriente requerida para la fabricación de una marqueta</t>
  </si>
  <si>
    <t>Razón de agua requerida para la fabricación de una marqueta</t>
  </si>
  <si>
    <t>Razón de ventas y costo de comercialización</t>
  </si>
  <si>
    <t>HOJA DE REGISTRO DEL CONTROLADOR</t>
  </si>
  <si>
    <t xml:space="preserve">REPORTE DE PRODUCCION REPORTE DE VENTAS POR TURNO </t>
  </si>
  <si>
    <t>CURVA DE DEMANDA Y ENERGIA PROPORCIONADA POR EL PROVEEDOR DE ENERGIA ELECTRICA MENSUAL Y PLANILLA DE LUZ</t>
  </si>
  <si>
    <t>LECTURA DEL MEDIDOR DE AGUA PROPORCIONADA POR AGUAPEN Y PLANILLA DE AGUA MENSUAL Y REPORTE DE PRODUCCION</t>
  </si>
  <si>
    <t xml:space="preserve">FRECUENCIA DEL LEVANTAMIENTO DE LOS DATOS </t>
  </si>
  <si>
    <t>AL INICIO DEL TURNO Y AL FINAL</t>
  </si>
  <si>
    <t>AL FINAL DEL TURNO</t>
  </si>
  <si>
    <t>AL INICIO DEL TURNO Y AL FINAL DEL TURNO</t>
  </si>
  <si>
    <t>AL INICIIO DEL TURNO Y AL FINAL DEL TURNO</t>
  </si>
  <si>
    <t>COORDINADOR DE PRODUCCION Y COORDINADOR DE LOGISTICA Y VENTAS</t>
  </si>
  <si>
    <t>COORDINADOR DE LOGISTICA Y VENTAS</t>
  </si>
  <si>
    <t>CONTROLADOR DE OPERACIONES</t>
  </si>
  <si>
    <t>COORDINADOR DE PRODUCCION</t>
  </si>
  <si>
    <t xml:space="preserve">GERENTE GENERAL / COORDINADOR DE LOGISTICA Y VENTAS </t>
  </si>
  <si>
    <t>MENSUAL/ SEMANAL</t>
  </si>
  <si>
    <t>HOJA DE REGISTRO DEL CONTROLADOR EN BASE A ANALIZADOR DE CONSUMO ELECTRICO</t>
  </si>
  <si>
    <t xml:space="preserve">HOJA DE REGISTRO DEL CONTROLADOR EN BASE A LECTURA DE MEDIDIOR </t>
  </si>
  <si>
    <t xml:space="preserve">PLANILLAS DE CONSUMO DE SERVICIO DE BASICOS,  COSTOS DE TRANSPORTACION,  COSTOS POR COMISIONES  REPORTES DE VENTAS </t>
  </si>
  <si>
    <t>INDUSTRIAS FORCONTESA</t>
  </si>
  <si>
    <t xml:space="preserve">SEMANA NUMERO </t>
  </si>
  <si>
    <t>FECHA TURNO</t>
  </si>
  <si>
    <t>PRODUCCION</t>
  </si>
  <si>
    <t>TOTAL DE ENTREGAS</t>
  </si>
  <si>
    <t xml:space="preserve">TOTAL DE MERMAS EN PLANTA </t>
  </si>
  <si>
    <t>ANCONCITO</t>
  </si>
  <si>
    <t>INVENTARIO INICIAL</t>
  </si>
  <si>
    <t>HOJA DE REGISTRO DE CONTROL DE TURNO</t>
  </si>
  <si>
    <t>VENTAS</t>
  </si>
  <si>
    <t>TRANSFERENCIAS</t>
  </si>
  <si>
    <t>MERMAS</t>
  </si>
  <si>
    <t>SANTA ROSA</t>
  </si>
  <si>
    <t>INVENTARIO FINAL</t>
  </si>
  <si>
    <t>PALMAR</t>
  </si>
  <si>
    <t>MACHALILLA</t>
  </si>
  <si>
    <t>CHANDUY</t>
  </si>
  <si>
    <t>NOVEDADES</t>
  </si>
  <si>
    <t>CONSUMO DE AGUA DE MEDIDOR GENERAL</t>
  </si>
  <si>
    <t xml:space="preserve">CONSUMO DE MEDIDOR DE AGUA DE LLENADOR </t>
  </si>
  <si>
    <t>EFICACIA</t>
  </si>
  <si>
    <t>RENTABILIDAD</t>
  </si>
  <si>
    <t>EFICIENCIA PRODUCTIVIDAD</t>
  </si>
  <si>
    <t xml:space="preserve">INDICA EL GRADO DE CUMPLIMIENTO </t>
  </si>
  <si>
    <t>PRODUCTIVIDAD EFICIENCIA</t>
  </si>
  <si>
    <t>NUMERO DE VIAJES</t>
  </si>
  <si>
    <t>EMPLEO DE CORRIENTE ELECTRICA DIARIO POR TURNO SEGUN ANALIZADOR</t>
  </si>
  <si>
    <t>KWHR</t>
  </si>
  <si>
    <t>M3</t>
  </si>
  <si>
    <t>RESPONSABLE DE OBTENCION DE DATOS :</t>
  </si>
  <si>
    <t>ancho</t>
  </si>
  <si>
    <t>largo</t>
  </si>
  <si>
    <t>altura</t>
  </si>
  <si>
    <t>unidades producidas</t>
  </si>
  <si>
    <t>consumo de agua para sistema y varios</t>
  </si>
  <si>
    <t>requerido de agua para cada marqueta</t>
  </si>
  <si>
    <t>suma requerida en planta para la produccion de 1100 unidades</t>
  </si>
  <si>
    <t xml:space="preserve">unidades producidas </t>
  </si>
  <si>
    <t xml:space="preserve">enero </t>
  </si>
  <si>
    <t xml:space="preserve">febrero </t>
  </si>
  <si>
    <t xml:space="preserve">marzo </t>
  </si>
  <si>
    <t xml:space="preserve">abril </t>
  </si>
  <si>
    <t xml:space="preserve">mayo </t>
  </si>
  <si>
    <t xml:space="preserve">junio </t>
  </si>
  <si>
    <t xml:space="preserve">julio </t>
  </si>
  <si>
    <t xml:space="preserve">agosto </t>
  </si>
  <si>
    <t>septiembre</t>
  </si>
  <si>
    <t>octubre</t>
  </si>
  <si>
    <t>noviembre</t>
  </si>
  <si>
    <t>diciembre</t>
  </si>
  <si>
    <t>1 turno</t>
  </si>
  <si>
    <t>minimo</t>
  </si>
  <si>
    <t>maximo</t>
  </si>
  <si>
    <t>promedio</t>
  </si>
  <si>
    <t xml:space="preserve">total de consumo de agua para sistema mensual </t>
  </si>
  <si>
    <t>total de consumo de agua para empleo de materia prima</t>
  </si>
  <si>
    <t>total de consumo de energia electria diurno</t>
  </si>
  <si>
    <t>consumo de consumo de energia electrica nocturno</t>
  </si>
  <si>
    <t>unidades mensuales</t>
  </si>
  <si>
    <t>Kwh / marq diurno</t>
  </si>
  <si>
    <t>Kwh / marq nocturno</t>
  </si>
  <si>
    <t>Kwh/marqu</t>
  </si>
  <si>
    <t>MERMA MARQUETAS</t>
  </si>
  <si>
    <t>enero 07</t>
  </si>
  <si>
    <t>febrero 07</t>
  </si>
  <si>
    <t>marzo 07</t>
  </si>
  <si>
    <t>abril 07</t>
  </si>
  <si>
    <t>mayo 07</t>
  </si>
  <si>
    <t>junio 07</t>
  </si>
  <si>
    <t>julio 07</t>
  </si>
  <si>
    <t>agosto 07</t>
  </si>
  <si>
    <t xml:space="preserve">septiembre 07 </t>
  </si>
  <si>
    <t>octubre 07</t>
  </si>
  <si>
    <t>noviembre 07</t>
  </si>
  <si>
    <t>diciembre 07</t>
  </si>
  <si>
    <t>Anconcito</t>
  </si>
  <si>
    <t>Chanduy</t>
  </si>
  <si>
    <t>Machalilla</t>
  </si>
  <si>
    <t>Palmar</t>
  </si>
  <si>
    <t>Sta. Rosa 1</t>
  </si>
  <si>
    <t xml:space="preserve">merma turno dia </t>
  </si>
  <si>
    <t>merma turno noche</t>
  </si>
  <si>
    <t>total suma merma noche</t>
  </si>
  <si>
    <t xml:space="preserve">total suma merma dia </t>
  </si>
  <si>
    <t>numero de desperdicio en planta</t>
  </si>
  <si>
    <t xml:space="preserve">suma de mermas  puertos </t>
  </si>
  <si>
    <t xml:space="preserve">suma de mermas totales </t>
  </si>
  <si>
    <t>porcentaje de desperdicio en la comercializacion</t>
  </si>
  <si>
    <t>Garita</t>
  </si>
  <si>
    <t>total</t>
  </si>
  <si>
    <t xml:space="preserve">Ventas por puerto </t>
  </si>
  <si>
    <t xml:space="preserve">Sta. Rosa </t>
  </si>
  <si>
    <t>punt planta</t>
  </si>
  <si>
    <t>MERMA TURNO DIA</t>
  </si>
  <si>
    <t>MERMA TURNO NOCHE</t>
  </si>
  <si>
    <t>PROMEDIO</t>
  </si>
  <si>
    <t xml:space="preserve">VENTAS </t>
  </si>
  <si>
    <t xml:space="preserve">NUMERO DE VIAJES </t>
  </si>
  <si>
    <t xml:space="preserve">NUMERO DE MARQUETAS QUE SE ENVIAN EN PROMEDIO POR CADA VIAJE PARA LOS RESPECTIVOS PUERTOS </t>
  </si>
  <si>
    <t>* Se consideran 24 dias laborales al mes.</t>
  </si>
  <si>
    <t>se desea incremetar la cantidad de producto enviado a cada puerto a fin de reducir los costos de transportacion de cada marqueta</t>
  </si>
  <si>
    <t>Sta. Rosa</t>
  </si>
  <si>
    <t>CANTIDAD DE PRODUCTO POR VIAJE META</t>
  </si>
  <si>
    <t>PRODUCCION EN TURNO DE LA NOCHE</t>
  </si>
  <si>
    <t>PRODUCCION EN TURNO DEL DIA</t>
  </si>
  <si>
    <t xml:space="preserve">TOTAL DE CONSUMO ENERGIA ELECTRICA MENSUAL </t>
  </si>
  <si>
    <t>METROS CUBICOS/MARQUET</t>
  </si>
  <si>
    <t>SUMA DE METROS MES</t>
  </si>
  <si>
    <t>UNIDADES</t>
  </si>
  <si>
    <t>META ELECTRICA</t>
  </si>
  <si>
    <t xml:space="preserve">META DE CONSUMO DE AGUA </t>
  </si>
  <si>
    <t>UNIDADES PRODUCIDAS POR MES</t>
  </si>
  <si>
    <t>METROS CUBICOS EMPLEADOS POR MES PARA MATERIA PRIMA</t>
  </si>
  <si>
    <t xml:space="preserve">METROS CUBICOS EMPLEADOS POR MES PARA EL SISTEMA </t>
  </si>
  <si>
    <t>REQUERIDO DE AGUA PARA CADA MARQUETA</t>
  </si>
  <si>
    <t xml:space="preserve">CANTIDAD DE AGUA REQUERIDA PARA LA PRODUCCION DE UNA MARQUETA EN PLANTA DURANTE LOS DIVERSOS MESES </t>
  </si>
  <si>
    <t>septiembre 07</t>
  </si>
  <si>
    <t>TOTAL DE CONSUMO DE AGUA DURANTE UN MES</t>
  </si>
  <si>
    <t xml:space="preserve">CONSUMO DE AGUA PARA EL SISTEMA Y VARIOS </t>
  </si>
  <si>
    <t>UNIDADES PRODUCIDAS DURANTE EL MES</t>
  </si>
  <si>
    <t>TOTAL DE CONSUMO DE ENERGIA ELECTRICA DIURNO</t>
  </si>
  <si>
    <t>TOTAL DE COMSUNO DE ENERGIA ELECTRICA NOCTURNO</t>
  </si>
  <si>
    <t>KWH</t>
  </si>
  <si>
    <t xml:space="preserve">UNIDADES DE MARQUETAS </t>
  </si>
  <si>
    <t xml:space="preserve">PRODUCCION DURANTE EL TURNO DEL DIA </t>
  </si>
  <si>
    <t>TOTAL DE PRODUCCION</t>
  </si>
  <si>
    <t xml:space="preserve">TURNO DE DIA </t>
  </si>
  <si>
    <t>TURNO DE NOCHE</t>
  </si>
  <si>
    <t>CAPACIDAD DE PLANTA MENSUAL</t>
  </si>
  <si>
    <t xml:space="preserve">MARQUETAS NO PRODUCIDAS MENSUALES </t>
  </si>
  <si>
    <t>% DE UTILIZACION DE LA CAPACIDAD</t>
  </si>
  <si>
    <t>SUMA DE MERMAS EN PUERTOS</t>
  </si>
  <si>
    <t>SUMA DE DESPERDICIOS TOTALES</t>
  </si>
  <si>
    <t>CONSUMO DE CORRIENTE POR TURNO</t>
  </si>
  <si>
    <t>CONSUMO TOTAL DE AGUA POR MARQUETA</t>
  </si>
  <si>
    <t>CANTIDAD DE AGUA DESTINADA COMO MATERIA PRIMA POR MARQUETA</t>
  </si>
  <si>
    <t>CANTIDAD DE AGUA DESTINADA PARA EL SISTEMA POR MARQUETA</t>
  </si>
  <si>
    <t xml:space="preserve">COSTOS DE TRANSPORTACION </t>
  </si>
  <si>
    <t xml:space="preserve">COSTOS POR CONCEPTO DE COMISIONES </t>
  </si>
  <si>
    <t>SUMA TOTAL</t>
  </si>
  <si>
    <t xml:space="preserve">VENTAS MENSUALES </t>
  </si>
  <si>
    <t xml:space="preserve">COSTO DE ENERGIA ELECTRICA EN PLANTA </t>
  </si>
  <si>
    <t>valor total de factura</t>
  </si>
  <si>
    <t xml:space="preserve">COSTO DE MANO DE OBRA </t>
  </si>
  <si>
    <t>valor de mano de obra</t>
  </si>
  <si>
    <t>COSTO DE ENERGIA ELECTRICA EN PUNTO DE VENTA</t>
  </si>
  <si>
    <t xml:space="preserve">SUMA DE LUZ </t>
  </si>
  <si>
    <t>COSTO PERDIDA POR DESPERDICIO COMERCIALIZACION</t>
  </si>
  <si>
    <t>COSTO PERDIDA POR DESPERDICIO PRODUCCION</t>
  </si>
  <si>
    <t xml:space="preserve">PLANTA </t>
  </si>
  <si>
    <t xml:space="preserve">COSTO DE AGUA </t>
  </si>
  <si>
    <t xml:space="preserve">AGUA CONSUMO $ </t>
  </si>
  <si>
    <t>VALORES TOTALES POR  DESPERDICIOS</t>
  </si>
  <si>
    <t>VALORES TOTALES POR CONSUMO ENERGIA ELECTRICA</t>
  </si>
  <si>
    <t>VALORES TOTALES POR TRANSPORTACION</t>
  </si>
  <si>
    <t>SUMA TOTAL VALORES DE COMISIONES</t>
  </si>
  <si>
    <t>VALOR POR MANO DE OBRA</t>
  </si>
  <si>
    <t>VALOR ACUMULADO</t>
  </si>
  <si>
    <t>PORCENTAJE DEL COSTO TOTAL</t>
  </si>
  <si>
    <t>COSTOS POR DESPERDICIOS DE MARQUETAS</t>
  </si>
  <si>
    <t>COSTOS TOTALES POR CONSUMO ENERGIA ELECTRICA</t>
  </si>
  <si>
    <t>SUMA DE COMISIONES</t>
  </si>
  <si>
    <t xml:space="preserve">septiemb 07 </t>
  </si>
  <si>
    <t>NUMERO DE DESPERDICIO EN PLANTA</t>
  </si>
  <si>
    <t>AGUA CONSUMO DOLARES</t>
  </si>
  <si>
    <t>COSTOS ANUALES</t>
  </si>
  <si>
    <t>DATOS DE CONSUMO DE AGUA EN METROS CUBICOS POR MARQUETA</t>
  </si>
  <si>
    <t>CANTIDAD DE PRODUCTO ENTREGADOS POR VIAJE HISTORICO</t>
  </si>
  <si>
    <t>metros cúbicos</t>
  </si>
  <si>
    <t>metros cubicos de agua para materia prima por marqueta producida</t>
  </si>
  <si>
    <t>metros cúbicos de agua para sistema destinado por marqueta producida</t>
  </si>
  <si>
    <t>MARQUETAS</t>
  </si>
  <si>
    <t xml:space="preserve"> MERMA POR PUERTO DURANTE 2007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</si>
</sst>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0.000"/>
  </numFmts>
  <fonts count="3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Arial"/>
      <family val="2"/>
    </font>
    <font>
      <sz val="12"/>
      <color rgb="FF00B050"/>
      <name val="Arial"/>
      <family val="2"/>
    </font>
    <font>
      <sz val="12"/>
      <name val="Arial"/>
      <family val="2"/>
    </font>
    <font>
      <b/>
      <sz val="12"/>
      <name val="Symbol"/>
      <family val="1"/>
      <charset val="2"/>
    </font>
    <font>
      <b/>
      <sz val="7"/>
      <name val="Times New Roman"/>
      <family val="1"/>
    </font>
    <font>
      <b/>
      <sz val="12"/>
      <name val="Arial"/>
      <family val="2"/>
    </font>
    <font>
      <sz val="16"/>
      <name val="Calibri"/>
      <family val="2"/>
      <scheme val="minor"/>
    </font>
    <font>
      <i/>
      <sz val="11"/>
      <color theme="1"/>
      <name val="Aharoni"/>
      <charset val="177"/>
    </font>
    <font>
      <b/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rgb="FF00B050"/>
      <name val="Calibri"/>
      <family val="2"/>
      <scheme val="minor"/>
    </font>
    <font>
      <sz val="11"/>
      <color rgb="FFFF0000"/>
      <name val="Arial"/>
      <family val="2"/>
    </font>
    <font>
      <b/>
      <sz val="11"/>
      <name val="Calibri"/>
      <family val="2"/>
      <scheme val="minor"/>
    </font>
    <font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name val="Calibri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CEA68"/>
        <bgColor indexed="64"/>
      </patternFill>
    </fill>
    <fill>
      <patternFill patternType="solid">
        <fgColor rgb="FFFEFADA"/>
        <bgColor indexed="64"/>
      </patternFill>
    </fill>
    <fill>
      <patternFill patternType="solid">
        <fgColor rgb="FFFFC00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4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554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1" fontId="0" fillId="0" borderId="1" xfId="0" applyNumberFormat="1" applyBorder="1"/>
    <xf numFmtId="0" fontId="4" fillId="0" borderId="0" xfId="0" applyFont="1" applyBorder="1" applyAlignment="1">
      <alignment horizontal="justify"/>
    </xf>
    <xf numFmtId="0" fontId="4" fillId="0" borderId="5" xfId="0" applyFont="1" applyBorder="1" applyAlignment="1">
      <alignment horizontal="justify"/>
    </xf>
    <xf numFmtId="0" fontId="6" fillId="0" borderId="5" xfId="0" applyFont="1" applyBorder="1" applyAlignment="1">
      <alignment horizontal="justify"/>
    </xf>
    <xf numFmtId="0" fontId="3" fillId="0" borderId="5" xfId="0" applyFont="1" applyBorder="1" applyAlignment="1">
      <alignment horizontal="right" wrapText="1"/>
    </xf>
    <xf numFmtId="0" fontId="8" fillId="0" borderId="5" xfId="0" applyFont="1" applyBorder="1" applyAlignment="1">
      <alignment wrapText="1"/>
    </xf>
    <xf numFmtId="0" fontId="8" fillId="0" borderId="5" xfId="0" applyFont="1" applyBorder="1" applyAlignment="1">
      <alignment horizontal="left" wrapText="1"/>
    </xf>
    <xf numFmtId="0" fontId="0" fillId="0" borderId="10" xfId="0" applyBorder="1"/>
    <xf numFmtId="0" fontId="5" fillId="0" borderId="5" xfId="0" applyFont="1" applyBorder="1" applyAlignment="1">
      <alignment horizontal="right" wrapText="1"/>
    </xf>
    <xf numFmtId="0" fontId="0" fillId="0" borderId="6" xfId="0" applyFill="1" applyBorder="1"/>
    <xf numFmtId="0" fontId="5" fillId="0" borderId="7" xfId="0" applyFont="1" applyBorder="1" applyAlignment="1">
      <alignment horizontal="right" wrapText="1"/>
    </xf>
    <xf numFmtId="0" fontId="0" fillId="0" borderId="8" xfId="0" applyBorder="1"/>
    <xf numFmtId="0" fontId="0" fillId="0" borderId="9" xfId="0" applyFill="1" applyBorder="1"/>
    <xf numFmtId="0" fontId="5" fillId="0" borderId="5" xfId="0" applyFont="1" applyBorder="1" applyAlignment="1">
      <alignment horizontal="justify"/>
    </xf>
    <xf numFmtId="0" fontId="1" fillId="3" borderId="2" xfId="0" applyFont="1" applyFill="1" applyBorder="1"/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9" fillId="0" borderId="5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9" fillId="0" borderId="13" xfId="0" applyFont="1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20" xfId="0" applyFill="1" applyBorder="1"/>
    <xf numFmtId="0" fontId="0" fillId="4" borderId="12" xfId="0" applyFill="1" applyBorder="1"/>
    <xf numFmtId="0" fontId="0" fillId="4" borderId="0" xfId="0" applyFill="1" applyBorder="1"/>
    <xf numFmtId="0" fontId="0" fillId="0" borderId="12" xfId="0" applyBorder="1"/>
    <xf numFmtId="0" fontId="0" fillId="0" borderId="0" xfId="0" applyAlignment="1">
      <alignment horizontal="left"/>
    </xf>
    <xf numFmtId="0" fontId="1" fillId="0" borderId="0" xfId="0" applyFont="1"/>
    <xf numFmtId="0" fontId="0" fillId="0" borderId="12" xfId="0" applyBorder="1" applyAlignment="1">
      <alignment horizontal="left"/>
    </xf>
    <xf numFmtId="0" fontId="0" fillId="0" borderId="23" xfId="0" applyBorder="1"/>
    <xf numFmtId="0" fontId="0" fillId="0" borderId="0" xfId="0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/>
    </xf>
    <xf numFmtId="0" fontId="0" fillId="0" borderId="24" xfId="0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21" xfId="0" applyBorder="1"/>
    <xf numFmtId="0" fontId="0" fillId="0" borderId="22" xfId="0" applyBorder="1"/>
    <xf numFmtId="0" fontId="13" fillId="0" borderId="2" xfId="0" applyFont="1" applyBorder="1"/>
    <xf numFmtId="0" fontId="0" fillId="0" borderId="4" xfId="0" applyBorder="1"/>
    <xf numFmtId="0" fontId="13" fillId="0" borderId="5" xfId="0" applyFont="1" applyBorder="1"/>
    <xf numFmtId="0" fontId="13" fillId="0" borderId="5" xfId="0" applyFont="1" applyBorder="1" applyAlignment="1">
      <alignment wrapText="1"/>
    </xf>
    <xf numFmtId="0" fontId="13" fillId="0" borderId="5" xfId="0" applyFont="1" applyBorder="1" applyAlignment="1">
      <alignment horizontal="center" wrapText="1"/>
    </xf>
    <xf numFmtId="164" fontId="13" fillId="0" borderId="5" xfId="0" applyNumberFormat="1" applyFont="1" applyBorder="1" applyAlignment="1">
      <alignment wrapText="1"/>
    </xf>
    <xf numFmtId="0" fontId="13" fillId="0" borderId="7" xfId="0" applyFont="1" applyBorder="1" applyAlignment="1">
      <alignment wrapText="1"/>
    </xf>
    <xf numFmtId="164" fontId="0" fillId="0" borderId="9" xfId="0" applyNumberFormat="1" applyBorder="1"/>
    <xf numFmtId="0" fontId="13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13" fillId="0" borderId="26" xfId="0" applyFont="1" applyBorder="1" applyAlignment="1">
      <alignment wrapText="1"/>
    </xf>
    <xf numFmtId="0" fontId="0" fillId="0" borderId="25" xfId="0" applyBorder="1"/>
    <xf numFmtId="0" fontId="0" fillId="0" borderId="0" xfId="0" applyAlignment="1">
      <alignment wrapText="1"/>
    </xf>
    <xf numFmtId="0" fontId="15" fillId="0" borderId="0" xfId="0" applyFont="1"/>
    <xf numFmtId="1" fontId="0" fillId="0" borderId="0" xfId="0" applyNumberFormat="1"/>
    <xf numFmtId="1" fontId="0" fillId="0" borderId="3" xfId="0" applyNumberFormat="1" applyBorder="1"/>
    <xf numFmtId="1" fontId="0" fillId="0" borderId="4" xfId="0" applyNumberFormat="1" applyBorder="1"/>
    <xf numFmtId="1" fontId="0" fillId="0" borderId="8" xfId="0" applyNumberFormat="1" applyBorder="1"/>
    <xf numFmtId="1" fontId="0" fillId="0" borderId="9" xfId="0" applyNumberFormat="1" applyBorder="1"/>
    <xf numFmtId="0" fontId="0" fillId="0" borderId="2" xfId="0" applyBorder="1"/>
    <xf numFmtId="0" fontId="15" fillId="0" borderId="3" xfId="0" applyFont="1" applyFill="1" applyBorder="1"/>
    <xf numFmtId="0" fontId="15" fillId="0" borderId="4" xfId="0" applyFont="1" applyFill="1" applyBorder="1"/>
    <xf numFmtId="0" fontId="0" fillId="0" borderId="5" xfId="0" applyBorder="1"/>
    <xf numFmtId="1" fontId="0" fillId="0" borderId="6" xfId="0" applyNumberFormat="1" applyBorder="1"/>
    <xf numFmtId="0" fontId="0" fillId="0" borderId="7" xfId="0" applyBorder="1"/>
    <xf numFmtId="1" fontId="0" fillId="0" borderId="17" xfId="0" applyNumberFormat="1" applyBorder="1"/>
    <xf numFmtId="1" fontId="0" fillId="0" borderId="18" xfId="0" applyNumberFormat="1" applyBorder="1"/>
    <xf numFmtId="1" fontId="0" fillId="0" borderId="19" xfId="0" applyNumberFormat="1" applyBorder="1"/>
    <xf numFmtId="1" fontId="0" fillId="0" borderId="2" xfId="0" applyNumberFormat="1" applyBorder="1"/>
    <xf numFmtId="1" fontId="0" fillId="0" borderId="5" xfId="0" applyNumberFormat="1" applyBorder="1"/>
    <xf numFmtId="1" fontId="0" fillId="0" borderId="7" xfId="0" applyNumberFormat="1" applyBorder="1"/>
    <xf numFmtId="0" fontId="0" fillId="0" borderId="9" xfId="0" applyBorder="1"/>
    <xf numFmtId="0" fontId="0" fillId="0" borderId="0" xfId="0" applyFill="1" applyBorder="1" applyAlignment="1">
      <alignment wrapText="1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0" xfId="0" applyBorder="1"/>
    <xf numFmtId="9" fontId="0" fillId="0" borderId="0" xfId="1" applyFont="1" applyBorder="1"/>
    <xf numFmtId="1" fontId="13" fillId="5" borderId="17" xfId="0" applyNumberFormat="1" applyFont="1" applyFill="1" applyBorder="1" applyAlignment="1">
      <alignment horizontal="center" vertical="center"/>
    </xf>
    <xf numFmtId="1" fontId="13" fillId="5" borderId="18" xfId="0" applyNumberFormat="1" applyFont="1" applyFill="1" applyBorder="1" applyAlignment="1">
      <alignment horizontal="center" vertical="center"/>
    </xf>
    <xf numFmtId="1" fontId="13" fillId="5" borderId="19" xfId="0" applyNumberFormat="1" applyFont="1" applyFill="1" applyBorder="1" applyAlignment="1">
      <alignment horizontal="center" vertical="center"/>
    </xf>
    <xf numFmtId="9" fontId="13" fillId="5" borderId="17" xfId="1" applyFont="1" applyFill="1" applyBorder="1" applyAlignment="1">
      <alignment horizontal="center" vertical="center"/>
    </xf>
    <xf numFmtId="9" fontId="13" fillId="5" borderId="18" xfId="1" applyFont="1" applyFill="1" applyBorder="1" applyAlignment="1">
      <alignment horizontal="center" vertical="center"/>
    </xf>
    <xf numFmtId="9" fontId="13" fillId="5" borderId="19" xfId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Border="1"/>
    <xf numFmtId="0" fontId="0" fillId="0" borderId="5" xfId="0" applyFill="1" applyBorder="1" applyAlignment="1">
      <alignment wrapText="1"/>
    </xf>
    <xf numFmtId="0" fontId="0" fillId="0" borderId="34" xfId="0" applyFill="1" applyBorder="1" applyAlignment="1">
      <alignment wrapText="1"/>
    </xf>
    <xf numFmtId="0" fontId="16" fillId="0" borderId="35" xfId="0" applyFont="1" applyBorder="1"/>
    <xf numFmtId="0" fontId="16" fillId="0" borderId="36" xfId="0" applyFont="1" applyBorder="1"/>
    <xf numFmtId="0" fontId="0" fillId="0" borderId="7" xfId="0" applyFill="1" applyBorder="1" applyAlignment="1"/>
    <xf numFmtId="0" fontId="1" fillId="0" borderId="0" xfId="0" applyFont="1" applyAlignment="1">
      <alignment horizontal="center"/>
    </xf>
    <xf numFmtId="0" fontId="0" fillId="0" borderId="26" xfId="0" applyFill="1" applyBorder="1" applyAlignment="1">
      <alignment wrapText="1"/>
    </xf>
    <xf numFmtId="0" fontId="0" fillId="0" borderId="37" xfId="0" applyFill="1" applyBorder="1" applyAlignment="1"/>
    <xf numFmtId="9" fontId="0" fillId="0" borderId="1" xfId="1" applyFont="1" applyBorder="1"/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/>
    <xf numFmtId="0" fontId="1" fillId="0" borderId="4" xfId="0" applyFont="1" applyBorder="1" applyAlignment="1"/>
    <xf numFmtId="9" fontId="0" fillId="0" borderId="5" xfId="1" applyFont="1" applyBorder="1"/>
    <xf numFmtId="9" fontId="0" fillId="0" borderId="6" xfId="1" applyFont="1" applyBorder="1"/>
    <xf numFmtId="9" fontId="0" fillId="0" borderId="7" xfId="1" applyFont="1" applyBorder="1"/>
    <xf numFmtId="9" fontId="0" fillId="0" borderId="8" xfId="1" applyFont="1" applyBorder="1"/>
    <xf numFmtId="9" fontId="0" fillId="0" borderId="9" xfId="1" applyFont="1" applyBorder="1"/>
    <xf numFmtId="9" fontId="0" fillId="0" borderId="0" xfId="0" applyNumberFormat="1"/>
    <xf numFmtId="0" fontId="0" fillId="6" borderId="0" xfId="0" applyFill="1"/>
    <xf numFmtId="0" fontId="1" fillId="6" borderId="2" xfId="0" applyFont="1" applyFill="1" applyBorder="1" applyAlignment="1">
      <alignment wrapText="1"/>
    </xf>
    <xf numFmtId="0" fontId="1" fillId="6" borderId="3" xfId="0" applyFont="1" applyFill="1" applyBorder="1" applyAlignment="1">
      <alignment wrapText="1"/>
    </xf>
    <xf numFmtId="0" fontId="1" fillId="6" borderId="3" xfId="0" applyFont="1" applyFill="1" applyBorder="1" applyAlignment="1"/>
    <xf numFmtId="0" fontId="1" fillId="6" borderId="4" xfId="0" applyFont="1" applyFill="1" applyBorder="1" applyAlignment="1"/>
    <xf numFmtId="0" fontId="0" fillId="6" borderId="26" xfId="0" applyFill="1" applyBorder="1" applyAlignment="1">
      <alignment wrapText="1"/>
    </xf>
    <xf numFmtId="9" fontId="0" fillId="6" borderId="5" xfId="1" applyFont="1" applyFill="1" applyBorder="1"/>
    <xf numFmtId="9" fontId="0" fillId="6" borderId="1" xfId="1" applyFont="1" applyFill="1" applyBorder="1"/>
    <xf numFmtId="9" fontId="0" fillId="6" borderId="6" xfId="1" applyFont="1" applyFill="1" applyBorder="1"/>
    <xf numFmtId="9" fontId="13" fillId="6" borderId="38" xfId="1" applyFont="1" applyFill="1" applyBorder="1"/>
    <xf numFmtId="0" fontId="0" fillId="6" borderId="37" xfId="0" applyFill="1" applyBorder="1" applyAlignment="1"/>
    <xf numFmtId="9" fontId="0" fillId="6" borderId="7" xfId="1" applyFont="1" applyFill="1" applyBorder="1"/>
    <xf numFmtId="9" fontId="0" fillId="6" borderId="8" xfId="1" applyFont="1" applyFill="1" applyBorder="1"/>
    <xf numFmtId="9" fontId="0" fillId="6" borderId="9" xfId="1" applyFont="1" applyFill="1" applyBorder="1"/>
    <xf numFmtId="0" fontId="0" fillId="0" borderId="24" xfId="0" applyBorder="1"/>
    <xf numFmtId="0" fontId="1" fillId="7" borderId="18" xfId="0" applyFont="1" applyFill="1" applyBorder="1"/>
    <xf numFmtId="0" fontId="1" fillId="7" borderId="19" xfId="0" applyFont="1" applyFill="1" applyBorder="1"/>
    <xf numFmtId="0" fontId="0" fillId="8" borderId="1" xfId="0" applyFill="1" applyBorder="1"/>
    <xf numFmtId="0" fontId="0" fillId="8" borderId="5" xfId="0" applyFill="1" applyBorder="1" applyAlignment="1">
      <alignment wrapText="1"/>
    </xf>
    <xf numFmtId="0" fontId="0" fillId="8" borderId="7" xfId="0" applyFill="1" applyBorder="1" applyAlignment="1"/>
    <xf numFmtId="0" fontId="0" fillId="8" borderId="34" xfId="0" applyFill="1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13" fillId="0" borderId="7" xfId="0" applyFont="1" applyBorder="1" applyAlignment="1">
      <alignment vertical="center" wrapText="1"/>
    </xf>
    <xf numFmtId="49" fontId="13" fillId="0" borderId="0" xfId="0" applyNumberFormat="1" applyFont="1" applyAlignment="1">
      <alignment wrapText="1"/>
    </xf>
    <xf numFmtId="0" fontId="13" fillId="0" borderId="26" xfId="0" applyFont="1" applyBorder="1" applyAlignment="1">
      <alignment horizontal="center" vertical="center" wrapText="1"/>
    </xf>
    <xf numFmtId="164" fontId="0" fillId="0" borderId="24" xfId="0" applyNumberFormat="1" applyBorder="1"/>
    <xf numFmtId="164" fontId="13" fillId="0" borderId="15" xfId="0" applyNumberFormat="1" applyFont="1" applyBorder="1"/>
    <xf numFmtId="164" fontId="0" fillId="0" borderId="15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164" fontId="0" fillId="0" borderId="8" xfId="0" applyNumberFormat="1" applyBorder="1"/>
    <xf numFmtId="0" fontId="0" fillId="0" borderId="0" xfId="0" applyFill="1" applyBorder="1" applyAlignment="1">
      <alignment horizontal="center" vertical="center" wrapText="1"/>
    </xf>
    <xf numFmtId="164" fontId="0" fillId="0" borderId="2" xfId="0" applyNumberFormat="1" applyBorder="1"/>
    <xf numFmtId="164" fontId="0" fillId="0" borderId="7" xfId="0" applyNumberFormat="1" applyBorder="1"/>
    <xf numFmtId="0" fontId="13" fillId="0" borderId="0" xfId="0" applyFont="1"/>
    <xf numFmtId="0" fontId="1" fillId="0" borderId="0" xfId="0" applyFont="1" applyFill="1" applyBorder="1" applyAlignment="1">
      <alignment horizontal="center" wrapText="1"/>
    </xf>
    <xf numFmtId="0" fontId="0" fillId="0" borderId="44" xfId="0" applyBorder="1"/>
    <xf numFmtId="164" fontId="0" fillId="0" borderId="44" xfId="0" applyNumberFormat="1" applyBorder="1"/>
    <xf numFmtId="164" fontId="0" fillId="0" borderId="47" xfId="0" applyNumberFormat="1" applyBorder="1"/>
    <xf numFmtId="1" fontId="20" fillId="0" borderId="3" xfId="0" applyNumberFormat="1" applyFont="1" applyFill="1" applyBorder="1"/>
    <xf numFmtId="1" fontId="20" fillId="0" borderId="4" xfId="0" applyNumberFormat="1" applyFont="1" applyFill="1" applyBorder="1"/>
    <xf numFmtId="1" fontId="20" fillId="0" borderId="1" xfId="0" applyNumberFormat="1" applyFont="1" applyFill="1" applyBorder="1"/>
    <xf numFmtId="1" fontId="20" fillId="0" borderId="6" xfId="0" applyNumberFormat="1" applyFont="1" applyFill="1" applyBorder="1"/>
    <xf numFmtId="1" fontId="21" fillId="0" borderId="3" xfId="0" applyNumberFormat="1" applyFont="1" applyFill="1" applyBorder="1"/>
    <xf numFmtId="1" fontId="21" fillId="0" borderId="4" xfId="0" applyNumberFormat="1" applyFont="1" applyFill="1" applyBorder="1"/>
    <xf numFmtId="1" fontId="21" fillId="0" borderId="1" xfId="0" applyNumberFormat="1" applyFont="1" applyFill="1" applyBorder="1"/>
    <xf numFmtId="1" fontId="21" fillId="0" borderId="6" xfId="0" applyNumberFormat="1" applyFont="1" applyFill="1" applyBorder="1"/>
    <xf numFmtId="0" fontId="23" fillId="6" borderId="8" xfId="0" applyFont="1" applyFill="1" applyBorder="1" applyAlignment="1">
      <alignment horizontal="center" vertical="center"/>
    </xf>
    <xf numFmtId="0" fontId="23" fillId="6" borderId="9" xfId="0" applyFont="1" applyFill="1" applyBorder="1" applyAlignment="1">
      <alignment horizontal="center" vertical="center"/>
    </xf>
    <xf numFmtId="1" fontId="21" fillId="9" borderId="3" xfId="0" applyNumberFormat="1" applyFont="1" applyFill="1" applyBorder="1"/>
    <xf numFmtId="1" fontId="21" fillId="9" borderId="4" xfId="0" applyNumberFormat="1" applyFont="1" applyFill="1" applyBorder="1"/>
    <xf numFmtId="1" fontId="21" fillId="9" borderId="1" xfId="0" applyNumberFormat="1" applyFont="1" applyFill="1" applyBorder="1"/>
    <xf numFmtId="1" fontId="21" fillId="9" borderId="6" xfId="0" applyNumberFormat="1" applyFont="1" applyFill="1" applyBorder="1"/>
    <xf numFmtId="0" fontId="21" fillId="9" borderId="1" xfId="0" applyFont="1" applyFill="1" applyBorder="1"/>
    <xf numFmtId="0" fontId="21" fillId="9" borderId="6" xfId="0" applyFont="1" applyFill="1" applyBorder="1"/>
    <xf numFmtId="2" fontId="21" fillId="9" borderId="8" xfId="0" applyNumberFormat="1" applyFont="1" applyFill="1" applyBorder="1"/>
    <xf numFmtId="2" fontId="21" fillId="9" borderId="9" xfId="0" applyNumberFormat="1" applyFont="1" applyFill="1" applyBorder="1"/>
    <xf numFmtId="0" fontId="1" fillId="5" borderId="44" xfId="0" applyFont="1" applyFill="1" applyBorder="1" applyAlignment="1">
      <alignment horizontal="center" wrapText="1"/>
    </xf>
    <xf numFmtId="1" fontId="23" fillId="6" borderId="2" xfId="0" applyNumberFormat="1" applyFont="1" applyFill="1" applyBorder="1" applyAlignment="1">
      <alignment horizontal="center"/>
    </xf>
    <xf numFmtId="1" fontId="23" fillId="6" borderId="3" xfId="0" applyNumberFormat="1" applyFont="1" applyFill="1" applyBorder="1" applyAlignment="1">
      <alignment horizontal="center"/>
    </xf>
    <xf numFmtId="1" fontId="23" fillId="6" borderId="4" xfId="0" applyNumberFormat="1" applyFont="1" applyFill="1" applyBorder="1" applyAlignment="1">
      <alignment horizontal="center"/>
    </xf>
    <xf numFmtId="0" fontId="23" fillId="6" borderId="7" xfId="0" applyFont="1" applyFill="1" applyBorder="1" applyAlignment="1">
      <alignment horizontal="center" vertical="center"/>
    </xf>
    <xf numFmtId="1" fontId="21" fillId="9" borderId="2" xfId="0" applyNumberFormat="1" applyFont="1" applyFill="1" applyBorder="1"/>
    <xf numFmtId="1" fontId="21" fillId="9" borderId="5" xfId="0" applyNumberFormat="1" applyFont="1" applyFill="1" applyBorder="1"/>
    <xf numFmtId="0" fontId="21" fillId="9" borderId="5" xfId="0" applyFont="1" applyFill="1" applyBorder="1"/>
    <xf numFmtId="2" fontId="21" fillId="9" borderId="7" xfId="0" applyNumberFormat="1" applyFont="1" applyFill="1" applyBorder="1"/>
    <xf numFmtId="0" fontId="21" fillId="0" borderId="34" xfId="0" applyFont="1" applyBorder="1"/>
    <xf numFmtId="0" fontId="21" fillId="0" borderId="35" xfId="0" applyFont="1" applyBorder="1"/>
    <xf numFmtId="0" fontId="21" fillId="0" borderId="36" xfId="0" applyFont="1" applyBorder="1"/>
    <xf numFmtId="164" fontId="24" fillId="0" borderId="17" xfId="0" applyNumberFormat="1" applyFont="1" applyBorder="1" applyAlignment="1">
      <alignment horizontal="center" vertical="center"/>
    </xf>
    <xf numFmtId="164" fontId="24" fillId="0" borderId="18" xfId="0" applyNumberFormat="1" applyFont="1" applyBorder="1" applyAlignment="1">
      <alignment horizontal="center" vertical="center"/>
    </xf>
    <xf numFmtId="164" fontId="24" fillId="0" borderId="19" xfId="0" applyNumberFormat="1" applyFont="1" applyBorder="1" applyAlignment="1">
      <alignment horizontal="center" vertical="center"/>
    </xf>
    <xf numFmtId="0" fontId="12" fillId="14" borderId="1" xfId="0" applyFont="1" applyFill="1" applyBorder="1" applyAlignment="1">
      <alignment horizontal="center" vertical="center"/>
    </xf>
    <xf numFmtId="2" fontId="9" fillId="12" borderId="3" xfId="0" applyNumberFormat="1" applyFont="1" applyFill="1" applyBorder="1"/>
    <xf numFmtId="2" fontId="9" fillId="12" borderId="8" xfId="0" applyNumberFormat="1" applyFont="1" applyFill="1" applyBorder="1"/>
    <xf numFmtId="1" fontId="9" fillId="13" borderId="1" xfId="0" applyNumberFormat="1" applyFont="1" applyFill="1" applyBorder="1"/>
    <xf numFmtId="1" fontId="12" fillId="13" borderId="1" xfId="0" applyNumberFormat="1" applyFont="1" applyFill="1" applyBorder="1" applyAlignment="1">
      <alignment horizontal="center" vertical="center"/>
    </xf>
    <xf numFmtId="3" fontId="9" fillId="13" borderId="1" xfId="0" applyNumberFormat="1" applyFont="1" applyFill="1" applyBorder="1"/>
    <xf numFmtId="3" fontId="9" fillId="13" borderId="24" xfId="0" applyNumberFormat="1" applyFont="1" applyFill="1" applyBorder="1"/>
    <xf numFmtId="0" fontId="20" fillId="0" borderId="0" xfId="0" applyFont="1" applyAlignment="1">
      <alignment wrapText="1"/>
    </xf>
    <xf numFmtId="0" fontId="20" fillId="0" borderId="30" xfId="0" applyFont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2" fillId="14" borderId="11" xfId="0" applyFont="1" applyFill="1" applyBorder="1" applyAlignment="1">
      <alignment horizontal="center" vertical="center"/>
    </xf>
    <xf numFmtId="1" fontId="9" fillId="13" borderId="11" xfId="0" applyNumberFormat="1" applyFont="1" applyFill="1" applyBorder="1"/>
    <xf numFmtId="1" fontId="12" fillId="13" borderId="11" xfId="0" applyNumberFormat="1" applyFont="1" applyFill="1" applyBorder="1" applyAlignment="1">
      <alignment horizontal="center" vertical="center"/>
    </xf>
    <xf numFmtId="3" fontId="9" fillId="13" borderId="11" xfId="0" applyNumberFormat="1" applyFont="1" applyFill="1" applyBorder="1"/>
    <xf numFmtId="3" fontId="9" fillId="13" borderId="48" xfId="0" applyNumberFormat="1" applyFont="1" applyFill="1" applyBorder="1"/>
    <xf numFmtId="2" fontId="9" fillId="12" borderId="46" xfId="0" applyNumberFormat="1" applyFont="1" applyFill="1" applyBorder="1"/>
    <xf numFmtId="2" fontId="9" fillId="12" borderId="45" xfId="0" applyNumberFormat="1" applyFont="1" applyFill="1" applyBorder="1"/>
    <xf numFmtId="0" fontId="1" fillId="9" borderId="49" xfId="0" applyFont="1" applyFill="1" applyBorder="1" applyAlignment="1">
      <alignment horizontal="center" vertical="center" wrapText="1"/>
    </xf>
    <xf numFmtId="0" fontId="26" fillId="10" borderId="50" xfId="0" applyFont="1" applyFill="1" applyBorder="1" applyAlignment="1">
      <alignment horizontal="center" vertical="center" wrapText="1"/>
    </xf>
    <xf numFmtId="0" fontId="26" fillId="10" borderId="32" xfId="0" applyFont="1" applyFill="1" applyBorder="1" applyAlignment="1">
      <alignment horizontal="center" vertical="center" wrapText="1"/>
    </xf>
    <xf numFmtId="164" fontId="28" fillId="16" borderId="50" xfId="0" applyNumberFormat="1" applyFont="1" applyFill="1" applyBorder="1" applyAlignment="1">
      <alignment horizontal="center" vertical="center" wrapText="1"/>
    </xf>
    <xf numFmtId="164" fontId="28" fillId="16" borderId="51" xfId="0" applyNumberFormat="1" applyFont="1" applyFill="1" applyBorder="1" applyAlignment="1">
      <alignment horizontal="center" vertical="center" wrapText="1"/>
    </xf>
    <xf numFmtId="0" fontId="18" fillId="10" borderId="50" xfId="0" applyFont="1" applyFill="1" applyBorder="1" applyAlignment="1">
      <alignment horizontal="center" vertical="center" wrapText="1"/>
    </xf>
    <xf numFmtId="0" fontId="26" fillId="16" borderId="49" xfId="0" applyFont="1" applyFill="1" applyBorder="1" applyAlignment="1">
      <alignment horizontal="center" vertical="center" wrapText="1"/>
    </xf>
    <xf numFmtId="0" fontId="26" fillId="16" borderId="50" xfId="0" applyFont="1" applyFill="1" applyBorder="1" applyAlignment="1">
      <alignment horizontal="center" vertical="center" wrapText="1"/>
    </xf>
    <xf numFmtId="0" fontId="26" fillId="16" borderId="37" xfId="0" applyFont="1" applyFill="1" applyBorder="1" applyAlignment="1">
      <alignment horizontal="center" vertical="center" wrapText="1"/>
    </xf>
    <xf numFmtId="0" fontId="26" fillId="16" borderId="29" xfId="0" applyFont="1" applyFill="1" applyBorder="1" applyAlignment="1">
      <alignment horizontal="center" vertical="center" wrapText="1"/>
    </xf>
    <xf numFmtId="1" fontId="20" fillId="15" borderId="2" xfId="0" applyNumberFormat="1" applyFont="1" applyFill="1" applyBorder="1" applyAlignment="1">
      <alignment horizontal="center" vertical="center"/>
    </xf>
    <xf numFmtId="1" fontId="20" fillId="15" borderId="3" xfId="0" applyNumberFormat="1" applyFont="1" applyFill="1" applyBorder="1" applyAlignment="1">
      <alignment horizontal="center" vertical="center"/>
    </xf>
    <xf numFmtId="1" fontId="20" fillId="15" borderId="4" xfId="0" applyNumberFormat="1" applyFont="1" applyFill="1" applyBorder="1" applyAlignment="1">
      <alignment horizontal="center" vertical="center"/>
    </xf>
    <xf numFmtId="1" fontId="20" fillId="15" borderId="5" xfId="0" applyNumberFormat="1" applyFont="1" applyFill="1" applyBorder="1" applyAlignment="1">
      <alignment horizontal="center" vertical="center"/>
    </xf>
    <xf numFmtId="1" fontId="20" fillId="15" borderId="1" xfId="0" applyNumberFormat="1" applyFont="1" applyFill="1" applyBorder="1" applyAlignment="1">
      <alignment horizontal="center" vertical="center"/>
    </xf>
    <xf numFmtId="1" fontId="20" fillId="15" borderId="6" xfId="0" applyNumberFormat="1" applyFont="1" applyFill="1" applyBorder="1" applyAlignment="1">
      <alignment horizontal="center" vertical="center"/>
    </xf>
    <xf numFmtId="0" fontId="20" fillId="13" borderId="17" xfId="0" applyFont="1" applyFill="1" applyBorder="1" applyAlignment="1">
      <alignment horizontal="center" vertical="center"/>
    </xf>
    <xf numFmtId="0" fontId="20" fillId="13" borderId="18" xfId="0" applyFont="1" applyFill="1" applyBorder="1" applyAlignment="1">
      <alignment horizontal="center" vertical="center"/>
    </xf>
    <xf numFmtId="0" fontId="20" fillId="13" borderId="19" xfId="0" applyFont="1" applyFill="1" applyBorder="1" applyAlignment="1">
      <alignment horizontal="center" vertical="center"/>
    </xf>
    <xf numFmtId="1" fontId="20" fillId="15" borderId="7" xfId="0" applyNumberFormat="1" applyFont="1" applyFill="1" applyBorder="1"/>
    <xf numFmtId="1" fontId="20" fillId="15" borderId="8" xfId="0" applyNumberFormat="1" applyFont="1" applyFill="1" applyBorder="1"/>
    <xf numFmtId="1" fontId="20" fillId="15" borderId="9" xfId="0" applyNumberFormat="1" applyFont="1" applyFill="1" applyBorder="1"/>
    <xf numFmtId="1" fontId="27" fillId="15" borderId="54" xfId="0" applyNumberFormat="1" applyFont="1" applyFill="1" applyBorder="1" applyAlignment="1">
      <alignment horizontal="center" vertical="center"/>
    </xf>
    <xf numFmtId="1" fontId="27" fillId="15" borderId="55" xfId="0" applyNumberFormat="1" applyFont="1" applyFill="1" applyBorder="1" applyAlignment="1">
      <alignment horizontal="center" vertical="center"/>
    </xf>
    <xf numFmtId="9" fontId="27" fillId="13" borderId="17" xfId="1" applyFont="1" applyFill="1" applyBorder="1" applyAlignment="1">
      <alignment horizontal="center" vertical="center"/>
    </xf>
    <xf numFmtId="9" fontId="27" fillId="13" borderId="18" xfId="1" applyFont="1" applyFill="1" applyBorder="1" applyAlignment="1">
      <alignment horizontal="center" vertical="center"/>
    </xf>
    <xf numFmtId="9" fontId="27" fillId="13" borderId="19" xfId="1" applyFont="1" applyFill="1" applyBorder="1" applyAlignment="1">
      <alignment horizontal="center" vertical="center"/>
    </xf>
    <xf numFmtId="1" fontId="27" fillId="15" borderId="56" xfId="0" applyNumberFormat="1" applyFont="1" applyFill="1" applyBorder="1" applyAlignment="1">
      <alignment horizontal="center" vertical="center"/>
    </xf>
    <xf numFmtId="0" fontId="0" fillId="0" borderId="27" xfId="0" applyFill="1" applyBorder="1"/>
    <xf numFmtId="0" fontId="21" fillId="12" borderId="1" xfId="0" applyFont="1" applyFill="1" applyBorder="1" applyAlignment="1">
      <alignment horizontal="center"/>
    </xf>
    <xf numFmtId="1" fontId="21" fillId="12" borderId="1" xfId="0" applyNumberFormat="1" applyFont="1" applyFill="1" applyBorder="1" applyAlignment="1">
      <alignment horizontal="center"/>
    </xf>
    <xf numFmtId="0" fontId="31" fillId="16" borderId="1" xfId="0" applyFont="1" applyFill="1" applyBorder="1"/>
    <xf numFmtId="1" fontId="20" fillId="11" borderId="5" xfId="0" applyNumberFormat="1" applyFont="1" applyFill="1" applyBorder="1"/>
    <xf numFmtId="1" fontId="20" fillId="11" borderId="1" xfId="0" applyNumberFormat="1" applyFont="1" applyFill="1" applyBorder="1"/>
    <xf numFmtId="1" fontId="20" fillId="11" borderId="6" xfId="0" applyNumberFormat="1" applyFont="1" applyFill="1" applyBorder="1"/>
    <xf numFmtId="1" fontId="20" fillId="0" borderId="0" xfId="0" applyNumberFormat="1" applyFont="1"/>
    <xf numFmtId="1" fontId="21" fillId="11" borderId="5" xfId="0" applyNumberFormat="1" applyFont="1" applyFill="1" applyBorder="1"/>
    <xf numFmtId="1" fontId="21" fillId="11" borderId="1" xfId="0" applyNumberFormat="1" applyFont="1" applyFill="1" applyBorder="1"/>
    <xf numFmtId="1" fontId="21" fillId="11" borderId="6" xfId="0" applyNumberFormat="1" applyFont="1" applyFill="1" applyBorder="1"/>
    <xf numFmtId="0" fontId="20" fillId="17" borderId="27" xfId="0" applyFont="1" applyFill="1" applyBorder="1"/>
    <xf numFmtId="0" fontId="20" fillId="17" borderId="28" xfId="0" applyFont="1" applyFill="1" applyBorder="1"/>
    <xf numFmtId="0" fontId="20" fillId="17" borderId="29" xfId="0" applyFont="1" applyFill="1" applyBorder="1"/>
    <xf numFmtId="1" fontId="20" fillId="0" borderId="2" xfId="0" applyNumberFormat="1" applyFont="1" applyFill="1" applyBorder="1"/>
    <xf numFmtId="1" fontId="20" fillId="0" borderId="7" xfId="0" applyNumberFormat="1" applyFont="1" applyFill="1" applyBorder="1"/>
    <xf numFmtId="1" fontId="20" fillId="0" borderId="8" xfId="0" applyNumberFormat="1" applyFont="1" applyFill="1" applyBorder="1"/>
    <xf numFmtId="1" fontId="20" fillId="0" borderId="9" xfId="0" applyNumberFormat="1" applyFont="1" applyFill="1" applyBorder="1"/>
    <xf numFmtId="1" fontId="20" fillId="0" borderId="5" xfId="0" applyNumberFormat="1" applyFont="1" applyFill="1" applyBorder="1"/>
    <xf numFmtId="1" fontId="21" fillId="0" borderId="2" xfId="0" applyNumberFormat="1" applyFont="1" applyFill="1" applyBorder="1"/>
    <xf numFmtId="1" fontId="21" fillId="0" borderId="5" xfId="0" applyNumberFormat="1" applyFont="1" applyFill="1" applyBorder="1"/>
    <xf numFmtId="1" fontId="21" fillId="0" borderId="7" xfId="0" applyNumberFormat="1" applyFont="1" applyFill="1" applyBorder="1"/>
    <xf numFmtId="1" fontId="21" fillId="0" borderId="8" xfId="0" applyNumberFormat="1" applyFont="1" applyFill="1" applyBorder="1"/>
    <xf numFmtId="1" fontId="21" fillId="0" borderId="9" xfId="0" applyNumberFormat="1" applyFont="1" applyFill="1" applyBorder="1"/>
    <xf numFmtId="0" fontId="0" fillId="17" borderId="27" xfId="0" applyFill="1" applyBorder="1"/>
    <xf numFmtId="0" fontId="0" fillId="17" borderId="28" xfId="0" applyFill="1" applyBorder="1"/>
    <xf numFmtId="0" fontId="0" fillId="17" borderId="29" xfId="0" applyFill="1" applyBorder="1"/>
    <xf numFmtId="1" fontId="0" fillId="17" borderId="5" xfId="0" applyNumberFormat="1" applyFill="1" applyBorder="1"/>
    <xf numFmtId="1" fontId="0" fillId="17" borderId="1" xfId="0" applyNumberFormat="1" applyFill="1" applyBorder="1"/>
    <xf numFmtId="1" fontId="0" fillId="17" borderId="6" xfId="0" applyNumberFormat="1" applyFill="1" applyBorder="1"/>
    <xf numFmtId="1" fontId="21" fillId="0" borderId="2" xfId="0" applyNumberFormat="1" applyFont="1" applyBorder="1"/>
    <xf numFmtId="1" fontId="21" fillId="0" borderId="3" xfId="0" applyNumberFormat="1" applyFont="1" applyBorder="1"/>
    <xf numFmtId="1" fontId="21" fillId="0" borderId="4" xfId="0" applyNumberFormat="1" applyFont="1" applyBorder="1"/>
    <xf numFmtId="1" fontId="21" fillId="17" borderId="5" xfId="0" applyNumberFormat="1" applyFont="1" applyFill="1" applyBorder="1"/>
    <xf numFmtId="1" fontId="21" fillId="17" borderId="1" xfId="0" applyNumberFormat="1" applyFont="1" applyFill="1" applyBorder="1"/>
    <xf numFmtId="1" fontId="21" fillId="17" borderId="6" xfId="0" applyNumberFormat="1" applyFont="1" applyFill="1" applyBorder="1"/>
    <xf numFmtId="1" fontId="21" fillId="0" borderId="5" xfId="0" applyNumberFormat="1" applyFont="1" applyBorder="1"/>
    <xf numFmtId="1" fontId="21" fillId="0" borderId="1" xfId="0" applyNumberFormat="1" applyFont="1" applyBorder="1"/>
    <xf numFmtId="1" fontId="21" fillId="0" borderId="6" xfId="0" applyNumberFormat="1" applyFont="1" applyBorder="1"/>
    <xf numFmtId="1" fontId="21" fillId="0" borderId="7" xfId="0" applyNumberFormat="1" applyFont="1" applyBorder="1"/>
    <xf numFmtId="1" fontId="21" fillId="0" borderId="8" xfId="0" applyNumberFormat="1" applyFont="1" applyBorder="1"/>
    <xf numFmtId="1" fontId="21" fillId="0" borderId="9" xfId="0" applyNumberFormat="1" applyFont="1" applyBorder="1"/>
    <xf numFmtId="9" fontId="19" fillId="0" borderId="17" xfId="1" applyFont="1" applyFill="1" applyBorder="1" applyAlignment="1">
      <alignment horizontal="center" vertical="center"/>
    </xf>
    <xf numFmtId="9" fontId="19" fillId="0" borderId="18" xfId="1" applyFont="1" applyFill="1" applyBorder="1" applyAlignment="1">
      <alignment horizontal="center" vertical="center"/>
    </xf>
    <xf numFmtId="9" fontId="19" fillId="0" borderId="19" xfId="1" applyFont="1" applyFill="1" applyBorder="1" applyAlignment="1">
      <alignment horizontal="center" vertical="center"/>
    </xf>
    <xf numFmtId="1" fontId="21" fillId="0" borderId="3" xfId="0" applyNumberFormat="1" applyFont="1" applyBorder="1" applyAlignment="1">
      <alignment horizontal="center" vertical="center"/>
    </xf>
    <xf numFmtId="1" fontId="21" fillId="0" borderId="4" xfId="0" applyNumberFormat="1" applyFont="1" applyBorder="1" applyAlignment="1">
      <alignment horizontal="center" vertical="center"/>
    </xf>
    <xf numFmtId="1" fontId="21" fillId="0" borderId="8" xfId="0" applyNumberFormat="1" applyFont="1" applyBorder="1" applyAlignment="1">
      <alignment horizontal="center" vertical="center"/>
    </xf>
    <xf numFmtId="1" fontId="21" fillId="0" borderId="9" xfId="0" applyNumberFormat="1" applyFont="1" applyBorder="1" applyAlignment="1">
      <alignment horizontal="center" vertical="center"/>
    </xf>
    <xf numFmtId="1" fontId="21" fillId="0" borderId="46" xfId="0" applyNumberFormat="1" applyFont="1" applyBorder="1" applyAlignment="1">
      <alignment horizontal="center" vertical="center"/>
    </xf>
    <xf numFmtId="1" fontId="21" fillId="0" borderId="45" xfId="0" applyNumberFormat="1" applyFont="1" applyBorder="1" applyAlignment="1">
      <alignment horizontal="center" vertical="center"/>
    </xf>
    <xf numFmtId="0" fontId="30" fillId="18" borderId="49" xfId="0" applyFont="1" applyFill="1" applyBorder="1" applyAlignment="1">
      <alignment horizontal="center" wrapText="1"/>
    </xf>
    <xf numFmtId="0" fontId="30" fillId="18" borderId="51" xfId="0" applyFont="1" applyFill="1" applyBorder="1" applyAlignment="1">
      <alignment horizontal="center" vertical="center" wrapText="1"/>
    </xf>
    <xf numFmtId="0" fontId="30" fillId="18" borderId="0" xfId="0" applyFont="1" applyFill="1" applyAlignment="1">
      <alignment wrapText="1"/>
    </xf>
    <xf numFmtId="9" fontId="0" fillId="0" borderId="0" xfId="1" applyFont="1"/>
    <xf numFmtId="0" fontId="20" fillId="0" borderId="57" xfId="0" applyFont="1" applyFill="1" applyBorder="1" applyAlignment="1"/>
    <xf numFmtId="0" fontId="25" fillId="18" borderId="31" xfId="0" applyFont="1" applyFill="1" applyBorder="1" applyAlignment="1"/>
    <xf numFmtId="0" fontId="25" fillId="18" borderId="50" xfId="0" applyFont="1" applyFill="1" applyBorder="1"/>
    <xf numFmtId="0" fontId="25" fillId="18" borderId="51" xfId="0" applyFont="1" applyFill="1" applyBorder="1"/>
    <xf numFmtId="9" fontId="0" fillId="19" borderId="58" xfId="1" applyFont="1" applyFill="1" applyBorder="1"/>
    <xf numFmtId="9" fontId="0" fillId="19" borderId="10" xfId="1" applyFont="1" applyFill="1" applyBorder="1"/>
    <xf numFmtId="9" fontId="0" fillId="19" borderId="53" xfId="1" applyFont="1" applyFill="1" applyBorder="1"/>
    <xf numFmtId="164" fontId="0" fillId="0" borderId="0" xfId="0" applyNumberFormat="1"/>
    <xf numFmtId="0" fontId="1" fillId="18" borderId="5" xfId="0" applyFont="1" applyFill="1" applyBorder="1" applyAlignment="1">
      <alignment wrapText="1"/>
    </xf>
    <xf numFmtId="0" fontId="1" fillId="18" borderId="7" xfId="0" applyFont="1" applyFill="1" applyBorder="1" applyAlignment="1"/>
    <xf numFmtId="9" fontId="0" fillId="0" borderId="6" xfId="1" applyFont="1" applyBorder="1" applyAlignment="1">
      <alignment horizontal="center"/>
    </xf>
    <xf numFmtId="9" fontId="0" fillId="0" borderId="9" xfId="1" applyFont="1" applyBorder="1" applyAlignment="1">
      <alignment horizontal="center"/>
    </xf>
    <xf numFmtId="0" fontId="0" fillId="18" borderId="2" xfId="0" applyFill="1" applyBorder="1"/>
    <xf numFmtId="0" fontId="0" fillId="18" borderId="5" xfId="0" applyFill="1" applyBorder="1"/>
    <xf numFmtId="0" fontId="0" fillId="18" borderId="7" xfId="0" applyFill="1" applyBorder="1"/>
    <xf numFmtId="164" fontId="27" fillId="0" borderId="0" xfId="0" applyNumberFormat="1" applyFont="1" applyFill="1" applyBorder="1" applyAlignment="1">
      <alignment vertical="center" wrapText="1"/>
    </xf>
    <xf numFmtId="2" fontId="32" fillId="0" borderId="6" xfId="0" applyNumberFormat="1" applyFont="1" applyBorder="1" applyAlignment="1">
      <alignment horizontal="center"/>
    </xf>
    <xf numFmtId="2" fontId="32" fillId="0" borderId="9" xfId="0" applyNumberFormat="1" applyFont="1" applyBorder="1" applyAlignment="1">
      <alignment horizontal="center"/>
    </xf>
    <xf numFmtId="9" fontId="0" fillId="0" borderId="11" xfId="1" applyFont="1" applyBorder="1"/>
    <xf numFmtId="0" fontId="0" fillId="0" borderId="24" xfId="0" applyBorder="1" applyAlignment="1">
      <alignment wrapText="1"/>
    </xf>
    <xf numFmtId="44" fontId="0" fillId="0" borderId="2" xfId="2" applyFont="1" applyBorder="1"/>
    <xf numFmtId="44" fontId="0" fillId="0" borderId="3" xfId="2" applyFont="1" applyBorder="1"/>
    <xf numFmtId="44" fontId="0" fillId="0" borderId="4" xfId="2" applyFont="1" applyBorder="1"/>
    <xf numFmtId="44" fontId="0" fillId="0" borderId="5" xfId="2" applyFont="1" applyBorder="1"/>
    <xf numFmtId="44" fontId="0" fillId="0" borderId="1" xfId="2" applyFont="1" applyBorder="1"/>
    <xf numFmtId="44" fontId="0" fillId="0" borderId="6" xfId="2" applyFont="1" applyBorder="1"/>
    <xf numFmtId="44" fontId="0" fillId="0" borderId="7" xfId="2" applyFont="1" applyBorder="1"/>
    <xf numFmtId="44" fontId="0" fillId="0" borderId="8" xfId="2" applyFont="1" applyBorder="1"/>
    <xf numFmtId="44" fontId="0" fillId="0" borderId="9" xfId="2" applyFont="1" applyBorder="1"/>
    <xf numFmtId="0" fontId="0" fillId="0" borderId="48" xfId="0" applyBorder="1" applyAlignment="1">
      <alignment wrapText="1"/>
    </xf>
    <xf numFmtId="44" fontId="0" fillId="0" borderId="0" xfId="2" applyFont="1"/>
    <xf numFmtId="0" fontId="33" fillId="0" borderId="1" xfId="0" applyFont="1" applyBorder="1" applyAlignment="1">
      <alignment wrapText="1"/>
    </xf>
    <xf numFmtId="44" fontId="0" fillId="0" borderId="1" xfId="0" applyNumberFormat="1" applyFill="1" applyBorder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4" xfId="0" applyBorder="1" applyAlignment="1">
      <alignment wrapText="1"/>
    </xf>
    <xf numFmtId="0" fontId="0" fillId="0" borderId="55" xfId="0" applyBorder="1" applyAlignment="1">
      <alignment wrapText="1"/>
    </xf>
    <xf numFmtId="0" fontId="0" fillId="0" borderId="56" xfId="0" applyBorder="1" applyAlignment="1">
      <alignment wrapText="1"/>
    </xf>
    <xf numFmtId="0" fontId="0" fillId="0" borderId="11" xfId="0" applyBorder="1"/>
    <xf numFmtId="44" fontId="0" fillId="0" borderId="0" xfId="0" applyNumberFormat="1"/>
    <xf numFmtId="0" fontId="0" fillId="0" borderId="0" xfId="0" applyFill="1" applyBorder="1"/>
    <xf numFmtId="0" fontId="15" fillId="0" borderId="0" xfId="0" applyFont="1" applyBorder="1"/>
    <xf numFmtId="0" fontId="15" fillId="0" borderId="0" xfId="0" applyFont="1" applyFill="1" applyBorder="1"/>
    <xf numFmtId="1" fontId="0" fillId="0" borderId="0" xfId="0" applyNumberFormat="1" applyBorder="1"/>
    <xf numFmtId="44" fontId="0" fillId="0" borderId="0" xfId="2" applyFont="1" applyBorder="1"/>
    <xf numFmtId="44" fontId="0" fillId="0" borderId="44" xfId="2" applyFont="1" applyBorder="1"/>
    <xf numFmtId="44" fontId="0" fillId="5" borderId="7" xfId="2" applyFont="1" applyFill="1" applyBorder="1"/>
    <xf numFmtId="44" fontId="0" fillId="5" borderId="8" xfId="2" applyFont="1" applyFill="1" applyBorder="1"/>
    <xf numFmtId="44" fontId="0" fillId="5" borderId="9" xfId="2" applyFont="1" applyFill="1" applyBorder="1"/>
    <xf numFmtId="44" fontId="0" fillId="5" borderId="0" xfId="0" applyNumberFormat="1" applyFill="1"/>
    <xf numFmtId="44" fontId="0" fillId="5" borderId="17" xfId="2" applyFont="1" applyFill="1" applyBorder="1"/>
    <xf numFmtId="44" fontId="0" fillId="5" borderId="18" xfId="2" applyFont="1" applyFill="1" applyBorder="1"/>
    <xf numFmtId="44" fontId="0" fillId="5" borderId="19" xfId="2" applyFont="1" applyFill="1" applyBorder="1"/>
    <xf numFmtId="44" fontId="0" fillId="0" borderId="0" xfId="2" applyFont="1" applyFill="1" applyBorder="1"/>
    <xf numFmtId="44" fontId="0" fillId="0" borderId="0" xfId="0" applyNumberFormat="1" applyFill="1" applyBorder="1"/>
    <xf numFmtId="0" fontId="0" fillId="0" borderId="0" xfId="0" applyFill="1"/>
    <xf numFmtId="1" fontId="23" fillId="0" borderId="0" xfId="0" applyNumberFormat="1" applyFont="1" applyFill="1" applyBorder="1" applyAlignment="1">
      <alignment horizontal="center"/>
    </xf>
    <xf numFmtId="2" fontId="0" fillId="0" borderId="0" xfId="0" applyNumberFormat="1" applyFill="1" applyBorder="1"/>
    <xf numFmtId="0" fontId="0" fillId="0" borderId="44" xfId="0" applyBorder="1" applyAlignment="1">
      <alignment wrapText="1"/>
    </xf>
    <xf numFmtId="44" fontId="0" fillId="0" borderId="0" xfId="0" applyNumberFormat="1" applyFill="1"/>
    <xf numFmtId="44" fontId="0" fillId="0" borderId="0" xfId="2" applyFont="1" applyFill="1"/>
    <xf numFmtId="0" fontId="0" fillId="0" borderId="44" xfId="0" applyFill="1" applyBorder="1" applyAlignment="1">
      <alignment wrapText="1"/>
    </xf>
    <xf numFmtId="44" fontId="14" fillId="0" borderId="1" xfId="2" applyFont="1" applyFill="1" applyBorder="1"/>
    <xf numFmtId="4" fontId="0" fillId="0" borderId="1" xfId="0" applyNumberFormat="1" applyFill="1" applyBorder="1"/>
    <xf numFmtId="44" fontId="0" fillId="0" borderId="1" xfId="2" applyFont="1" applyFill="1" applyBorder="1"/>
    <xf numFmtId="44" fontId="0" fillId="0" borderId="1" xfId="2" applyFont="1" applyBorder="1" applyAlignment="1">
      <alignment wrapText="1"/>
    </xf>
    <xf numFmtId="44" fontId="0" fillId="0" borderId="1" xfId="0" applyNumberFormat="1" applyBorder="1" applyAlignment="1">
      <alignment wrapText="1"/>
    </xf>
    <xf numFmtId="44" fontId="0" fillId="0" borderId="2" xfId="2" applyFont="1" applyFill="1" applyBorder="1"/>
    <xf numFmtId="44" fontId="0" fillId="0" borderId="3" xfId="2" applyFont="1" applyFill="1" applyBorder="1"/>
    <xf numFmtId="44" fontId="0" fillId="0" borderId="4" xfId="2" applyFont="1" applyFill="1" applyBorder="1"/>
    <xf numFmtId="44" fontId="0" fillId="0" borderId="5" xfId="2" applyFont="1" applyBorder="1" applyAlignment="1">
      <alignment wrapText="1"/>
    </xf>
    <xf numFmtId="44" fontId="0" fillId="0" borderId="6" xfId="2" applyFont="1" applyBorder="1" applyAlignment="1">
      <alignment wrapText="1"/>
    </xf>
    <xf numFmtId="44" fontId="0" fillId="0" borderId="5" xfId="0" applyNumberFormat="1" applyBorder="1" applyAlignment="1">
      <alignment wrapText="1"/>
    </xf>
    <xf numFmtId="44" fontId="0" fillId="0" borderId="6" xfId="0" applyNumberFormat="1" applyBorder="1" applyAlignment="1">
      <alignment wrapText="1"/>
    </xf>
    <xf numFmtId="44" fontId="0" fillId="0" borderId="7" xfId="0" applyNumberFormat="1" applyBorder="1" applyAlignment="1">
      <alignment wrapText="1"/>
    </xf>
    <xf numFmtId="44" fontId="0" fillId="0" borderId="8" xfId="0" applyNumberFormat="1" applyBorder="1" applyAlignment="1">
      <alignment wrapText="1"/>
    </xf>
    <xf numFmtId="44" fontId="0" fillId="0" borderId="9" xfId="0" applyNumberFormat="1" applyBorder="1" applyAlignment="1">
      <alignment wrapText="1"/>
    </xf>
    <xf numFmtId="44" fontId="0" fillId="20" borderId="31" xfId="0" applyNumberFormat="1" applyFill="1" applyBorder="1"/>
    <xf numFmtId="44" fontId="0" fillId="20" borderId="32" xfId="0" applyNumberFormat="1" applyFill="1" applyBorder="1"/>
    <xf numFmtId="44" fontId="0" fillId="20" borderId="33" xfId="0" applyNumberFormat="1" applyFill="1" applyBorder="1"/>
    <xf numFmtId="9" fontId="0" fillId="0" borderId="2" xfId="1" applyFont="1" applyBorder="1"/>
    <xf numFmtId="9" fontId="0" fillId="0" borderId="3" xfId="1" applyFont="1" applyBorder="1"/>
    <xf numFmtId="9" fontId="0" fillId="0" borderId="4" xfId="1" applyFont="1" applyBorder="1"/>
    <xf numFmtId="9" fontId="0" fillId="0" borderId="7" xfId="0" applyNumberFormat="1" applyBorder="1"/>
    <xf numFmtId="9" fontId="0" fillId="0" borderId="8" xfId="0" applyNumberFormat="1" applyBorder="1"/>
    <xf numFmtId="9" fontId="0" fillId="0" borderId="9" xfId="0" applyNumberFormat="1" applyBorder="1"/>
    <xf numFmtId="44" fontId="0" fillId="0" borderId="21" xfId="2" applyFont="1" applyBorder="1" applyAlignment="1">
      <alignment wrapText="1"/>
    </xf>
    <xf numFmtId="44" fontId="0" fillId="0" borderId="59" xfId="2" applyFont="1" applyBorder="1" applyAlignment="1">
      <alignment wrapText="1"/>
    </xf>
    <xf numFmtId="0" fontId="0" fillId="0" borderId="59" xfId="0" applyBorder="1" applyAlignment="1">
      <alignment wrapText="1"/>
    </xf>
    <xf numFmtId="44" fontId="0" fillId="0" borderId="19" xfId="2" applyFont="1" applyBorder="1" applyAlignment="1">
      <alignment wrapText="1"/>
    </xf>
    <xf numFmtId="0" fontId="1" fillId="18" borderId="49" xfId="0" applyFont="1" applyFill="1" applyBorder="1"/>
    <xf numFmtId="0" fontId="1" fillId="18" borderId="50" xfId="0" applyFont="1" applyFill="1" applyBorder="1"/>
    <xf numFmtId="0" fontId="1" fillId="18" borderId="51" xfId="0" applyFont="1" applyFill="1" applyBorder="1"/>
    <xf numFmtId="0" fontId="1" fillId="18" borderId="33" xfId="0" applyFont="1" applyFill="1" applyBorder="1"/>
    <xf numFmtId="0" fontId="1" fillId="16" borderId="54" xfId="0" applyFont="1" applyFill="1" applyBorder="1" applyAlignment="1">
      <alignment wrapText="1"/>
    </xf>
    <xf numFmtId="0" fontId="1" fillId="16" borderId="55" xfId="0" applyFont="1" applyFill="1" applyBorder="1" applyAlignment="1">
      <alignment wrapText="1"/>
    </xf>
    <xf numFmtId="0" fontId="1" fillId="16" borderId="56" xfId="0" applyFont="1" applyFill="1" applyBorder="1" applyAlignment="1">
      <alignment wrapText="1"/>
    </xf>
    <xf numFmtId="44" fontId="1" fillId="0" borderId="29" xfId="2" applyFont="1" applyFill="1" applyBorder="1"/>
    <xf numFmtId="44" fontId="1" fillId="0" borderId="43" xfId="2" applyFont="1" applyFill="1" applyBorder="1"/>
    <xf numFmtId="44" fontId="1" fillId="0" borderId="42" xfId="2" applyFont="1" applyFill="1" applyBorder="1"/>
    <xf numFmtId="44" fontId="14" fillId="0" borderId="7" xfId="2" applyFont="1" applyFill="1" applyBorder="1"/>
    <xf numFmtId="44" fontId="14" fillId="0" borderId="8" xfId="2" applyFont="1" applyFill="1" applyBorder="1"/>
    <xf numFmtId="44" fontId="14" fillId="0" borderId="9" xfId="2" applyFont="1" applyFill="1" applyBorder="1"/>
    <xf numFmtId="0" fontId="1" fillId="18" borderId="44" xfId="0" applyFont="1" applyFill="1" applyBorder="1" applyAlignment="1">
      <alignment wrapText="1"/>
    </xf>
    <xf numFmtId="0" fontId="0" fillId="16" borderId="24" xfId="0" applyFill="1" applyBorder="1" applyAlignment="1">
      <alignment wrapText="1"/>
    </xf>
    <xf numFmtId="44" fontId="0" fillId="0" borderId="35" xfId="2" applyFont="1" applyFill="1" applyBorder="1"/>
    <xf numFmtId="44" fontId="0" fillId="0" borderId="11" xfId="2" applyFont="1" applyBorder="1"/>
    <xf numFmtId="44" fontId="0" fillId="0" borderId="14" xfId="2" applyFont="1" applyBorder="1"/>
    <xf numFmtId="44" fontId="0" fillId="0" borderId="6" xfId="2" applyFont="1" applyFill="1" applyBorder="1"/>
    <xf numFmtId="0" fontId="34" fillId="18" borderId="29" xfId="0" applyFont="1" applyFill="1" applyBorder="1" applyAlignment="1">
      <alignment wrapText="1"/>
    </xf>
    <xf numFmtId="44" fontId="0" fillId="0" borderId="36" xfId="2" applyFont="1" applyFill="1" applyBorder="1"/>
    <xf numFmtId="0" fontId="0" fillId="18" borderId="39" xfId="0" applyFill="1" applyBorder="1"/>
    <xf numFmtId="0" fontId="1" fillId="18" borderId="17" xfId="0" applyFont="1" applyFill="1" applyBorder="1"/>
    <xf numFmtId="0" fontId="33" fillId="18" borderId="1" xfId="0" applyFont="1" applyFill="1" applyBorder="1" applyAlignment="1">
      <alignment wrapText="1"/>
    </xf>
    <xf numFmtId="0" fontId="33" fillId="18" borderId="44" xfId="0" applyFont="1" applyFill="1" applyBorder="1" applyAlignment="1">
      <alignment wrapText="1"/>
    </xf>
    <xf numFmtId="0" fontId="0" fillId="16" borderId="54" xfId="0" applyFill="1" applyBorder="1" applyAlignment="1">
      <alignment wrapText="1"/>
    </xf>
    <xf numFmtId="0" fontId="0" fillId="16" borderId="55" xfId="0" applyFill="1" applyBorder="1" applyAlignment="1">
      <alignment wrapText="1"/>
    </xf>
    <xf numFmtId="0" fontId="0" fillId="16" borderId="56" xfId="0" applyFill="1" applyBorder="1" applyAlignment="1">
      <alignment wrapText="1"/>
    </xf>
    <xf numFmtId="0" fontId="0" fillId="18" borderId="60" xfId="0" applyFill="1" applyBorder="1"/>
    <xf numFmtId="0" fontId="0" fillId="18" borderId="26" xfId="0" applyFill="1" applyBorder="1"/>
    <xf numFmtId="0" fontId="0" fillId="18" borderId="61" xfId="0" applyFill="1" applyBorder="1"/>
    <xf numFmtId="44" fontId="0" fillId="0" borderId="39" xfId="2" applyFont="1" applyBorder="1"/>
    <xf numFmtId="44" fontId="0" fillId="0" borderId="24" xfId="2" applyFont="1" applyBorder="1"/>
    <xf numFmtId="44" fontId="0" fillId="0" borderId="25" xfId="2" applyFont="1" applyBorder="1"/>
    <xf numFmtId="0" fontId="0" fillId="18" borderId="21" xfId="0" applyFill="1" applyBorder="1" applyAlignment="1">
      <alignment wrapText="1"/>
    </xf>
    <xf numFmtId="44" fontId="0" fillId="0" borderId="17" xfId="2" applyFont="1" applyBorder="1"/>
    <xf numFmtId="44" fontId="0" fillId="0" borderId="18" xfId="2" applyFont="1" applyBorder="1"/>
    <xf numFmtId="44" fontId="0" fillId="0" borderId="19" xfId="2" applyFont="1" applyBorder="1"/>
    <xf numFmtId="0" fontId="1" fillId="18" borderId="60" xfId="0" applyFont="1" applyFill="1" applyBorder="1" applyAlignment="1">
      <alignment wrapText="1"/>
    </xf>
    <xf numFmtId="44" fontId="1" fillId="18" borderId="26" xfId="2" applyFont="1" applyFill="1" applyBorder="1" applyAlignment="1">
      <alignment wrapText="1"/>
    </xf>
    <xf numFmtId="0" fontId="1" fillId="18" borderId="26" xfId="0" applyFont="1" applyFill="1" applyBorder="1" applyAlignment="1">
      <alignment wrapText="1"/>
    </xf>
    <xf numFmtId="0" fontId="1" fillId="18" borderId="37" xfId="0" applyFont="1" applyFill="1" applyBorder="1" applyAlignment="1">
      <alignment wrapText="1"/>
    </xf>
    <xf numFmtId="44" fontId="35" fillId="0" borderId="2" xfId="2" applyFont="1" applyFill="1" applyBorder="1" applyAlignment="1">
      <alignment vertical="center"/>
    </xf>
    <xf numFmtId="44" fontId="35" fillId="0" borderId="3" xfId="2" applyFont="1" applyFill="1" applyBorder="1" applyAlignment="1">
      <alignment vertical="center"/>
    </xf>
    <xf numFmtId="44" fontId="35" fillId="0" borderId="4" xfId="2" applyFont="1" applyFill="1" applyBorder="1" applyAlignment="1">
      <alignment vertical="center"/>
    </xf>
    <xf numFmtId="44" fontId="35" fillId="0" borderId="5" xfId="2" applyFont="1" applyBorder="1" applyAlignment="1">
      <alignment vertical="center" wrapText="1"/>
    </xf>
    <xf numFmtId="44" fontId="35" fillId="0" borderId="1" xfId="2" applyFont="1" applyBorder="1" applyAlignment="1">
      <alignment vertical="center" wrapText="1"/>
    </xf>
    <xf numFmtId="44" fontId="35" fillId="0" borderId="6" xfId="2" applyFont="1" applyBorder="1" applyAlignment="1">
      <alignment vertical="center" wrapText="1"/>
    </xf>
    <xf numFmtId="44" fontId="35" fillId="0" borderId="5" xfId="0" applyNumberFormat="1" applyFont="1" applyBorder="1" applyAlignment="1">
      <alignment vertical="center" wrapText="1"/>
    </xf>
    <xf numFmtId="44" fontId="35" fillId="0" borderId="1" xfId="0" applyNumberFormat="1" applyFont="1" applyBorder="1" applyAlignment="1">
      <alignment vertical="center" wrapText="1"/>
    </xf>
    <xf numFmtId="44" fontId="35" fillId="0" borderId="6" xfId="0" applyNumberFormat="1" applyFont="1" applyBorder="1" applyAlignment="1">
      <alignment vertical="center" wrapText="1"/>
    </xf>
    <xf numFmtId="44" fontId="35" fillId="0" borderId="7" xfId="0" applyNumberFormat="1" applyFont="1" applyBorder="1" applyAlignment="1">
      <alignment vertical="center" wrapText="1"/>
    </xf>
    <xf numFmtId="44" fontId="35" fillId="0" borderId="8" xfId="0" applyNumberFormat="1" applyFont="1" applyBorder="1" applyAlignment="1">
      <alignment vertical="center" wrapText="1"/>
    </xf>
    <xf numFmtId="44" fontId="35" fillId="0" borderId="9" xfId="0" applyNumberFormat="1" applyFont="1" applyBorder="1" applyAlignment="1">
      <alignment vertical="center" wrapText="1"/>
    </xf>
    <xf numFmtId="0" fontId="18" fillId="16" borderId="54" xfId="0" applyFont="1" applyFill="1" applyBorder="1" applyAlignment="1">
      <alignment vertical="top" wrapText="1"/>
    </xf>
    <xf numFmtId="0" fontId="18" fillId="16" borderId="55" xfId="0" applyFont="1" applyFill="1" applyBorder="1" applyAlignment="1">
      <alignment vertical="top" wrapText="1"/>
    </xf>
    <xf numFmtId="0" fontId="18" fillId="16" borderId="56" xfId="0" applyFont="1" applyFill="1" applyBorder="1" applyAlignment="1">
      <alignment vertical="top" wrapText="1"/>
    </xf>
    <xf numFmtId="9" fontId="36" fillId="18" borderId="60" xfId="1" applyFont="1" applyFill="1" applyBorder="1" applyAlignment="1">
      <alignment horizontal="center" wrapText="1"/>
    </xf>
    <xf numFmtId="9" fontId="36" fillId="18" borderId="37" xfId="1" applyFont="1" applyFill="1" applyBorder="1" applyAlignment="1">
      <alignment wrapText="1"/>
    </xf>
    <xf numFmtId="9" fontId="36" fillId="12" borderId="54" xfId="1" applyFont="1" applyFill="1" applyBorder="1" applyAlignment="1">
      <alignment horizontal="center" vertical="center" wrapText="1"/>
    </xf>
    <xf numFmtId="9" fontId="36" fillId="12" borderId="55" xfId="1" applyFont="1" applyFill="1" applyBorder="1" applyAlignment="1">
      <alignment horizontal="center" vertical="center" wrapText="1"/>
    </xf>
    <xf numFmtId="9" fontId="36" fillId="12" borderId="56" xfId="1" applyFont="1" applyFill="1" applyBorder="1" applyAlignment="1">
      <alignment horizontal="center" vertical="center" wrapText="1"/>
    </xf>
    <xf numFmtId="9" fontId="0" fillId="0" borderId="2" xfId="1" applyFont="1" applyBorder="1" applyAlignment="1">
      <alignment horizontal="center" vertical="center"/>
    </xf>
    <xf numFmtId="9" fontId="0" fillId="0" borderId="3" xfId="1" applyFont="1" applyBorder="1" applyAlignment="1">
      <alignment horizontal="center" vertical="center"/>
    </xf>
    <xf numFmtId="9" fontId="0" fillId="0" borderId="4" xfId="1" applyFont="1" applyBorder="1" applyAlignment="1">
      <alignment horizontal="center" vertical="center"/>
    </xf>
    <xf numFmtId="9" fontId="0" fillId="0" borderId="7" xfId="1" applyFont="1" applyBorder="1" applyAlignment="1">
      <alignment horizontal="center" vertical="center"/>
    </xf>
    <xf numFmtId="9" fontId="0" fillId="0" borderId="8" xfId="1" applyFont="1" applyBorder="1" applyAlignment="1">
      <alignment horizontal="center" vertical="center"/>
    </xf>
    <xf numFmtId="9" fontId="0" fillId="0" borderId="9" xfId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18" borderId="12" xfId="0" applyFont="1" applyFill="1" applyBorder="1" applyAlignment="1">
      <alignment wrapText="1"/>
    </xf>
    <xf numFmtId="0" fontId="1" fillId="16" borderId="31" xfId="0" applyFont="1" applyFill="1" applyBorder="1" applyAlignment="1">
      <alignment wrapText="1"/>
    </xf>
    <xf numFmtId="44" fontId="0" fillId="0" borderId="49" xfId="2" applyFont="1" applyBorder="1"/>
    <xf numFmtId="44" fontId="0" fillId="0" borderId="50" xfId="2" applyFont="1" applyBorder="1"/>
    <xf numFmtId="44" fontId="0" fillId="0" borderId="51" xfId="2" applyFont="1" applyBorder="1"/>
    <xf numFmtId="0" fontId="21" fillId="12" borderId="38" xfId="0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Fill="1" applyBorder="1" applyAlignment="1">
      <alignment wrapText="1"/>
    </xf>
    <xf numFmtId="0" fontId="1" fillId="18" borderId="13" xfId="0" applyFont="1" applyFill="1" applyBorder="1" applyAlignment="1">
      <alignment wrapText="1"/>
    </xf>
    <xf numFmtId="9" fontId="0" fillId="0" borderId="16" xfId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10" fillId="4" borderId="0" xfId="0" applyFont="1" applyFill="1" applyAlignment="1">
      <alignment horizontal="center"/>
    </xf>
    <xf numFmtId="0" fontId="0" fillId="4" borderId="21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0" fillId="0" borderId="0" xfId="0" applyAlignment="1">
      <alignment horizontal="left" wrapText="1"/>
    </xf>
    <xf numFmtId="0" fontId="25" fillId="0" borderId="0" xfId="0" applyFont="1" applyAlignment="1">
      <alignment horizontal="center" textRotation="90" wrapText="1"/>
    </xf>
    <xf numFmtId="0" fontId="25" fillId="0" borderId="43" xfId="0" applyFont="1" applyBorder="1" applyAlignment="1">
      <alignment horizontal="center" textRotation="90" wrapText="1"/>
    </xf>
    <xf numFmtId="0" fontId="22" fillId="16" borderId="2" xfId="0" applyFont="1" applyFill="1" applyBorder="1" applyAlignment="1">
      <alignment horizontal="center" wrapText="1"/>
    </xf>
    <xf numFmtId="0" fontId="22" fillId="16" borderId="3" xfId="0" applyFont="1" applyFill="1" applyBorder="1" applyAlignment="1">
      <alignment horizontal="center" wrapText="1"/>
    </xf>
    <xf numFmtId="0" fontId="22" fillId="16" borderId="4" xfId="0" applyFont="1" applyFill="1" applyBorder="1" applyAlignment="1">
      <alignment horizontal="center" wrapText="1"/>
    </xf>
    <xf numFmtId="0" fontId="22" fillId="16" borderId="5" xfId="0" applyFont="1" applyFill="1" applyBorder="1" applyAlignment="1">
      <alignment horizontal="center" wrapText="1"/>
    </xf>
    <xf numFmtId="0" fontId="22" fillId="16" borderId="1" xfId="0" applyFont="1" applyFill="1" applyBorder="1" applyAlignment="1">
      <alignment horizontal="center" wrapText="1"/>
    </xf>
    <xf numFmtId="0" fontId="22" fillId="16" borderId="6" xfId="0" applyFont="1" applyFill="1" applyBorder="1" applyAlignment="1">
      <alignment horizontal="center" wrapText="1"/>
    </xf>
    <xf numFmtId="0" fontId="25" fillId="18" borderId="5" xfId="0" applyFont="1" applyFill="1" applyBorder="1" applyAlignment="1">
      <alignment horizontal="left" vertical="center" wrapText="1"/>
    </xf>
    <xf numFmtId="0" fontId="25" fillId="18" borderId="1" xfId="0" applyFont="1" applyFill="1" applyBorder="1" applyAlignment="1">
      <alignment horizontal="left" vertical="center" wrapText="1"/>
    </xf>
    <xf numFmtId="0" fontId="25" fillId="18" borderId="7" xfId="0" applyFont="1" applyFill="1" applyBorder="1" applyAlignment="1">
      <alignment horizontal="left" vertical="center" wrapText="1"/>
    </xf>
    <xf numFmtId="0" fontId="25" fillId="18" borderId="8" xfId="0" applyFont="1" applyFill="1" applyBorder="1" applyAlignment="1">
      <alignment horizontal="left" vertical="center" wrapText="1"/>
    </xf>
    <xf numFmtId="164" fontId="32" fillId="0" borderId="6" xfId="0" applyNumberFormat="1" applyFont="1" applyBorder="1" applyAlignment="1">
      <alignment horizontal="center" vertical="center"/>
    </xf>
    <xf numFmtId="164" fontId="32" fillId="0" borderId="9" xfId="0" applyNumberFormat="1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164" fontId="29" fillId="16" borderId="2" xfId="0" applyNumberFormat="1" applyFont="1" applyFill="1" applyBorder="1" applyAlignment="1">
      <alignment horizontal="center" vertical="center" wrapText="1"/>
    </xf>
    <xf numFmtId="164" fontId="29" fillId="16" borderId="3" xfId="0" applyNumberFormat="1" applyFont="1" applyFill="1" applyBorder="1" applyAlignment="1">
      <alignment horizontal="center" vertical="center" wrapText="1"/>
    </xf>
    <xf numFmtId="164" fontId="29" fillId="16" borderId="4" xfId="0" applyNumberFormat="1" applyFont="1" applyFill="1" applyBorder="1" applyAlignment="1">
      <alignment horizontal="center" vertical="center" wrapText="1"/>
    </xf>
    <xf numFmtId="164" fontId="29" fillId="16" borderId="5" xfId="0" applyNumberFormat="1" applyFont="1" applyFill="1" applyBorder="1" applyAlignment="1">
      <alignment horizontal="center" vertical="center" wrapText="1"/>
    </xf>
    <xf numFmtId="164" fontId="29" fillId="16" borderId="1" xfId="0" applyNumberFormat="1" applyFont="1" applyFill="1" applyBorder="1" applyAlignment="1">
      <alignment horizontal="center" vertical="center" wrapText="1"/>
    </xf>
    <xf numFmtId="164" fontId="29" fillId="16" borderId="6" xfId="0" applyNumberFormat="1" applyFont="1" applyFill="1" applyBorder="1" applyAlignment="1">
      <alignment horizontal="center" vertical="center" wrapText="1"/>
    </xf>
    <xf numFmtId="164" fontId="29" fillId="18" borderId="5" xfId="0" applyNumberFormat="1" applyFont="1" applyFill="1" applyBorder="1" applyAlignment="1">
      <alignment horizontal="center" vertical="center" wrapText="1"/>
    </xf>
    <xf numFmtId="164" fontId="29" fillId="18" borderId="1" xfId="0" applyNumberFormat="1" applyFont="1" applyFill="1" applyBorder="1" applyAlignment="1">
      <alignment horizontal="center" vertical="center" wrapText="1"/>
    </xf>
    <xf numFmtId="164" fontId="29" fillId="18" borderId="7" xfId="0" applyNumberFormat="1" applyFont="1" applyFill="1" applyBorder="1" applyAlignment="1">
      <alignment horizontal="center" vertical="center" wrapText="1"/>
    </xf>
    <xf numFmtId="164" fontId="29" fillId="18" borderId="8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Alignment="1">
      <alignment horizontal="left"/>
    </xf>
    <xf numFmtId="0" fontId="25" fillId="18" borderId="31" xfId="0" applyFont="1" applyFill="1" applyBorder="1" applyAlignment="1">
      <alignment horizontal="center" vertical="center" textRotation="90" wrapText="1"/>
    </xf>
    <xf numFmtId="0" fontId="25" fillId="18" borderId="32" xfId="0" applyFont="1" applyFill="1" applyBorder="1" applyAlignment="1">
      <alignment horizontal="center" vertical="center" textRotation="90" wrapText="1"/>
    </xf>
    <xf numFmtId="0" fontId="25" fillId="18" borderId="33" xfId="0" applyFont="1" applyFill="1" applyBorder="1" applyAlignment="1">
      <alignment horizontal="center" vertical="center" textRotation="90" wrapText="1"/>
    </xf>
    <xf numFmtId="0" fontId="20" fillId="0" borderId="30" xfId="0" applyFont="1" applyBorder="1" applyAlignment="1">
      <alignment horizontal="center"/>
    </xf>
    <xf numFmtId="0" fontId="20" fillId="0" borderId="30" xfId="0" applyFont="1" applyBorder="1" applyAlignment="1">
      <alignment horizontal="center" wrapText="1"/>
    </xf>
    <xf numFmtId="0" fontId="20" fillId="0" borderId="0" xfId="0" applyFont="1" applyBorder="1" applyAlignment="1">
      <alignment horizontal="center" wrapText="1"/>
    </xf>
    <xf numFmtId="0" fontId="0" fillId="16" borderId="2" xfId="0" applyFill="1" applyBorder="1" applyAlignment="1">
      <alignment horizontal="center" wrapText="1"/>
    </xf>
    <xf numFmtId="0" fontId="0" fillId="16" borderId="4" xfId="0" applyFill="1" applyBorder="1" applyAlignment="1">
      <alignment horizontal="center" wrapText="1"/>
    </xf>
    <xf numFmtId="0" fontId="0" fillId="16" borderId="5" xfId="0" applyFill="1" applyBorder="1" applyAlignment="1">
      <alignment horizontal="center" wrapText="1"/>
    </xf>
    <xf numFmtId="0" fontId="0" fillId="16" borderId="6" xfId="0" applyFill="1" applyBorder="1" applyAlignment="1">
      <alignment horizontal="center" wrapText="1"/>
    </xf>
    <xf numFmtId="1" fontId="20" fillId="0" borderId="30" xfId="0" applyNumberFormat="1" applyFont="1" applyBorder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1" fontId="21" fillId="0" borderId="30" xfId="0" applyNumberFormat="1" applyFont="1" applyBorder="1" applyAlignment="1">
      <alignment horizontal="center"/>
    </xf>
    <xf numFmtId="1" fontId="21" fillId="0" borderId="0" xfId="0" applyNumberFormat="1" applyFont="1" applyAlignment="1">
      <alignment horizontal="center"/>
    </xf>
    <xf numFmtId="0" fontId="1" fillId="16" borderId="27" xfId="0" applyFont="1" applyFill="1" applyBorder="1" applyAlignment="1">
      <alignment horizontal="center" wrapText="1"/>
    </xf>
    <xf numFmtId="0" fontId="1" fillId="16" borderId="40" xfId="0" applyFont="1" applyFill="1" applyBorder="1" applyAlignment="1">
      <alignment horizontal="center" wrapText="1"/>
    </xf>
    <xf numFmtId="0" fontId="1" fillId="16" borderId="28" xfId="0" applyFont="1" applyFill="1" applyBorder="1" applyAlignment="1">
      <alignment horizontal="center" wrapText="1"/>
    </xf>
    <xf numFmtId="0" fontId="1" fillId="16" borderId="41" xfId="0" applyFont="1" applyFill="1" applyBorder="1" applyAlignment="1">
      <alignment horizontal="center" wrapText="1"/>
    </xf>
    <xf numFmtId="0" fontId="1" fillId="16" borderId="29" xfId="0" applyFont="1" applyFill="1" applyBorder="1" applyAlignment="1">
      <alignment horizontal="center" wrapText="1"/>
    </xf>
    <xf numFmtId="0" fontId="1" fillId="16" borderId="42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 vertical="center" textRotation="90" wrapText="1"/>
    </xf>
    <xf numFmtId="0" fontId="17" fillId="0" borderId="52" xfId="0" applyFont="1" applyFill="1" applyBorder="1" applyAlignment="1">
      <alignment horizontal="center" vertical="center" textRotation="90" wrapText="1"/>
    </xf>
    <xf numFmtId="0" fontId="1" fillId="18" borderId="7" xfId="0" applyFont="1" applyFill="1" applyBorder="1" applyAlignment="1">
      <alignment horizontal="center" wrapText="1"/>
    </xf>
    <xf numFmtId="0" fontId="1" fillId="18" borderId="47" xfId="0" applyFont="1" applyFill="1" applyBorder="1" applyAlignment="1">
      <alignment horizontal="center" wrapText="1"/>
    </xf>
    <xf numFmtId="0" fontId="1" fillId="18" borderId="2" xfId="0" applyFont="1" applyFill="1" applyBorder="1" applyAlignment="1">
      <alignment horizontal="center" wrapText="1"/>
    </xf>
    <xf numFmtId="0" fontId="1" fillId="18" borderId="62" xfId="0" applyFont="1" applyFill="1" applyBorder="1" applyAlignment="1">
      <alignment horizontal="center" wrapText="1"/>
    </xf>
    <xf numFmtId="44" fontId="1" fillId="18" borderId="5" xfId="2" applyFont="1" applyFill="1" applyBorder="1" applyAlignment="1">
      <alignment horizontal="center" wrapText="1"/>
    </xf>
    <xf numFmtId="44" fontId="1" fillId="18" borderId="44" xfId="2" applyFont="1" applyFill="1" applyBorder="1" applyAlignment="1">
      <alignment horizontal="center" wrapText="1"/>
    </xf>
    <xf numFmtId="0" fontId="1" fillId="18" borderId="5" xfId="0" applyFont="1" applyFill="1" applyBorder="1" applyAlignment="1">
      <alignment horizontal="center" wrapText="1"/>
    </xf>
    <xf numFmtId="0" fontId="1" fillId="18" borderId="44" xfId="0" applyFont="1" applyFill="1" applyBorder="1" applyAlignment="1">
      <alignment horizontal="center" wrapText="1"/>
    </xf>
    <xf numFmtId="0" fontId="1" fillId="18" borderId="8" xfId="0" applyFont="1" applyFill="1" applyBorder="1" applyAlignment="1">
      <alignment horizontal="center" wrapText="1"/>
    </xf>
    <xf numFmtId="0" fontId="1" fillId="18" borderId="3" xfId="0" applyFont="1" applyFill="1" applyBorder="1" applyAlignment="1">
      <alignment horizontal="center" wrapText="1"/>
    </xf>
    <xf numFmtId="44" fontId="1" fillId="18" borderId="1" xfId="2" applyFont="1" applyFill="1" applyBorder="1" applyAlignment="1">
      <alignment horizontal="center" wrapText="1"/>
    </xf>
    <xf numFmtId="0" fontId="1" fillId="18" borderId="1" xfId="0" applyFont="1" applyFill="1" applyBorder="1" applyAlignment="1">
      <alignment horizontal="center" wrapText="1"/>
    </xf>
  </cellXfs>
  <cellStyles count="3">
    <cellStyle name="Moneda" xfId="2" builtinId="4"/>
    <cellStyle name="Normal" xfId="0" builtinId="0"/>
    <cellStyle name="Porcentual" xfId="1" builtinId="5"/>
  </cellStyles>
  <dxfs count="0"/>
  <tableStyles count="0" defaultTableStyle="TableStyleMedium9" defaultPivotStyle="PivotStyleLight16"/>
  <colors>
    <mruColors>
      <color rgb="FFFCEA68"/>
      <color rgb="FFFEFADA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C"/>
  <c:chart>
    <c:title>
      <c:txPr>
        <a:bodyPr/>
        <a:lstStyle/>
        <a:p>
          <a:pPr>
            <a:defRPr lang="es-EC"/>
          </a:pPr>
          <a:endParaRPr lang="es-EC"/>
        </a:p>
      </c:txPr>
    </c:title>
    <c:plotArea>
      <c:layout/>
      <c:lineChart>
        <c:grouping val="standard"/>
        <c:ser>
          <c:idx val="0"/>
          <c:order val="0"/>
          <c:tx>
            <c:strRef>
              <c:f>'meta merma'!$C$12</c:f>
              <c:strCache>
                <c:ptCount val="1"/>
                <c:pt idx="0">
                  <c:v>% DE UTILIZACION DE LA CAPACIDAD</c:v>
                </c:pt>
              </c:strCache>
            </c:strRef>
          </c:tx>
          <c:cat>
            <c:strRef>
              <c:f>'meta merma'!$D$1:$O$6</c:f>
              <c:strCache>
                <c:ptCount val="12"/>
                <c:pt idx="0">
                  <c:v>enero 07</c:v>
                </c:pt>
                <c:pt idx="1">
                  <c:v>febrero 07</c:v>
                </c:pt>
                <c:pt idx="2">
                  <c:v>marzo 07</c:v>
                </c:pt>
                <c:pt idx="3">
                  <c:v>abril 07</c:v>
                </c:pt>
                <c:pt idx="4">
                  <c:v>mayo 07</c:v>
                </c:pt>
                <c:pt idx="5">
                  <c:v>junio 07</c:v>
                </c:pt>
                <c:pt idx="6">
                  <c:v>julio 07</c:v>
                </c:pt>
                <c:pt idx="7">
                  <c:v>agosto 07</c:v>
                </c:pt>
                <c:pt idx="8">
                  <c:v>septiembre 07</c:v>
                </c:pt>
                <c:pt idx="9">
                  <c:v>octubre 07</c:v>
                </c:pt>
                <c:pt idx="10">
                  <c:v>noviembre 07</c:v>
                </c:pt>
                <c:pt idx="11">
                  <c:v>diciembre 07</c:v>
                </c:pt>
              </c:strCache>
            </c:strRef>
          </c:cat>
          <c:val>
            <c:numRef>
              <c:f>'meta merma'!$D$12:$O$12</c:f>
              <c:numCache>
                <c:formatCode>0%</c:formatCode>
                <c:ptCount val="12"/>
                <c:pt idx="0">
                  <c:v>0.73382575757575763</c:v>
                </c:pt>
                <c:pt idx="1">
                  <c:v>0.70280303030303026</c:v>
                </c:pt>
                <c:pt idx="2">
                  <c:v>0.49803030303030305</c:v>
                </c:pt>
                <c:pt idx="3">
                  <c:v>0.1459090909090909</c:v>
                </c:pt>
                <c:pt idx="4">
                  <c:v>0.79534090909090904</c:v>
                </c:pt>
                <c:pt idx="5">
                  <c:v>0.30181818181818182</c:v>
                </c:pt>
                <c:pt idx="6">
                  <c:v>0.38303030303030305</c:v>
                </c:pt>
                <c:pt idx="7">
                  <c:v>0.49659090909090908</c:v>
                </c:pt>
                <c:pt idx="8">
                  <c:v>0.34499999999999997</c:v>
                </c:pt>
                <c:pt idx="9">
                  <c:v>0.43681818181818183</c:v>
                </c:pt>
                <c:pt idx="10">
                  <c:v>0.55382575757575758</c:v>
                </c:pt>
                <c:pt idx="11">
                  <c:v>0.21772727272727271</c:v>
                </c:pt>
              </c:numCache>
            </c:numRef>
          </c:val>
        </c:ser>
        <c:marker val="1"/>
        <c:axId val="73008640"/>
        <c:axId val="73010176"/>
      </c:lineChart>
      <c:catAx>
        <c:axId val="7300864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s-EC"/>
            </a:pPr>
            <a:endParaRPr lang="es-EC"/>
          </a:p>
        </c:txPr>
        <c:crossAx val="73010176"/>
        <c:crosses val="autoZero"/>
        <c:auto val="1"/>
        <c:lblAlgn val="ctr"/>
        <c:lblOffset val="100"/>
      </c:catAx>
      <c:valAx>
        <c:axId val="73010176"/>
        <c:scaling>
          <c:orientation val="minMax"/>
        </c:scaling>
        <c:axPos val="l"/>
        <c:majorGridlines/>
        <c:title>
          <c:txPr>
            <a:bodyPr/>
            <a:lstStyle/>
            <a:p>
              <a:pPr>
                <a:defRPr lang="es-EC"/>
              </a:pPr>
              <a:endParaRPr lang="es-EC"/>
            </a:p>
          </c:txPr>
        </c:title>
        <c:numFmt formatCode="0%" sourceLinked="1"/>
        <c:majorTickMark val="none"/>
        <c:tickLblPos val="nextTo"/>
        <c:txPr>
          <a:bodyPr/>
          <a:lstStyle/>
          <a:p>
            <a:pPr>
              <a:defRPr lang="es-EC"/>
            </a:pPr>
            <a:endParaRPr lang="es-EC"/>
          </a:p>
        </c:txPr>
        <c:crossAx val="73008640"/>
        <c:crosses val="autoZero"/>
        <c:crossBetween val="between"/>
      </c:valAx>
    </c:plotArea>
    <c:legend>
      <c:legendPos val="r"/>
      <c:txPr>
        <a:bodyPr/>
        <a:lstStyle/>
        <a:p>
          <a:pPr>
            <a:defRPr lang="es-EC"/>
          </a:pPr>
          <a:endParaRPr lang="es-EC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C"/>
  <c:chart>
    <c:autoTitleDeleted val="1"/>
    <c:plotArea>
      <c:layout/>
      <c:lineChart>
        <c:grouping val="standard"/>
        <c:ser>
          <c:idx val="0"/>
          <c:order val="0"/>
          <c:tx>
            <c:strRef>
              <c:f>'meta merma'!$C$7</c:f>
              <c:strCache>
                <c:ptCount val="1"/>
                <c:pt idx="0">
                  <c:v>TOTAL DE PRODUCCION</c:v>
                </c:pt>
              </c:strCache>
            </c:strRef>
          </c:tx>
          <c:cat>
            <c:strRef>
              <c:f>'meta merma'!$D$1:$O$6</c:f>
              <c:strCache>
                <c:ptCount val="12"/>
                <c:pt idx="0">
                  <c:v>enero 07</c:v>
                </c:pt>
                <c:pt idx="1">
                  <c:v>febrero 07</c:v>
                </c:pt>
                <c:pt idx="2">
                  <c:v>marzo 07</c:v>
                </c:pt>
                <c:pt idx="3">
                  <c:v>abril 07</c:v>
                </c:pt>
                <c:pt idx="4">
                  <c:v>mayo 07</c:v>
                </c:pt>
                <c:pt idx="5">
                  <c:v>junio 07</c:v>
                </c:pt>
                <c:pt idx="6">
                  <c:v>julio 07</c:v>
                </c:pt>
                <c:pt idx="7">
                  <c:v>agosto 07</c:v>
                </c:pt>
                <c:pt idx="8">
                  <c:v>septiembre 07</c:v>
                </c:pt>
                <c:pt idx="9">
                  <c:v>octubre 07</c:v>
                </c:pt>
                <c:pt idx="10">
                  <c:v>noviembre 07</c:v>
                </c:pt>
                <c:pt idx="11">
                  <c:v>diciembre 07</c:v>
                </c:pt>
              </c:strCache>
            </c:strRef>
          </c:cat>
          <c:val>
            <c:numRef>
              <c:f>'meta merma'!$D$7:$O$7</c:f>
              <c:numCache>
                <c:formatCode>General</c:formatCode>
                <c:ptCount val="12"/>
                <c:pt idx="0">
                  <c:v>19373</c:v>
                </c:pt>
                <c:pt idx="1">
                  <c:v>18554</c:v>
                </c:pt>
                <c:pt idx="2">
                  <c:v>13148</c:v>
                </c:pt>
                <c:pt idx="3">
                  <c:v>3852</c:v>
                </c:pt>
                <c:pt idx="4">
                  <c:v>20997</c:v>
                </c:pt>
                <c:pt idx="5">
                  <c:v>7968</c:v>
                </c:pt>
                <c:pt idx="6">
                  <c:v>10112</c:v>
                </c:pt>
                <c:pt idx="7">
                  <c:v>13110</c:v>
                </c:pt>
                <c:pt idx="8">
                  <c:v>9108</c:v>
                </c:pt>
                <c:pt idx="9">
                  <c:v>11532</c:v>
                </c:pt>
                <c:pt idx="10">
                  <c:v>14621</c:v>
                </c:pt>
                <c:pt idx="11">
                  <c:v>5748</c:v>
                </c:pt>
              </c:numCache>
            </c:numRef>
          </c:val>
        </c:ser>
        <c:ser>
          <c:idx val="1"/>
          <c:order val="1"/>
          <c:tx>
            <c:strRef>
              <c:f>'meta merma'!$C$10</c:f>
              <c:strCache>
                <c:ptCount val="1"/>
                <c:pt idx="0">
                  <c:v>CAPACIDAD DE PLANTA MENSUAL</c:v>
                </c:pt>
              </c:strCache>
            </c:strRef>
          </c:tx>
          <c:cat>
            <c:strRef>
              <c:f>'meta merma'!$D$1:$O$6</c:f>
              <c:strCache>
                <c:ptCount val="12"/>
                <c:pt idx="0">
                  <c:v>enero 07</c:v>
                </c:pt>
                <c:pt idx="1">
                  <c:v>febrero 07</c:v>
                </c:pt>
                <c:pt idx="2">
                  <c:v>marzo 07</c:v>
                </c:pt>
                <c:pt idx="3">
                  <c:v>abril 07</c:v>
                </c:pt>
                <c:pt idx="4">
                  <c:v>mayo 07</c:v>
                </c:pt>
                <c:pt idx="5">
                  <c:v>junio 07</c:v>
                </c:pt>
                <c:pt idx="6">
                  <c:v>julio 07</c:v>
                </c:pt>
                <c:pt idx="7">
                  <c:v>agosto 07</c:v>
                </c:pt>
                <c:pt idx="8">
                  <c:v>septiembre 07</c:v>
                </c:pt>
                <c:pt idx="9">
                  <c:v>octubre 07</c:v>
                </c:pt>
                <c:pt idx="10">
                  <c:v>noviembre 07</c:v>
                </c:pt>
                <c:pt idx="11">
                  <c:v>diciembre 07</c:v>
                </c:pt>
              </c:strCache>
            </c:strRef>
          </c:cat>
          <c:val>
            <c:numRef>
              <c:f>'meta merma'!$D$10:$O$10</c:f>
              <c:numCache>
                <c:formatCode>0</c:formatCode>
                <c:ptCount val="12"/>
                <c:pt idx="0">
                  <c:v>26400</c:v>
                </c:pt>
                <c:pt idx="1">
                  <c:v>26400</c:v>
                </c:pt>
                <c:pt idx="2">
                  <c:v>26400</c:v>
                </c:pt>
                <c:pt idx="3">
                  <c:v>26400</c:v>
                </c:pt>
                <c:pt idx="4">
                  <c:v>26400</c:v>
                </c:pt>
                <c:pt idx="5">
                  <c:v>26400</c:v>
                </c:pt>
                <c:pt idx="6">
                  <c:v>26400</c:v>
                </c:pt>
                <c:pt idx="7">
                  <c:v>26400</c:v>
                </c:pt>
                <c:pt idx="8">
                  <c:v>26400</c:v>
                </c:pt>
                <c:pt idx="9">
                  <c:v>26400</c:v>
                </c:pt>
                <c:pt idx="10">
                  <c:v>26400</c:v>
                </c:pt>
                <c:pt idx="11">
                  <c:v>26400</c:v>
                </c:pt>
              </c:numCache>
            </c:numRef>
          </c:val>
        </c:ser>
        <c:marker val="1"/>
        <c:axId val="74854784"/>
        <c:axId val="74856320"/>
      </c:lineChart>
      <c:catAx>
        <c:axId val="7485478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s-EC"/>
            </a:pPr>
            <a:endParaRPr lang="es-EC"/>
          </a:p>
        </c:txPr>
        <c:crossAx val="74856320"/>
        <c:crosses val="autoZero"/>
        <c:auto val="1"/>
        <c:lblAlgn val="ctr"/>
        <c:lblOffset val="100"/>
      </c:catAx>
      <c:valAx>
        <c:axId val="7485632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lang="es-EC"/>
                </a:pPr>
                <a:r>
                  <a:rPr lang="en-US"/>
                  <a:t>UNIDADES MENSUALES DE MARQUETAS PRODUCIDAS</a:t>
                </a:r>
              </a:p>
            </c:rich>
          </c:tx>
          <c:layout/>
        </c:title>
        <c:numFmt formatCode="General" sourceLinked="1"/>
        <c:majorTickMark val="none"/>
        <c:tickLblPos val="nextTo"/>
        <c:txPr>
          <a:bodyPr/>
          <a:lstStyle/>
          <a:p>
            <a:pPr>
              <a:defRPr lang="es-EC"/>
            </a:pPr>
            <a:endParaRPr lang="es-EC"/>
          </a:p>
        </c:txPr>
        <c:crossAx val="74854784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lang="es-EC"/>
          </a:pPr>
          <a:endParaRPr lang="es-EC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C"/>
  <c:chart>
    <c:plotArea>
      <c:layout/>
      <c:lineChart>
        <c:grouping val="standard"/>
        <c:ser>
          <c:idx val="0"/>
          <c:order val="0"/>
          <c:tx>
            <c:strRef>
              <c:f>'ana costos'!$D$1</c:f>
              <c:strCache>
                <c:ptCount val="1"/>
                <c:pt idx="0">
                  <c:v>COSTOS DE TRANSPORTACION </c:v>
                </c:pt>
              </c:strCache>
            </c:strRef>
          </c:tx>
          <c:cat>
            <c:strRef>
              <c:f>'ana costos'!$D$2:$O$2</c:f>
              <c:strCache>
                <c:ptCount val="12"/>
                <c:pt idx="0">
                  <c:v>enero 07</c:v>
                </c:pt>
                <c:pt idx="1">
                  <c:v>febrero 07</c:v>
                </c:pt>
                <c:pt idx="2">
                  <c:v>marzo 07</c:v>
                </c:pt>
                <c:pt idx="3">
                  <c:v>abril 07</c:v>
                </c:pt>
                <c:pt idx="4">
                  <c:v>mayo 07</c:v>
                </c:pt>
                <c:pt idx="5">
                  <c:v>junio 07</c:v>
                </c:pt>
                <c:pt idx="6">
                  <c:v>julio 07</c:v>
                </c:pt>
                <c:pt idx="7">
                  <c:v>agosto 07</c:v>
                </c:pt>
                <c:pt idx="8">
                  <c:v>septiembre 07 </c:v>
                </c:pt>
                <c:pt idx="9">
                  <c:v>octubre 07</c:v>
                </c:pt>
                <c:pt idx="10">
                  <c:v>noviembre 07</c:v>
                </c:pt>
                <c:pt idx="11">
                  <c:v>diciembre 07</c:v>
                </c:pt>
              </c:strCache>
            </c:strRef>
          </c:cat>
          <c:val>
            <c:numRef>
              <c:f>'ana costos'!$D$8:$O$8</c:f>
              <c:numCache>
                <c:formatCode>_("$"* #,##0.00_);_("$"* \(#,##0.00\);_("$"* "-"??_);_(@_)</c:formatCode>
                <c:ptCount val="12"/>
                <c:pt idx="0">
                  <c:v>3452.3249999999998</c:v>
                </c:pt>
                <c:pt idx="1">
                  <c:v>2507.0349999999999</c:v>
                </c:pt>
                <c:pt idx="2">
                  <c:v>2272.3000000000002</c:v>
                </c:pt>
                <c:pt idx="3">
                  <c:v>1218.27</c:v>
                </c:pt>
                <c:pt idx="4">
                  <c:v>2464.0749999999998</c:v>
                </c:pt>
                <c:pt idx="5">
                  <c:v>1929.165</c:v>
                </c:pt>
                <c:pt idx="6">
                  <c:v>2501.65</c:v>
                </c:pt>
                <c:pt idx="7">
                  <c:v>3282.0675000000001</c:v>
                </c:pt>
                <c:pt idx="8">
                  <c:v>2252.2424999999998</c:v>
                </c:pt>
                <c:pt idx="9">
                  <c:v>2280.9549999999999</c:v>
                </c:pt>
                <c:pt idx="10">
                  <c:v>3760.9250000000002</c:v>
                </c:pt>
                <c:pt idx="11">
                  <c:v>2256.7750000000001</c:v>
                </c:pt>
              </c:numCache>
            </c:numRef>
          </c:val>
        </c:ser>
        <c:ser>
          <c:idx val="1"/>
          <c:order val="1"/>
          <c:tx>
            <c:strRef>
              <c:f>'ana costos'!$D$22</c:f>
              <c:strCache>
                <c:ptCount val="1"/>
                <c:pt idx="0">
                  <c:v>COSTOS POR CONCEPTO DE COMISIONES </c:v>
                </c:pt>
              </c:strCache>
            </c:strRef>
          </c:tx>
          <c:cat>
            <c:strRef>
              <c:f>'ana costos'!$D$2:$O$2</c:f>
              <c:strCache>
                <c:ptCount val="12"/>
                <c:pt idx="0">
                  <c:v>enero 07</c:v>
                </c:pt>
                <c:pt idx="1">
                  <c:v>febrero 07</c:v>
                </c:pt>
                <c:pt idx="2">
                  <c:v>marzo 07</c:v>
                </c:pt>
                <c:pt idx="3">
                  <c:v>abril 07</c:v>
                </c:pt>
                <c:pt idx="4">
                  <c:v>mayo 07</c:v>
                </c:pt>
                <c:pt idx="5">
                  <c:v>junio 07</c:v>
                </c:pt>
                <c:pt idx="6">
                  <c:v>julio 07</c:v>
                </c:pt>
                <c:pt idx="7">
                  <c:v>agosto 07</c:v>
                </c:pt>
                <c:pt idx="8">
                  <c:v>septiembre 07 </c:v>
                </c:pt>
                <c:pt idx="9">
                  <c:v>octubre 07</c:v>
                </c:pt>
                <c:pt idx="10">
                  <c:v>noviembre 07</c:v>
                </c:pt>
                <c:pt idx="11">
                  <c:v>diciembre 07</c:v>
                </c:pt>
              </c:strCache>
            </c:strRef>
          </c:cat>
          <c:val>
            <c:numRef>
              <c:f>'ana costos'!$D$29:$O$29</c:f>
              <c:numCache>
                <c:formatCode>_("$"* #,##0.00_);_("$"* \(#,##0.00\);_("$"* "-"??_);_(@_)</c:formatCode>
                <c:ptCount val="12"/>
                <c:pt idx="0">
                  <c:v>1701.6</c:v>
                </c:pt>
                <c:pt idx="1">
                  <c:v>1193.0500000000002</c:v>
                </c:pt>
                <c:pt idx="2">
                  <c:v>978.27499999999998</c:v>
                </c:pt>
                <c:pt idx="3">
                  <c:v>543</c:v>
                </c:pt>
                <c:pt idx="4">
                  <c:v>1213.375</c:v>
                </c:pt>
                <c:pt idx="5">
                  <c:v>908.55000000000007</c:v>
                </c:pt>
                <c:pt idx="6">
                  <c:v>1034.625</c:v>
                </c:pt>
                <c:pt idx="7">
                  <c:v>1287.5749999999998</c:v>
                </c:pt>
                <c:pt idx="8">
                  <c:v>741.90000000000009</c:v>
                </c:pt>
                <c:pt idx="9">
                  <c:v>826.42499999999995</c:v>
                </c:pt>
                <c:pt idx="10">
                  <c:v>1575.2000000000003</c:v>
                </c:pt>
                <c:pt idx="11">
                  <c:v>897.75</c:v>
                </c:pt>
              </c:numCache>
            </c:numRef>
          </c:val>
        </c:ser>
        <c:ser>
          <c:idx val="2"/>
          <c:order val="2"/>
          <c:tx>
            <c:strRef>
              <c:f>'ana costos'!$C$48</c:f>
              <c:strCache>
                <c:ptCount val="1"/>
                <c:pt idx="0">
                  <c:v>COSTOS TOTALES POR CONSUMO ENERGIA ELECTRICA</c:v>
                </c:pt>
              </c:strCache>
            </c:strRef>
          </c:tx>
          <c:cat>
            <c:strRef>
              <c:f>'ana costos'!$D$2:$O$2</c:f>
              <c:strCache>
                <c:ptCount val="12"/>
                <c:pt idx="0">
                  <c:v>enero 07</c:v>
                </c:pt>
                <c:pt idx="1">
                  <c:v>febrero 07</c:v>
                </c:pt>
                <c:pt idx="2">
                  <c:v>marzo 07</c:v>
                </c:pt>
                <c:pt idx="3">
                  <c:v>abril 07</c:v>
                </c:pt>
                <c:pt idx="4">
                  <c:v>mayo 07</c:v>
                </c:pt>
                <c:pt idx="5">
                  <c:v>junio 07</c:v>
                </c:pt>
                <c:pt idx="6">
                  <c:v>julio 07</c:v>
                </c:pt>
                <c:pt idx="7">
                  <c:v>agosto 07</c:v>
                </c:pt>
                <c:pt idx="8">
                  <c:v>septiembre 07 </c:v>
                </c:pt>
                <c:pt idx="9">
                  <c:v>octubre 07</c:v>
                </c:pt>
                <c:pt idx="10">
                  <c:v>noviembre 07</c:v>
                </c:pt>
                <c:pt idx="11">
                  <c:v>diciembre 07</c:v>
                </c:pt>
              </c:strCache>
            </c:strRef>
          </c:cat>
          <c:val>
            <c:numRef>
              <c:f>'ana costos'!$D$48:$O$48</c:f>
              <c:numCache>
                <c:formatCode>_("$"* #,##0.00_);_("$"* \(#,##0.00\);_("$"* "-"??_);_(@_)</c:formatCode>
                <c:ptCount val="12"/>
                <c:pt idx="0">
                  <c:v>10812.27938</c:v>
                </c:pt>
                <c:pt idx="1">
                  <c:v>9972.1790799999999</c:v>
                </c:pt>
                <c:pt idx="2">
                  <c:v>8461.7157999999981</c:v>
                </c:pt>
                <c:pt idx="3">
                  <c:v>3311.0557999999996</c:v>
                </c:pt>
                <c:pt idx="4">
                  <c:v>4992.9505600000011</c:v>
                </c:pt>
                <c:pt idx="5">
                  <c:v>6642.1214399999999</c:v>
                </c:pt>
                <c:pt idx="6">
                  <c:v>6474.1818872000003</c:v>
                </c:pt>
                <c:pt idx="7">
                  <c:v>6298.0909599999995</c:v>
                </c:pt>
                <c:pt idx="8">
                  <c:v>5736.5792000000001</c:v>
                </c:pt>
                <c:pt idx="9">
                  <c:v>7146.9827599999999</c:v>
                </c:pt>
                <c:pt idx="10">
                  <c:v>7733.3</c:v>
                </c:pt>
                <c:pt idx="11">
                  <c:v>8168.6</c:v>
                </c:pt>
              </c:numCache>
            </c:numRef>
          </c:val>
        </c:ser>
        <c:ser>
          <c:idx val="3"/>
          <c:order val="3"/>
          <c:tx>
            <c:strRef>
              <c:f>'ana costos'!$D$54</c:f>
              <c:strCache>
                <c:ptCount val="1"/>
                <c:pt idx="0">
                  <c:v>COSTO DE MANO DE OBRA </c:v>
                </c:pt>
              </c:strCache>
            </c:strRef>
          </c:tx>
          <c:cat>
            <c:strRef>
              <c:f>'ana costos'!$D$2:$O$2</c:f>
              <c:strCache>
                <c:ptCount val="12"/>
                <c:pt idx="0">
                  <c:v>enero 07</c:v>
                </c:pt>
                <c:pt idx="1">
                  <c:v>febrero 07</c:v>
                </c:pt>
                <c:pt idx="2">
                  <c:v>marzo 07</c:v>
                </c:pt>
                <c:pt idx="3">
                  <c:v>abril 07</c:v>
                </c:pt>
                <c:pt idx="4">
                  <c:v>mayo 07</c:v>
                </c:pt>
                <c:pt idx="5">
                  <c:v>junio 07</c:v>
                </c:pt>
                <c:pt idx="6">
                  <c:v>julio 07</c:v>
                </c:pt>
                <c:pt idx="7">
                  <c:v>agosto 07</c:v>
                </c:pt>
                <c:pt idx="8">
                  <c:v>septiembre 07 </c:v>
                </c:pt>
                <c:pt idx="9">
                  <c:v>octubre 07</c:v>
                </c:pt>
                <c:pt idx="10">
                  <c:v>noviembre 07</c:v>
                </c:pt>
                <c:pt idx="11">
                  <c:v>diciembre 07</c:v>
                </c:pt>
              </c:strCache>
            </c:strRef>
          </c:cat>
          <c:val>
            <c:numRef>
              <c:f>'ana costos'!$D$56:$O$56</c:f>
              <c:numCache>
                <c:formatCode>_("$"* #,##0.00_);_("$"* \(#,##0.00\);_("$"* "-"??_);_(@_)</c:formatCode>
                <c:ptCount val="12"/>
                <c:pt idx="0">
                  <c:v>1596</c:v>
                </c:pt>
                <c:pt idx="1">
                  <c:v>1596</c:v>
                </c:pt>
                <c:pt idx="2">
                  <c:v>1500</c:v>
                </c:pt>
                <c:pt idx="3">
                  <c:v>1500</c:v>
                </c:pt>
                <c:pt idx="4">
                  <c:v>1452</c:v>
                </c:pt>
                <c:pt idx="5">
                  <c:v>1380</c:v>
                </c:pt>
                <c:pt idx="6">
                  <c:v>1380</c:v>
                </c:pt>
                <c:pt idx="7">
                  <c:v>1320</c:v>
                </c:pt>
                <c:pt idx="8">
                  <c:v>1320</c:v>
                </c:pt>
                <c:pt idx="9">
                  <c:v>1584</c:v>
                </c:pt>
                <c:pt idx="10">
                  <c:v>1734</c:v>
                </c:pt>
                <c:pt idx="11">
                  <c:v>1872</c:v>
                </c:pt>
              </c:numCache>
            </c:numRef>
          </c:val>
        </c:ser>
        <c:ser>
          <c:idx val="4"/>
          <c:order val="4"/>
          <c:tx>
            <c:strRef>
              <c:f>'ana costos'!$C$77</c:f>
              <c:strCache>
                <c:ptCount val="1"/>
                <c:pt idx="0">
                  <c:v>COSTOS POR DESPERDICIOS DE MARQUETAS</c:v>
                </c:pt>
              </c:strCache>
            </c:strRef>
          </c:tx>
          <c:cat>
            <c:strRef>
              <c:f>'ana costos'!$D$2:$O$2</c:f>
              <c:strCache>
                <c:ptCount val="12"/>
                <c:pt idx="0">
                  <c:v>enero 07</c:v>
                </c:pt>
                <c:pt idx="1">
                  <c:v>febrero 07</c:v>
                </c:pt>
                <c:pt idx="2">
                  <c:v>marzo 07</c:v>
                </c:pt>
                <c:pt idx="3">
                  <c:v>abril 07</c:v>
                </c:pt>
                <c:pt idx="4">
                  <c:v>mayo 07</c:v>
                </c:pt>
                <c:pt idx="5">
                  <c:v>junio 07</c:v>
                </c:pt>
                <c:pt idx="6">
                  <c:v>julio 07</c:v>
                </c:pt>
                <c:pt idx="7">
                  <c:v>agosto 07</c:v>
                </c:pt>
                <c:pt idx="8">
                  <c:v>septiembre 07 </c:v>
                </c:pt>
                <c:pt idx="9">
                  <c:v>octubre 07</c:v>
                </c:pt>
                <c:pt idx="10">
                  <c:v>noviembre 07</c:v>
                </c:pt>
                <c:pt idx="11">
                  <c:v>diciembre 07</c:v>
                </c:pt>
              </c:strCache>
            </c:strRef>
          </c:cat>
          <c:val>
            <c:numRef>
              <c:f>'ana costos'!$D$77:$O$77</c:f>
              <c:numCache>
                <c:formatCode>_("$"* #,##0.00_);_("$"* \(#,##0.00\);_("$"* "-"??_);_(@_)</c:formatCode>
                <c:ptCount val="12"/>
                <c:pt idx="0">
                  <c:v>3127.5</c:v>
                </c:pt>
                <c:pt idx="1">
                  <c:v>2287.5</c:v>
                </c:pt>
                <c:pt idx="2">
                  <c:v>2838</c:v>
                </c:pt>
                <c:pt idx="3">
                  <c:v>1480.5</c:v>
                </c:pt>
                <c:pt idx="4">
                  <c:v>1609.5</c:v>
                </c:pt>
                <c:pt idx="5">
                  <c:v>3538.5</c:v>
                </c:pt>
                <c:pt idx="6">
                  <c:v>4102.5</c:v>
                </c:pt>
                <c:pt idx="7">
                  <c:v>4024.5</c:v>
                </c:pt>
                <c:pt idx="8">
                  <c:v>3018</c:v>
                </c:pt>
                <c:pt idx="9">
                  <c:v>3414</c:v>
                </c:pt>
                <c:pt idx="10">
                  <c:v>3372.6</c:v>
                </c:pt>
                <c:pt idx="11">
                  <c:v>4062</c:v>
                </c:pt>
              </c:numCache>
            </c:numRef>
          </c:val>
        </c:ser>
        <c:ser>
          <c:idx val="5"/>
          <c:order val="5"/>
          <c:tx>
            <c:strRef>
              <c:f>'ana costos'!$D$83</c:f>
              <c:strCache>
                <c:ptCount val="1"/>
                <c:pt idx="0">
                  <c:v>COSTO DE AGUA </c:v>
                </c:pt>
              </c:strCache>
            </c:strRef>
          </c:tx>
          <c:cat>
            <c:strRef>
              <c:f>'ana costos'!$D$2:$O$2</c:f>
              <c:strCache>
                <c:ptCount val="12"/>
                <c:pt idx="0">
                  <c:v>enero 07</c:v>
                </c:pt>
                <c:pt idx="1">
                  <c:v>febrero 07</c:v>
                </c:pt>
                <c:pt idx="2">
                  <c:v>marzo 07</c:v>
                </c:pt>
                <c:pt idx="3">
                  <c:v>abril 07</c:v>
                </c:pt>
                <c:pt idx="4">
                  <c:v>mayo 07</c:v>
                </c:pt>
                <c:pt idx="5">
                  <c:v>junio 07</c:v>
                </c:pt>
                <c:pt idx="6">
                  <c:v>julio 07</c:v>
                </c:pt>
                <c:pt idx="7">
                  <c:v>agosto 07</c:v>
                </c:pt>
                <c:pt idx="8">
                  <c:v>septiembre 07 </c:v>
                </c:pt>
                <c:pt idx="9">
                  <c:v>octubre 07</c:v>
                </c:pt>
                <c:pt idx="10">
                  <c:v>noviembre 07</c:v>
                </c:pt>
                <c:pt idx="11">
                  <c:v>diciembre 07</c:v>
                </c:pt>
              </c:strCache>
            </c:strRef>
          </c:cat>
          <c:val>
            <c:numRef>
              <c:f>'ana costos'!$D$85:$O$85</c:f>
              <c:numCache>
                <c:formatCode>_("$"* #,##0.00_);_("$"* \(#,##0.00\);_("$"* "-"??_);_(@_)</c:formatCode>
                <c:ptCount val="12"/>
                <c:pt idx="0">
                  <c:v>2992.1211039999998</c:v>
                </c:pt>
                <c:pt idx="1">
                  <c:v>2417.1151200000004</c:v>
                </c:pt>
                <c:pt idx="2">
                  <c:v>2328.255776</c:v>
                </c:pt>
                <c:pt idx="3">
                  <c:v>870.24940800000002</c:v>
                </c:pt>
                <c:pt idx="4">
                  <c:v>2605.1622240000002</c:v>
                </c:pt>
                <c:pt idx="5">
                  <c:v>1386.9696960000001</c:v>
                </c:pt>
                <c:pt idx="6">
                  <c:v>1508.5649600000002</c:v>
                </c:pt>
                <c:pt idx="7">
                  <c:v>1744.1161920000002</c:v>
                </c:pt>
                <c:pt idx="8">
                  <c:v>1095.8908800000002</c:v>
                </c:pt>
                <c:pt idx="9">
                  <c:v>1288.6137600000002</c:v>
                </c:pt>
                <c:pt idx="10">
                  <c:v>2369.3659919999996</c:v>
                </c:pt>
                <c:pt idx="11">
                  <c:v>1201.5239039999999</c:v>
                </c:pt>
              </c:numCache>
            </c:numRef>
          </c:val>
        </c:ser>
        <c:marker val="1"/>
        <c:axId val="73529216"/>
        <c:axId val="73530752"/>
      </c:lineChart>
      <c:catAx>
        <c:axId val="73529216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C"/>
            </a:pPr>
            <a:endParaRPr lang="es-EC"/>
          </a:p>
        </c:txPr>
        <c:crossAx val="73530752"/>
        <c:crosses val="autoZero"/>
        <c:auto val="1"/>
        <c:lblAlgn val="ctr"/>
        <c:lblOffset val="100"/>
      </c:catAx>
      <c:valAx>
        <c:axId val="73530752"/>
        <c:scaling>
          <c:orientation val="minMax"/>
        </c:scaling>
        <c:axPos val="l"/>
        <c:majorGridlines/>
        <c:numFmt formatCode="_(&quot;$&quot;* #,##0.00_);_(&quot;$&quot;* \(#,##0.00\);_(&quot;$&quot;* &quot;-&quot;??_);_(@_)" sourceLinked="1"/>
        <c:tickLblPos val="nextTo"/>
        <c:txPr>
          <a:bodyPr/>
          <a:lstStyle/>
          <a:p>
            <a:pPr>
              <a:defRPr lang="es-EC"/>
            </a:pPr>
            <a:endParaRPr lang="es-EC"/>
          </a:p>
        </c:txPr>
        <c:crossAx val="73529216"/>
        <c:crosses val="autoZero"/>
        <c:crossBetween val="between"/>
      </c:valAx>
    </c:plotArea>
    <c:legend>
      <c:legendPos val="r"/>
      <c:txPr>
        <a:bodyPr/>
        <a:lstStyle/>
        <a:p>
          <a:pPr>
            <a:defRPr lang="es-EC"/>
          </a:pPr>
          <a:endParaRPr lang="es-EC"/>
        </a:p>
      </c:txPr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C"/>
  <c:chart>
    <c:title>
      <c:tx>
        <c:rich>
          <a:bodyPr/>
          <a:lstStyle/>
          <a:p>
            <a:pPr>
              <a:defRPr lang="en-US"/>
            </a:pPr>
            <a:r>
              <a:rPr lang="en-US"/>
              <a:t>GRÁFICA DE PARETO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'ana costos'!$F$121</c:f>
              <c:strCache>
                <c:ptCount val="1"/>
                <c:pt idx="0">
                  <c:v>PORCENTAJE DEL COSTO TOTAL</c:v>
                </c:pt>
              </c:strCache>
            </c:strRef>
          </c:tx>
          <c:dLbls>
            <c:txPr>
              <a:bodyPr/>
              <a:lstStyle/>
              <a:p>
                <a:pPr>
                  <a:defRPr lang="en-US"/>
                </a:pPr>
                <a:endParaRPr lang="es-EC"/>
              </a:p>
            </c:txPr>
            <c:showVal val="1"/>
          </c:dLbls>
          <c:cat>
            <c:strRef>
              <c:f>'ana costos'!$G$120:$L$120</c:f>
              <c:strCache>
                <c:ptCount val="6"/>
                <c:pt idx="0">
                  <c:v>VALORES TOTALES POR CONSUMO ENERGIA ELECTRICA</c:v>
                </c:pt>
                <c:pt idx="1">
                  <c:v>VALORES TOTALES POR  DESPERDICIOS</c:v>
                </c:pt>
                <c:pt idx="2">
                  <c:v>VALORES TOTALES POR TRANSPORTACION</c:v>
                </c:pt>
                <c:pt idx="3">
                  <c:v>AGUA CONSUMO $ </c:v>
                </c:pt>
                <c:pt idx="4">
                  <c:v>VALOR POR MANO DE OBRA</c:v>
                </c:pt>
                <c:pt idx="5">
                  <c:v>SUMA TOTAL VALORES DE COMISIONES</c:v>
                </c:pt>
              </c:strCache>
            </c:strRef>
          </c:cat>
          <c:val>
            <c:numRef>
              <c:f>'ana costos'!$G$121:$L$121</c:f>
              <c:numCache>
                <c:formatCode>0%</c:formatCode>
                <c:ptCount val="6"/>
                <c:pt idx="0">
                  <c:v>0.41677580719829888</c:v>
                </c:pt>
                <c:pt idx="1">
                  <c:v>0.17922615697319433</c:v>
                </c:pt>
                <c:pt idx="2">
                  <c:v>0.14667481393984855</c:v>
                </c:pt>
                <c:pt idx="3">
                  <c:v>0.1059944215366205</c:v>
                </c:pt>
                <c:pt idx="4">
                  <c:v>8.86237527830223E-2</c:v>
                </c:pt>
                <c:pt idx="5">
                  <c:v>6.2705047569015307E-2</c:v>
                </c:pt>
              </c:numCache>
            </c:numRef>
          </c:val>
        </c:ser>
        <c:dLbls>
          <c:showVal val="1"/>
        </c:dLbls>
        <c:overlap val="-25"/>
        <c:axId val="74931584"/>
        <c:axId val="74937472"/>
      </c:barChart>
      <c:lineChart>
        <c:grouping val="standard"/>
        <c:ser>
          <c:idx val="1"/>
          <c:order val="1"/>
          <c:tx>
            <c:strRef>
              <c:f>'ana costos'!$F$122</c:f>
              <c:strCache>
                <c:ptCount val="1"/>
                <c:pt idx="0">
                  <c:v>VALOR ACUMULADO</c:v>
                </c:pt>
              </c:strCache>
            </c:strRef>
          </c:tx>
          <c:marker>
            <c:symbol val="none"/>
          </c:marker>
          <c:dLbls>
            <c:txPr>
              <a:bodyPr/>
              <a:lstStyle/>
              <a:p>
                <a:pPr>
                  <a:defRPr lang="en-US"/>
                </a:pPr>
                <a:endParaRPr lang="es-EC"/>
              </a:p>
            </c:txPr>
            <c:showVal val="1"/>
          </c:dLbls>
          <c:cat>
            <c:strRef>
              <c:f>'ana costos'!$G$120:$L$120</c:f>
              <c:strCache>
                <c:ptCount val="6"/>
                <c:pt idx="0">
                  <c:v>VALORES TOTALES POR CONSUMO ENERGIA ELECTRICA</c:v>
                </c:pt>
                <c:pt idx="1">
                  <c:v>VALORES TOTALES POR  DESPERDICIOS</c:v>
                </c:pt>
                <c:pt idx="2">
                  <c:v>VALORES TOTALES POR TRANSPORTACION</c:v>
                </c:pt>
                <c:pt idx="3">
                  <c:v>AGUA CONSUMO $ </c:v>
                </c:pt>
                <c:pt idx="4">
                  <c:v>VALOR POR MANO DE OBRA</c:v>
                </c:pt>
                <c:pt idx="5">
                  <c:v>SUMA TOTAL VALORES DE COMISIONES</c:v>
                </c:pt>
              </c:strCache>
            </c:strRef>
          </c:cat>
          <c:val>
            <c:numRef>
              <c:f>'ana costos'!$G$122:$L$122</c:f>
              <c:numCache>
                <c:formatCode>0%</c:formatCode>
                <c:ptCount val="6"/>
                <c:pt idx="0">
                  <c:v>0.41677580719829888</c:v>
                </c:pt>
                <c:pt idx="1">
                  <c:v>0.5960019641714932</c:v>
                </c:pt>
                <c:pt idx="2">
                  <c:v>0.7426767781113417</c:v>
                </c:pt>
                <c:pt idx="3">
                  <c:v>0.84867119964796223</c:v>
                </c:pt>
                <c:pt idx="4">
                  <c:v>0.93729495243098448</c:v>
                </c:pt>
                <c:pt idx="5">
                  <c:v>0.99999999999999978</c:v>
                </c:pt>
              </c:numCache>
            </c:numRef>
          </c:val>
        </c:ser>
        <c:dLbls>
          <c:showVal val="1"/>
        </c:dLbls>
        <c:marker val="1"/>
        <c:axId val="74931584"/>
        <c:axId val="74937472"/>
      </c:lineChart>
      <c:catAx>
        <c:axId val="7493158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s-EC"/>
          </a:p>
        </c:txPr>
        <c:crossAx val="74937472"/>
        <c:crosses val="autoZero"/>
        <c:auto val="1"/>
        <c:lblAlgn val="ctr"/>
        <c:lblOffset val="100"/>
      </c:catAx>
      <c:valAx>
        <c:axId val="74937472"/>
        <c:scaling>
          <c:orientation val="minMax"/>
          <c:max val="1"/>
        </c:scaling>
        <c:delete val="1"/>
        <c:axPos val="l"/>
        <c:numFmt formatCode="0%" sourceLinked="1"/>
        <c:majorTickMark val="none"/>
        <c:tickLblPos val="nextTo"/>
        <c:crossAx val="74931584"/>
        <c:crosses val="autoZero"/>
        <c:crossBetween val="between"/>
      </c:valAx>
    </c:plotArea>
    <c:legend>
      <c:legendPos val="t"/>
      <c:layout/>
      <c:txPr>
        <a:bodyPr/>
        <a:lstStyle/>
        <a:p>
          <a:pPr>
            <a:defRPr lang="en-US"/>
          </a:pPr>
          <a:endParaRPr lang="es-EC"/>
        </a:p>
      </c:txPr>
    </c:legend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C"/>
  <c:chart>
    <c:title>
      <c:tx>
        <c:rich>
          <a:bodyPr/>
          <a:lstStyle/>
          <a:p>
            <a:pPr>
              <a:defRPr lang="en-US"/>
            </a:pPr>
            <a:r>
              <a:rPr lang="en-US"/>
              <a:t>COSTOS ANUALES CLASIFICADOS</a:t>
            </a:r>
            <a:r>
              <a:rPr lang="en-US" baseline="0"/>
              <a:t> POR CATEGORIAS</a:t>
            </a:r>
            <a:endParaRPr lang="en-US"/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3.2277720766023352E-2"/>
          <c:y val="0.16468599232421233"/>
          <c:w val="0.83588901684843175"/>
          <c:h val="0.41060588806913084"/>
        </c:manualLayout>
      </c:layout>
      <c:pie3DChart>
        <c:varyColors val="1"/>
        <c:ser>
          <c:idx val="0"/>
          <c:order val="0"/>
          <c:tx>
            <c:strRef>
              <c:f>Hoja5!$O$35</c:f>
              <c:strCache>
                <c:ptCount val="1"/>
                <c:pt idx="0">
                  <c:v>COSTOS ANUALES</c:v>
                </c:pt>
              </c:strCache>
            </c:strRef>
          </c:tx>
          <c:explosion val="25"/>
          <c:dLbls>
            <c:txPr>
              <a:bodyPr/>
              <a:lstStyle/>
              <a:p>
                <a:pPr>
                  <a:defRPr lang="en-US"/>
                </a:pPr>
                <a:endParaRPr lang="es-EC"/>
              </a:p>
            </c:txPr>
            <c:showPercent val="1"/>
          </c:dLbls>
          <c:cat>
            <c:strRef>
              <c:f>Hoja5!$P$34:$U$34</c:f>
              <c:strCache>
                <c:ptCount val="6"/>
                <c:pt idx="0">
                  <c:v>VALORES TOTALES POR TRANSPORTACION</c:v>
                </c:pt>
                <c:pt idx="1">
                  <c:v>SUMA TOTAL VALORES DE COMISIONES</c:v>
                </c:pt>
                <c:pt idx="2">
                  <c:v>VALORES TOTALES POR CONSUMO ENERGIA ELECTRICA</c:v>
                </c:pt>
                <c:pt idx="3">
                  <c:v>VALOR POR MANO DE OBRA</c:v>
                </c:pt>
                <c:pt idx="4">
                  <c:v>VALORES TOTALES POR  DESPERDICIOS</c:v>
                </c:pt>
                <c:pt idx="5">
                  <c:v>AGUA CONSUMO DOLARES</c:v>
                </c:pt>
              </c:strCache>
            </c:strRef>
          </c:cat>
          <c:val>
            <c:numRef>
              <c:f>Hoja5!$P$35:$U$35</c:f>
              <c:numCache>
                <c:formatCode>_("$"* #,##0.00_);_("$"* \(#,##0.00\);_("$"* "-"??_);_(@_)</c:formatCode>
                <c:ptCount val="6"/>
                <c:pt idx="0">
                  <c:v>30177.785</c:v>
                </c:pt>
                <c:pt idx="1">
                  <c:v>12901.324999999999</c:v>
                </c:pt>
                <c:pt idx="2">
                  <c:v>85750.036867200019</c:v>
                </c:pt>
                <c:pt idx="3">
                  <c:v>18234</c:v>
                </c:pt>
                <c:pt idx="4">
                  <c:v>36875.1</c:v>
                </c:pt>
                <c:pt idx="5">
                  <c:v>21807.949015999999</c:v>
                </c:pt>
              </c:numCache>
            </c:numRef>
          </c:val>
        </c:ser>
        <c:dLbls>
          <c:showPercent val="1"/>
        </c:dLbls>
      </c:pie3DChart>
    </c:plotArea>
    <c:legend>
      <c:legendPos val="t"/>
      <c:layout>
        <c:manualLayout>
          <c:xMode val="edge"/>
          <c:yMode val="edge"/>
          <c:x val="4.5538681289423455E-2"/>
          <c:y val="0.63288793779330388"/>
          <c:w val="0.67151899366593082"/>
          <c:h val="0.33170167670488904"/>
        </c:manualLayout>
      </c:layout>
      <c:txPr>
        <a:bodyPr/>
        <a:lstStyle/>
        <a:p>
          <a:pPr>
            <a:defRPr lang="en-US"/>
          </a:pPr>
          <a:endParaRPr lang="es-EC"/>
        </a:p>
      </c:txPr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340179</xdr:colOff>
      <xdr:row>8</xdr:row>
      <xdr:rowOff>81642</xdr:rowOff>
    </xdr:from>
    <xdr:to>
      <xdr:col>4</xdr:col>
      <xdr:colOff>5556254</xdr:colOff>
      <xdr:row>8</xdr:row>
      <xdr:rowOff>707571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150429" y="2013856"/>
          <a:ext cx="5216075" cy="625929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9</xdr:row>
      <xdr:rowOff>122463</xdr:rowOff>
    </xdr:from>
    <xdr:to>
      <xdr:col>4</xdr:col>
      <xdr:colOff>5891898</xdr:colOff>
      <xdr:row>9</xdr:row>
      <xdr:rowOff>653142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810250" y="2816677"/>
          <a:ext cx="5891898" cy="53067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71437</xdr:colOff>
      <xdr:row>3</xdr:row>
      <xdr:rowOff>119062</xdr:rowOff>
    </xdr:from>
    <xdr:to>
      <xdr:col>24</xdr:col>
      <xdr:colOff>71437</xdr:colOff>
      <xdr:row>10</xdr:row>
      <xdr:rowOff>571500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309562</xdr:colOff>
      <xdr:row>12</xdr:row>
      <xdr:rowOff>0</xdr:rowOff>
    </xdr:from>
    <xdr:to>
      <xdr:col>22</xdr:col>
      <xdr:colOff>261937</xdr:colOff>
      <xdr:row>24</xdr:row>
      <xdr:rowOff>71438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90</xdr:row>
      <xdr:rowOff>142876</xdr:rowOff>
    </xdr:from>
    <xdr:to>
      <xdr:col>15</xdr:col>
      <xdr:colOff>228600</xdr:colOff>
      <xdr:row>105</xdr:row>
      <xdr:rowOff>152401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433388</xdr:colOff>
      <xdr:row>119</xdr:row>
      <xdr:rowOff>100012</xdr:rowOff>
    </xdr:from>
    <xdr:to>
      <xdr:col>23</xdr:col>
      <xdr:colOff>538163</xdr:colOff>
      <xdr:row>133</xdr:row>
      <xdr:rowOff>147637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340177</xdr:colOff>
      <xdr:row>37</xdr:row>
      <xdr:rowOff>122464</xdr:rowOff>
    </xdr:from>
    <xdr:to>
      <xdr:col>11</xdr:col>
      <xdr:colOff>394608</xdr:colOff>
      <xdr:row>57</xdr:row>
      <xdr:rowOff>13607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7:T39"/>
  <sheetViews>
    <sheetView topLeftCell="F1" zoomScale="70" zoomScaleNormal="70" workbookViewId="0">
      <selection activeCell="N9" sqref="N9"/>
    </sheetView>
  </sheetViews>
  <sheetFormatPr baseColWidth="10" defaultColWidth="11.42578125" defaultRowHeight="15"/>
  <cols>
    <col min="2" max="2" width="20.42578125" customWidth="1"/>
    <col min="3" max="3" width="17.5703125" customWidth="1"/>
    <col min="4" max="4" width="37.7109375" customWidth="1"/>
    <col min="5" max="5" width="89.28515625" customWidth="1"/>
    <col min="6" max="6" width="17.85546875" bestFit="1" customWidth="1"/>
    <col min="8" max="8" width="20.85546875" customWidth="1"/>
    <col min="9" max="10" width="28.28515625" customWidth="1"/>
    <col min="11" max="11" width="21.5703125" customWidth="1"/>
    <col min="12" max="12" width="21.42578125" customWidth="1"/>
    <col min="13" max="13" width="19.7109375" customWidth="1"/>
    <col min="14" max="14" width="23.28515625" customWidth="1"/>
    <col min="15" max="15" width="19.42578125" customWidth="1"/>
    <col min="18" max="18" width="31.7109375" customWidth="1"/>
    <col min="19" max="19" width="23.28515625" customWidth="1"/>
    <col min="20" max="20" width="19.42578125" customWidth="1"/>
  </cols>
  <sheetData>
    <row r="7" spans="2:20" ht="15.75" thickBot="1"/>
    <row r="8" spans="2:20" ht="45.75" thickBot="1">
      <c r="B8" s="5" t="s">
        <v>0</v>
      </c>
      <c r="C8" s="6" t="s">
        <v>1</v>
      </c>
      <c r="D8" s="6" t="s">
        <v>3</v>
      </c>
      <c r="E8" s="7" t="s">
        <v>2</v>
      </c>
      <c r="H8" s="43" t="s">
        <v>0</v>
      </c>
      <c r="I8" s="44" t="s">
        <v>10</v>
      </c>
      <c r="J8" s="44" t="s">
        <v>19</v>
      </c>
      <c r="K8" s="44" t="s">
        <v>15</v>
      </c>
      <c r="L8" s="44" t="s">
        <v>53</v>
      </c>
      <c r="M8" s="44" t="s">
        <v>11</v>
      </c>
      <c r="N8" s="44" t="s">
        <v>17</v>
      </c>
      <c r="O8" s="45" t="s">
        <v>20</v>
      </c>
      <c r="R8" s="43" t="s">
        <v>0</v>
      </c>
      <c r="S8" s="44" t="s">
        <v>17</v>
      </c>
      <c r="T8" s="45" t="s">
        <v>20</v>
      </c>
    </row>
    <row r="9" spans="2:20" ht="60">
      <c r="B9" s="38" t="s">
        <v>42</v>
      </c>
      <c r="C9" s="3" t="s">
        <v>87</v>
      </c>
      <c r="D9" s="4" t="s">
        <v>90</v>
      </c>
      <c r="H9" s="38" t="s">
        <v>42</v>
      </c>
      <c r="I9" s="39" t="s">
        <v>49</v>
      </c>
      <c r="J9" s="40" t="s">
        <v>50</v>
      </c>
      <c r="K9" s="40" t="s">
        <v>60</v>
      </c>
      <c r="L9" s="40" t="s">
        <v>54</v>
      </c>
      <c r="M9" s="41" t="s">
        <v>58</v>
      </c>
      <c r="N9" s="40" t="s">
        <v>18</v>
      </c>
      <c r="O9" s="42" t="s">
        <v>63</v>
      </c>
      <c r="R9" s="38" t="s">
        <v>42</v>
      </c>
      <c r="S9" s="40" t="s">
        <v>18</v>
      </c>
      <c r="T9" s="42" t="s">
        <v>63</v>
      </c>
    </row>
    <row r="10" spans="2:20" ht="63">
      <c r="B10" s="34" t="s">
        <v>43</v>
      </c>
      <c r="C10" s="55" t="s">
        <v>89</v>
      </c>
      <c r="D10" s="2" t="s">
        <v>5</v>
      </c>
      <c r="H10" s="34" t="s">
        <v>43</v>
      </c>
      <c r="I10" s="31" t="s">
        <v>49</v>
      </c>
      <c r="J10" s="1" t="s">
        <v>8</v>
      </c>
      <c r="K10" s="1" t="s">
        <v>60</v>
      </c>
      <c r="L10" s="1" t="s">
        <v>55</v>
      </c>
      <c r="M10" s="2" t="s">
        <v>16</v>
      </c>
      <c r="N10" s="1" t="s">
        <v>18</v>
      </c>
      <c r="O10" s="33" t="s">
        <v>63</v>
      </c>
      <c r="R10" s="34" t="s">
        <v>43</v>
      </c>
      <c r="S10" s="1" t="s">
        <v>18</v>
      </c>
      <c r="T10" s="33" t="s">
        <v>63</v>
      </c>
    </row>
    <row r="11" spans="2:20" ht="108.75" customHeight="1">
      <c r="B11" s="34" t="s">
        <v>44</v>
      </c>
      <c r="C11" s="1" t="s">
        <v>91</v>
      </c>
      <c r="D11" s="13"/>
      <c r="E11" s="8"/>
      <c r="H11" s="34" t="s">
        <v>44</v>
      </c>
      <c r="I11" s="31" t="s">
        <v>49</v>
      </c>
      <c r="J11" s="2" t="s">
        <v>21</v>
      </c>
      <c r="K11" s="1" t="s">
        <v>60</v>
      </c>
      <c r="L11" s="1" t="s">
        <v>56</v>
      </c>
      <c r="M11" s="1" t="s">
        <v>59</v>
      </c>
      <c r="N11" s="1" t="s">
        <v>18</v>
      </c>
      <c r="O11" s="33" t="s">
        <v>63</v>
      </c>
      <c r="R11" s="34" t="s">
        <v>44</v>
      </c>
      <c r="S11" s="1" t="s">
        <v>18</v>
      </c>
      <c r="T11" s="33" t="s">
        <v>63</v>
      </c>
    </row>
    <row r="12" spans="2:20" ht="63">
      <c r="B12" s="32" t="s">
        <v>45</v>
      </c>
      <c r="C12" s="1" t="s">
        <v>6</v>
      </c>
      <c r="E12" s="8"/>
      <c r="H12" s="32" t="s">
        <v>45</v>
      </c>
      <c r="I12" s="31" t="s">
        <v>49</v>
      </c>
      <c r="J12" s="2" t="s">
        <v>21</v>
      </c>
      <c r="K12" s="1" t="s">
        <v>60</v>
      </c>
      <c r="L12" s="1" t="s">
        <v>56</v>
      </c>
      <c r="M12" s="1" t="s">
        <v>59</v>
      </c>
      <c r="N12" s="1" t="s">
        <v>18</v>
      </c>
      <c r="O12" s="33" t="s">
        <v>63</v>
      </c>
      <c r="R12" s="32" t="s">
        <v>45</v>
      </c>
      <c r="S12" s="1" t="s">
        <v>18</v>
      </c>
      <c r="T12" s="33" t="s">
        <v>63</v>
      </c>
    </row>
    <row r="13" spans="2:20" ht="126">
      <c r="B13" s="32" t="s">
        <v>46</v>
      </c>
      <c r="C13" s="3" t="s">
        <v>13</v>
      </c>
      <c r="D13" s="2" t="s">
        <v>7</v>
      </c>
      <c r="E13" s="9"/>
      <c r="H13" s="32" t="s">
        <v>46</v>
      </c>
      <c r="I13" s="31" t="s">
        <v>64</v>
      </c>
      <c r="J13" s="1" t="s">
        <v>51</v>
      </c>
      <c r="K13" s="1" t="s">
        <v>60</v>
      </c>
      <c r="L13" s="1" t="s">
        <v>55</v>
      </c>
      <c r="M13" s="1" t="s">
        <v>16</v>
      </c>
      <c r="N13" s="12" t="s">
        <v>61</v>
      </c>
      <c r="O13" s="33" t="s">
        <v>63</v>
      </c>
      <c r="R13" s="32" t="s">
        <v>46</v>
      </c>
      <c r="S13" s="12" t="s">
        <v>61</v>
      </c>
      <c r="T13" s="33" t="s">
        <v>63</v>
      </c>
    </row>
    <row r="14" spans="2:20" ht="105">
      <c r="B14" s="34" t="s">
        <v>47</v>
      </c>
      <c r="C14" s="58" t="s">
        <v>4</v>
      </c>
      <c r="D14" s="56" t="s">
        <v>7</v>
      </c>
      <c r="E14" s="57"/>
      <c r="H14" s="34" t="s">
        <v>47</v>
      </c>
      <c r="I14" s="31" t="s">
        <v>65</v>
      </c>
      <c r="J14" s="1" t="s">
        <v>52</v>
      </c>
      <c r="K14" s="1" t="s">
        <v>60</v>
      </c>
      <c r="L14" s="1" t="s">
        <v>55</v>
      </c>
      <c r="M14" s="1" t="s">
        <v>16</v>
      </c>
      <c r="N14" s="12" t="s">
        <v>61</v>
      </c>
      <c r="O14" s="33" t="s">
        <v>63</v>
      </c>
      <c r="R14" s="34" t="s">
        <v>47</v>
      </c>
      <c r="S14" s="12" t="s">
        <v>61</v>
      </c>
      <c r="T14" s="33" t="s">
        <v>63</v>
      </c>
    </row>
    <row r="15" spans="2:20" ht="105.75" thickBot="1">
      <c r="B15" s="35" t="s">
        <v>48</v>
      </c>
      <c r="C15" s="13" t="s">
        <v>88</v>
      </c>
      <c r="D15" s="13"/>
      <c r="E15" s="13"/>
      <c r="H15" s="35" t="s">
        <v>48</v>
      </c>
      <c r="I15" s="36" t="s">
        <v>49</v>
      </c>
      <c r="J15" s="10" t="s">
        <v>66</v>
      </c>
      <c r="K15" s="36" t="s">
        <v>60</v>
      </c>
      <c r="L15" s="36" t="s">
        <v>57</v>
      </c>
      <c r="M15" s="36" t="s">
        <v>59</v>
      </c>
      <c r="N15" s="36" t="s">
        <v>62</v>
      </c>
      <c r="O15" s="37" t="s">
        <v>9</v>
      </c>
      <c r="R15" s="35" t="s">
        <v>48</v>
      </c>
      <c r="S15" s="36" t="s">
        <v>62</v>
      </c>
      <c r="T15" s="37" t="s">
        <v>9</v>
      </c>
    </row>
    <row r="38" spans="5:5" ht="45">
      <c r="E38" s="2" t="s">
        <v>14</v>
      </c>
    </row>
    <row r="39" spans="5:5" ht="30.75" thickBot="1">
      <c r="E39" s="11" t="s">
        <v>12</v>
      </c>
    </row>
  </sheetData>
  <pageMargins left="0.7" right="0.7" top="0.75" bottom="0.75" header="0.3" footer="0.3"/>
  <pageSetup paperSize="9" scale="80" orientation="landscape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B1:Q122"/>
  <sheetViews>
    <sheetView tabSelected="1" topLeftCell="H119" zoomScale="85" zoomScaleNormal="85" workbookViewId="0">
      <selection activeCell="P111" sqref="P111:P116"/>
    </sheetView>
  </sheetViews>
  <sheetFormatPr baseColWidth="10" defaultRowHeight="15"/>
  <cols>
    <col min="3" max="3" width="14.140625" customWidth="1"/>
    <col min="4" max="4" width="11.5703125" bestFit="1" customWidth="1"/>
    <col min="16" max="16" width="12.5703125" bestFit="1" customWidth="1"/>
  </cols>
  <sheetData>
    <row r="1" spans="3:17">
      <c r="D1" t="s">
        <v>204</v>
      </c>
    </row>
    <row r="2" spans="3:17" ht="30.75" thickBot="1">
      <c r="D2" s="414" t="s">
        <v>130</v>
      </c>
      <c r="E2" s="414" t="s">
        <v>131</v>
      </c>
      <c r="F2" s="414" t="s">
        <v>132</v>
      </c>
      <c r="G2" s="414" t="s">
        <v>133</v>
      </c>
      <c r="H2" s="414" t="s">
        <v>134</v>
      </c>
      <c r="I2" s="414" t="s">
        <v>135</v>
      </c>
      <c r="J2" s="414" t="s">
        <v>136</v>
      </c>
      <c r="K2" s="414" t="s">
        <v>137</v>
      </c>
      <c r="L2" s="414" t="s">
        <v>138</v>
      </c>
      <c r="M2" s="414" t="s">
        <v>139</v>
      </c>
      <c r="N2" s="414" t="s">
        <v>140</v>
      </c>
      <c r="O2" s="414" t="s">
        <v>141</v>
      </c>
      <c r="P2" s="328" t="s">
        <v>206</v>
      </c>
      <c r="Q2" s="13"/>
    </row>
    <row r="3" spans="3:17">
      <c r="C3" s="321" t="s">
        <v>142</v>
      </c>
      <c r="D3" s="378">
        <v>1434.75</v>
      </c>
      <c r="E3" s="378">
        <v>892.375</v>
      </c>
      <c r="F3" s="378">
        <v>720.25</v>
      </c>
      <c r="G3" s="378">
        <v>431.25</v>
      </c>
      <c r="H3" s="378">
        <v>818.5</v>
      </c>
      <c r="I3" s="378">
        <v>456.75</v>
      </c>
      <c r="J3" s="378">
        <v>649</v>
      </c>
      <c r="K3" s="378">
        <v>870</v>
      </c>
      <c r="L3" s="378">
        <v>930</v>
      </c>
      <c r="M3" s="378">
        <v>734.125</v>
      </c>
      <c r="N3" s="378">
        <v>731</v>
      </c>
      <c r="O3" s="379">
        <v>373.375</v>
      </c>
      <c r="P3" s="416">
        <v>9041.375</v>
      </c>
      <c r="Q3" s="327">
        <v>0.29960366541149391</v>
      </c>
    </row>
    <row r="4" spans="3:17">
      <c r="C4" s="322" t="s">
        <v>143</v>
      </c>
      <c r="D4" s="374">
        <v>1096.875</v>
      </c>
      <c r="E4" s="374">
        <v>818.25</v>
      </c>
      <c r="F4" s="374">
        <v>450</v>
      </c>
      <c r="G4" s="374">
        <v>375</v>
      </c>
      <c r="H4" s="374">
        <v>1037.625</v>
      </c>
      <c r="I4" s="374">
        <v>882.375</v>
      </c>
      <c r="J4" s="374">
        <v>535.5</v>
      </c>
      <c r="K4" s="374">
        <v>877.3125</v>
      </c>
      <c r="L4" s="374">
        <v>449.4375</v>
      </c>
      <c r="M4" s="374">
        <v>712.5</v>
      </c>
      <c r="N4" s="374">
        <v>1166.4375</v>
      </c>
      <c r="O4" s="418">
        <v>825</v>
      </c>
      <c r="P4" s="416">
        <v>9226.3125</v>
      </c>
      <c r="Q4" s="327">
        <v>0.30573193161791035</v>
      </c>
    </row>
    <row r="5" spans="3:17">
      <c r="C5" s="322" t="s">
        <v>144</v>
      </c>
      <c r="D5" s="374">
        <v>0</v>
      </c>
      <c r="E5" s="374">
        <v>0</v>
      </c>
      <c r="F5" s="374">
        <v>0</v>
      </c>
      <c r="G5" s="374">
        <v>0</v>
      </c>
      <c r="H5" s="374">
        <v>0</v>
      </c>
      <c r="I5" s="374">
        <v>0</v>
      </c>
      <c r="J5" s="374">
        <v>0</v>
      </c>
      <c r="K5" s="374">
        <v>45</v>
      </c>
      <c r="L5" s="374">
        <v>0</v>
      </c>
      <c r="M5" s="374">
        <v>0</v>
      </c>
      <c r="N5" s="374">
        <v>45</v>
      </c>
      <c r="O5" s="418">
        <v>90</v>
      </c>
      <c r="P5" s="416">
        <v>180</v>
      </c>
      <c r="Q5" s="327">
        <v>5.9646524753224931E-3</v>
      </c>
    </row>
    <row r="6" spans="3:17">
      <c r="C6" s="322" t="s">
        <v>145</v>
      </c>
      <c r="D6" s="374">
        <v>0</v>
      </c>
      <c r="E6" s="374">
        <v>0</v>
      </c>
      <c r="F6" s="374">
        <v>0</v>
      </c>
      <c r="G6" s="374">
        <v>0</v>
      </c>
      <c r="H6" s="374">
        <v>0</v>
      </c>
      <c r="I6" s="374">
        <v>0</v>
      </c>
      <c r="J6" s="374">
        <v>562.5</v>
      </c>
      <c r="K6" s="374">
        <v>793.875</v>
      </c>
      <c r="L6" s="374">
        <v>348.375</v>
      </c>
      <c r="M6" s="374">
        <v>342.75</v>
      </c>
      <c r="N6" s="374">
        <v>1060.6875</v>
      </c>
      <c r="O6" s="418">
        <v>492.74999999999994</v>
      </c>
      <c r="P6" s="416">
        <v>3600.9375</v>
      </c>
      <c r="Q6" s="327">
        <v>0.11932411540475883</v>
      </c>
    </row>
    <row r="7" spans="3:17">
      <c r="C7" s="322" t="s">
        <v>158</v>
      </c>
      <c r="D7" s="374">
        <v>920.7</v>
      </c>
      <c r="E7" s="374">
        <v>796.41</v>
      </c>
      <c r="F7" s="374">
        <v>1102.0500000000002</v>
      </c>
      <c r="G7" s="374">
        <v>412.02</v>
      </c>
      <c r="H7" s="374">
        <v>607.94999999999993</v>
      </c>
      <c r="I7" s="374">
        <v>590.04</v>
      </c>
      <c r="J7" s="374">
        <v>754.65</v>
      </c>
      <c r="K7" s="374">
        <v>695.88</v>
      </c>
      <c r="L7" s="374">
        <v>524.42999999999995</v>
      </c>
      <c r="M7" s="374">
        <v>491.58</v>
      </c>
      <c r="N7" s="374">
        <v>757.8</v>
      </c>
      <c r="O7" s="418">
        <v>475.65000000000003</v>
      </c>
      <c r="P7" s="416">
        <v>8129.16</v>
      </c>
      <c r="Q7" s="327">
        <v>0.26937563509051443</v>
      </c>
    </row>
    <row r="8" spans="3:17" ht="35.25" thickBot="1">
      <c r="C8" s="419" t="s">
        <v>221</v>
      </c>
      <c r="D8" s="415">
        <v>3452.3249999999998</v>
      </c>
      <c r="E8" s="415">
        <v>2507.0349999999999</v>
      </c>
      <c r="F8" s="415">
        <v>2272.3000000000002</v>
      </c>
      <c r="G8" s="415">
        <v>1218.27</v>
      </c>
      <c r="H8" s="415">
        <v>2464.0749999999998</v>
      </c>
      <c r="I8" s="415">
        <v>1929.165</v>
      </c>
      <c r="J8" s="415">
        <v>2501.65</v>
      </c>
      <c r="K8" s="415">
        <v>3282.0675000000001</v>
      </c>
      <c r="L8" s="415">
        <v>2252.2424999999998</v>
      </c>
      <c r="M8" s="415">
        <v>2280.9549999999999</v>
      </c>
      <c r="N8" s="415">
        <v>3760.9250000000002</v>
      </c>
      <c r="O8" s="420">
        <v>2256.7750000000001</v>
      </c>
      <c r="P8" s="417">
        <v>30177.785</v>
      </c>
      <c r="Q8" s="348"/>
    </row>
    <row r="10" spans="3:17">
      <c r="D10" t="s">
        <v>207</v>
      </c>
    </row>
    <row r="11" spans="3:17" ht="30.75" thickBot="1">
      <c r="D11" s="328" t="s">
        <v>130</v>
      </c>
      <c r="E11" s="328" t="s">
        <v>131</v>
      </c>
      <c r="F11" s="328" t="s">
        <v>132</v>
      </c>
      <c r="G11" s="328" t="s">
        <v>133</v>
      </c>
      <c r="H11" s="328" t="s">
        <v>134</v>
      </c>
      <c r="I11" s="328" t="s">
        <v>135</v>
      </c>
      <c r="J11" s="328" t="s">
        <v>136</v>
      </c>
      <c r="K11" s="328" t="s">
        <v>137</v>
      </c>
      <c r="L11" s="328" t="s">
        <v>138</v>
      </c>
      <c r="M11" s="328" t="s">
        <v>139</v>
      </c>
      <c r="N11" s="328" t="s">
        <v>140</v>
      </c>
      <c r="O11" s="328" t="s">
        <v>141</v>
      </c>
      <c r="P11" s="338" t="s">
        <v>206</v>
      </c>
    </row>
    <row r="12" spans="3:17">
      <c r="C12" t="s">
        <v>142</v>
      </c>
      <c r="D12" s="87">
        <v>5739</v>
      </c>
      <c r="E12" s="114">
        <v>3569.5</v>
      </c>
      <c r="F12" s="114">
        <v>2881</v>
      </c>
      <c r="G12" s="114">
        <v>1725</v>
      </c>
      <c r="H12" s="114">
        <v>3274</v>
      </c>
      <c r="I12" s="114">
        <v>1827</v>
      </c>
      <c r="J12" s="114">
        <v>2596</v>
      </c>
      <c r="K12" s="114">
        <v>2623.5</v>
      </c>
      <c r="L12" s="114">
        <v>1757.5</v>
      </c>
      <c r="M12" s="114">
        <v>2936.5</v>
      </c>
      <c r="N12" s="114">
        <v>2924</v>
      </c>
      <c r="O12" s="69">
        <v>1493.5</v>
      </c>
      <c r="P12">
        <f>SUM(D12:O12)</f>
        <v>33346.5</v>
      </c>
    </row>
    <row r="13" spans="3:17">
      <c r="C13" t="s">
        <v>143</v>
      </c>
      <c r="D13" s="90">
        <v>2925</v>
      </c>
      <c r="E13" s="13">
        <v>2182</v>
      </c>
      <c r="F13" s="13">
        <v>1200</v>
      </c>
      <c r="G13" s="13">
        <v>849</v>
      </c>
      <c r="H13" s="13">
        <v>2767</v>
      </c>
      <c r="I13" s="13">
        <v>2353</v>
      </c>
      <c r="J13" s="13">
        <v>1428</v>
      </c>
      <c r="K13" s="13">
        <v>2339.5</v>
      </c>
      <c r="L13" s="13">
        <v>1198.5</v>
      </c>
      <c r="M13" s="13">
        <v>790</v>
      </c>
      <c r="N13" s="13">
        <v>3110.5</v>
      </c>
      <c r="O13" s="8">
        <v>1916</v>
      </c>
      <c r="P13">
        <f t="shared" ref="P13:P16" si="0">SUM(D13:O13)</f>
        <v>23058.5</v>
      </c>
    </row>
    <row r="14" spans="3:17">
      <c r="C14" t="s">
        <v>144</v>
      </c>
      <c r="D14" s="90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141</v>
      </c>
      <c r="L14" s="13">
        <v>0</v>
      </c>
      <c r="M14" s="13">
        <v>0</v>
      </c>
      <c r="N14" s="13">
        <v>141</v>
      </c>
      <c r="O14" s="8">
        <v>180</v>
      </c>
      <c r="P14">
        <f t="shared" si="0"/>
        <v>462</v>
      </c>
    </row>
    <row r="15" spans="3:17">
      <c r="C15" t="s">
        <v>145</v>
      </c>
      <c r="D15" s="90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1500</v>
      </c>
      <c r="K15" s="13">
        <v>2117</v>
      </c>
      <c r="L15" s="13">
        <v>929</v>
      </c>
      <c r="M15" s="13">
        <v>914</v>
      </c>
      <c r="N15" s="13">
        <v>2828.5</v>
      </c>
      <c r="O15" s="8">
        <v>1314</v>
      </c>
      <c r="P15">
        <f t="shared" si="0"/>
        <v>9602.5</v>
      </c>
    </row>
    <row r="16" spans="3:17" ht="15.75" thickBot="1">
      <c r="C16" t="s">
        <v>158</v>
      </c>
      <c r="D16" s="92">
        <v>5115</v>
      </c>
      <c r="E16" s="25">
        <v>4424.5</v>
      </c>
      <c r="F16" s="25">
        <v>6122.5</v>
      </c>
      <c r="G16" s="25">
        <v>2289</v>
      </c>
      <c r="H16" s="25">
        <v>3377.5</v>
      </c>
      <c r="I16" s="25">
        <v>3278</v>
      </c>
      <c r="J16" s="25">
        <v>4192.5</v>
      </c>
      <c r="K16" s="25">
        <v>3866</v>
      </c>
      <c r="L16" s="25">
        <v>2913.5</v>
      </c>
      <c r="M16" s="25">
        <v>2731</v>
      </c>
      <c r="N16" s="25">
        <v>4210</v>
      </c>
      <c r="O16" s="99">
        <v>2642.5</v>
      </c>
      <c r="P16">
        <f t="shared" si="0"/>
        <v>45162</v>
      </c>
    </row>
    <row r="17" spans="2:15">
      <c r="C17" t="s">
        <v>156</v>
      </c>
      <c r="D17">
        <v>19373</v>
      </c>
      <c r="E17">
        <v>16221</v>
      </c>
      <c r="F17">
        <v>14605.5</v>
      </c>
      <c r="G17">
        <v>6807</v>
      </c>
      <c r="H17">
        <v>15426.5</v>
      </c>
      <c r="I17">
        <v>9940</v>
      </c>
      <c r="J17">
        <v>11306.5</v>
      </c>
      <c r="K17">
        <v>12843</v>
      </c>
      <c r="L17">
        <v>7915</v>
      </c>
      <c r="M17">
        <v>9197</v>
      </c>
      <c r="N17">
        <v>16825.5</v>
      </c>
      <c r="O17">
        <v>9404.5</v>
      </c>
    </row>
    <row r="22" spans="2:15" ht="15.75" thickBot="1">
      <c r="D22" t="s">
        <v>205</v>
      </c>
    </row>
    <row r="23" spans="2:15" ht="30">
      <c r="D23" s="342" t="s">
        <v>130</v>
      </c>
      <c r="E23" s="343" t="s">
        <v>131</v>
      </c>
      <c r="F23" s="343" t="s">
        <v>132</v>
      </c>
      <c r="G23" s="343" t="s">
        <v>133</v>
      </c>
      <c r="H23" s="343" t="s">
        <v>134</v>
      </c>
      <c r="I23" s="343" t="s">
        <v>135</v>
      </c>
      <c r="J23" s="343" t="s">
        <v>136</v>
      </c>
      <c r="K23" s="343" t="s">
        <v>137</v>
      </c>
      <c r="L23" s="343" t="s">
        <v>138</v>
      </c>
      <c r="M23" s="343" t="s">
        <v>139</v>
      </c>
      <c r="N23" s="343" t="s">
        <v>140</v>
      </c>
      <c r="O23" s="344" t="s">
        <v>141</v>
      </c>
    </row>
    <row r="24" spans="2:15">
      <c r="B24">
        <v>0.15</v>
      </c>
      <c r="C24" t="s">
        <v>142</v>
      </c>
      <c r="D24" s="332">
        <f>$B$24*D12</f>
        <v>860.85</v>
      </c>
      <c r="E24" s="333">
        <f t="shared" ref="E24:O24" si="1">$B$24*E12</f>
        <v>535.42499999999995</v>
      </c>
      <c r="F24" s="333">
        <f t="shared" si="1"/>
        <v>432.15</v>
      </c>
      <c r="G24" s="333">
        <f t="shared" si="1"/>
        <v>258.75</v>
      </c>
      <c r="H24" s="333">
        <f t="shared" si="1"/>
        <v>491.09999999999997</v>
      </c>
      <c r="I24" s="333">
        <f t="shared" si="1"/>
        <v>274.05</v>
      </c>
      <c r="J24" s="333">
        <f t="shared" si="1"/>
        <v>389.4</v>
      </c>
      <c r="K24" s="333">
        <f t="shared" si="1"/>
        <v>393.52499999999998</v>
      </c>
      <c r="L24" s="333">
        <f t="shared" si="1"/>
        <v>263.625</v>
      </c>
      <c r="M24" s="333">
        <f t="shared" si="1"/>
        <v>440.47499999999997</v>
      </c>
      <c r="N24" s="333">
        <f t="shared" si="1"/>
        <v>438.59999999999997</v>
      </c>
      <c r="O24" s="334">
        <f t="shared" si="1"/>
        <v>224.02500000000001</v>
      </c>
    </row>
    <row r="25" spans="2:15">
      <c r="B25">
        <v>0.2</v>
      </c>
      <c r="C25" t="s">
        <v>143</v>
      </c>
      <c r="D25" s="332">
        <f>$B$25*D13</f>
        <v>585</v>
      </c>
      <c r="E25" s="333">
        <f t="shared" ref="E25:O25" si="2">$B$25*E13</f>
        <v>436.40000000000003</v>
      </c>
      <c r="F25" s="333">
        <f t="shared" si="2"/>
        <v>240</v>
      </c>
      <c r="G25" s="333">
        <f t="shared" si="2"/>
        <v>169.8</v>
      </c>
      <c r="H25" s="333">
        <f t="shared" si="2"/>
        <v>553.4</v>
      </c>
      <c r="I25" s="333">
        <f t="shared" si="2"/>
        <v>470.6</v>
      </c>
      <c r="J25" s="333">
        <f t="shared" si="2"/>
        <v>285.60000000000002</v>
      </c>
      <c r="K25" s="333">
        <f t="shared" si="2"/>
        <v>467.90000000000003</v>
      </c>
      <c r="L25" s="333">
        <f t="shared" si="2"/>
        <v>239.70000000000002</v>
      </c>
      <c r="M25" s="333">
        <f t="shared" si="2"/>
        <v>158</v>
      </c>
      <c r="N25" s="333">
        <f t="shared" si="2"/>
        <v>622.1</v>
      </c>
      <c r="O25" s="334">
        <f t="shared" si="2"/>
        <v>383.20000000000005</v>
      </c>
    </row>
    <row r="26" spans="2:15">
      <c r="B26">
        <v>0.15</v>
      </c>
      <c r="C26" t="s">
        <v>144</v>
      </c>
      <c r="D26" s="332">
        <f>$B$26*D14</f>
        <v>0</v>
      </c>
      <c r="E26" s="333">
        <f t="shared" ref="E26:O26" si="3">$B$26*E14</f>
        <v>0</v>
      </c>
      <c r="F26" s="333">
        <f t="shared" si="3"/>
        <v>0</v>
      </c>
      <c r="G26" s="333">
        <f t="shared" si="3"/>
        <v>0</v>
      </c>
      <c r="H26" s="333">
        <f t="shared" si="3"/>
        <v>0</v>
      </c>
      <c r="I26" s="333">
        <f t="shared" si="3"/>
        <v>0</v>
      </c>
      <c r="J26" s="333">
        <f t="shared" si="3"/>
        <v>0</v>
      </c>
      <c r="K26" s="333">
        <f t="shared" si="3"/>
        <v>21.15</v>
      </c>
      <c r="L26" s="333">
        <f t="shared" si="3"/>
        <v>0</v>
      </c>
      <c r="M26" s="333">
        <f t="shared" si="3"/>
        <v>0</v>
      </c>
      <c r="N26" s="333">
        <f t="shared" si="3"/>
        <v>21.15</v>
      </c>
      <c r="O26" s="334">
        <f t="shared" si="3"/>
        <v>27</v>
      </c>
    </row>
    <row r="27" spans="2:15">
      <c r="B27">
        <v>0.1</v>
      </c>
      <c r="C27" t="s">
        <v>145</v>
      </c>
      <c r="D27" s="332">
        <f>$B$27*D15</f>
        <v>0</v>
      </c>
      <c r="E27" s="333">
        <f t="shared" ref="E27:O27" si="4">$B$27*E15</f>
        <v>0</v>
      </c>
      <c r="F27" s="333">
        <f t="shared" si="4"/>
        <v>0</v>
      </c>
      <c r="G27" s="333">
        <f t="shared" si="4"/>
        <v>0</v>
      </c>
      <c r="H27" s="333">
        <f t="shared" si="4"/>
        <v>0</v>
      </c>
      <c r="I27" s="333">
        <f t="shared" si="4"/>
        <v>0</v>
      </c>
      <c r="J27" s="333">
        <f t="shared" si="4"/>
        <v>150</v>
      </c>
      <c r="K27" s="333">
        <f t="shared" si="4"/>
        <v>211.70000000000002</v>
      </c>
      <c r="L27" s="333">
        <f t="shared" si="4"/>
        <v>92.9</v>
      </c>
      <c r="M27" s="333">
        <f t="shared" si="4"/>
        <v>91.4</v>
      </c>
      <c r="N27" s="333">
        <f t="shared" si="4"/>
        <v>282.85000000000002</v>
      </c>
      <c r="O27" s="334">
        <f t="shared" si="4"/>
        <v>131.4</v>
      </c>
    </row>
    <row r="28" spans="2:15" ht="15.75" thickBot="1">
      <c r="B28">
        <v>0.05</v>
      </c>
      <c r="C28" t="s">
        <v>158</v>
      </c>
      <c r="D28" s="335">
        <f>$B$28*D16</f>
        <v>255.75</v>
      </c>
      <c r="E28" s="336">
        <f t="shared" ref="E28:N28" si="5">$B$28*E16</f>
        <v>221.22500000000002</v>
      </c>
      <c r="F28" s="336">
        <f t="shared" si="5"/>
        <v>306.125</v>
      </c>
      <c r="G28" s="336">
        <f t="shared" si="5"/>
        <v>114.45</v>
      </c>
      <c r="H28" s="336">
        <f t="shared" si="5"/>
        <v>168.875</v>
      </c>
      <c r="I28" s="336">
        <f t="shared" si="5"/>
        <v>163.9</v>
      </c>
      <c r="J28" s="336">
        <f t="shared" si="5"/>
        <v>209.625</v>
      </c>
      <c r="K28" s="336">
        <f t="shared" si="5"/>
        <v>193.3</v>
      </c>
      <c r="L28" s="336">
        <f t="shared" si="5"/>
        <v>145.67500000000001</v>
      </c>
      <c r="M28" s="336">
        <f t="shared" si="5"/>
        <v>136.55000000000001</v>
      </c>
      <c r="N28" s="336">
        <f t="shared" si="5"/>
        <v>210.5</v>
      </c>
      <c r="O28" s="337">
        <f>$B$28*O16</f>
        <v>132.125</v>
      </c>
    </row>
    <row r="29" spans="2:15" ht="45">
      <c r="C29" s="80" t="s">
        <v>222</v>
      </c>
      <c r="D29" s="359">
        <f>SUM(D24:D28)</f>
        <v>1701.6</v>
      </c>
      <c r="E29" s="359">
        <f t="shared" ref="E29:O29" si="6">SUM(E24:E28)</f>
        <v>1193.0500000000002</v>
      </c>
      <c r="F29" s="359">
        <f t="shared" si="6"/>
        <v>978.27499999999998</v>
      </c>
      <c r="G29" s="359">
        <f t="shared" si="6"/>
        <v>543</v>
      </c>
      <c r="H29" s="359">
        <f t="shared" si="6"/>
        <v>1213.375</v>
      </c>
      <c r="I29" s="359">
        <f t="shared" si="6"/>
        <v>908.55000000000007</v>
      </c>
      <c r="J29" s="359">
        <f t="shared" si="6"/>
        <v>1034.625</v>
      </c>
      <c r="K29" s="359">
        <f t="shared" si="6"/>
        <v>1287.5749999999998</v>
      </c>
      <c r="L29" s="359">
        <f t="shared" si="6"/>
        <v>741.90000000000009</v>
      </c>
      <c r="M29" s="359">
        <f t="shared" si="6"/>
        <v>826.42499999999995</v>
      </c>
      <c r="N29" s="359">
        <f t="shared" si="6"/>
        <v>1575.2000000000003</v>
      </c>
      <c r="O29" s="359">
        <f t="shared" si="6"/>
        <v>897.75</v>
      </c>
    </row>
    <row r="30" spans="2:15" s="365" customFormat="1">
      <c r="D30" s="369"/>
      <c r="E30" s="369"/>
      <c r="F30" s="369"/>
      <c r="G30" s="369"/>
      <c r="H30" s="369"/>
      <c r="I30" s="369"/>
      <c r="J30" s="369"/>
      <c r="K30" s="369"/>
      <c r="L30" s="369"/>
      <c r="M30" s="369"/>
      <c r="N30" s="369"/>
      <c r="O30" s="369"/>
    </row>
    <row r="31" spans="2:15" s="365" customFormat="1">
      <c r="D31" s="369"/>
      <c r="E31" s="369"/>
      <c r="F31" s="369"/>
      <c r="G31" s="369"/>
      <c r="H31" s="369"/>
      <c r="I31" s="369"/>
      <c r="J31" s="369"/>
      <c r="K31" s="369"/>
      <c r="L31" s="369"/>
      <c r="M31" s="369"/>
      <c r="N31" s="369"/>
      <c r="O31" s="369"/>
    </row>
    <row r="32" spans="2:15" s="365" customFormat="1">
      <c r="D32" s="369"/>
      <c r="E32" s="369"/>
      <c r="F32" s="369"/>
      <c r="G32" s="369"/>
      <c r="H32" s="369"/>
      <c r="I32" s="369"/>
      <c r="J32" s="369"/>
      <c r="K32" s="369"/>
      <c r="L32" s="369"/>
      <c r="M32" s="369"/>
      <c r="N32" s="369"/>
      <c r="O32" s="369"/>
    </row>
    <row r="33" spans="3:15" s="365" customFormat="1">
      <c r="D33" s="369"/>
      <c r="E33" s="369"/>
      <c r="F33" s="369"/>
      <c r="G33" s="369"/>
      <c r="H33" s="369"/>
      <c r="I33" s="369"/>
      <c r="J33" s="369"/>
      <c r="K33" s="369"/>
      <c r="L33" s="369"/>
      <c r="M33" s="369"/>
      <c r="N33" s="369"/>
      <c r="O33" s="369"/>
    </row>
    <row r="34" spans="3:15">
      <c r="D34" t="s">
        <v>208</v>
      </c>
    </row>
    <row r="35" spans="3:15" ht="30">
      <c r="D35" s="328" t="s">
        <v>130</v>
      </c>
      <c r="E35" s="328" t="s">
        <v>131</v>
      </c>
      <c r="F35" s="328" t="s">
        <v>132</v>
      </c>
      <c r="G35" s="328" t="s">
        <v>133</v>
      </c>
      <c r="H35" s="328" t="s">
        <v>134</v>
      </c>
      <c r="I35" s="328" t="s">
        <v>135</v>
      </c>
      <c r="J35" s="328" t="s">
        <v>136</v>
      </c>
      <c r="K35" s="328" t="s">
        <v>137</v>
      </c>
      <c r="L35" s="328" t="s">
        <v>138</v>
      </c>
      <c r="M35" s="328" t="s">
        <v>139</v>
      </c>
      <c r="N35" s="328" t="s">
        <v>140</v>
      </c>
      <c r="O35" s="328" t="s">
        <v>141</v>
      </c>
    </row>
    <row r="36" spans="3:15" ht="30">
      <c r="C36" s="340" t="s">
        <v>209</v>
      </c>
      <c r="D36" s="372">
        <v>10492.27938</v>
      </c>
      <c r="E36" s="373">
        <v>9672.1790799999999</v>
      </c>
      <c r="F36" s="372">
        <v>8171.715799999999</v>
      </c>
      <c r="G36" s="372">
        <v>2961.0557999999996</v>
      </c>
      <c r="H36" s="372">
        <v>4650.9505600000011</v>
      </c>
      <c r="I36" s="372">
        <v>6272.1214399999999</v>
      </c>
      <c r="J36" s="372">
        <v>6092.1818872000003</v>
      </c>
      <c r="K36" s="372">
        <v>5931.0909599999995</v>
      </c>
      <c r="L36" s="372">
        <v>5367.5792000000001</v>
      </c>
      <c r="M36" s="372">
        <v>6774.9827599999999</v>
      </c>
      <c r="N36" s="341">
        <v>7339.3</v>
      </c>
      <c r="O36" s="341">
        <v>7756.6</v>
      </c>
    </row>
    <row r="38" spans="3:15" ht="15.75" thickBot="1">
      <c r="D38" t="s">
        <v>212</v>
      </c>
    </row>
    <row r="39" spans="3:15" ht="30.75" thickBot="1">
      <c r="D39" s="404" t="s">
        <v>130</v>
      </c>
      <c r="E39" s="405" t="s">
        <v>131</v>
      </c>
      <c r="F39" s="405" t="s">
        <v>132</v>
      </c>
      <c r="G39" s="405" t="s">
        <v>133</v>
      </c>
      <c r="H39" s="405" t="s">
        <v>134</v>
      </c>
      <c r="I39" s="405" t="s">
        <v>135</v>
      </c>
      <c r="J39" s="405" t="s">
        <v>136</v>
      </c>
      <c r="K39" s="405" t="s">
        <v>137</v>
      </c>
      <c r="L39" s="405" t="s">
        <v>138</v>
      </c>
      <c r="M39" s="405" t="s">
        <v>139</v>
      </c>
      <c r="N39" s="405" t="s">
        <v>140</v>
      </c>
      <c r="O39" s="406" t="s">
        <v>141</v>
      </c>
    </row>
    <row r="40" spans="3:15">
      <c r="C40" s="400" t="s">
        <v>142</v>
      </c>
      <c r="D40" s="329">
        <v>0</v>
      </c>
      <c r="E40" s="330">
        <v>0</v>
      </c>
      <c r="F40" s="330">
        <v>0</v>
      </c>
      <c r="G40" s="330">
        <v>0</v>
      </c>
      <c r="H40" s="330">
        <v>0</v>
      </c>
      <c r="I40" s="330">
        <v>0</v>
      </c>
      <c r="J40" s="330">
        <v>0</v>
      </c>
      <c r="K40" s="330">
        <v>0</v>
      </c>
      <c r="L40" s="330">
        <v>0</v>
      </c>
      <c r="M40" s="330">
        <v>0</v>
      </c>
      <c r="N40" s="330">
        <v>0</v>
      </c>
      <c r="O40" s="331">
        <v>0</v>
      </c>
    </row>
    <row r="41" spans="3:15">
      <c r="C41" s="401" t="s">
        <v>143</v>
      </c>
      <c r="D41" s="332">
        <v>0</v>
      </c>
      <c r="E41" s="333">
        <v>0</v>
      </c>
      <c r="F41" s="333">
        <v>0</v>
      </c>
      <c r="G41" s="333">
        <v>0</v>
      </c>
      <c r="H41" s="333">
        <v>0</v>
      </c>
      <c r="I41" s="333">
        <v>0</v>
      </c>
      <c r="J41" s="333">
        <v>0</v>
      </c>
      <c r="K41" s="333">
        <v>0</v>
      </c>
      <c r="L41" s="333">
        <v>0</v>
      </c>
      <c r="M41" s="333">
        <v>0</v>
      </c>
      <c r="N41" s="333">
        <v>0</v>
      </c>
      <c r="O41" s="334">
        <v>0</v>
      </c>
    </row>
    <row r="42" spans="3:15">
      <c r="C42" s="401" t="s">
        <v>144</v>
      </c>
      <c r="D42" s="332">
        <v>0</v>
      </c>
      <c r="E42" s="333">
        <v>0</v>
      </c>
      <c r="F42" s="333">
        <v>0</v>
      </c>
      <c r="G42" s="333">
        <v>0</v>
      </c>
      <c r="H42" s="333">
        <v>0</v>
      </c>
      <c r="I42" s="333">
        <v>0</v>
      </c>
      <c r="J42" s="333">
        <v>0</v>
      </c>
      <c r="K42" s="333">
        <v>10</v>
      </c>
      <c r="L42" s="333">
        <v>0</v>
      </c>
      <c r="M42" s="333">
        <v>0</v>
      </c>
      <c r="N42" s="333">
        <v>14</v>
      </c>
      <c r="O42" s="334">
        <v>19</v>
      </c>
    </row>
    <row r="43" spans="3:15">
      <c r="C43" s="401" t="s">
        <v>145</v>
      </c>
      <c r="D43" s="332">
        <v>0</v>
      </c>
      <c r="E43" s="333">
        <v>0</v>
      </c>
      <c r="F43" s="333">
        <v>0</v>
      </c>
      <c r="G43" s="333">
        <v>0</v>
      </c>
      <c r="H43" s="333">
        <v>0</v>
      </c>
      <c r="I43" s="333">
        <v>0</v>
      </c>
      <c r="J43" s="333">
        <v>28</v>
      </c>
      <c r="K43" s="333">
        <v>30</v>
      </c>
      <c r="L43" s="333">
        <v>29</v>
      </c>
      <c r="M43" s="333">
        <v>32</v>
      </c>
      <c r="N43" s="333">
        <v>30</v>
      </c>
      <c r="O43" s="334">
        <v>29</v>
      </c>
    </row>
    <row r="44" spans="3:15" ht="15.75" thickBot="1">
      <c r="C44" s="402" t="s">
        <v>158</v>
      </c>
      <c r="D44" s="335">
        <v>320</v>
      </c>
      <c r="E44" s="336">
        <v>300</v>
      </c>
      <c r="F44" s="336">
        <v>290</v>
      </c>
      <c r="G44" s="336">
        <v>350</v>
      </c>
      <c r="H44" s="336">
        <v>342</v>
      </c>
      <c r="I44" s="336">
        <v>370</v>
      </c>
      <c r="J44" s="336">
        <v>354</v>
      </c>
      <c r="K44" s="336">
        <v>327</v>
      </c>
      <c r="L44" s="336">
        <v>340</v>
      </c>
      <c r="M44" s="336">
        <v>340</v>
      </c>
      <c r="N44" s="336">
        <v>350</v>
      </c>
      <c r="O44" s="337">
        <v>364</v>
      </c>
    </row>
    <row r="45" spans="3:15" ht="15.75" thickBot="1">
      <c r="C45" s="403" t="s">
        <v>213</v>
      </c>
      <c r="D45" s="407">
        <f>SUM(D40:D44)</f>
        <v>320</v>
      </c>
      <c r="E45" s="408">
        <f t="shared" ref="E45:O45" si="7">SUM(E40:E44)</f>
        <v>300</v>
      </c>
      <c r="F45" s="408">
        <f t="shared" si="7"/>
        <v>290</v>
      </c>
      <c r="G45" s="408">
        <f t="shared" si="7"/>
        <v>350</v>
      </c>
      <c r="H45" s="408">
        <f t="shared" si="7"/>
        <v>342</v>
      </c>
      <c r="I45" s="408">
        <f t="shared" si="7"/>
        <v>370</v>
      </c>
      <c r="J45" s="408">
        <f t="shared" si="7"/>
        <v>382</v>
      </c>
      <c r="K45" s="408">
        <f t="shared" si="7"/>
        <v>367</v>
      </c>
      <c r="L45" s="408">
        <f t="shared" si="7"/>
        <v>369</v>
      </c>
      <c r="M45" s="408">
        <f t="shared" si="7"/>
        <v>372</v>
      </c>
      <c r="N45" s="408">
        <f t="shared" si="7"/>
        <v>394</v>
      </c>
      <c r="O45" s="409">
        <f t="shared" si="7"/>
        <v>412</v>
      </c>
    </row>
    <row r="46" spans="3:15" s="365" customFormat="1" ht="15.75" thickBot="1">
      <c r="C46" s="350"/>
      <c r="D46" s="370"/>
      <c r="E46" s="370"/>
      <c r="F46" s="370"/>
      <c r="G46" s="370"/>
      <c r="H46" s="370"/>
      <c r="I46" s="370"/>
      <c r="J46" s="370"/>
      <c r="K46" s="370"/>
      <c r="L46" s="370"/>
      <c r="M46" s="370"/>
      <c r="N46" s="370"/>
      <c r="O46" s="370"/>
    </row>
    <row r="47" spans="3:15" s="365" customFormat="1" ht="30.75" thickBot="1">
      <c r="C47" s="350"/>
      <c r="D47" s="345" t="s">
        <v>130</v>
      </c>
      <c r="E47" s="346" t="s">
        <v>131</v>
      </c>
      <c r="F47" s="346" t="s">
        <v>132</v>
      </c>
      <c r="G47" s="346" t="s">
        <v>133</v>
      </c>
      <c r="H47" s="346" t="s">
        <v>134</v>
      </c>
      <c r="I47" s="346" t="s">
        <v>135</v>
      </c>
      <c r="J47" s="346" t="s">
        <v>136</v>
      </c>
      <c r="K47" s="346" t="s">
        <v>137</v>
      </c>
      <c r="L47" s="346" t="s">
        <v>138</v>
      </c>
      <c r="M47" s="346" t="s">
        <v>139</v>
      </c>
      <c r="N47" s="346" t="s">
        <v>140</v>
      </c>
      <c r="O47" s="347" t="s">
        <v>141</v>
      </c>
    </row>
    <row r="48" spans="3:15" ht="75.75" thickBot="1">
      <c r="C48" s="371" t="s">
        <v>227</v>
      </c>
      <c r="D48" s="360">
        <f>D36+D45</f>
        <v>10812.27938</v>
      </c>
      <c r="E48" s="361">
        <f t="shared" ref="E48:O48" si="8">E36+E45</f>
        <v>9972.1790799999999</v>
      </c>
      <c r="F48" s="361">
        <f t="shared" si="8"/>
        <v>8461.7157999999981</v>
      </c>
      <c r="G48" s="361">
        <f t="shared" si="8"/>
        <v>3311.0557999999996</v>
      </c>
      <c r="H48" s="361">
        <f t="shared" si="8"/>
        <v>4992.9505600000011</v>
      </c>
      <c r="I48" s="361">
        <f t="shared" si="8"/>
        <v>6642.1214399999999</v>
      </c>
      <c r="J48" s="361">
        <f t="shared" si="8"/>
        <v>6474.1818872000003</v>
      </c>
      <c r="K48" s="361">
        <f t="shared" si="8"/>
        <v>6298.0909599999995</v>
      </c>
      <c r="L48" s="361">
        <f t="shared" si="8"/>
        <v>5736.5792000000001</v>
      </c>
      <c r="M48" s="361">
        <f t="shared" si="8"/>
        <v>7146.9827599999999</v>
      </c>
      <c r="N48" s="361">
        <f t="shared" si="8"/>
        <v>7733.3</v>
      </c>
      <c r="O48" s="362">
        <f t="shared" si="8"/>
        <v>8168.6</v>
      </c>
    </row>
    <row r="49" spans="3:15">
      <c r="C49" s="100"/>
      <c r="D49" s="339"/>
      <c r="E49" s="339"/>
      <c r="F49" s="339"/>
      <c r="G49" s="339"/>
      <c r="H49" s="339"/>
      <c r="I49" s="339"/>
      <c r="J49" s="339"/>
      <c r="K49" s="339"/>
      <c r="L49" s="339"/>
      <c r="M49" s="339"/>
      <c r="N49" s="339"/>
      <c r="O49" s="339"/>
    </row>
    <row r="50" spans="3:15">
      <c r="C50" s="100"/>
      <c r="D50" s="339"/>
      <c r="E50" s="339"/>
      <c r="F50" s="339"/>
      <c r="G50" s="339"/>
      <c r="H50" s="339"/>
      <c r="I50" s="339"/>
      <c r="J50" s="339"/>
      <c r="K50" s="339"/>
      <c r="L50" s="339"/>
      <c r="M50" s="339"/>
      <c r="N50" s="339"/>
      <c r="O50" s="339"/>
    </row>
    <row r="51" spans="3:15">
      <c r="C51" s="100"/>
      <c r="D51" s="339"/>
      <c r="E51" s="339"/>
      <c r="F51" s="339"/>
      <c r="G51" s="339"/>
      <c r="H51" s="339"/>
      <c r="I51" s="339"/>
      <c r="J51" s="339"/>
      <c r="K51" s="339"/>
      <c r="L51" s="339"/>
      <c r="M51" s="339"/>
      <c r="N51" s="339"/>
      <c r="O51" s="339"/>
    </row>
    <row r="52" spans="3:15">
      <c r="C52" s="100"/>
      <c r="D52" s="339"/>
      <c r="E52" s="339"/>
      <c r="F52" s="339"/>
      <c r="G52" s="339"/>
      <c r="H52" s="339"/>
      <c r="I52" s="339"/>
      <c r="J52" s="339"/>
      <c r="K52" s="339"/>
      <c r="L52" s="339"/>
      <c r="M52" s="339"/>
      <c r="N52" s="339"/>
      <c r="O52" s="339"/>
    </row>
    <row r="53" spans="3:15">
      <c r="C53" s="350"/>
      <c r="D53" s="339"/>
      <c r="E53" s="339"/>
      <c r="F53" s="339"/>
      <c r="G53" s="339"/>
      <c r="H53" s="339"/>
      <c r="I53" s="339"/>
      <c r="J53" s="339"/>
      <c r="K53" s="339"/>
      <c r="L53" s="339"/>
      <c r="M53" s="339"/>
      <c r="N53" s="339"/>
      <c r="O53" s="339"/>
    </row>
    <row r="54" spans="3:15">
      <c r="D54" t="s">
        <v>210</v>
      </c>
    </row>
    <row r="55" spans="3:15" ht="30">
      <c r="D55" s="414" t="s">
        <v>130</v>
      </c>
      <c r="E55" s="414" t="s">
        <v>131</v>
      </c>
      <c r="F55" s="414" t="s">
        <v>132</v>
      </c>
      <c r="G55" s="414" t="s">
        <v>133</v>
      </c>
      <c r="H55" s="414" t="s">
        <v>134</v>
      </c>
      <c r="I55" s="414" t="s">
        <v>135</v>
      </c>
      <c r="J55" s="414" t="s">
        <v>136</v>
      </c>
      <c r="K55" s="414" t="s">
        <v>137</v>
      </c>
      <c r="L55" s="414" t="s">
        <v>138</v>
      </c>
      <c r="M55" s="414" t="s">
        <v>139</v>
      </c>
      <c r="N55" s="414" t="s">
        <v>140</v>
      </c>
      <c r="O55" s="414" t="s">
        <v>141</v>
      </c>
    </row>
    <row r="56" spans="3:15" ht="30">
      <c r="C56" s="423" t="s">
        <v>211</v>
      </c>
      <c r="D56" s="372">
        <v>1596</v>
      </c>
      <c r="E56" s="372">
        <v>1596</v>
      </c>
      <c r="F56" s="372">
        <v>1500</v>
      </c>
      <c r="G56" s="372">
        <v>1500</v>
      </c>
      <c r="H56" s="372">
        <v>1452</v>
      </c>
      <c r="I56" s="372">
        <v>1380</v>
      </c>
      <c r="J56" s="372">
        <v>1380</v>
      </c>
      <c r="K56" s="372">
        <v>1320</v>
      </c>
      <c r="L56" s="372">
        <v>1320</v>
      </c>
      <c r="M56" s="372">
        <v>1584</v>
      </c>
      <c r="N56" s="372">
        <v>1734</v>
      </c>
      <c r="O56" s="372">
        <v>1872</v>
      </c>
    </row>
    <row r="62" spans="3:15">
      <c r="D62" t="s">
        <v>214</v>
      </c>
    </row>
    <row r="63" spans="3:15" ht="30.75" thickBot="1">
      <c r="D63" s="328" t="s">
        <v>130</v>
      </c>
      <c r="E63" s="328" t="s">
        <v>131</v>
      </c>
      <c r="F63" s="328" t="s">
        <v>132</v>
      </c>
      <c r="G63" s="328" t="s">
        <v>133</v>
      </c>
      <c r="H63" s="328" t="s">
        <v>134</v>
      </c>
      <c r="I63" s="328" t="s">
        <v>135</v>
      </c>
      <c r="J63" s="328" t="s">
        <v>136</v>
      </c>
      <c r="K63" s="328" t="s">
        <v>137</v>
      </c>
      <c r="L63" s="328" t="s">
        <v>138</v>
      </c>
      <c r="M63" s="328" t="s">
        <v>139</v>
      </c>
      <c r="N63" s="328" t="s">
        <v>140</v>
      </c>
      <c r="O63" s="328" t="s">
        <v>141</v>
      </c>
    </row>
    <row r="64" spans="3:15">
      <c r="C64" s="355" t="s">
        <v>142</v>
      </c>
      <c r="D64" s="329">
        <v>1036.5</v>
      </c>
      <c r="E64" s="330">
        <v>796.5</v>
      </c>
      <c r="F64" s="330">
        <v>802.5</v>
      </c>
      <c r="G64" s="330">
        <v>516</v>
      </c>
      <c r="H64" s="330">
        <v>553.5</v>
      </c>
      <c r="I64" s="330">
        <v>1167</v>
      </c>
      <c r="J64" s="330">
        <v>1167</v>
      </c>
      <c r="K64" s="330">
        <v>633</v>
      </c>
      <c r="L64" s="330">
        <v>756</v>
      </c>
      <c r="M64" s="330">
        <v>909</v>
      </c>
      <c r="N64" s="330">
        <v>759</v>
      </c>
      <c r="O64" s="331">
        <v>744</v>
      </c>
    </row>
    <row r="65" spans="3:15">
      <c r="C65" s="355" t="s">
        <v>143</v>
      </c>
      <c r="D65" s="332">
        <v>516</v>
      </c>
      <c r="E65" s="333">
        <v>375</v>
      </c>
      <c r="F65" s="333">
        <v>615</v>
      </c>
      <c r="G65" s="333">
        <v>102</v>
      </c>
      <c r="H65" s="333">
        <v>441</v>
      </c>
      <c r="I65" s="333">
        <v>816</v>
      </c>
      <c r="J65" s="333">
        <v>792</v>
      </c>
      <c r="K65" s="333">
        <v>780</v>
      </c>
      <c r="L65" s="333">
        <v>825</v>
      </c>
      <c r="M65" s="333">
        <v>300</v>
      </c>
      <c r="N65" s="333">
        <v>693</v>
      </c>
      <c r="O65" s="334">
        <v>873</v>
      </c>
    </row>
    <row r="66" spans="3:15">
      <c r="C66" s="355" t="s">
        <v>144</v>
      </c>
      <c r="D66" s="332">
        <v>0</v>
      </c>
      <c r="E66" s="333">
        <v>0</v>
      </c>
      <c r="F66" s="333">
        <v>0</v>
      </c>
      <c r="G66" s="333">
        <v>0</v>
      </c>
      <c r="H66" s="333">
        <v>0</v>
      </c>
      <c r="I66" s="333">
        <v>0</v>
      </c>
      <c r="J66" s="333">
        <v>0</v>
      </c>
      <c r="K66" s="333">
        <v>133.5</v>
      </c>
      <c r="L66" s="333">
        <v>0</v>
      </c>
      <c r="M66" s="333">
        <v>0</v>
      </c>
      <c r="N66" s="333">
        <v>135</v>
      </c>
      <c r="O66" s="334">
        <v>346.5</v>
      </c>
    </row>
    <row r="67" spans="3:15">
      <c r="C67" s="355" t="s">
        <v>145</v>
      </c>
      <c r="D67" s="332">
        <v>0</v>
      </c>
      <c r="E67" s="333">
        <v>0</v>
      </c>
      <c r="F67" s="333">
        <v>0</v>
      </c>
      <c r="G67" s="333">
        <v>0</v>
      </c>
      <c r="H67" s="333">
        <v>0</v>
      </c>
      <c r="I67" s="333">
        <v>0</v>
      </c>
      <c r="J67" s="333">
        <v>840</v>
      </c>
      <c r="K67" s="333">
        <v>1054.5</v>
      </c>
      <c r="L67" s="333">
        <v>450</v>
      </c>
      <c r="M67" s="333">
        <v>930</v>
      </c>
      <c r="N67" s="333">
        <v>824.09999999999991</v>
      </c>
      <c r="O67" s="334">
        <v>541.5</v>
      </c>
    </row>
    <row r="68" spans="3:15">
      <c r="C68" s="355" t="s">
        <v>158</v>
      </c>
      <c r="D68" s="332">
        <v>1575</v>
      </c>
      <c r="E68" s="333">
        <v>1059</v>
      </c>
      <c r="F68" s="333">
        <v>1401</v>
      </c>
      <c r="G68" s="333">
        <v>595.5</v>
      </c>
      <c r="H68" s="333">
        <v>505.5</v>
      </c>
      <c r="I68" s="333">
        <v>1369.5</v>
      </c>
      <c r="J68" s="333">
        <v>1113</v>
      </c>
      <c r="K68" s="333">
        <v>1240.5</v>
      </c>
      <c r="L68" s="333">
        <v>852</v>
      </c>
      <c r="M68" s="333">
        <v>1206</v>
      </c>
      <c r="N68" s="333">
        <v>951</v>
      </c>
      <c r="O68" s="334">
        <v>1426.5</v>
      </c>
    </row>
    <row r="69" spans="3:15" ht="15.75" thickBot="1">
      <c r="C69" s="355" t="s">
        <v>206</v>
      </c>
      <c r="D69" s="356">
        <v>3127.5</v>
      </c>
      <c r="E69" s="357">
        <v>2230.5</v>
      </c>
      <c r="F69" s="357">
        <v>2818.5</v>
      </c>
      <c r="G69" s="357">
        <v>1213.5</v>
      </c>
      <c r="H69" s="357">
        <v>1500</v>
      </c>
      <c r="I69" s="357">
        <v>3352.5</v>
      </c>
      <c r="J69" s="357">
        <v>3912</v>
      </c>
      <c r="K69" s="357">
        <v>3841.5</v>
      </c>
      <c r="L69" s="357">
        <v>2883</v>
      </c>
      <c r="M69" s="357">
        <v>3345</v>
      </c>
      <c r="N69" s="357">
        <v>3362.1</v>
      </c>
      <c r="O69" s="358">
        <v>3931.5</v>
      </c>
    </row>
    <row r="71" spans="3:15">
      <c r="C71" s="351"/>
      <c r="D71" t="s">
        <v>215</v>
      </c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</row>
    <row r="72" spans="3:15" ht="15.75" thickBot="1">
      <c r="C72" s="104"/>
      <c r="D72" s="352"/>
      <c r="E72" s="352"/>
      <c r="F72" s="352"/>
      <c r="G72" s="352"/>
      <c r="H72" s="352"/>
      <c r="I72" s="352"/>
      <c r="J72" s="352"/>
      <c r="K72" s="352"/>
      <c r="L72" s="352"/>
      <c r="M72" s="352"/>
      <c r="N72" s="352"/>
      <c r="O72" s="352"/>
    </row>
    <row r="73" spans="3:15" ht="30.75" thickBot="1">
      <c r="C73" s="104"/>
      <c r="D73" s="345" t="s">
        <v>130</v>
      </c>
      <c r="E73" s="346" t="s">
        <v>131</v>
      </c>
      <c r="F73" s="346" t="s">
        <v>132</v>
      </c>
      <c r="G73" s="346" t="s">
        <v>133</v>
      </c>
      <c r="H73" s="346" t="s">
        <v>134</v>
      </c>
      <c r="I73" s="346" t="s">
        <v>135</v>
      </c>
      <c r="J73" s="346" t="s">
        <v>136</v>
      </c>
      <c r="K73" s="346" t="s">
        <v>137</v>
      </c>
      <c r="L73" s="346" t="s">
        <v>138</v>
      </c>
      <c r="M73" s="346" t="s">
        <v>139</v>
      </c>
      <c r="N73" s="346" t="s">
        <v>140</v>
      </c>
      <c r="O73" s="347" t="s">
        <v>141</v>
      </c>
    </row>
    <row r="74" spans="3:15" ht="15.75" thickBot="1">
      <c r="C74" s="50" t="s">
        <v>216</v>
      </c>
      <c r="D74" s="360">
        <v>0</v>
      </c>
      <c r="E74" s="361">
        <v>57</v>
      </c>
      <c r="F74" s="361">
        <v>19.5</v>
      </c>
      <c r="G74" s="361">
        <v>267</v>
      </c>
      <c r="H74" s="361">
        <v>109.5</v>
      </c>
      <c r="I74" s="361">
        <v>186</v>
      </c>
      <c r="J74" s="361">
        <v>190.5</v>
      </c>
      <c r="K74" s="361">
        <v>183</v>
      </c>
      <c r="L74" s="361">
        <v>135</v>
      </c>
      <c r="M74" s="361">
        <v>69</v>
      </c>
      <c r="N74" s="361">
        <v>10.5</v>
      </c>
      <c r="O74" s="362">
        <v>130.5</v>
      </c>
    </row>
    <row r="75" spans="3:15" ht="15.75" thickBot="1">
      <c r="C75" s="104"/>
      <c r="D75" s="353"/>
      <c r="E75" s="353"/>
      <c r="F75" s="104"/>
      <c r="G75" s="353"/>
      <c r="H75" s="353"/>
      <c r="I75" s="353"/>
      <c r="J75" s="353"/>
      <c r="K75" s="353"/>
      <c r="L75" s="353"/>
      <c r="M75" s="353"/>
      <c r="N75" s="353"/>
      <c r="O75" s="353"/>
    </row>
    <row r="76" spans="3:15" ht="30.75" thickBot="1">
      <c r="C76" s="104"/>
      <c r="D76" s="345" t="s">
        <v>130</v>
      </c>
      <c r="E76" s="346" t="s">
        <v>131</v>
      </c>
      <c r="F76" s="346" t="s">
        <v>132</v>
      </c>
      <c r="G76" s="346" t="s">
        <v>133</v>
      </c>
      <c r="H76" s="346" t="s">
        <v>134</v>
      </c>
      <c r="I76" s="346" t="s">
        <v>135</v>
      </c>
      <c r="J76" s="346" t="s">
        <v>136</v>
      </c>
      <c r="K76" s="346" t="s">
        <v>137</v>
      </c>
      <c r="L76" s="346" t="s">
        <v>138</v>
      </c>
      <c r="M76" s="346" t="s">
        <v>139</v>
      </c>
      <c r="N76" s="346" t="s">
        <v>140</v>
      </c>
      <c r="O76" s="347" t="s">
        <v>141</v>
      </c>
    </row>
    <row r="77" spans="3:15" ht="60.75" thickBot="1">
      <c r="C77" s="368" t="s">
        <v>226</v>
      </c>
      <c r="D77" s="360">
        <f t="shared" ref="D77:O77" si="9">D69+D74</f>
        <v>3127.5</v>
      </c>
      <c r="E77" s="361">
        <f t="shared" si="9"/>
        <v>2287.5</v>
      </c>
      <c r="F77" s="361">
        <f t="shared" si="9"/>
        <v>2838</v>
      </c>
      <c r="G77" s="361">
        <f t="shared" si="9"/>
        <v>1480.5</v>
      </c>
      <c r="H77" s="361">
        <f t="shared" si="9"/>
        <v>1609.5</v>
      </c>
      <c r="I77" s="361">
        <f t="shared" si="9"/>
        <v>3538.5</v>
      </c>
      <c r="J77" s="361">
        <f t="shared" si="9"/>
        <v>4102.5</v>
      </c>
      <c r="K77" s="361">
        <f t="shared" si="9"/>
        <v>4024.5</v>
      </c>
      <c r="L77" s="361">
        <f t="shared" si="9"/>
        <v>3018</v>
      </c>
      <c r="M77" s="361">
        <f t="shared" si="9"/>
        <v>3414</v>
      </c>
      <c r="N77" s="361">
        <f t="shared" si="9"/>
        <v>3372.6</v>
      </c>
      <c r="O77" s="362">
        <f t="shared" si="9"/>
        <v>4062</v>
      </c>
    </row>
    <row r="78" spans="3:15">
      <c r="C78" s="104"/>
      <c r="D78" s="353"/>
      <c r="E78" s="353"/>
      <c r="F78" s="104"/>
      <c r="G78" s="353"/>
      <c r="H78" s="353"/>
      <c r="I78" s="353"/>
      <c r="J78" s="353"/>
      <c r="K78" s="353"/>
      <c r="L78" s="353"/>
      <c r="M78" s="353"/>
      <c r="N78" s="353"/>
      <c r="O78" s="353"/>
    </row>
    <row r="79" spans="3:15">
      <c r="C79" s="104"/>
      <c r="D79" s="353"/>
      <c r="E79" s="353"/>
      <c r="F79" s="104"/>
      <c r="G79" s="353"/>
      <c r="H79" s="353"/>
      <c r="I79" s="353"/>
      <c r="J79" s="353"/>
      <c r="K79" s="353"/>
      <c r="L79" s="353"/>
      <c r="M79" s="353"/>
      <c r="N79" s="353"/>
      <c r="O79" s="353"/>
    </row>
    <row r="80" spans="3:15">
      <c r="C80" s="104"/>
      <c r="D80" s="353"/>
      <c r="E80" s="353"/>
      <c r="F80" s="104"/>
      <c r="G80" s="353"/>
      <c r="H80" s="353"/>
      <c r="I80" s="353"/>
      <c r="J80" s="353"/>
      <c r="K80" s="353"/>
      <c r="L80" s="353"/>
      <c r="M80" s="353"/>
      <c r="N80" s="353"/>
      <c r="O80" s="353"/>
    </row>
    <row r="81" spans="3:15">
      <c r="C81" s="104"/>
      <c r="D81" s="353"/>
      <c r="E81" s="353"/>
      <c r="F81" s="104"/>
      <c r="G81" s="353"/>
      <c r="H81" s="353"/>
      <c r="I81" s="353"/>
      <c r="J81" s="353"/>
      <c r="K81" s="353"/>
      <c r="L81" s="353"/>
      <c r="M81" s="353"/>
      <c r="N81" s="353"/>
      <c r="O81" s="353"/>
    </row>
    <row r="82" spans="3:15">
      <c r="C82" s="104"/>
      <c r="D82" s="353"/>
      <c r="E82" s="104"/>
      <c r="F82" s="104"/>
      <c r="G82" s="353"/>
      <c r="H82" s="353"/>
      <c r="I82" s="353"/>
      <c r="J82" s="353"/>
      <c r="K82" s="353"/>
      <c r="L82" s="353"/>
      <c r="M82" s="353"/>
      <c r="N82" s="353"/>
      <c r="O82" s="353"/>
    </row>
    <row r="83" spans="3:15" ht="15.75" thickBot="1">
      <c r="C83" s="104"/>
      <c r="D83" s="353" t="s">
        <v>217</v>
      </c>
      <c r="E83" s="353"/>
      <c r="F83" s="353"/>
      <c r="G83" s="353"/>
      <c r="H83" s="353"/>
      <c r="I83" s="353"/>
      <c r="J83" s="353"/>
      <c r="K83" s="353"/>
      <c r="L83" s="353"/>
      <c r="M83" s="353"/>
      <c r="N83" s="353"/>
      <c r="O83" s="353"/>
    </row>
    <row r="84" spans="3:15" ht="30">
      <c r="C84" s="104"/>
      <c r="D84" s="404" t="s">
        <v>130</v>
      </c>
      <c r="E84" s="405" t="s">
        <v>131</v>
      </c>
      <c r="F84" s="405" t="s">
        <v>132</v>
      </c>
      <c r="G84" s="405" t="s">
        <v>133</v>
      </c>
      <c r="H84" s="405" t="s">
        <v>134</v>
      </c>
      <c r="I84" s="405" t="s">
        <v>135</v>
      </c>
      <c r="J84" s="405" t="s">
        <v>136</v>
      </c>
      <c r="K84" s="405" t="s">
        <v>137</v>
      </c>
      <c r="L84" s="405" t="s">
        <v>138</v>
      </c>
      <c r="M84" s="405" t="s">
        <v>139</v>
      </c>
      <c r="N84" s="405" t="s">
        <v>140</v>
      </c>
      <c r="O84" s="406" t="s">
        <v>141</v>
      </c>
    </row>
    <row r="85" spans="3:15" ht="30.75" thickBot="1">
      <c r="C85" s="413" t="s">
        <v>218</v>
      </c>
      <c r="D85" s="410">
        <v>2992.1211039999998</v>
      </c>
      <c r="E85" s="411">
        <v>2417.1151200000004</v>
      </c>
      <c r="F85" s="411">
        <v>2328.255776</v>
      </c>
      <c r="G85" s="411">
        <v>870.24940800000002</v>
      </c>
      <c r="H85" s="411">
        <v>2605.1622240000002</v>
      </c>
      <c r="I85" s="411">
        <v>1386.9696960000001</v>
      </c>
      <c r="J85" s="411">
        <v>1508.5649600000002</v>
      </c>
      <c r="K85" s="411">
        <v>1744.1161920000002</v>
      </c>
      <c r="L85" s="411">
        <v>1095.8908800000002</v>
      </c>
      <c r="M85" s="411">
        <v>1288.6137600000002</v>
      </c>
      <c r="N85" s="411">
        <v>2369.3659919999996</v>
      </c>
      <c r="O85" s="412">
        <v>1201.5239039999999</v>
      </c>
    </row>
    <row r="86" spans="3:15">
      <c r="C86" s="104"/>
      <c r="D86" s="354"/>
      <c r="E86" s="354"/>
      <c r="F86" s="354"/>
      <c r="G86" s="354"/>
      <c r="H86" s="354"/>
      <c r="I86" s="354"/>
      <c r="J86" s="354"/>
      <c r="K86" s="354"/>
      <c r="L86" s="354"/>
      <c r="M86" s="354"/>
      <c r="N86" s="354"/>
      <c r="O86" s="354"/>
    </row>
    <row r="87" spans="3:15">
      <c r="C87" s="104"/>
      <c r="D87" s="354"/>
      <c r="E87" s="354"/>
      <c r="F87" s="354"/>
      <c r="G87" s="354"/>
      <c r="H87" s="354"/>
      <c r="I87" s="354"/>
      <c r="J87" s="354"/>
      <c r="K87" s="354"/>
      <c r="L87" s="354"/>
      <c r="M87" s="354"/>
      <c r="N87" s="354"/>
      <c r="O87" s="354"/>
    </row>
    <row r="88" spans="3:15">
      <c r="C88" s="104"/>
      <c r="D88" s="354"/>
      <c r="E88" s="354"/>
      <c r="F88" s="354"/>
      <c r="G88" s="354"/>
      <c r="H88" s="354"/>
      <c r="I88" s="354"/>
      <c r="J88" s="354"/>
      <c r="K88" s="354"/>
      <c r="L88" s="354"/>
      <c r="M88" s="354"/>
      <c r="N88" s="354"/>
      <c r="O88" s="354"/>
    </row>
    <row r="89" spans="3:15">
      <c r="C89" s="104"/>
      <c r="D89" s="354"/>
      <c r="E89" s="354"/>
      <c r="F89" s="354"/>
      <c r="G89" s="354"/>
      <c r="H89" s="354"/>
      <c r="I89" s="354"/>
      <c r="J89" s="354"/>
      <c r="K89" s="354"/>
      <c r="L89" s="354"/>
      <c r="M89" s="354"/>
      <c r="N89" s="354"/>
      <c r="O89" s="354"/>
    </row>
    <row r="90" spans="3:15">
      <c r="C90" s="350"/>
      <c r="D90" s="363"/>
      <c r="E90" s="363"/>
      <c r="F90" s="363"/>
      <c r="G90" s="363"/>
      <c r="H90" s="363"/>
      <c r="I90" s="363"/>
      <c r="J90" s="363"/>
      <c r="K90" s="363"/>
      <c r="L90" s="363"/>
      <c r="M90" s="363"/>
      <c r="N90" s="363"/>
      <c r="O90" s="363"/>
    </row>
    <row r="91" spans="3:15">
      <c r="C91" s="350"/>
      <c r="D91" s="364"/>
      <c r="E91" s="364"/>
      <c r="F91" s="364"/>
      <c r="G91" s="364"/>
      <c r="H91" s="364"/>
      <c r="I91" s="364"/>
      <c r="J91" s="364"/>
      <c r="K91" s="364"/>
      <c r="L91" s="364"/>
      <c r="M91" s="364"/>
      <c r="N91" s="364"/>
      <c r="O91" s="364"/>
    </row>
    <row r="92" spans="3:15" ht="23.25">
      <c r="C92" s="350"/>
      <c r="D92" s="366"/>
      <c r="E92" s="366"/>
      <c r="F92" s="366"/>
      <c r="G92" s="366"/>
      <c r="H92" s="366"/>
      <c r="I92" s="366"/>
      <c r="J92" s="366"/>
      <c r="K92" s="366"/>
      <c r="L92" s="366"/>
      <c r="M92" s="366"/>
      <c r="N92" s="366"/>
      <c r="O92" s="366"/>
    </row>
    <row r="93" spans="3:15">
      <c r="C93" s="350"/>
      <c r="D93" s="367"/>
      <c r="E93" s="367"/>
      <c r="F93" s="367"/>
      <c r="G93" s="367"/>
      <c r="H93" s="367"/>
      <c r="I93" s="367"/>
      <c r="J93" s="367"/>
      <c r="K93" s="367"/>
      <c r="L93" s="367"/>
      <c r="M93" s="367"/>
      <c r="N93" s="367"/>
      <c r="O93" s="367"/>
    </row>
    <row r="109" spans="3:17" ht="15.75" thickBot="1"/>
    <row r="110" spans="3:17" ht="30.75" thickBot="1">
      <c r="D110" s="425" t="s">
        <v>130</v>
      </c>
      <c r="E110" s="426" t="s">
        <v>131</v>
      </c>
      <c r="F110" s="426" t="s">
        <v>132</v>
      </c>
      <c r="G110" s="426" t="s">
        <v>133</v>
      </c>
      <c r="H110" s="426" t="s">
        <v>134</v>
      </c>
      <c r="I110" s="426" t="s">
        <v>135</v>
      </c>
      <c r="J110" s="426" t="s">
        <v>136</v>
      </c>
      <c r="K110" s="426" t="s">
        <v>137</v>
      </c>
      <c r="L110" s="426" t="s">
        <v>138</v>
      </c>
      <c r="M110" s="426" t="s">
        <v>139</v>
      </c>
      <c r="N110" s="426" t="s">
        <v>140</v>
      </c>
      <c r="O110" s="427" t="s">
        <v>141</v>
      </c>
    </row>
    <row r="111" spans="3:17" ht="60">
      <c r="C111" s="438" t="s">
        <v>221</v>
      </c>
      <c r="D111" s="377">
        <v>3452.3249999999998</v>
      </c>
      <c r="E111" s="378">
        <v>2507.0349999999999</v>
      </c>
      <c r="F111" s="378">
        <v>2272.3000000000002</v>
      </c>
      <c r="G111" s="378">
        <v>1218.27</v>
      </c>
      <c r="H111" s="378">
        <v>2464.0749999999998</v>
      </c>
      <c r="I111" s="378">
        <v>1929.165</v>
      </c>
      <c r="J111" s="378">
        <v>2501.65</v>
      </c>
      <c r="K111" s="378">
        <v>3282.0675000000001</v>
      </c>
      <c r="L111" s="378">
        <v>2252.2424999999998</v>
      </c>
      <c r="M111" s="378">
        <v>2280.9549999999999</v>
      </c>
      <c r="N111" s="378">
        <v>3760.9250000000002</v>
      </c>
      <c r="O111" s="379">
        <v>2256.7750000000001</v>
      </c>
      <c r="P111" s="387">
        <f>SUM(D111:O111)</f>
        <v>30177.785</v>
      </c>
      <c r="Q111" s="308">
        <f>P111/$P$117</f>
        <v>0.14667481393984855</v>
      </c>
    </row>
    <row r="112" spans="3:17" ht="45">
      <c r="C112" s="439" t="s">
        <v>222</v>
      </c>
      <c r="D112" s="380">
        <v>1701.6</v>
      </c>
      <c r="E112" s="375">
        <v>1193.0500000000002</v>
      </c>
      <c r="F112" s="375">
        <v>978.27499999999998</v>
      </c>
      <c r="G112" s="375">
        <v>543</v>
      </c>
      <c r="H112" s="375">
        <v>1213.375</v>
      </c>
      <c r="I112" s="375">
        <v>908.55000000000007</v>
      </c>
      <c r="J112" s="375">
        <v>1034.625</v>
      </c>
      <c r="K112" s="375">
        <v>1287.5749999999998</v>
      </c>
      <c r="L112" s="375">
        <v>741.90000000000009</v>
      </c>
      <c r="M112" s="375">
        <v>826.42499999999995</v>
      </c>
      <c r="N112" s="375">
        <v>1575.2000000000003</v>
      </c>
      <c r="O112" s="381">
        <v>897.75</v>
      </c>
      <c r="P112" s="388">
        <f t="shared" ref="P112:P116" si="10">SUM(D112:O112)</f>
        <v>12901.324999999999</v>
      </c>
      <c r="Q112" s="308">
        <f t="shared" ref="Q112:Q116" si="11">P112/$P$117</f>
        <v>6.2705047569015307E-2</v>
      </c>
    </row>
    <row r="113" spans="3:17" ht="75">
      <c r="C113" s="439" t="s">
        <v>220</v>
      </c>
      <c r="D113" s="380">
        <v>10812.27938</v>
      </c>
      <c r="E113" s="375">
        <v>9972.1790799999999</v>
      </c>
      <c r="F113" s="375">
        <v>8461.7157999999981</v>
      </c>
      <c r="G113" s="375">
        <v>3311.0557999999996</v>
      </c>
      <c r="H113" s="375">
        <v>4992.9505600000011</v>
      </c>
      <c r="I113" s="375">
        <v>6642.1214399999999</v>
      </c>
      <c r="J113" s="375">
        <v>6474.1818872000003</v>
      </c>
      <c r="K113" s="375">
        <v>6298.0909599999995</v>
      </c>
      <c r="L113" s="375">
        <v>5736.5792000000001</v>
      </c>
      <c r="M113" s="375">
        <v>7146.9827599999999</v>
      </c>
      <c r="N113" s="375">
        <v>7733.3</v>
      </c>
      <c r="O113" s="381">
        <v>8168.6</v>
      </c>
      <c r="P113" s="388">
        <f t="shared" si="10"/>
        <v>85750.036867200019</v>
      </c>
      <c r="Q113" s="308">
        <f t="shared" si="11"/>
        <v>0.41677580719829888</v>
      </c>
    </row>
    <row r="114" spans="3:17" ht="45">
      <c r="C114" s="440" t="s">
        <v>223</v>
      </c>
      <c r="D114" s="382">
        <v>1596</v>
      </c>
      <c r="E114" s="376">
        <v>1596</v>
      </c>
      <c r="F114" s="376">
        <v>1500</v>
      </c>
      <c r="G114" s="376">
        <v>1500</v>
      </c>
      <c r="H114" s="376">
        <v>1452</v>
      </c>
      <c r="I114" s="376">
        <v>1380</v>
      </c>
      <c r="J114" s="376">
        <v>1380</v>
      </c>
      <c r="K114" s="376">
        <v>1320</v>
      </c>
      <c r="L114" s="376">
        <v>1320</v>
      </c>
      <c r="M114" s="376">
        <v>1584</v>
      </c>
      <c r="N114" s="376">
        <v>1734</v>
      </c>
      <c r="O114" s="383">
        <v>1872</v>
      </c>
      <c r="P114" s="388">
        <f t="shared" si="10"/>
        <v>18234</v>
      </c>
      <c r="Q114" s="308">
        <f t="shared" si="11"/>
        <v>8.86237527830223E-2</v>
      </c>
    </row>
    <row r="115" spans="3:17" ht="45">
      <c r="C115" s="439" t="s">
        <v>219</v>
      </c>
      <c r="D115" s="380">
        <v>3127.5</v>
      </c>
      <c r="E115" s="375">
        <v>2287.5</v>
      </c>
      <c r="F115" s="375">
        <v>2838</v>
      </c>
      <c r="G115" s="375">
        <v>1480.5</v>
      </c>
      <c r="H115" s="375">
        <v>1609.5</v>
      </c>
      <c r="I115" s="375">
        <v>3538.5</v>
      </c>
      <c r="J115" s="375">
        <v>4102.5</v>
      </c>
      <c r="K115" s="375">
        <v>4024.5</v>
      </c>
      <c r="L115" s="375">
        <v>3018</v>
      </c>
      <c r="M115" s="375">
        <v>3414</v>
      </c>
      <c r="N115" s="375">
        <v>3372.6</v>
      </c>
      <c r="O115" s="381">
        <v>4062</v>
      </c>
      <c r="P115" s="388">
        <f t="shared" si="10"/>
        <v>36875.1</v>
      </c>
      <c r="Q115" s="308">
        <f t="shared" si="11"/>
        <v>0.17922615697319433</v>
      </c>
    </row>
    <row r="116" spans="3:17" ht="30.75" thickBot="1">
      <c r="C116" s="441" t="s">
        <v>218</v>
      </c>
      <c r="D116" s="384">
        <v>2992.1211039999998</v>
      </c>
      <c r="E116" s="385">
        <v>2417.1151200000004</v>
      </c>
      <c r="F116" s="385">
        <v>2328.255776</v>
      </c>
      <c r="G116" s="385">
        <v>870.24940800000002</v>
      </c>
      <c r="H116" s="385">
        <v>2605.1622240000002</v>
      </c>
      <c r="I116" s="385">
        <v>1386.9696960000001</v>
      </c>
      <c r="J116" s="385">
        <v>1508.5649600000002</v>
      </c>
      <c r="K116" s="385">
        <v>1744.1161920000002</v>
      </c>
      <c r="L116" s="385">
        <v>1095.8908800000002</v>
      </c>
      <c r="M116" s="385">
        <v>1288.6137600000002</v>
      </c>
      <c r="N116" s="385">
        <v>2369.3659919999996</v>
      </c>
      <c r="O116" s="386">
        <v>1201.5239039999999</v>
      </c>
      <c r="P116" s="389">
        <f t="shared" si="10"/>
        <v>21807.949015999999</v>
      </c>
      <c r="Q116" s="308">
        <f t="shared" si="11"/>
        <v>0.1059944215366205</v>
      </c>
    </row>
    <row r="117" spans="3:17">
      <c r="P117" s="349">
        <f>SUM(P111:P116)</f>
        <v>205746.19588320004</v>
      </c>
    </row>
    <row r="119" spans="3:17" ht="15.75" thickBot="1"/>
    <row r="120" spans="3:17" ht="90.75" thickBot="1">
      <c r="G120" s="396" t="s">
        <v>220</v>
      </c>
      <c r="H120" s="397" t="s">
        <v>219</v>
      </c>
      <c r="I120" s="398" t="s">
        <v>221</v>
      </c>
      <c r="J120" s="398" t="s">
        <v>218</v>
      </c>
      <c r="K120" s="398" t="s">
        <v>223</v>
      </c>
      <c r="L120" s="399" t="s">
        <v>222</v>
      </c>
    </row>
    <row r="121" spans="3:17" ht="60">
      <c r="F121" s="368" t="s">
        <v>225</v>
      </c>
      <c r="G121" s="390">
        <v>0.41677580719829888</v>
      </c>
      <c r="H121" s="391">
        <v>0.17922615697319433</v>
      </c>
      <c r="I121" s="391">
        <v>0.14667481393984855</v>
      </c>
      <c r="J121" s="391">
        <v>0.1059944215366205</v>
      </c>
      <c r="K121" s="391">
        <v>8.86237527830223E-2</v>
      </c>
      <c r="L121" s="392">
        <v>6.2705047569015307E-2</v>
      </c>
    </row>
    <row r="122" spans="3:17" ht="45.75" thickBot="1">
      <c r="F122" s="368" t="s">
        <v>224</v>
      </c>
      <c r="G122" s="393">
        <f>G121</f>
        <v>0.41677580719829888</v>
      </c>
      <c r="H122" s="394">
        <f>G122+H121</f>
        <v>0.5960019641714932</v>
      </c>
      <c r="I122" s="394">
        <f t="shared" ref="I122:L122" si="12">H122+I121</f>
        <v>0.7426767781113417</v>
      </c>
      <c r="J122" s="394">
        <f t="shared" si="12"/>
        <v>0.84867119964796223</v>
      </c>
      <c r="K122" s="394">
        <f t="shared" si="12"/>
        <v>0.93729495243098448</v>
      </c>
      <c r="L122" s="395">
        <f t="shared" si="12"/>
        <v>0.99999999999999978</v>
      </c>
    </row>
  </sheetData>
  <sortState ref="H120:H125">
    <sortCondition descending="1" ref="H120"/>
  </sortState>
  <pageMargins left="0.7" right="0.7" top="0.75" bottom="0.75" header="0.3" footer="0.3"/>
  <pageSetup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B2:AE9"/>
  <sheetViews>
    <sheetView zoomScale="40" zoomScaleNormal="40" workbookViewId="0">
      <selection activeCell="S3" sqref="S3:AE4"/>
    </sheetView>
  </sheetViews>
  <sheetFormatPr baseColWidth="10" defaultRowHeight="15"/>
  <cols>
    <col min="4" max="4" width="9.5703125" bestFit="1" customWidth="1"/>
    <col min="5" max="5" width="10.140625" bestFit="1" customWidth="1"/>
    <col min="6" max="10" width="9" bestFit="1" customWidth="1"/>
    <col min="11" max="11" width="9.28515625" bestFit="1" customWidth="1"/>
    <col min="12" max="12" width="9.28515625" customWidth="1"/>
    <col min="13" max="13" width="8.85546875" customWidth="1"/>
    <col min="14" max="14" width="10.7109375" bestFit="1" customWidth="1"/>
    <col min="15" max="15" width="10" bestFit="1" customWidth="1"/>
    <col min="20" max="20" width="6.28515625" customWidth="1"/>
    <col min="21" max="21" width="7.7109375" customWidth="1"/>
    <col min="22" max="22" width="6.5703125" customWidth="1"/>
    <col min="23" max="23" width="5.5703125" customWidth="1"/>
    <col min="24" max="24" width="6.5703125" customWidth="1"/>
    <col min="25" max="25" width="6.140625" customWidth="1"/>
    <col min="26" max="26" width="6.42578125" customWidth="1"/>
    <col min="27" max="27" width="6.85546875" customWidth="1"/>
    <col min="28" max="28" width="9.42578125" customWidth="1"/>
    <col min="29" max="29" width="8.140625" customWidth="1"/>
    <col min="30" max="31" width="8.42578125" customWidth="1"/>
  </cols>
  <sheetData>
    <row r="2" spans="2:31" ht="15.75" thickBot="1"/>
    <row r="3" spans="2:31" ht="30.75" thickBot="1">
      <c r="D3" s="454" t="s">
        <v>130</v>
      </c>
      <c r="E3" s="455" t="s">
        <v>131</v>
      </c>
      <c r="F3" s="455" t="s">
        <v>132</v>
      </c>
      <c r="G3" s="455" t="s">
        <v>133</v>
      </c>
      <c r="H3" s="455" t="s">
        <v>134</v>
      </c>
      <c r="I3" s="455" t="s">
        <v>135</v>
      </c>
      <c r="J3" s="455" t="s">
        <v>136</v>
      </c>
      <c r="K3" s="455" t="s">
        <v>137</v>
      </c>
      <c r="L3" s="455" t="s">
        <v>229</v>
      </c>
      <c r="M3" s="455" t="s">
        <v>139</v>
      </c>
      <c r="N3" s="455" t="s">
        <v>140</v>
      </c>
      <c r="O3" s="456" t="s">
        <v>141</v>
      </c>
      <c r="T3" s="454" t="s">
        <v>130</v>
      </c>
      <c r="U3" s="455" t="s">
        <v>131</v>
      </c>
      <c r="V3" s="455" t="s">
        <v>132</v>
      </c>
      <c r="W3" s="455" t="s">
        <v>133</v>
      </c>
      <c r="X3" s="455" t="s">
        <v>134</v>
      </c>
      <c r="Y3" s="455" t="s">
        <v>135</v>
      </c>
      <c r="Z3" s="455" t="s">
        <v>136</v>
      </c>
      <c r="AA3" s="455" t="s">
        <v>137</v>
      </c>
      <c r="AB3" s="455" t="s">
        <v>229</v>
      </c>
      <c r="AC3" s="455" t="s">
        <v>139</v>
      </c>
      <c r="AD3" s="455" t="s">
        <v>140</v>
      </c>
      <c r="AE3" s="456" t="s">
        <v>141</v>
      </c>
    </row>
    <row r="4" spans="2:31" ht="63" customHeight="1" thickBot="1">
      <c r="B4" s="544" t="s">
        <v>221</v>
      </c>
      <c r="C4" s="545"/>
      <c r="D4" s="442">
        <v>3452.3249999999998</v>
      </c>
      <c r="E4" s="443">
        <v>2507.0349999999999</v>
      </c>
      <c r="F4" s="443">
        <v>2272.3000000000002</v>
      </c>
      <c r="G4" s="443">
        <v>1218.27</v>
      </c>
      <c r="H4" s="443">
        <v>2464.0749999999998</v>
      </c>
      <c r="I4" s="443">
        <v>1929.165</v>
      </c>
      <c r="J4" s="443">
        <v>2501.65</v>
      </c>
      <c r="K4" s="443">
        <v>3282.0675000000001</v>
      </c>
      <c r="L4" s="443">
        <v>2252.2424999999998</v>
      </c>
      <c r="M4" s="443">
        <v>2280.9549999999999</v>
      </c>
      <c r="N4" s="443">
        <v>3760.9250000000002</v>
      </c>
      <c r="O4" s="444">
        <v>2256.7750000000001</v>
      </c>
      <c r="S4" s="471" t="s">
        <v>230</v>
      </c>
      <c r="T4" s="468">
        <v>0</v>
      </c>
      <c r="U4" s="469">
        <v>19</v>
      </c>
      <c r="V4" s="469">
        <v>6.5</v>
      </c>
      <c r="W4" s="469">
        <v>89</v>
      </c>
      <c r="X4" s="469">
        <v>36.5</v>
      </c>
      <c r="Y4" s="469">
        <v>62</v>
      </c>
      <c r="Z4" s="469">
        <v>63.5</v>
      </c>
      <c r="AA4" s="469">
        <v>61</v>
      </c>
      <c r="AB4" s="469">
        <v>45</v>
      </c>
      <c r="AC4" s="469">
        <v>23</v>
      </c>
      <c r="AD4" s="469">
        <v>3.5</v>
      </c>
      <c r="AE4" s="470">
        <v>43.5</v>
      </c>
    </row>
    <row r="5" spans="2:31" ht="30.75" customHeight="1">
      <c r="B5" s="546" t="s">
        <v>222</v>
      </c>
      <c r="C5" s="547"/>
      <c r="D5" s="445">
        <v>1701.6</v>
      </c>
      <c r="E5" s="446">
        <v>1193.0500000000002</v>
      </c>
      <c r="F5" s="446">
        <v>978.27499999999998</v>
      </c>
      <c r="G5" s="446">
        <v>543</v>
      </c>
      <c r="H5" s="446">
        <v>1213.375</v>
      </c>
      <c r="I5" s="446">
        <v>908.55000000000007</v>
      </c>
      <c r="J5" s="446">
        <v>1034.625</v>
      </c>
      <c r="K5" s="446">
        <v>1287.5749999999998</v>
      </c>
      <c r="L5" s="446">
        <v>741.90000000000009</v>
      </c>
      <c r="M5" s="446">
        <v>826.42499999999995</v>
      </c>
      <c r="N5" s="446">
        <v>1575.2000000000003</v>
      </c>
      <c r="O5" s="447">
        <v>897.75</v>
      </c>
    </row>
    <row r="6" spans="2:31" ht="30" customHeight="1">
      <c r="B6" s="546" t="s">
        <v>220</v>
      </c>
      <c r="C6" s="547"/>
      <c r="D6" s="445">
        <v>10812.27938</v>
      </c>
      <c r="E6" s="446">
        <v>9972.1790799999999</v>
      </c>
      <c r="F6" s="446">
        <v>8461.7157999999981</v>
      </c>
      <c r="G6" s="446">
        <v>3311.0557999999996</v>
      </c>
      <c r="H6" s="446">
        <v>4992.9505600000011</v>
      </c>
      <c r="I6" s="446">
        <v>6642.1214399999999</v>
      </c>
      <c r="J6" s="446">
        <v>6474.1818872000003</v>
      </c>
      <c r="K6" s="446">
        <v>6298.0909599999995</v>
      </c>
      <c r="L6" s="446">
        <v>5736.5792000000001</v>
      </c>
      <c r="M6" s="446">
        <v>7146.9827599999999</v>
      </c>
      <c r="N6" s="446">
        <v>7733.3</v>
      </c>
      <c r="O6" s="447">
        <v>8168.6</v>
      </c>
    </row>
    <row r="7" spans="2:31" ht="30" customHeight="1">
      <c r="B7" s="548" t="s">
        <v>223</v>
      </c>
      <c r="C7" s="549"/>
      <c r="D7" s="448">
        <v>1596</v>
      </c>
      <c r="E7" s="449">
        <v>1596</v>
      </c>
      <c r="F7" s="449">
        <v>1500</v>
      </c>
      <c r="G7" s="449">
        <v>1500</v>
      </c>
      <c r="H7" s="449">
        <v>1452</v>
      </c>
      <c r="I7" s="449">
        <v>1380</v>
      </c>
      <c r="J7" s="449">
        <v>1380</v>
      </c>
      <c r="K7" s="449">
        <v>1320</v>
      </c>
      <c r="L7" s="449">
        <v>1320</v>
      </c>
      <c r="M7" s="449">
        <v>1584</v>
      </c>
      <c r="N7" s="449">
        <v>1734</v>
      </c>
      <c r="O7" s="450">
        <v>1872</v>
      </c>
    </row>
    <row r="8" spans="2:31" ht="32.25" customHeight="1">
      <c r="B8" s="546" t="s">
        <v>219</v>
      </c>
      <c r="C8" s="547"/>
      <c r="D8" s="445">
        <v>3127.5</v>
      </c>
      <c r="E8" s="446">
        <v>2287.5</v>
      </c>
      <c r="F8" s="446">
        <v>2838</v>
      </c>
      <c r="G8" s="446">
        <v>1480.5</v>
      </c>
      <c r="H8" s="446">
        <v>1609.5</v>
      </c>
      <c r="I8" s="446">
        <v>3538.5</v>
      </c>
      <c r="J8" s="446">
        <v>4102.5</v>
      </c>
      <c r="K8" s="446">
        <v>4024.5</v>
      </c>
      <c r="L8" s="446">
        <v>3018</v>
      </c>
      <c r="M8" s="446">
        <v>3414</v>
      </c>
      <c r="N8" s="446">
        <v>3372.6</v>
      </c>
      <c r="O8" s="447">
        <v>4062</v>
      </c>
    </row>
    <row r="9" spans="2:31" ht="15" customHeight="1" thickBot="1">
      <c r="B9" s="542" t="s">
        <v>218</v>
      </c>
      <c r="C9" s="543"/>
      <c r="D9" s="451">
        <v>2992.1211039999998</v>
      </c>
      <c r="E9" s="452">
        <v>2417.1151200000004</v>
      </c>
      <c r="F9" s="452">
        <v>2328.255776</v>
      </c>
      <c r="G9" s="452">
        <v>870.24940800000002</v>
      </c>
      <c r="H9" s="452">
        <v>2605.1622240000002</v>
      </c>
      <c r="I9" s="452">
        <v>1386.9696960000001</v>
      </c>
      <c r="J9" s="452">
        <v>1508.5649600000002</v>
      </c>
      <c r="K9" s="452">
        <v>1744.1161920000002</v>
      </c>
      <c r="L9" s="452">
        <v>1095.8908800000002</v>
      </c>
      <c r="M9" s="452">
        <v>1288.6137600000002</v>
      </c>
      <c r="N9" s="452">
        <v>2369.3659919999996</v>
      </c>
      <c r="O9" s="453">
        <v>1201.5239039999999</v>
      </c>
    </row>
  </sheetData>
  <mergeCells count="6">
    <mergeCell ref="B9:C9"/>
    <mergeCell ref="B4:C4"/>
    <mergeCell ref="B5:C5"/>
    <mergeCell ref="B6:C6"/>
    <mergeCell ref="B7:C7"/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C4:X50"/>
  <sheetViews>
    <sheetView zoomScale="25" zoomScaleNormal="25" workbookViewId="0">
      <selection activeCell="M45" sqref="M45"/>
    </sheetView>
  </sheetViews>
  <sheetFormatPr baseColWidth="10" defaultRowHeight="15"/>
  <cols>
    <col min="3" max="3" width="9.5703125" customWidth="1"/>
    <col min="4" max="10" width="10.5703125" bestFit="1" customWidth="1"/>
    <col min="11" max="11" width="13.85546875" bestFit="1" customWidth="1"/>
    <col min="13" max="15" width="10.5703125" customWidth="1"/>
  </cols>
  <sheetData>
    <row r="4" spans="3:15" ht="15.75" thickBot="1"/>
    <row r="5" spans="3:15" ht="30">
      <c r="D5" s="404" t="s">
        <v>130</v>
      </c>
      <c r="E5" s="405" t="s">
        <v>131</v>
      </c>
      <c r="F5" s="405" t="s">
        <v>132</v>
      </c>
      <c r="G5" s="405" t="s">
        <v>133</v>
      </c>
      <c r="H5" s="405" t="s">
        <v>134</v>
      </c>
      <c r="I5" s="405" t="s">
        <v>135</v>
      </c>
      <c r="J5" s="405" t="s">
        <v>136</v>
      </c>
      <c r="K5" s="405" t="s">
        <v>137</v>
      </c>
      <c r="L5" s="405" t="s">
        <v>138</v>
      </c>
      <c r="M5" s="405" t="s">
        <v>139</v>
      </c>
      <c r="N5" s="405" t="s">
        <v>140</v>
      </c>
      <c r="O5" s="406" t="s">
        <v>141</v>
      </c>
    </row>
    <row r="6" spans="3:15" ht="45.75" thickBot="1">
      <c r="C6" s="424" t="s">
        <v>211</v>
      </c>
      <c r="D6" s="410">
        <v>1596</v>
      </c>
      <c r="E6" s="411">
        <v>1596</v>
      </c>
      <c r="F6" s="411">
        <v>1500</v>
      </c>
      <c r="G6" s="411">
        <v>1500</v>
      </c>
      <c r="H6" s="411">
        <v>1452</v>
      </c>
      <c r="I6" s="411">
        <v>1380</v>
      </c>
      <c r="J6" s="411">
        <v>1380</v>
      </c>
      <c r="K6" s="411">
        <v>1320</v>
      </c>
      <c r="L6" s="411">
        <v>1320</v>
      </c>
      <c r="M6" s="411">
        <v>1584</v>
      </c>
      <c r="N6" s="411">
        <v>1734</v>
      </c>
      <c r="O6" s="412">
        <v>1872</v>
      </c>
    </row>
    <row r="10" spans="3:15" ht="15.75" thickBot="1"/>
    <row r="11" spans="3:15" ht="30.75" thickBot="1">
      <c r="D11" s="425" t="s">
        <v>130</v>
      </c>
      <c r="E11" s="426" t="s">
        <v>131</v>
      </c>
      <c r="F11" s="426" t="s">
        <v>132</v>
      </c>
      <c r="G11" s="426" t="s">
        <v>133</v>
      </c>
      <c r="H11" s="426" t="s">
        <v>134</v>
      </c>
      <c r="I11" s="426" t="s">
        <v>135</v>
      </c>
      <c r="J11" s="426" t="s">
        <v>136</v>
      </c>
      <c r="K11" s="426" t="s">
        <v>137</v>
      </c>
      <c r="L11" s="426" t="s">
        <v>138</v>
      </c>
      <c r="M11" s="426" t="s">
        <v>139</v>
      </c>
      <c r="N11" s="426" t="s">
        <v>140</v>
      </c>
      <c r="O11" s="427" t="s">
        <v>141</v>
      </c>
    </row>
    <row r="12" spans="3:15">
      <c r="C12" s="428" t="s">
        <v>142</v>
      </c>
      <c r="D12" s="329">
        <v>860.85</v>
      </c>
      <c r="E12" s="330">
        <v>535.42499999999995</v>
      </c>
      <c r="F12" s="330">
        <v>432.15</v>
      </c>
      <c r="G12" s="330">
        <v>258.75</v>
      </c>
      <c r="H12" s="330">
        <v>491.09999999999997</v>
      </c>
      <c r="I12" s="330">
        <v>274.05</v>
      </c>
      <c r="J12" s="330">
        <v>389.4</v>
      </c>
      <c r="K12" s="330">
        <v>393.52499999999998</v>
      </c>
      <c r="L12" s="330">
        <v>263.625</v>
      </c>
      <c r="M12" s="330">
        <v>440.47499999999997</v>
      </c>
      <c r="N12" s="330">
        <v>438.59999999999997</v>
      </c>
      <c r="O12" s="331">
        <v>224.02500000000001</v>
      </c>
    </row>
    <row r="13" spans="3:15">
      <c r="C13" s="429" t="s">
        <v>143</v>
      </c>
      <c r="D13" s="332">
        <v>585</v>
      </c>
      <c r="E13" s="333">
        <v>436.40000000000003</v>
      </c>
      <c r="F13" s="333">
        <v>240</v>
      </c>
      <c r="G13" s="333">
        <v>169.8</v>
      </c>
      <c r="H13" s="333">
        <v>553.4</v>
      </c>
      <c r="I13" s="333">
        <v>470.6</v>
      </c>
      <c r="J13" s="333">
        <v>285.60000000000002</v>
      </c>
      <c r="K13" s="333">
        <v>467.90000000000003</v>
      </c>
      <c r="L13" s="333">
        <v>239.70000000000002</v>
      </c>
      <c r="M13" s="333">
        <v>158</v>
      </c>
      <c r="N13" s="333">
        <v>622.1</v>
      </c>
      <c r="O13" s="334">
        <v>383.20000000000005</v>
      </c>
    </row>
    <row r="14" spans="3:15">
      <c r="C14" s="429" t="s">
        <v>144</v>
      </c>
      <c r="D14" s="332">
        <v>0</v>
      </c>
      <c r="E14" s="333">
        <v>0</v>
      </c>
      <c r="F14" s="333">
        <v>0</v>
      </c>
      <c r="G14" s="333">
        <v>0</v>
      </c>
      <c r="H14" s="333">
        <v>0</v>
      </c>
      <c r="I14" s="333">
        <v>0</v>
      </c>
      <c r="J14" s="333">
        <v>0</v>
      </c>
      <c r="K14" s="333">
        <v>21.15</v>
      </c>
      <c r="L14" s="333">
        <v>0</v>
      </c>
      <c r="M14" s="333">
        <v>0</v>
      </c>
      <c r="N14" s="333">
        <v>21.15</v>
      </c>
      <c r="O14" s="334">
        <v>27</v>
      </c>
    </row>
    <row r="15" spans="3:15">
      <c r="C15" s="429" t="s">
        <v>145</v>
      </c>
      <c r="D15" s="332">
        <v>0</v>
      </c>
      <c r="E15" s="333">
        <v>0</v>
      </c>
      <c r="F15" s="333">
        <v>0</v>
      </c>
      <c r="G15" s="333">
        <v>0</v>
      </c>
      <c r="H15" s="333">
        <v>0</v>
      </c>
      <c r="I15" s="333">
        <v>0</v>
      </c>
      <c r="J15" s="333">
        <v>150</v>
      </c>
      <c r="K15" s="333">
        <v>211.70000000000002</v>
      </c>
      <c r="L15" s="333">
        <v>92.9</v>
      </c>
      <c r="M15" s="333">
        <v>91.4</v>
      </c>
      <c r="N15" s="333">
        <v>282.85000000000002</v>
      </c>
      <c r="O15" s="334">
        <v>131.4</v>
      </c>
    </row>
    <row r="16" spans="3:15" ht="15.75" thickBot="1">
      <c r="C16" s="430" t="s">
        <v>158</v>
      </c>
      <c r="D16" s="431">
        <v>255.75</v>
      </c>
      <c r="E16" s="432">
        <v>221.22500000000002</v>
      </c>
      <c r="F16" s="432">
        <v>306.125</v>
      </c>
      <c r="G16" s="432">
        <v>114.45</v>
      </c>
      <c r="H16" s="432">
        <v>168.875</v>
      </c>
      <c r="I16" s="432">
        <v>163.9</v>
      </c>
      <c r="J16" s="432">
        <v>209.625</v>
      </c>
      <c r="K16" s="432">
        <v>193.3</v>
      </c>
      <c r="L16" s="432">
        <v>145.67500000000001</v>
      </c>
      <c r="M16" s="432">
        <v>136.55000000000001</v>
      </c>
      <c r="N16" s="432">
        <v>210.5</v>
      </c>
      <c r="O16" s="433">
        <v>132.125</v>
      </c>
    </row>
    <row r="17" spans="3:24" ht="45.75" thickBot="1">
      <c r="C17" s="434" t="s">
        <v>228</v>
      </c>
      <c r="D17" s="435">
        <v>1701.6</v>
      </c>
      <c r="E17" s="436">
        <v>1193.0500000000002</v>
      </c>
      <c r="F17" s="436">
        <v>978.27499999999998</v>
      </c>
      <c r="G17" s="436">
        <v>543</v>
      </c>
      <c r="H17" s="436">
        <v>1213.375</v>
      </c>
      <c r="I17" s="436">
        <v>908.55000000000007</v>
      </c>
      <c r="J17" s="436">
        <v>1034.625</v>
      </c>
      <c r="K17" s="436">
        <v>1287.5749999999998</v>
      </c>
      <c r="L17" s="436">
        <v>741.90000000000009</v>
      </c>
      <c r="M17" s="436">
        <v>826.42499999999995</v>
      </c>
      <c r="N17" s="436">
        <v>1575.2000000000003</v>
      </c>
      <c r="O17" s="437">
        <v>897.75</v>
      </c>
    </row>
    <row r="18" spans="3:24" ht="15.75" thickBot="1"/>
    <row r="19" spans="3:24" ht="60.75" thickBot="1">
      <c r="R19" s="308"/>
      <c r="S19" s="459" t="s">
        <v>220</v>
      </c>
      <c r="T19" s="460" t="s">
        <v>219</v>
      </c>
      <c r="U19" s="460" t="s">
        <v>221</v>
      </c>
      <c r="V19" s="460" t="s">
        <v>218</v>
      </c>
      <c r="W19" s="460" t="s">
        <v>223</v>
      </c>
      <c r="X19" s="461" t="s">
        <v>222</v>
      </c>
    </row>
    <row r="20" spans="3:24" ht="36.75">
      <c r="R20" s="457" t="s">
        <v>225</v>
      </c>
      <c r="S20" s="462">
        <v>0.41677580719829888</v>
      </c>
      <c r="T20" s="463">
        <v>0.17922615697319433</v>
      </c>
      <c r="U20" s="463">
        <v>0.14667481393984855</v>
      </c>
      <c r="V20" s="463">
        <v>0.1059944215366205</v>
      </c>
      <c r="W20" s="463">
        <v>8.86237527830223E-2</v>
      </c>
      <c r="X20" s="464">
        <v>6.2705047569015307E-2</v>
      </c>
    </row>
    <row r="21" spans="3:24" ht="25.5" thickBot="1">
      <c r="R21" s="458" t="s">
        <v>224</v>
      </c>
      <c r="S21" s="465">
        <v>0.41677580719829888</v>
      </c>
      <c r="T21" s="466">
        <v>0.5960019641714932</v>
      </c>
      <c r="U21" s="466">
        <v>0.7426767781113417</v>
      </c>
      <c r="V21" s="466">
        <v>0.84867119964796223</v>
      </c>
      <c r="W21" s="466">
        <v>0.93729495243098448</v>
      </c>
      <c r="X21" s="467">
        <v>0.99999999999999978</v>
      </c>
    </row>
    <row r="26" spans="3:24" ht="15.75" thickBot="1"/>
    <row r="27" spans="3:24" ht="30.75" thickBot="1">
      <c r="K27" s="472" t="s">
        <v>232</v>
      </c>
    </row>
    <row r="28" spans="3:24" ht="15" customHeight="1">
      <c r="F28" s="544" t="s">
        <v>221</v>
      </c>
      <c r="G28" s="551"/>
      <c r="H28" s="551"/>
      <c r="I28" s="551"/>
      <c r="J28" s="545"/>
      <c r="K28" s="473">
        <v>30177.785</v>
      </c>
    </row>
    <row r="29" spans="3:24" ht="15" customHeight="1">
      <c r="F29" s="546" t="s">
        <v>222</v>
      </c>
      <c r="G29" s="552"/>
      <c r="H29" s="552"/>
      <c r="I29" s="552"/>
      <c r="J29" s="547"/>
      <c r="K29" s="474">
        <v>12901.324999999999</v>
      </c>
    </row>
    <row r="30" spans="3:24" ht="15" customHeight="1">
      <c r="F30" s="546" t="s">
        <v>220</v>
      </c>
      <c r="G30" s="552"/>
      <c r="H30" s="552"/>
      <c r="I30" s="552"/>
      <c r="J30" s="547"/>
      <c r="K30" s="474">
        <v>85750.036867200019</v>
      </c>
    </row>
    <row r="31" spans="3:24" ht="15" customHeight="1">
      <c r="F31" s="548" t="s">
        <v>223</v>
      </c>
      <c r="G31" s="553"/>
      <c r="H31" s="553"/>
      <c r="I31" s="553"/>
      <c r="J31" s="549"/>
      <c r="K31" s="474">
        <v>18234</v>
      </c>
    </row>
    <row r="32" spans="3:24" ht="15" customHeight="1">
      <c r="F32" s="546" t="s">
        <v>219</v>
      </c>
      <c r="G32" s="552"/>
      <c r="H32" s="552"/>
      <c r="I32" s="552"/>
      <c r="J32" s="547"/>
      <c r="K32" s="474">
        <v>36875.1</v>
      </c>
    </row>
    <row r="33" spans="6:21" ht="15" customHeight="1" thickBot="1">
      <c r="F33" s="542" t="s">
        <v>231</v>
      </c>
      <c r="G33" s="550"/>
      <c r="H33" s="550"/>
      <c r="I33" s="550"/>
      <c r="J33" s="543"/>
      <c r="K33" s="475">
        <v>21807.949015999999</v>
      </c>
    </row>
    <row r="34" spans="6:21" ht="90.75" thickBot="1">
      <c r="P34" s="438" t="s">
        <v>221</v>
      </c>
      <c r="Q34" s="439" t="s">
        <v>222</v>
      </c>
      <c r="R34" s="439" t="s">
        <v>220</v>
      </c>
      <c r="S34" s="440" t="s">
        <v>223</v>
      </c>
      <c r="T34" s="439" t="s">
        <v>219</v>
      </c>
      <c r="U34" s="441" t="s">
        <v>231</v>
      </c>
    </row>
    <row r="35" spans="6:21" ht="30.75" thickBot="1">
      <c r="O35" s="472" t="s">
        <v>232</v>
      </c>
      <c r="P35" s="473">
        <v>30177.785</v>
      </c>
      <c r="Q35" s="474">
        <v>12901.324999999999</v>
      </c>
      <c r="R35" s="474">
        <v>85750.036867200019</v>
      </c>
      <c r="S35" s="474">
        <v>18234</v>
      </c>
      <c r="T35" s="474">
        <v>36875.1</v>
      </c>
      <c r="U35" s="475">
        <v>21807.949015999999</v>
      </c>
    </row>
    <row r="46" spans="6:21">
      <c r="K46" s="349"/>
    </row>
    <row r="48" spans="6:21">
      <c r="K48" s="350"/>
      <c r="L48" s="350"/>
      <c r="M48" s="350"/>
      <c r="N48" s="350"/>
      <c r="O48" s="350"/>
      <c r="P48" s="350"/>
    </row>
    <row r="49" spans="11:16" ht="15" customHeight="1">
      <c r="K49" s="350"/>
      <c r="L49" s="483"/>
      <c r="M49" s="483"/>
      <c r="N49" s="483"/>
      <c r="O49" s="483"/>
      <c r="P49" s="350"/>
    </row>
    <row r="50" spans="11:16">
      <c r="K50" s="350"/>
      <c r="L50" s="350"/>
      <c r="M50" s="350"/>
      <c r="N50" s="350"/>
      <c r="O50" s="350"/>
      <c r="P50" s="350"/>
    </row>
  </sheetData>
  <mergeCells count="6">
    <mergeCell ref="F33:J33"/>
    <mergeCell ref="F28:J28"/>
    <mergeCell ref="F29:J29"/>
    <mergeCell ref="F30:J30"/>
    <mergeCell ref="F31:J31"/>
    <mergeCell ref="F32:J32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topLeftCell="A31"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T47"/>
  <sheetViews>
    <sheetView showGridLines="0" zoomScale="40" zoomScaleNormal="40" workbookViewId="0">
      <selection activeCell="P65" sqref="P65"/>
    </sheetView>
  </sheetViews>
  <sheetFormatPr baseColWidth="10" defaultColWidth="11.42578125" defaultRowHeight="15"/>
  <cols>
    <col min="4" max="4" width="18" customWidth="1"/>
    <col min="5" max="5" width="2.28515625" customWidth="1"/>
    <col min="8" max="8" width="18" customWidth="1"/>
    <col min="9" max="9" width="2.28515625" customWidth="1"/>
    <col min="12" max="12" width="18" customWidth="1"/>
    <col min="13" max="13" width="2.28515625" customWidth="1"/>
    <col min="16" max="16" width="18" customWidth="1"/>
    <col min="17" max="17" width="2.28515625" customWidth="1"/>
    <col min="20" max="20" width="18" customWidth="1"/>
  </cols>
  <sheetData>
    <row r="1" spans="1:12">
      <c r="A1" s="489" t="s">
        <v>67</v>
      </c>
      <c r="B1" s="489"/>
      <c r="C1" s="489"/>
      <c r="D1" s="489"/>
      <c r="E1" s="46"/>
      <c r="F1" s="46"/>
    </row>
    <row r="2" spans="1:12" ht="15.75" thickBot="1">
      <c r="A2" s="47" t="s">
        <v>75</v>
      </c>
      <c r="B2" s="47"/>
      <c r="C2" s="47"/>
      <c r="D2" s="47"/>
      <c r="E2" s="47"/>
      <c r="F2" s="47"/>
    </row>
    <row r="3" spans="1:12" ht="16.5" thickTop="1" thickBot="1">
      <c r="A3" s="46"/>
      <c r="B3" s="46"/>
      <c r="C3" s="46"/>
      <c r="D3" s="46"/>
      <c r="E3" s="46"/>
      <c r="F3" s="46"/>
    </row>
    <row r="4" spans="1:12" ht="15.75" thickBot="1">
      <c r="A4" s="46" t="s">
        <v>68</v>
      </c>
      <c r="B4" s="46"/>
      <c r="C4" s="46"/>
      <c r="D4" s="48"/>
      <c r="E4" s="46"/>
      <c r="F4" s="46"/>
      <c r="G4" t="s">
        <v>96</v>
      </c>
      <c r="K4" s="66"/>
      <c r="L4" s="67"/>
    </row>
    <row r="5" spans="1:12" ht="15.75" thickBot="1">
      <c r="A5" s="46"/>
      <c r="B5" s="46"/>
      <c r="C5" s="46"/>
      <c r="D5" s="49"/>
      <c r="E5" s="46"/>
      <c r="F5" s="46"/>
    </row>
    <row r="6" spans="1:12" ht="15.75" thickBot="1">
      <c r="A6" s="46" t="s">
        <v>69</v>
      </c>
      <c r="B6" s="46"/>
      <c r="C6" s="46"/>
      <c r="D6" s="490"/>
      <c r="E6" s="491"/>
      <c r="F6" s="46"/>
    </row>
    <row r="9" spans="1:12" ht="15.75" thickBot="1"/>
    <row r="10" spans="1:12" ht="15.75" thickBot="1">
      <c r="B10" s="486" t="s">
        <v>70</v>
      </c>
      <c r="C10" s="486"/>
      <c r="D10" s="50"/>
    </row>
    <row r="11" spans="1:12" ht="15.75" thickBot="1">
      <c r="B11" s="51"/>
      <c r="C11" s="51"/>
    </row>
    <row r="12" spans="1:12" ht="15.75" thickBot="1">
      <c r="B12" s="486" t="s">
        <v>71</v>
      </c>
      <c r="C12" s="486"/>
      <c r="D12" s="50"/>
    </row>
    <row r="13" spans="1:12">
      <c r="B13" s="51"/>
      <c r="C13" s="51"/>
    </row>
    <row r="14" spans="1:12" ht="15" customHeight="1" thickBot="1">
      <c r="B14" s="492" t="s">
        <v>72</v>
      </c>
      <c r="C14" s="492"/>
    </row>
    <row r="15" spans="1:12" ht="15.75" thickBot="1">
      <c r="B15" s="492"/>
      <c r="C15" s="492"/>
      <c r="D15" s="50"/>
    </row>
    <row r="18" spans="2:20">
      <c r="B18" s="52" t="s">
        <v>73</v>
      </c>
      <c r="F18" s="52" t="s">
        <v>79</v>
      </c>
      <c r="J18" s="52" t="s">
        <v>81</v>
      </c>
      <c r="N18" s="52" t="s">
        <v>82</v>
      </c>
      <c r="R18" s="52" t="s">
        <v>83</v>
      </c>
    </row>
    <row r="19" spans="2:20" ht="15.75" thickBot="1"/>
    <row r="20" spans="2:20" ht="15.75" thickBot="1">
      <c r="B20" s="486" t="s">
        <v>74</v>
      </c>
      <c r="C20" s="486"/>
      <c r="D20" s="53"/>
      <c r="E20" s="51"/>
      <c r="F20" s="51" t="s">
        <v>74</v>
      </c>
      <c r="G20" s="51"/>
      <c r="H20" s="53"/>
      <c r="I20" s="51"/>
      <c r="J20" s="486" t="s">
        <v>74</v>
      </c>
      <c r="K20" s="486"/>
      <c r="L20" s="53"/>
      <c r="M20" s="51"/>
      <c r="N20" s="51" t="s">
        <v>74</v>
      </c>
      <c r="O20" s="51"/>
      <c r="P20" s="53"/>
      <c r="Q20" s="51"/>
      <c r="R20" s="51" t="s">
        <v>74</v>
      </c>
      <c r="S20" s="51"/>
      <c r="T20" s="53"/>
    </row>
    <row r="21" spans="2:20" ht="15.75" thickBot="1"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</row>
    <row r="22" spans="2:20" ht="15.75" thickBot="1">
      <c r="B22" s="51" t="s">
        <v>77</v>
      </c>
      <c r="C22" s="51"/>
      <c r="D22" s="53"/>
      <c r="E22" s="51"/>
      <c r="F22" s="51" t="s">
        <v>77</v>
      </c>
      <c r="G22" s="51"/>
      <c r="H22" s="53"/>
      <c r="I22" s="51"/>
      <c r="J22" s="51" t="s">
        <v>77</v>
      </c>
      <c r="K22" s="51"/>
      <c r="L22" s="53"/>
      <c r="M22" s="51"/>
      <c r="N22" s="51" t="s">
        <v>77</v>
      </c>
      <c r="O22" s="51"/>
      <c r="P22" s="53"/>
      <c r="Q22" s="51"/>
      <c r="R22" s="51" t="s">
        <v>77</v>
      </c>
      <c r="S22" s="51"/>
      <c r="T22" s="53"/>
    </row>
    <row r="23" spans="2:20" ht="15.75" thickBot="1"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</row>
    <row r="24" spans="2:20" ht="15.75" thickBot="1">
      <c r="B24" s="51" t="s">
        <v>76</v>
      </c>
      <c r="C24" s="51"/>
      <c r="D24" s="53"/>
      <c r="E24" s="51"/>
      <c r="F24" s="51" t="s">
        <v>76</v>
      </c>
      <c r="G24" s="51"/>
      <c r="H24" s="53"/>
      <c r="I24" s="51"/>
      <c r="J24" s="51" t="s">
        <v>76</v>
      </c>
      <c r="K24" s="51"/>
      <c r="L24" s="53"/>
      <c r="M24" s="51"/>
      <c r="N24" s="51" t="s">
        <v>76</v>
      </c>
      <c r="O24" s="51"/>
      <c r="P24" s="53"/>
      <c r="Q24" s="51"/>
      <c r="R24" s="51" t="s">
        <v>76</v>
      </c>
      <c r="S24" s="51"/>
      <c r="T24" s="53"/>
    </row>
    <row r="25" spans="2:20" ht="15.75" thickBot="1"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</row>
    <row r="26" spans="2:20" ht="15.75" thickBot="1">
      <c r="B26" s="51" t="s">
        <v>78</v>
      </c>
      <c r="C26" s="51"/>
      <c r="D26" s="53"/>
      <c r="E26" s="51"/>
      <c r="F26" s="51" t="s">
        <v>78</v>
      </c>
      <c r="G26" s="51"/>
      <c r="H26" s="53"/>
      <c r="I26" s="51"/>
      <c r="J26" s="51" t="s">
        <v>78</v>
      </c>
      <c r="K26" s="51"/>
      <c r="L26" s="53"/>
      <c r="M26" s="51"/>
      <c r="N26" s="51" t="s">
        <v>78</v>
      </c>
      <c r="O26" s="51"/>
      <c r="P26" s="53"/>
      <c r="Q26" s="51"/>
      <c r="R26" s="51" t="s">
        <v>78</v>
      </c>
      <c r="S26" s="51"/>
      <c r="T26" s="53"/>
    </row>
    <row r="27" spans="2:20" ht="15.75" thickBot="1"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</row>
    <row r="28" spans="2:20" ht="15.75" thickBot="1">
      <c r="B28" s="51" t="s">
        <v>80</v>
      </c>
      <c r="C28" s="51"/>
      <c r="D28" s="53"/>
      <c r="E28" s="51"/>
      <c r="F28" s="51" t="s">
        <v>80</v>
      </c>
      <c r="G28" s="51"/>
      <c r="H28" s="53"/>
      <c r="I28" s="51"/>
      <c r="J28" s="51" t="s">
        <v>80</v>
      </c>
      <c r="K28" s="51"/>
      <c r="L28" s="53"/>
      <c r="M28" s="51"/>
      <c r="N28" s="51" t="s">
        <v>80</v>
      </c>
      <c r="O28" s="51"/>
      <c r="P28" s="53"/>
      <c r="Q28" s="51"/>
      <c r="R28" s="51" t="s">
        <v>80</v>
      </c>
      <c r="S28" s="51"/>
      <c r="T28" s="53"/>
    </row>
    <row r="29" spans="2:20" ht="15.75" thickBot="1"/>
    <row r="30" spans="2:20" ht="15.75" thickBot="1">
      <c r="B30" t="s">
        <v>92</v>
      </c>
      <c r="D30" s="50"/>
      <c r="F30" t="s">
        <v>92</v>
      </c>
      <c r="H30" s="50"/>
      <c r="J30" t="s">
        <v>92</v>
      </c>
      <c r="L30" s="50"/>
      <c r="N30" t="s">
        <v>92</v>
      </c>
      <c r="P30" s="50"/>
      <c r="R30" t="s">
        <v>92</v>
      </c>
      <c r="T30" s="50"/>
    </row>
    <row r="31" spans="2:20" ht="15.75" thickBot="1"/>
    <row r="32" spans="2:20" ht="15.75" thickBot="1">
      <c r="B32" s="487" t="s">
        <v>85</v>
      </c>
      <c r="C32" s="487"/>
      <c r="D32" s="487"/>
      <c r="F32" s="50"/>
      <c r="G32" s="65" t="s">
        <v>95</v>
      </c>
      <c r="H32" t="s">
        <v>86</v>
      </c>
      <c r="L32" s="50"/>
      <c r="N32" t="s">
        <v>95</v>
      </c>
    </row>
    <row r="34" spans="2:14" ht="15.75" customHeight="1" thickBot="1">
      <c r="B34" s="488" t="s">
        <v>93</v>
      </c>
      <c r="C34" s="488"/>
      <c r="D34" s="488"/>
    </row>
    <row r="35" spans="2:14" ht="15.75" thickBot="1">
      <c r="B35" s="488"/>
      <c r="C35" s="488"/>
      <c r="D35" s="488"/>
      <c r="F35" s="50"/>
      <c r="G35" s="65" t="s">
        <v>94</v>
      </c>
    </row>
    <row r="39" spans="2:14">
      <c r="B39" t="s">
        <v>84</v>
      </c>
    </row>
    <row r="41" spans="2:14"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</row>
    <row r="43" spans="2:14"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</row>
    <row r="45" spans="2:14"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</row>
    <row r="47" spans="2:14"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</row>
  </sheetData>
  <mergeCells count="9">
    <mergeCell ref="B20:C20"/>
    <mergeCell ref="J20:K20"/>
    <mergeCell ref="B32:D32"/>
    <mergeCell ref="B34:D35"/>
    <mergeCell ref="A1:D1"/>
    <mergeCell ref="D6:E6"/>
    <mergeCell ref="B14:C15"/>
    <mergeCell ref="B12:C12"/>
    <mergeCell ref="B10:C10"/>
  </mergeCells>
  <pageMargins left="1.1023622047244095" right="0.78740157480314965" top="1.1023622047244095" bottom="0.74803149606299213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2:G20"/>
  <sheetViews>
    <sheetView topLeftCell="A4" zoomScale="85" zoomScaleNormal="85" workbookViewId="0">
      <selection activeCell="D6" sqref="D6"/>
    </sheetView>
  </sheetViews>
  <sheetFormatPr baseColWidth="10" defaultColWidth="11.42578125" defaultRowHeight="15"/>
  <cols>
    <col min="3" max="3" width="44" customWidth="1"/>
  </cols>
  <sheetData>
    <row r="2" spans="3:7" ht="15.75" thickBot="1"/>
    <row r="3" spans="3:7" ht="45">
      <c r="C3" s="28"/>
      <c r="D3" s="29" t="s">
        <v>24</v>
      </c>
      <c r="E3" s="29" t="s">
        <v>23</v>
      </c>
      <c r="F3" s="29" t="s">
        <v>25</v>
      </c>
      <c r="G3" s="30" t="s">
        <v>33</v>
      </c>
    </row>
    <row r="4" spans="3:7" ht="30.75">
      <c r="C4" s="27" t="s">
        <v>41</v>
      </c>
      <c r="D4" s="13">
        <v>580</v>
      </c>
      <c r="E4" s="13">
        <v>300</v>
      </c>
      <c r="F4" s="13">
        <v>184</v>
      </c>
      <c r="G4" s="8">
        <v>600</v>
      </c>
    </row>
    <row r="5" spans="3:7" ht="15.75">
      <c r="C5" s="16" t="s">
        <v>22</v>
      </c>
      <c r="D5" s="13"/>
      <c r="E5" s="13"/>
      <c r="F5" s="13"/>
      <c r="G5" s="8"/>
    </row>
    <row r="6" spans="3:7" ht="30.75">
      <c r="C6" s="16" t="s">
        <v>40</v>
      </c>
      <c r="D6" s="13"/>
      <c r="E6" s="13"/>
      <c r="F6" s="13"/>
      <c r="G6" s="8"/>
    </row>
    <row r="7" spans="3:7" ht="31.5">
      <c r="C7" s="17" t="s">
        <v>34</v>
      </c>
      <c r="D7" s="13">
        <f>SUM(D8:D12)</f>
        <v>810</v>
      </c>
      <c r="E7" s="13">
        <f>AVERAGE(E8:E12)</f>
        <v>114</v>
      </c>
      <c r="F7" s="13">
        <f>SUM(F8:F12)</f>
        <v>450</v>
      </c>
      <c r="G7" s="8">
        <f>SUM(G8:G12)</f>
        <v>800</v>
      </c>
    </row>
    <row r="8" spans="3:7" ht="30.75">
      <c r="C8" s="18" t="s">
        <v>31</v>
      </c>
      <c r="D8" s="13">
        <v>170</v>
      </c>
      <c r="E8" s="13">
        <v>130</v>
      </c>
      <c r="F8" s="13">
        <v>100</v>
      </c>
      <c r="G8" s="8">
        <v>170</v>
      </c>
    </row>
    <row r="9" spans="3:7" ht="30.75">
      <c r="C9" s="18" t="s">
        <v>30</v>
      </c>
      <c r="D9" s="13">
        <v>200</v>
      </c>
      <c r="E9" s="13">
        <v>130</v>
      </c>
      <c r="F9" s="13">
        <v>90</v>
      </c>
      <c r="G9" s="8">
        <v>180</v>
      </c>
    </row>
    <row r="10" spans="3:7" ht="30.75">
      <c r="C10" s="18" t="s">
        <v>29</v>
      </c>
      <c r="D10" s="13">
        <v>160</v>
      </c>
      <c r="E10" s="13">
        <v>120</v>
      </c>
      <c r="F10" s="13">
        <v>110</v>
      </c>
      <c r="G10" s="8">
        <v>170</v>
      </c>
    </row>
    <row r="11" spans="3:7" ht="30.75">
      <c r="C11" s="18" t="s">
        <v>27</v>
      </c>
      <c r="D11" s="13">
        <v>180</v>
      </c>
      <c r="E11" s="13">
        <v>120</v>
      </c>
      <c r="F11" s="13">
        <v>100</v>
      </c>
      <c r="G11" s="8">
        <v>170</v>
      </c>
    </row>
    <row r="12" spans="3:7" ht="30.75">
      <c r="C12" s="18" t="s">
        <v>28</v>
      </c>
      <c r="D12" s="13">
        <v>100</v>
      </c>
      <c r="E12" s="13">
        <v>70</v>
      </c>
      <c r="F12" s="13">
        <v>50</v>
      </c>
      <c r="G12" s="8">
        <v>110</v>
      </c>
    </row>
    <row r="13" spans="3:7" ht="31.5">
      <c r="C13" s="19" t="s">
        <v>32</v>
      </c>
      <c r="D13" s="13">
        <v>14</v>
      </c>
      <c r="E13" s="13">
        <v>6</v>
      </c>
      <c r="F13" s="13">
        <v>2</v>
      </c>
      <c r="G13" s="8">
        <v>5</v>
      </c>
    </row>
    <row r="14" spans="3:7" ht="31.5">
      <c r="C14" s="20" t="s">
        <v>26</v>
      </c>
      <c r="D14" s="13">
        <f>SUM(D15:D19)</f>
        <v>36</v>
      </c>
      <c r="E14" s="14">
        <f>AVERAGE(E15:E19)</f>
        <v>4.5999999999999996</v>
      </c>
      <c r="F14" s="13">
        <f>SUM(F15:F19)</f>
        <v>15</v>
      </c>
      <c r="G14" s="21">
        <f>SUM(G15:G19)</f>
        <v>26</v>
      </c>
    </row>
    <row r="15" spans="3:7" ht="30.75">
      <c r="C15" s="22" t="s">
        <v>35</v>
      </c>
      <c r="D15" s="13">
        <v>8</v>
      </c>
      <c r="E15" s="13">
        <v>6</v>
      </c>
      <c r="F15" s="13">
        <v>4</v>
      </c>
      <c r="G15" s="23">
        <v>5</v>
      </c>
    </row>
    <row r="16" spans="3:7" ht="30.75">
      <c r="C16" s="22" t="s">
        <v>36</v>
      </c>
      <c r="D16" s="13">
        <v>10</v>
      </c>
      <c r="E16" s="13">
        <v>4</v>
      </c>
      <c r="F16" s="13">
        <v>3</v>
      </c>
      <c r="G16" s="23">
        <v>7</v>
      </c>
    </row>
    <row r="17" spans="3:7" ht="30.75">
      <c r="C17" s="22" t="s">
        <v>37</v>
      </c>
      <c r="D17" s="13">
        <v>6</v>
      </c>
      <c r="E17" s="13">
        <v>4</v>
      </c>
      <c r="F17" s="13">
        <v>2</v>
      </c>
      <c r="G17" s="23">
        <v>4</v>
      </c>
    </row>
    <row r="18" spans="3:7" ht="30.75">
      <c r="C18" s="22" t="s">
        <v>38</v>
      </c>
      <c r="D18" s="13">
        <v>5</v>
      </c>
      <c r="E18" s="13">
        <v>4</v>
      </c>
      <c r="F18" s="13">
        <v>2</v>
      </c>
      <c r="G18" s="23">
        <v>4</v>
      </c>
    </row>
    <row r="19" spans="3:7" ht="31.5" thickBot="1">
      <c r="C19" s="24" t="s">
        <v>39</v>
      </c>
      <c r="D19" s="25">
        <v>7</v>
      </c>
      <c r="E19" s="25">
        <v>5</v>
      </c>
      <c r="F19" s="25">
        <v>4</v>
      </c>
      <c r="G19" s="26">
        <v>6</v>
      </c>
    </row>
    <row r="20" spans="3:7" ht="15.75">
      <c r="C20" s="15"/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D3:F11"/>
  <sheetViews>
    <sheetView topLeftCell="A4" zoomScale="85" zoomScaleNormal="85" workbookViewId="0">
      <selection activeCell="D4" sqref="D4:F11"/>
    </sheetView>
  </sheetViews>
  <sheetFormatPr baseColWidth="10" defaultColWidth="11.42578125" defaultRowHeight="15"/>
  <cols>
    <col min="4" max="4" width="43.140625" customWidth="1"/>
    <col min="5" max="5" width="33.140625" customWidth="1"/>
    <col min="6" max="6" width="26.7109375" customWidth="1"/>
  </cols>
  <sheetData>
    <row r="3" spans="4:6" ht="15.75" thickBot="1"/>
    <row r="4" spans="4:6" ht="38.25" thickBot="1">
      <c r="D4" s="59" t="s">
        <v>0</v>
      </c>
      <c r="E4" s="60" t="s">
        <v>17</v>
      </c>
      <c r="F4" s="61" t="s">
        <v>20</v>
      </c>
    </row>
    <row r="5" spans="4:6" ht="30">
      <c r="D5" s="62" t="s">
        <v>42</v>
      </c>
      <c r="E5" s="40" t="s">
        <v>18</v>
      </c>
      <c r="F5" s="42" t="s">
        <v>63</v>
      </c>
    </row>
    <row r="6" spans="4:6" ht="47.25" customHeight="1">
      <c r="D6" s="63" t="s">
        <v>43</v>
      </c>
      <c r="E6" s="1" t="s">
        <v>18</v>
      </c>
      <c r="F6" s="33" t="s">
        <v>63</v>
      </c>
    </row>
    <row r="7" spans="4:6" ht="47.25" customHeight="1">
      <c r="D7" s="63" t="s">
        <v>44</v>
      </c>
      <c r="E7" s="1" t="s">
        <v>18</v>
      </c>
      <c r="F7" s="33" t="s">
        <v>63</v>
      </c>
    </row>
    <row r="8" spans="4:6" ht="44.25" customHeight="1">
      <c r="D8" s="63" t="s">
        <v>45</v>
      </c>
      <c r="E8" s="1" t="s">
        <v>18</v>
      </c>
      <c r="F8" s="33" t="s">
        <v>63</v>
      </c>
    </row>
    <row r="9" spans="4:6" ht="65.25" customHeight="1">
      <c r="D9" s="63" t="s">
        <v>46</v>
      </c>
      <c r="E9" s="12" t="s">
        <v>61</v>
      </c>
      <c r="F9" s="33" t="s">
        <v>63</v>
      </c>
    </row>
    <row r="10" spans="4:6" ht="48" customHeight="1">
      <c r="D10" s="63" t="s">
        <v>47</v>
      </c>
      <c r="E10" s="12" t="s">
        <v>61</v>
      </c>
      <c r="F10" s="33" t="s">
        <v>63</v>
      </c>
    </row>
    <row r="11" spans="4:6" ht="42.75" customHeight="1" thickBot="1">
      <c r="D11" s="64" t="s">
        <v>48</v>
      </c>
      <c r="E11" s="36" t="s">
        <v>62</v>
      </c>
      <c r="F11" s="37" t="s">
        <v>9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3:U49"/>
  <sheetViews>
    <sheetView topLeftCell="C2" zoomScale="70" zoomScaleNormal="70" workbookViewId="0">
      <selection activeCell="D6" sqref="D6:Q18"/>
    </sheetView>
  </sheetViews>
  <sheetFormatPr baseColWidth="10" defaultRowHeight="15"/>
  <cols>
    <col min="2" max="2" width="26.7109375" customWidth="1"/>
    <col min="3" max="3" width="12.42578125" customWidth="1"/>
    <col min="4" max="4" width="29" customWidth="1"/>
    <col min="17" max="17" width="27.28515625" customWidth="1"/>
  </cols>
  <sheetData>
    <row r="3" spans="2:21">
      <c r="C3" t="s">
        <v>177</v>
      </c>
    </row>
    <row r="6" spans="2:21">
      <c r="E6" s="493" t="s">
        <v>130</v>
      </c>
      <c r="F6" s="493" t="s">
        <v>131</v>
      </c>
      <c r="G6" s="493" t="s">
        <v>132</v>
      </c>
      <c r="H6" s="493" t="s">
        <v>133</v>
      </c>
      <c r="I6" s="493" t="s">
        <v>134</v>
      </c>
      <c r="J6" s="493" t="s">
        <v>135</v>
      </c>
      <c r="K6" s="493" t="s">
        <v>136</v>
      </c>
      <c r="L6" s="493" t="s">
        <v>137</v>
      </c>
      <c r="M6" s="493" t="s">
        <v>183</v>
      </c>
      <c r="N6" s="493" t="s">
        <v>139</v>
      </c>
      <c r="O6" s="493" t="s">
        <v>140</v>
      </c>
      <c r="P6" s="493" t="s">
        <v>141</v>
      </c>
    </row>
    <row r="7" spans="2:21" ht="15.75" customHeight="1" thickBot="1">
      <c r="C7" t="s">
        <v>117</v>
      </c>
      <c r="E7" s="493"/>
      <c r="F7" s="493"/>
      <c r="G7" s="493"/>
      <c r="H7" s="493"/>
      <c r="I7" s="493"/>
      <c r="J7" s="493"/>
      <c r="K7" s="493"/>
      <c r="L7" s="493"/>
      <c r="M7" s="493"/>
      <c r="N7" s="493"/>
      <c r="O7" s="493"/>
      <c r="P7" s="493"/>
    </row>
    <row r="8" spans="2:21" ht="15" customHeight="1">
      <c r="B8" s="68" t="s">
        <v>97</v>
      </c>
      <c r="C8" s="69">
        <v>2</v>
      </c>
      <c r="E8" s="493"/>
      <c r="F8" s="493"/>
      <c r="G8" s="493"/>
      <c r="H8" s="493"/>
      <c r="I8" s="493"/>
      <c r="J8" s="493"/>
      <c r="K8" s="493"/>
      <c r="L8" s="493"/>
      <c r="M8" s="493"/>
      <c r="N8" s="493"/>
      <c r="O8" s="493"/>
      <c r="P8" s="493"/>
    </row>
    <row r="9" spans="2:21" ht="15" customHeight="1">
      <c r="B9" s="70" t="s">
        <v>98</v>
      </c>
      <c r="C9" s="8">
        <v>5</v>
      </c>
      <c r="E9" s="493"/>
      <c r="F9" s="493"/>
      <c r="G9" s="493"/>
      <c r="H9" s="493"/>
      <c r="I9" s="493"/>
      <c r="J9" s="493"/>
      <c r="K9" s="493"/>
      <c r="L9" s="493"/>
      <c r="M9" s="493"/>
      <c r="N9" s="493"/>
      <c r="O9" s="493"/>
      <c r="P9" s="493"/>
    </row>
    <row r="10" spans="2:21">
      <c r="B10" s="70" t="s">
        <v>99</v>
      </c>
      <c r="C10" s="8">
        <v>4</v>
      </c>
      <c r="E10" s="493"/>
      <c r="F10" s="493"/>
      <c r="G10" s="493"/>
      <c r="H10" s="493"/>
      <c r="I10" s="493"/>
      <c r="J10" s="493"/>
      <c r="K10" s="493"/>
      <c r="L10" s="493"/>
      <c r="M10" s="493"/>
      <c r="N10" s="493"/>
      <c r="O10" s="493"/>
      <c r="P10" s="493"/>
    </row>
    <row r="11" spans="2:21" ht="15.75" thickBot="1">
      <c r="B11" s="70"/>
      <c r="C11" s="8">
        <f>C10*C9*C8</f>
        <v>40</v>
      </c>
      <c r="E11" s="494"/>
      <c r="F11" s="494"/>
      <c r="G11" s="494"/>
      <c r="H11" s="494"/>
      <c r="I11" s="494"/>
      <c r="J11" s="494"/>
      <c r="K11" s="494"/>
      <c r="L11" s="494"/>
      <c r="M11" s="494"/>
      <c r="N11" s="494"/>
      <c r="O11" s="494"/>
      <c r="P11" s="494"/>
    </row>
    <row r="12" spans="2:21" ht="32.25" customHeight="1">
      <c r="B12" s="70" t="s">
        <v>174</v>
      </c>
      <c r="C12" s="172"/>
      <c r="D12" s="193" t="s">
        <v>184</v>
      </c>
      <c r="E12" s="194">
        <v>3053.1848</v>
      </c>
      <c r="F12" s="195">
        <v>2466.4440000000004</v>
      </c>
      <c r="G12" s="195">
        <v>2375.7712000000001</v>
      </c>
      <c r="H12" s="195">
        <v>888.00959999999998</v>
      </c>
      <c r="I12" s="195">
        <v>2658.3288000000002</v>
      </c>
      <c r="J12" s="195">
        <v>1415.2752</v>
      </c>
      <c r="K12" s="195">
        <v>1539.3520000000001</v>
      </c>
      <c r="L12" s="195">
        <v>1779.7104000000002</v>
      </c>
      <c r="M12" s="195">
        <v>1118.2560000000001</v>
      </c>
      <c r="N12" s="195">
        <v>1314.9120000000003</v>
      </c>
      <c r="O12" s="195">
        <v>2417.7203999999997</v>
      </c>
      <c r="P12" s="196">
        <v>1226.0447999999999</v>
      </c>
      <c r="Q12" s="481" t="s">
        <v>235</v>
      </c>
    </row>
    <row r="13" spans="2:21" ht="47.25" customHeight="1" thickBot="1">
      <c r="B13" s="71" t="s">
        <v>100</v>
      </c>
      <c r="C13" s="172">
        <v>1100</v>
      </c>
      <c r="D13" s="193" t="s">
        <v>178</v>
      </c>
      <c r="E13" s="197">
        <v>19373</v>
      </c>
      <c r="F13" s="183">
        <v>18554</v>
      </c>
      <c r="G13" s="183">
        <v>13148</v>
      </c>
      <c r="H13" s="183">
        <v>3852</v>
      </c>
      <c r="I13" s="183">
        <v>20997</v>
      </c>
      <c r="J13" s="183">
        <v>7968</v>
      </c>
      <c r="K13" s="183">
        <v>10112</v>
      </c>
      <c r="L13" s="183">
        <v>13110</v>
      </c>
      <c r="M13" s="183">
        <v>9108</v>
      </c>
      <c r="N13" s="183">
        <v>11532</v>
      </c>
      <c r="O13" s="183">
        <v>14621</v>
      </c>
      <c r="P13" s="184">
        <v>5748</v>
      </c>
      <c r="Q13" s="482" t="s">
        <v>238</v>
      </c>
    </row>
    <row r="14" spans="2:21" ht="51.75" customHeight="1">
      <c r="B14" s="71" t="s">
        <v>122</v>
      </c>
      <c r="C14" s="172"/>
      <c r="D14" s="193" t="s">
        <v>179</v>
      </c>
      <c r="E14" s="198">
        <v>2278.2647999999999</v>
      </c>
      <c r="F14" s="185">
        <v>1909.8240000000003</v>
      </c>
      <c r="G14" s="185">
        <v>1718.3712000000003</v>
      </c>
      <c r="H14" s="185">
        <v>810.96960000000001</v>
      </c>
      <c r="I14" s="185">
        <v>1818.4488000000001</v>
      </c>
      <c r="J14" s="185">
        <v>1176.2352000000001</v>
      </c>
      <c r="K14" s="185">
        <v>1337.1120000000001</v>
      </c>
      <c r="L14" s="185">
        <v>1517.5104000000001</v>
      </c>
      <c r="M14" s="185">
        <v>936.096</v>
      </c>
      <c r="N14" s="185">
        <v>1084.2720000000002</v>
      </c>
      <c r="O14" s="185">
        <v>1979.0904</v>
      </c>
      <c r="P14" s="186">
        <v>1111.0848000000001</v>
      </c>
      <c r="Q14" s="481" t="s">
        <v>235</v>
      </c>
      <c r="R14" s="77"/>
    </row>
    <row r="15" spans="2:21" ht="60" customHeight="1" thickBot="1">
      <c r="B15" s="71" t="s">
        <v>121</v>
      </c>
      <c r="C15" s="172"/>
      <c r="D15" s="193" t="s">
        <v>180</v>
      </c>
      <c r="E15" s="199">
        <f t="shared" ref="E15:P15" si="0">E19*E16</f>
        <v>774.92000000000007</v>
      </c>
      <c r="F15" s="187">
        <f t="shared" si="0"/>
        <v>556.62</v>
      </c>
      <c r="G15" s="187">
        <f t="shared" si="0"/>
        <v>657.40000000000009</v>
      </c>
      <c r="H15" s="187">
        <f t="shared" si="0"/>
        <v>77.040000000000006</v>
      </c>
      <c r="I15" s="187">
        <f t="shared" si="0"/>
        <v>839.88</v>
      </c>
      <c r="J15" s="187">
        <f t="shared" si="0"/>
        <v>239.04</v>
      </c>
      <c r="K15" s="187">
        <f t="shared" si="0"/>
        <v>202.24</v>
      </c>
      <c r="L15" s="187">
        <f t="shared" si="0"/>
        <v>262.2</v>
      </c>
      <c r="M15" s="187">
        <f t="shared" si="0"/>
        <v>182.16</v>
      </c>
      <c r="N15" s="187">
        <f t="shared" si="0"/>
        <v>230.64000000000001</v>
      </c>
      <c r="O15" s="187">
        <f t="shared" si="0"/>
        <v>438.63</v>
      </c>
      <c r="P15" s="188">
        <f t="shared" si="0"/>
        <v>114.96000000000001</v>
      </c>
      <c r="Q15" s="481" t="s">
        <v>235</v>
      </c>
      <c r="R15" s="77"/>
    </row>
    <row r="16" spans="2:21" ht="51" customHeight="1">
      <c r="B16" s="72" t="s">
        <v>101</v>
      </c>
      <c r="C16" s="173">
        <f>C11/C13</f>
        <v>3.6363636363636362E-2</v>
      </c>
      <c r="D16" s="193" t="s">
        <v>185</v>
      </c>
      <c r="E16" s="200">
        <v>0.04</v>
      </c>
      <c r="F16" s="189">
        <v>0.03</v>
      </c>
      <c r="G16" s="189">
        <v>0.05</v>
      </c>
      <c r="H16" s="189">
        <v>0.02</v>
      </c>
      <c r="I16" s="189">
        <v>0.04</v>
      </c>
      <c r="J16" s="189">
        <v>0.03</v>
      </c>
      <c r="K16" s="189">
        <v>0.02</v>
      </c>
      <c r="L16" s="189">
        <v>0.02</v>
      </c>
      <c r="M16" s="189">
        <v>0.02</v>
      </c>
      <c r="N16" s="189">
        <v>0.02</v>
      </c>
      <c r="O16" s="189">
        <v>0.03</v>
      </c>
      <c r="P16" s="190">
        <v>0.02</v>
      </c>
      <c r="Q16" s="480" t="s">
        <v>237</v>
      </c>
      <c r="R16" s="77"/>
      <c r="S16" s="168">
        <f t="shared" ref="S16:S17" si="1">MIN(E16:P16)</f>
        <v>0.02</v>
      </c>
      <c r="T16" s="164">
        <f t="shared" ref="T16:T17" si="2">MAX(E16:P16)</f>
        <v>0.05</v>
      </c>
      <c r="U16" s="165">
        <f t="shared" ref="U16" si="3">AVERAGE(E16:P16)</f>
        <v>2.8333333333333339E-2</v>
      </c>
    </row>
    <row r="17" spans="2:21" ht="47.25" customHeight="1" thickBot="1">
      <c r="B17" s="73" t="s">
        <v>102</v>
      </c>
      <c r="C17" s="172">
        <v>0.112</v>
      </c>
      <c r="D17" s="193" t="s">
        <v>181</v>
      </c>
      <c r="E17" s="201">
        <f>E14/E13</f>
        <v>0.1176</v>
      </c>
      <c r="F17" s="191">
        <f t="shared" ref="F17:P17" si="4">F14/F13</f>
        <v>0.1029332758434839</v>
      </c>
      <c r="G17" s="191">
        <f t="shared" si="4"/>
        <v>0.13069449345908124</v>
      </c>
      <c r="H17" s="191">
        <f t="shared" si="4"/>
        <v>0.21053208722741434</v>
      </c>
      <c r="I17" s="191">
        <f t="shared" si="4"/>
        <v>8.6605172167452504E-2</v>
      </c>
      <c r="J17" s="191">
        <f t="shared" si="4"/>
        <v>0.14761987951807229</v>
      </c>
      <c r="K17" s="191">
        <f t="shared" si="4"/>
        <v>0.13223022151898736</v>
      </c>
      <c r="L17" s="191">
        <f t="shared" si="4"/>
        <v>0.1157521281464531</v>
      </c>
      <c r="M17" s="191">
        <f t="shared" si="4"/>
        <v>0.10277733860342556</v>
      </c>
      <c r="N17" s="191">
        <f t="shared" si="4"/>
        <v>9.4022892819979206E-2</v>
      </c>
      <c r="O17" s="191">
        <f t="shared" si="4"/>
        <v>0.13535944189863894</v>
      </c>
      <c r="P17" s="192">
        <f t="shared" si="4"/>
        <v>0.19329937369519834</v>
      </c>
      <c r="Q17" s="477" t="s">
        <v>236</v>
      </c>
      <c r="R17" s="77"/>
      <c r="S17" s="169">
        <f t="shared" si="1"/>
        <v>8.6605172167452504E-2</v>
      </c>
      <c r="T17" s="166">
        <f t="shared" si="2"/>
        <v>0.21053208722741434</v>
      </c>
      <c r="U17" s="75">
        <f>AVERAGE(E17:P17)</f>
        <v>0.13078552540818225</v>
      </c>
    </row>
    <row r="18" spans="2:21" ht="97.5" customHeight="1" thickBot="1">
      <c r="B18" s="74" t="s">
        <v>103</v>
      </c>
      <c r="C18" s="174">
        <f>C16+C17</f>
        <v>0.14836363636363636</v>
      </c>
      <c r="D18" s="193" t="s">
        <v>182</v>
      </c>
      <c r="E18" s="205">
        <f>E17+E16</f>
        <v>0.15759999999999999</v>
      </c>
      <c r="F18" s="206">
        <f t="shared" ref="F18:P18" si="5">F17+F16</f>
        <v>0.13293327584348391</v>
      </c>
      <c r="G18" s="206">
        <f t="shared" si="5"/>
        <v>0.18069449345908123</v>
      </c>
      <c r="H18" s="206">
        <f t="shared" si="5"/>
        <v>0.23053208722741433</v>
      </c>
      <c r="I18" s="206">
        <f t="shared" si="5"/>
        <v>0.12660517216745251</v>
      </c>
      <c r="J18" s="206">
        <f t="shared" si="5"/>
        <v>0.17761987951807229</v>
      </c>
      <c r="K18" s="206">
        <f t="shared" si="5"/>
        <v>0.15223022151898735</v>
      </c>
      <c r="L18" s="206">
        <f t="shared" si="5"/>
        <v>0.1357521281464531</v>
      </c>
      <c r="M18" s="206">
        <f t="shared" si="5"/>
        <v>0.12277733860342556</v>
      </c>
      <c r="N18" s="206">
        <f t="shared" si="5"/>
        <v>0.11402289281997921</v>
      </c>
      <c r="O18" s="206">
        <f t="shared" si="5"/>
        <v>0.16535944189863894</v>
      </c>
      <c r="P18" s="207">
        <f t="shared" si="5"/>
        <v>0.21329937369519833</v>
      </c>
      <c r="Q18" s="478" t="s">
        <v>173</v>
      </c>
      <c r="R18" s="167"/>
      <c r="S18" s="168">
        <f>MIN(E18:P18)</f>
        <v>0.11402289281997921</v>
      </c>
      <c r="T18" s="164">
        <f>MAX(E18:P18)</f>
        <v>0.23053208722741433</v>
      </c>
      <c r="U18" s="165">
        <f>AVERAGE(E18:P18)</f>
        <v>0.15911885874151552</v>
      </c>
    </row>
    <row r="19" spans="2:21" ht="124.5" customHeight="1" thickBot="1">
      <c r="B19" s="76" t="s">
        <v>104</v>
      </c>
      <c r="E19" s="202">
        <v>19373</v>
      </c>
      <c r="F19" s="203">
        <v>18554</v>
      </c>
      <c r="G19" s="203">
        <v>13148</v>
      </c>
      <c r="H19" s="203">
        <v>3852</v>
      </c>
      <c r="I19" s="203">
        <v>20997</v>
      </c>
      <c r="J19" s="203">
        <v>7968</v>
      </c>
      <c r="K19" s="203">
        <v>10112</v>
      </c>
      <c r="L19" s="203">
        <v>13110</v>
      </c>
      <c r="M19" s="203">
        <v>9108</v>
      </c>
      <c r="N19" s="203">
        <v>11532</v>
      </c>
      <c r="O19" s="203">
        <v>14621</v>
      </c>
      <c r="P19" s="204">
        <v>5748</v>
      </c>
      <c r="Q19" s="479" t="s">
        <v>175</v>
      </c>
      <c r="R19" s="167"/>
      <c r="S19" s="92" t="s">
        <v>118</v>
      </c>
      <c r="T19" s="25" t="s">
        <v>119</v>
      </c>
      <c r="U19" s="99" t="s">
        <v>120</v>
      </c>
    </row>
    <row r="20" spans="2:21"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</row>
    <row r="21" spans="2:21">
      <c r="B21" s="76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</row>
    <row r="25" spans="2:21">
      <c r="E25" s="316">
        <f>E18-$U$18</f>
        <v>-1.5188587415155275E-3</v>
      </c>
      <c r="F25" s="316">
        <f t="shared" ref="F25:P25" si="6">F18-$U$18</f>
        <v>-2.6185582898031606E-2</v>
      </c>
      <c r="G25" s="316">
        <f t="shared" si="6"/>
        <v>2.1575634717565711E-2</v>
      </c>
      <c r="H25" s="316">
        <f t="shared" si="6"/>
        <v>7.1413228485898816E-2</v>
      </c>
      <c r="I25" s="316">
        <f t="shared" si="6"/>
        <v>-3.2513686574063005E-2</v>
      </c>
      <c r="J25" s="316">
        <f t="shared" si="6"/>
        <v>1.850102077655677E-2</v>
      </c>
      <c r="K25" s="316">
        <f t="shared" si="6"/>
        <v>-6.8886372225281656E-3</v>
      </c>
      <c r="L25" s="316">
        <f t="shared" si="6"/>
        <v>-2.3366730595062418E-2</v>
      </c>
      <c r="M25" s="316">
        <f t="shared" si="6"/>
        <v>-3.6341520138089958E-2</v>
      </c>
      <c r="N25" s="316">
        <f t="shared" si="6"/>
        <v>-4.5095965921536307E-2</v>
      </c>
      <c r="O25" s="316">
        <f t="shared" si="6"/>
        <v>6.2405831571234194E-3</v>
      </c>
      <c r="P25" s="316">
        <f t="shared" si="6"/>
        <v>5.4180514953682812E-2</v>
      </c>
    </row>
    <row r="27" spans="2:21">
      <c r="E27" s="308">
        <f>E25/$U$18</f>
        <v>-9.5454351139035911E-3</v>
      </c>
      <c r="F27" s="308">
        <f t="shared" ref="F27:P27" si="7">F25/$U$18</f>
        <v>-0.16456618093628619</v>
      </c>
      <c r="G27" s="308">
        <f t="shared" si="7"/>
        <v>0.13559445365690295</v>
      </c>
      <c r="H27" s="308">
        <f t="shared" si="7"/>
        <v>0.44880430296391055</v>
      </c>
      <c r="I27" s="308">
        <f t="shared" si="7"/>
        <v>-0.20433584573957164</v>
      </c>
      <c r="J27" s="308">
        <f t="shared" si="7"/>
        <v>0.1162717035735607</v>
      </c>
      <c r="K27" s="308">
        <f t="shared" si="7"/>
        <v>-4.3292399637673236E-2</v>
      </c>
      <c r="L27" s="308">
        <f t="shared" si="7"/>
        <v>-0.14685079304786286</v>
      </c>
      <c r="M27" s="308">
        <f t="shared" si="7"/>
        <v>-0.22839228753598478</v>
      </c>
      <c r="N27" s="308">
        <f t="shared" si="7"/>
        <v>-0.28341056665566927</v>
      </c>
      <c r="O27" s="308">
        <f t="shared" si="7"/>
        <v>3.9219632458909762E-2</v>
      </c>
      <c r="P27" s="308">
        <f t="shared" si="7"/>
        <v>0.34050341601367101</v>
      </c>
      <c r="Q27" s="133"/>
    </row>
    <row r="29" spans="2:21">
      <c r="E29" s="82"/>
    </row>
    <row r="30" spans="2:21" ht="15.75" thickBot="1"/>
    <row r="31" spans="2:21">
      <c r="I31" s="495" t="s">
        <v>233</v>
      </c>
      <c r="J31" s="496"/>
      <c r="K31" s="496"/>
      <c r="L31" s="496"/>
      <c r="M31" s="497"/>
    </row>
    <row r="32" spans="2:21" ht="29.25" customHeight="1">
      <c r="I32" s="498"/>
      <c r="J32" s="499"/>
      <c r="K32" s="499"/>
      <c r="L32" s="499"/>
      <c r="M32" s="500"/>
    </row>
    <row r="33" spans="7:13" ht="15" customHeight="1">
      <c r="I33" s="501" t="s">
        <v>203</v>
      </c>
      <c r="J33" s="502"/>
      <c r="K33" s="502"/>
      <c r="L33" s="502"/>
      <c r="M33" s="507">
        <v>0.03</v>
      </c>
    </row>
    <row r="34" spans="7:13" ht="15" customHeight="1">
      <c r="I34" s="501"/>
      <c r="J34" s="502"/>
      <c r="K34" s="502"/>
      <c r="L34" s="502"/>
      <c r="M34" s="507"/>
    </row>
    <row r="35" spans="7:13" ht="15" customHeight="1">
      <c r="I35" s="501"/>
      <c r="J35" s="502"/>
      <c r="K35" s="502"/>
      <c r="L35" s="502"/>
      <c r="M35" s="507"/>
    </row>
    <row r="36" spans="7:13" ht="15" customHeight="1">
      <c r="I36" s="501" t="s">
        <v>202</v>
      </c>
      <c r="J36" s="502"/>
      <c r="K36" s="502"/>
      <c r="L36" s="502"/>
      <c r="M36" s="507">
        <v>0.13100000000000001</v>
      </c>
    </row>
    <row r="37" spans="7:13">
      <c r="I37" s="501"/>
      <c r="J37" s="502"/>
      <c r="K37" s="502"/>
      <c r="L37" s="502"/>
      <c r="M37" s="507"/>
    </row>
    <row r="38" spans="7:13">
      <c r="I38" s="501"/>
      <c r="J38" s="502"/>
      <c r="K38" s="502"/>
      <c r="L38" s="502"/>
      <c r="M38" s="507"/>
    </row>
    <row r="39" spans="7:13" ht="15" customHeight="1">
      <c r="I39" s="501" t="s">
        <v>201</v>
      </c>
      <c r="J39" s="502"/>
      <c r="K39" s="502"/>
      <c r="L39" s="502"/>
      <c r="M39" s="505">
        <v>0.15911885874151552</v>
      </c>
    </row>
    <row r="40" spans="7:13" ht="15" customHeight="1">
      <c r="I40" s="501"/>
      <c r="J40" s="502"/>
      <c r="K40" s="502"/>
      <c r="L40" s="502"/>
      <c r="M40" s="505"/>
    </row>
    <row r="41" spans="7:13" ht="9.75" customHeight="1" thickBot="1">
      <c r="I41" s="503"/>
      <c r="J41" s="504"/>
      <c r="K41" s="504"/>
      <c r="L41" s="504"/>
      <c r="M41" s="506"/>
    </row>
    <row r="46" spans="7:13" ht="15" customHeight="1"/>
    <row r="47" spans="7:13" ht="15" customHeight="1"/>
    <row r="48" spans="7:13" ht="15" customHeight="1">
      <c r="G48" s="215"/>
      <c r="H48" s="215"/>
      <c r="I48" s="215"/>
    </row>
    <row r="49" spans="7:9" ht="15" customHeight="1">
      <c r="G49" s="215"/>
      <c r="H49" s="215"/>
      <c r="I49" s="215"/>
    </row>
  </sheetData>
  <mergeCells count="19">
    <mergeCell ref="I31:M32"/>
    <mergeCell ref="I36:L38"/>
    <mergeCell ref="I33:L35"/>
    <mergeCell ref="I39:L41"/>
    <mergeCell ref="M39:M41"/>
    <mergeCell ref="M36:M38"/>
    <mergeCell ref="M33:M35"/>
    <mergeCell ref="E6:E11"/>
    <mergeCell ref="O6:O11"/>
    <mergeCell ref="N6:N11"/>
    <mergeCell ref="M6:M11"/>
    <mergeCell ref="P6:P11"/>
    <mergeCell ref="L6:L11"/>
    <mergeCell ref="K6:K11"/>
    <mergeCell ref="J6:J11"/>
    <mergeCell ref="I6:I11"/>
    <mergeCell ref="H6:H11"/>
    <mergeCell ref="G6:G11"/>
    <mergeCell ref="F6:F11"/>
  </mergeCells>
  <pageMargins left="0.7" right="0.7" top="0.75" bottom="0.75" header="0.3" footer="0.3"/>
  <pageSetup paperSize="9" scale="55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X33"/>
  <sheetViews>
    <sheetView topLeftCell="A13" zoomScale="55" zoomScaleNormal="55" workbookViewId="0">
      <selection activeCell="D11" sqref="D11"/>
    </sheetView>
  </sheetViews>
  <sheetFormatPr baseColWidth="10" defaultRowHeight="15"/>
  <cols>
    <col min="2" max="2" width="15.42578125" customWidth="1"/>
    <col min="4" max="4" width="23.28515625" customWidth="1"/>
    <col min="17" max="17" width="15.140625" customWidth="1"/>
    <col min="23" max="23" width="14.140625" customWidth="1"/>
  </cols>
  <sheetData>
    <row r="1" spans="2:20">
      <c r="E1" s="493" t="s">
        <v>130</v>
      </c>
      <c r="F1" s="493" t="s">
        <v>131</v>
      </c>
      <c r="G1" s="493" t="s">
        <v>132</v>
      </c>
      <c r="H1" s="493" t="s">
        <v>133</v>
      </c>
      <c r="I1" s="493" t="s">
        <v>134</v>
      </c>
      <c r="J1" s="493" t="s">
        <v>135</v>
      </c>
      <c r="K1" s="493" t="s">
        <v>136</v>
      </c>
      <c r="L1" s="493" t="s">
        <v>137</v>
      </c>
      <c r="M1" s="493" t="s">
        <v>183</v>
      </c>
      <c r="N1" s="493" t="s">
        <v>139</v>
      </c>
      <c r="O1" s="493" t="s">
        <v>140</v>
      </c>
      <c r="P1" s="493" t="s">
        <v>141</v>
      </c>
    </row>
    <row r="2" spans="2:20">
      <c r="B2" s="170" t="s">
        <v>176</v>
      </c>
      <c r="D2" s="170"/>
      <c r="E2" s="493"/>
      <c r="F2" s="493"/>
      <c r="G2" s="493"/>
      <c r="H2" s="493"/>
      <c r="I2" s="493"/>
      <c r="J2" s="493"/>
      <c r="K2" s="493"/>
      <c r="L2" s="493"/>
      <c r="M2" s="493"/>
      <c r="N2" s="493"/>
      <c r="O2" s="493"/>
      <c r="P2" s="493"/>
    </row>
    <row r="3" spans="2:20">
      <c r="E3" s="493"/>
      <c r="F3" s="493"/>
      <c r="G3" s="493"/>
      <c r="H3" s="493"/>
      <c r="I3" s="493"/>
      <c r="J3" s="493"/>
      <c r="K3" s="493"/>
      <c r="L3" s="493"/>
      <c r="M3" s="493"/>
      <c r="N3" s="493"/>
      <c r="O3" s="493"/>
      <c r="P3" s="493"/>
    </row>
    <row r="4" spans="2:20">
      <c r="E4" s="493"/>
      <c r="F4" s="493"/>
      <c r="G4" s="493"/>
      <c r="H4" s="493"/>
      <c r="I4" s="493"/>
      <c r="J4" s="493"/>
      <c r="K4" s="493"/>
      <c r="L4" s="493"/>
      <c r="M4" s="493"/>
      <c r="N4" s="493"/>
      <c r="O4" s="493"/>
      <c r="P4" s="493"/>
    </row>
    <row r="5" spans="2:20">
      <c r="C5" t="s">
        <v>117</v>
      </c>
      <c r="E5" s="493"/>
      <c r="F5" s="493"/>
      <c r="G5" s="493"/>
      <c r="H5" s="493"/>
      <c r="I5" s="493"/>
      <c r="J5" s="493"/>
      <c r="K5" s="493"/>
      <c r="L5" s="493"/>
      <c r="M5" s="493"/>
      <c r="N5" s="493"/>
      <c r="O5" s="493"/>
      <c r="P5" s="493"/>
    </row>
    <row r="6" spans="2:20" ht="15.75" thickBot="1">
      <c r="C6">
        <v>550</v>
      </c>
      <c r="E6" s="494"/>
      <c r="F6" s="494"/>
      <c r="G6" s="494"/>
      <c r="H6" s="494"/>
      <c r="I6" s="494"/>
      <c r="J6" s="494"/>
      <c r="K6" s="494"/>
      <c r="L6" s="494"/>
      <c r="M6" s="494"/>
      <c r="N6" s="494"/>
      <c r="O6" s="494"/>
      <c r="P6" s="494"/>
    </row>
    <row r="7" spans="2:20" ht="68.25" customHeight="1">
      <c r="B7" s="78" t="s">
        <v>104</v>
      </c>
      <c r="C7" s="172">
        <v>1100</v>
      </c>
      <c r="D7" s="226" t="s">
        <v>186</v>
      </c>
      <c r="E7" s="219">
        <v>19373</v>
      </c>
      <c r="F7" s="208">
        <v>18554</v>
      </c>
      <c r="G7" s="208">
        <v>13148</v>
      </c>
      <c r="H7" s="208">
        <v>3852</v>
      </c>
      <c r="I7" s="208">
        <v>20997</v>
      </c>
      <c r="J7" s="208">
        <v>7968</v>
      </c>
      <c r="K7" s="208">
        <v>10112</v>
      </c>
      <c r="L7" s="208">
        <v>13110</v>
      </c>
      <c r="M7" s="208">
        <v>9108</v>
      </c>
      <c r="N7" s="208">
        <v>11532</v>
      </c>
      <c r="O7" s="208">
        <v>14621</v>
      </c>
      <c r="P7" s="208">
        <v>5748</v>
      </c>
      <c r="Q7" s="215" t="s">
        <v>125</v>
      </c>
    </row>
    <row r="8" spans="2:20" ht="59.25" customHeight="1">
      <c r="B8" s="78" t="s">
        <v>171</v>
      </c>
      <c r="C8" s="172"/>
      <c r="D8" s="231" t="s">
        <v>191</v>
      </c>
      <c r="E8" s="220">
        <f>E7*0.405</f>
        <v>7846.0650000000005</v>
      </c>
      <c r="F8" s="211">
        <f>F7*0.35</f>
        <v>6493.9</v>
      </c>
      <c r="G8" s="211">
        <f>G7*0.38</f>
        <v>4996.24</v>
      </c>
      <c r="H8" s="211">
        <f>H7*0.49</f>
        <v>1887.48</v>
      </c>
      <c r="I8" s="211">
        <f>I7*0.7</f>
        <v>14697.9</v>
      </c>
      <c r="J8" s="211">
        <f>J7*0.6</f>
        <v>4780.8</v>
      </c>
      <c r="K8" s="211">
        <f>K7*0.67</f>
        <v>6775.04</v>
      </c>
      <c r="L8" s="211">
        <f>L7*0.58</f>
        <v>7603.7999999999993</v>
      </c>
      <c r="M8" s="211">
        <f>M7*0.59</f>
        <v>5373.7199999999993</v>
      </c>
      <c r="N8" s="211">
        <f>N7*0.71</f>
        <v>8187.7199999999993</v>
      </c>
      <c r="O8" s="211">
        <f>O7*0.39</f>
        <v>5702.1900000000005</v>
      </c>
      <c r="P8" s="211">
        <f>P7*0.69</f>
        <v>3966.12</v>
      </c>
      <c r="Q8" s="215" t="s">
        <v>190</v>
      </c>
    </row>
    <row r="9" spans="2:20" ht="75.75">
      <c r="B9" s="78" t="s">
        <v>170</v>
      </c>
      <c r="C9" s="172"/>
      <c r="D9" s="231" t="s">
        <v>170</v>
      </c>
      <c r="E9" s="220">
        <f>E7-E8</f>
        <v>11526.934999999999</v>
      </c>
      <c r="F9" s="211">
        <f t="shared" ref="F9:P9" si="0">F7-F8</f>
        <v>12060.1</v>
      </c>
      <c r="G9" s="211">
        <f>G7-G8</f>
        <v>8151.76</v>
      </c>
      <c r="H9" s="211">
        <f t="shared" si="0"/>
        <v>1964.52</v>
      </c>
      <c r="I9" s="211">
        <f t="shared" si="0"/>
        <v>6299.1</v>
      </c>
      <c r="J9" s="211">
        <f t="shared" si="0"/>
        <v>3187.2</v>
      </c>
      <c r="K9" s="211">
        <f t="shared" si="0"/>
        <v>3336.96</v>
      </c>
      <c r="L9" s="211">
        <f t="shared" si="0"/>
        <v>5506.2000000000007</v>
      </c>
      <c r="M9" s="211">
        <f t="shared" si="0"/>
        <v>3734.2800000000007</v>
      </c>
      <c r="N9" s="211">
        <f t="shared" si="0"/>
        <v>3344.2800000000007</v>
      </c>
      <c r="O9" s="211">
        <f t="shared" si="0"/>
        <v>8918.81</v>
      </c>
      <c r="P9" s="211">
        <f t="shared" si="0"/>
        <v>1781.88</v>
      </c>
      <c r="Q9" s="215" t="s">
        <v>190</v>
      </c>
    </row>
    <row r="10" spans="2:20" ht="75">
      <c r="B10" s="78" t="s">
        <v>172</v>
      </c>
      <c r="C10" s="172"/>
      <c r="D10" s="227" t="s">
        <v>172</v>
      </c>
      <c r="E10" s="221">
        <f>SUM(E11:E12)</f>
        <v>113050</v>
      </c>
      <c r="F10" s="212">
        <f t="shared" ref="F10:P10" si="1">SUM(F11:F12)</f>
        <v>102200</v>
      </c>
      <c r="G10" s="212">
        <f t="shared" si="1"/>
        <v>85750</v>
      </c>
      <c r="H10" s="212">
        <f t="shared" si="1"/>
        <v>22050</v>
      </c>
      <c r="I10" s="212">
        <f t="shared" si="1"/>
        <v>43750</v>
      </c>
      <c r="J10" s="212">
        <f t="shared" si="1"/>
        <v>64050</v>
      </c>
      <c r="K10" s="212">
        <f t="shared" si="1"/>
        <v>57945</v>
      </c>
      <c r="L10" s="212">
        <f t="shared" si="1"/>
        <v>60900</v>
      </c>
      <c r="M10" s="212">
        <f t="shared" si="1"/>
        <v>54600</v>
      </c>
      <c r="N10" s="212">
        <f t="shared" si="1"/>
        <v>70350</v>
      </c>
      <c r="O10" s="212">
        <f t="shared" si="1"/>
        <v>77015</v>
      </c>
      <c r="P10" s="212">
        <f t="shared" si="1"/>
        <v>81394</v>
      </c>
      <c r="Q10" s="218" t="s">
        <v>189</v>
      </c>
    </row>
    <row r="11" spans="2:20" ht="61.5">
      <c r="B11" s="78" t="s">
        <v>123</v>
      </c>
      <c r="C11" s="78"/>
      <c r="D11" s="227" t="s">
        <v>187</v>
      </c>
      <c r="E11" s="222">
        <v>58800</v>
      </c>
      <c r="F11" s="213">
        <v>53200</v>
      </c>
      <c r="G11" s="213">
        <v>40600</v>
      </c>
      <c r="H11" s="213">
        <v>14000</v>
      </c>
      <c r="I11" s="213">
        <v>19250</v>
      </c>
      <c r="J11" s="213">
        <v>27300</v>
      </c>
      <c r="K11" s="213">
        <v>22667</v>
      </c>
      <c r="L11" s="213">
        <v>28350</v>
      </c>
      <c r="M11" s="213">
        <v>19600</v>
      </c>
      <c r="N11" s="213">
        <v>31850</v>
      </c>
      <c r="O11" s="213">
        <v>42358</v>
      </c>
      <c r="P11" s="213">
        <v>44609</v>
      </c>
      <c r="Q11" s="218" t="s">
        <v>189</v>
      </c>
    </row>
    <row r="12" spans="2:20" ht="75.75" thickBot="1">
      <c r="B12" s="160" t="s">
        <v>124</v>
      </c>
      <c r="C12" s="173"/>
      <c r="D12" s="228" t="s">
        <v>188</v>
      </c>
      <c r="E12" s="223">
        <v>54250</v>
      </c>
      <c r="F12" s="214">
        <v>49000</v>
      </c>
      <c r="G12" s="214">
        <v>45150</v>
      </c>
      <c r="H12" s="214">
        <v>8050</v>
      </c>
      <c r="I12" s="214">
        <v>24500</v>
      </c>
      <c r="J12" s="214">
        <v>36750</v>
      </c>
      <c r="K12" s="214">
        <v>35278</v>
      </c>
      <c r="L12" s="214">
        <v>32550</v>
      </c>
      <c r="M12" s="214">
        <v>35000</v>
      </c>
      <c r="N12" s="214">
        <v>38500</v>
      </c>
      <c r="O12" s="214">
        <v>34657</v>
      </c>
      <c r="P12" s="214">
        <v>36785</v>
      </c>
      <c r="Q12" s="218" t="s">
        <v>189</v>
      </c>
      <c r="R12" s="161"/>
      <c r="S12" s="161"/>
      <c r="T12" s="161"/>
    </row>
    <row r="13" spans="2:20" ht="46.5">
      <c r="B13" s="73" t="s">
        <v>126</v>
      </c>
      <c r="C13" s="172"/>
      <c r="D13" s="229" t="s">
        <v>126</v>
      </c>
      <c r="E13" s="224">
        <f>E11/E8</f>
        <v>7.4942025078813383</v>
      </c>
      <c r="F13" s="209">
        <f t="shared" ref="F13:P13" si="2">F11/F8</f>
        <v>8.1923035464050891</v>
      </c>
      <c r="G13" s="209">
        <f t="shared" si="2"/>
        <v>8.1261108353481823</v>
      </c>
      <c r="H13" s="209">
        <f t="shared" si="2"/>
        <v>7.4172971369233052</v>
      </c>
      <c r="I13" s="209">
        <f t="shared" si="2"/>
        <v>1.3097109110825356</v>
      </c>
      <c r="J13" s="209">
        <f t="shared" si="2"/>
        <v>5.7103413654618471</v>
      </c>
      <c r="K13" s="209">
        <f t="shared" si="2"/>
        <v>3.3456629038352541</v>
      </c>
      <c r="L13" s="209">
        <f t="shared" si="2"/>
        <v>3.7283989584155295</v>
      </c>
      <c r="M13" s="209">
        <f t="shared" si="2"/>
        <v>3.6473802133345248</v>
      </c>
      <c r="N13" s="209">
        <f t="shared" si="2"/>
        <v>3.8899718114444561</v>
      </c>
      <c r="O13" s="209">
        <f t="shared" si="2"/>
        <v>7.4283740106871212</v>
      </c>
      <c r="P13" s="209">
        <f t="shared" si="2"/>
        <v>11.247516464453925</v>
      </c>
      <c r="Q13" s="216" t="s">
        <v>128</v>
      </c>
      <c r="R13" s="164">
        <f>MIN(E13:P13)</f>
        <v>1.3097109110825356</v>
      </c>
      <c r="S13" s="164">
        <f>MAX(E13:P13)</f>
        <v>11.247516464453925</v>
      </c>
      <c r="T13" s="165">
        <f>AVERAGE(E13:P13)</f>
        <v>5.961439222106093</v>
      </c>
    </row>
    <row r="14" spans="2:20" ht="47.25" thickBot="1">
      <c r="B14" s="73" t="s">
        <v>127</v>
      </c>
      <c r="D14" s="230" t="s">
        <v>127</v>
      </c>
      <c r="E14" s="225">
        <f>E12/E9</f>
        <v>4.706368171591147</v>
      </c>
      <c r="F14" s="210">
        <f t="shared" ref="F14:P14" si="3">F12/F9</f>
        <v>4.0629845523668955</v>
      </c>
      <c r="G14" s="210">
        <f t="shared" si="3"/>
        <v>5.5386812173076736</v>
      </c>
      <c r="H14" s="210">
        <f t="shared" si="3"/>
        <v>4.0976930751532183</v>
      </c>
      <c r="I14" s="210">
        <f t="shared" si="3"/>
        <v>3.8894445238208633</v>
      </c>
      <c r="J14" s="210">
        <f t="shared" si="3"/>
        <v>11.530496987951809</v>
      </c>
      <c r="K14" s="210">
        <f t="shared" si="3"/>
        <v>10.57189777522056</v>
      </c>
      <c r="L14" s="210">
        <f t="shared" si="3"/>
        <v>5.9115179252479013</v>
      </c>
      <c r="M14" s="210">
        <f t="shared" si="3"/>
        <v>9.3726233705024775</v>
      </c>
      <c r="N14" s="210">
        <f t="shared" si="3"/>
        <v>11.512193955051607</v>
      </c>
      <c r="O14" s="210">
        <f t="shared" si="3"/>
        <v>3.88583230273994</v>
      </c>
      <c r="P14" s="210">
        <f t="shared" si="3"/>
        <v>20.643926639279861</v>
      </c>
      <c r="Q14" s="217" t="s">
        <v>128</v>
      </c>
      <c r="R14" s="166">
        <f>MIN(E14:P14)</f>
        <v>3.88583230273994</v>
      </c>
      <c r="S14" s="166">
        <f>MAX(E14:P14)</f>
        <v>20.643926639279861</v>
      </c>
      <c r="T14" s="75">
        <f>AVERAGE(E14:P14)</f>
        <v>7.9769717080194953</v>
      </c>
    </row>
    <row r="15" spans="2:20" ht="75.75" thickBot="1">
      <c r="B15" s="158" t="s">
        <v>103</v>
      </c>
      <c r="C15" s="75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R15" s="163"/>
      <c r="S15" s="163"/>
      <c r="T15" s="163"/>
    </row>
    <row r="16" spans="2:20" ht="30">
      <c r="B16" s="159" t="s">
        <v>104</v>
      </c>
      <c r="E16" s="13">
        <v>19373</v>
      </c>
      <c r="F16" s="13">
        <v>18554</v>
      </c>
      <c r="G16" s="13">
        <v>13148</v>
      </c>
      <c r="H16" s="13">
        <v>3852</v>
      </c>
      <c r="I16" s="13">
        <v>20997</v>
      </c>
      <c r="J16" s="13">
        <v>7968</v>
      </c>
      <c r="K16" s="13">
        <v>10112</v>
      </c>
      <c r="L16" s="13">
        <v>13110</v>
      </c>
      <c r="M16" s="13">
        <v>9108</v>
      </c>
      <c r="N16" s="13">
        <v>11532</v>
      </c>
      <c r="O16" s="13">
        <v>14621</v>
      </c>
      <c r="P16" s="13">
        <v>5748</v>
      </c>
    </row>
    <row r="17" spans="2:24"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2:24">
      <c r="B18" s="76"/>
    </row>
    <row r="27" spans="2:24" ht="15.75" thickBot="1"/>
    <row r="28" spans="2:24" ht="15" customHeight="1">
      <c r="V28" s="508" t="s">
        <v>200</v>
      </c>
      <c r="W28" s="509"/>
      <c r="X28" s="510"/>
    </row>
    <row r="29" spans="2:24" ht="24.75" customHeight="1">
      <c r="V29" s="511"/>
      <c r="W29" s="512"/>
      <c r="X29" s="513"/>
    </row>
    <row r="30" spans="2:24" ht="23.25" customHeight="1">
      <c r="V30" s="514" t="s">
        <v>126</v>
      </c>
      <c r="W30" s="515"/>
      <c r="X30" s="325">
        <v>5.961439222106093</v>
      </c>
    </row>
    <row r="31" spans="2:24" ht="23.25" customHeight="1" thickBot="1">
      <c r="V31" s="516" t="s">
        <v>127</v>
      </c>
      <c r="W31" s="517"/>
      <c r="X31" s="326">
        <v>7.9769717080194953</v>
      </c>
    </row>
    <row r="32" spans="2:24" ht="15" customHeight="1">
      <c r="V32" s="324"/>
      <c r="W32" s="324"/>
    </row>
    <row r="33" spans="22:23" ht="15" customHeight="1">
      <c r="V33" s="324"/>
      <c r="W33" s="324"/>
    </row>
  </sheetData>
  <mergeCells count="15">
    <mergeCell ref="V28:X29"/>
    <mergeCell ref="V30:W30"/>
    <mergeCell ref="V31:W31"/>
    <mergeCell ref="K1:K6"/>
    <mergeCell ref="L1:L6"/>
    <mergeCell ref="M1:M6"/>
    <mergeCell ref="N1:N6"/>
    <mergeCell ref="O1:O6"/>
    <mergeCell ref="P1:P6"/>
    <mergeCell ref="J1:J6"/>
    <mergeCell ref="E1:E6"/>
    <mergeCell ref="F1:F6"/>
    <mergeCell ref="G1:G6"/>
    <mergeCell ref="H1:H6"/>
    <mergeCell ref="I1:I6"/>
  </mergeCells>
  <pageMargins left="0.7" right="0.7" top="0.75" bottom="0.75" header="0.3" footer="0.3"/>
  <pageSetup paperSize="9" scale="55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U99"/>
  <sheetViews>
    <sheetView topLeftCell="A55" zoomScale="70" zoomScaleNormal="70" workbookViewId="0">
      <selection activeCell="AI37" sqref="AI37:AJ43"/>
    </sheetView>
  </sheetViews>
  <sheetFormatPr baseColWidth="10" defaultRowHeight="15"/>
  <cols>
    <col min="3" max="3" width="13.28515625" customWidth="1"/>
    <col min="4" max="5" width="12" bestFit="1" customWidth="1"/>
    <col min="6" max="7" width="11.5703125" bestFit="1" customWidth="1"/>
    <col min="8" max="8" width="12" bestFit="1" customWidth="1"/>
    <col min="9" max="15" width="11.5703125" bestFit="1" customWidth="1"/>
    <col min="18" max="18" width="12.140625" bestFit="1" customWidth="1"/>
    <col min="30" max="30" width="13.7109375" bestFit="1" customWidth="1"/>
    <col min="34" max="34" width="9.28515625" customWidth="1"/>
    <col min="35" max="35" width="14.85546875" customWidth="1"/>
    <col min="36" max="36" width="12.42578125" customWidth="1"/>
    <col min="37" max="47" width="7.7109375" customWidth="1"/>
  </cols>
  <sheetData>
    <row r="1" spans="1:15">
      <c r="D1" s="493" t="s">
        <v>130</v>
      </c>
      <c r="E1" s="493" t="s">
        <v>131</v>
      </c>
      <c r="F1" s="493" t="s">
        <v>132</v>
      </c>
      <c r="G1" s="493" t="s">
        <v>133</v>
      </c>
      <c r="H1" s="493" t="s">
        <v>134</v>
      </c>
      <c r="I1" s="493" t="s">
        <v>135</v>
      </c>
      <c r="J1" s="493" t="s">
        <v>136</v>
      </c>
      <c r="K1" s="493" t="s">
        <v>137</v>
      </c>
      <c r="L1" s="493" t="s">
        <v>183</v>
      </c>
      <c r="M1" s="493" t="s">
        <v>139</v>
      </c>
      <c r="N1" s="493" t="s">
        <v>140</v>
      </c>
      <c r="O1" s="493" t="s">
        <v>141</v>
      </c>
    </row>
    <row r="2" spans="1:15" ht="15" customHeight="1">
      <c r="D2" s="493"/>
      <c r="E2" s="493"/>
      <c r="F2" s="493"/>
      <c r="G2" s="493"/>
      <c r="H2" s="493"/>
      <c r="I2" s="493"/>
      <c r="J2" s="493"/>
      <c r="K2" s="493"/>
      <c r="L2" s="493"/>
      <c r="M2" s="493"/>
      <c r="N2" s="493"/>
      <c r="O2" s="493"/>
    </row>
    <row r="3" spans="1:15">
      <c r="D3" s="493"/>
      <c r="E3" s="493"/>
      <c r="F3" s="493"/>
      <c r="G3" s="493"/>
      <c r="H3" s="493"/>
      <c r="I3" s="493"/>
      <c r="J3" s="493"/>
      <c r="K3" s="493"/>
      <c r="L3" s="493"/>
      <c r="M3" s="493"/>
      <c r="N3" s="493"/>
      <c r="O3" s="493"/>
    </row>
    <row r="4" spans="1:15">
      <c r="D4" s="493"/>
      <c r="E4" s="493"/>
      <c r="F4" s="493"/>
      <c r="G4" s="493"/>
      <c r="H4" s="493"/>
      <c r="I4" s="493"/>
      <c r="J4" s="493"/>
      <c r="K4" s="493"/>
      <c r="L4" s="493"/>
      <c r="M4" s="493"/>
      <c r="N4" s="493"/>
      <c r="O4" s="493"/>
    </row>
    <row r="5" spans="1:15">
      <c r="D5" s="493"/>
      <c r="E5" s="493"/>
      <c r="F5" s="493"/>
      <c r="G5" s="493"/>
      <c r="H5" s="493"/>
      <c r="I5" s="493"/>
      <c r="J5" s="493"/>
      <c r="K5" s="493"/>
      <c r="L5" s="493"/>
      <c r="M5" s="493"/>
      <c r="N5" s="493"/>
      <c r="O5" s="493"/>
    </row>
    <row r="6" spans="1:15" ht="15.75" thickBot="1">
      <c r="A6">
        <v>1100</v>
      </c>
      <c r="D6" s="494"/>
      <c r="E6" s="494"/>
      <c r="F6" s="494"/>
      <c r="G6" s="494"/>
      <c r="H6" s="494"/>
      <c r="I6" s="494"/>
      <c r="J6" s="494"/>
      <c r="K6" s="494"/>
      <c r="L6" s="494"/>
      <c r="M6" s="494"/>
      <c r="N6" s="494"/>
      <c r="O6" s="494"/>
    </row>
    <row r="7" spans="1:15" ht="30.75" thickBot="1">
      <c r="A7">
        <v>24</v>
      </c>
      <c r="C7" s="232" t="s">
        <v>192</v>
      </c>
      <c r="D7" s="242">
        <v>19373</v>
      </c>
      <c r="E7" s="243">
        <v>18554</v>
      </c>
      <c r="F7" s="243">
        <v>13148</v>
      </c>
      <c r="G7" s="243">
        <v>3852</v>
      </c>
      <c r="H7" s="243">
        <v>20997</v>
      </c>
      <c r="I7" s="243">
        <v>7968</v>
      </c>
      <c r="J7" s="243">
        <v>10112</v>
      </c>
      <c r="K7" s="243">
        <v>13110</v>
      </c>
      <c r="L7" s="243">
        <v>9108</v>
      </c>
      <c r="M7" s="243">
        <v>11532</v>
      </c>
      <c r="N7" s="243">
        <v>14621</v>
      </c>
      <c r="O7" s="244">
        <v>5748</v>
      </c>
    </row>
    <row r="8" spans="1:15" ht="30">
      <c r="A8">
        <f>A7*A6</f>
        <v>26400</v>
      </c>
      <c r="C8" s="233" t="s">
        <v>193</v>
      </c>
      <c r="D8" s="236">
        <f>D7*0.405</f>
        <v>7846.0650000000005</v>
      </c>
      <c r="E8" s="237">
        <f>E7*0.35</f>
        <v>6493.9</v>
      </c>
      <c r="F8" s="237">
        <f>F7*0.38</f>
        <v>4996.24</v>
      </c>
      <c r="G8" s="237">
        <f>G7*0.49</f>
        <v>1887.48</v>
      </c>
      <c r="H8" s="237">
        <f>H7*0.7</f>
        <v>14697.9</v>
      </c>
      <c r="I8" s="237">
        <f>I7*0.6</f>
        <v>4780.8</v>
      </c>
      <c r="J8" s="237">
        <f>J7*0.67</f>
        <v>6775.04</v>
      </c>
      <c r="K8" s="237">
        <f>K7*0.58</f>
        <v>7603.7999999999993</v>
      </c>
      <c r="L8" s="237">
        <f>L7*0.59</f>
        <v>5373.7199999999993</v>
      </c>
      <c r="M8" s="237">
        <f>M7*0.71</f>
        <v>8187.7199999999993</v>
      </c>
      <c r="N8" s="237">
        <f>N7*0.39</f>
        <v>5702.1900000000005</v>
      </c>
      <c r="O8" s="238">
        <f>O7*0.69</f>
        <v>3966.12</v>
      </c>
    </row>
    <row r="9" spans="1:15" ht="30">
      <c r="C9" s="233" t="s">
        <v>194</v>
      </c>
      <c r="D9" s="239">
        <f>D7-D8</f>
        <v>11526.934999999999</v>
      </c>
      <c r="E9" s="240">
        <f t="shared" ref="E9:O9" si="0">E7-E8</f>
        <v>12060.1</v>
      </c>
      <c r="F9" s="240">
        <f>F7-F8</f>
        <v>8151.76</v>
      </c>
      <c r="G9" s="240">
        <f t="shared" si="0"/>
        <v>1964.52</v>
      </c>
      <c r="H9" s="240">
        <f t="shared" si="0"/>
        <v>6299.1</v>
      </c>
      <c r="I9" s="240">
        <f t="shared" si="0"/>
        <v>3187.2</v>
      </c>
      <c r="J9" s="240">
        <f t="shared" si="0"/>
        <v>3336.96</v>
      </c>
      <c r="K9" s="240">
        <f t="shared" si="0"/>
        <v>5506.2000000000007</v>
      </c>
      <c r="L9" s="240">
        <f t="shared" si="0"/>
        <v>3734.2800000000007</v>
      </c>
      <c r="M9" s="240">
        <f t="shared" si="0"/>
        <v>3344.2800000000007</v>
      </c>
      <c r="N9" s="240">
        <f t="shared" si="0"/>
        <v>8918.81</v>
      </c>
      <c r="O9" s="241">
        <f t="shared" si="0"/>
        <v>1781.88</v>
      </c>
    </row>
    <row r="10" spans="1:15" ht="45.75" thickBot="1">
      <c r="C10" s="233" t="s">
        <v>195</v>
      </c>
      <c r="D10" s="245">
        <v>26400</v>
      </c>
      <c r="E10" s="246">
        <v>26400</v>
      </c>
      <c r="F10" s="246">
        <v>26400</v>
      </c>
      <c r="G10" s="246">
        <v>26400</v>
      </c>
      <c r="H10" s="246">
        <v>26400</v>
      </c>
      <c r="I10" s="246">
        <v>26400</v>
      </c>
      <c r="J10" s="246">
        <v>26400</v>
      </c>
      <c r="K10" s="246">
        <v>26400</v>
      </c>
      <c r="L10" s="246">
        <v>26400</v>
      </c>
      <c r="M10" s="246">
        <v>26400</v>
      </c>
      <c r="N10" s="246">
        <v>26400</v>
      </c>
      <c r="O10" s="247">
        <v>26400</v>
      </c>
    </row>
    <row r="11" spans="1:15" ht="60.75" thickBot="1">
      <c r="C11" s="234" t="s">
        <v>196</v>
      </c>
      <c r="D11" s="248">
        <f>D10-D7</f>
        <v>7027</v>
      </c>
      <c r="E11" s="249">
        <f t="shared" ref="E11:O11" si="1">E10-E7</f>
        <v>7846</v>
      </c>
      <c r="F11" s="249">
        <f t="shared" si="1"/>
        <v>13252</v>
      </c>
      <c r="G11" s="249">
        <f t="shared" si="1"/>
        <v>22548</v>
      </c>
      <c r="H11" s="249">
        <f t="shared" si="1"/>
        <v>5403</v>
      </c>
      <c r="I11" s="249">
        <f t="shared" si="1"/>
        <v>18432</v>
      </c>
      <c r="J11" s="249">
        <f t="shared" si="1"/>
        <v>16288</v>
      </c>
      <c r="K11" s="249">
        <f t="shared" si="1"/>
        <v>13290</v>
      </c>
      <c r="L11" s="249">
        <f t="shared" si="1"/>
        <v>17292</v>
      </c>
      <c r="M11" s="249">
        <f t="shared" si="1"/>
        <v>14868</v>
      </c>
      <c r="N11" s="249">
        <f t="shared" si="1"/>
        <v>11779</v>
      </c>
      <c r="O11" s="253">
        <f t="shared" si="1"/>
        <v>20652</v>
      </c>
    </row>
    <row r="12" spans="1:15" ht="60.75" thickBot="1">
      <c r="C12" s="235" t="s">
        <v>197</v>
      </c>
      <c r="D12" s="250">
        <f>D7/D10</f>
        <v>0.73382575757575763</v>
      </c>
      <c r="E12" s="251">
        <f t="shared" ref="E12:O12" si="2">E7/E10</f>
        <v>0.70280303030303026</v>
      </c>
      <c r="F12" s="251">
        <f t="shared" si="2"/>
        <v>0.49803030303030305</v>
      </c>
      <c r="G12" s="251">
        <f t="shared" si="2"/>
        <v>0.1459090909090909</v>
      </c>
      <c r="H12" s="251">
        <f t="shared" si="2"/>
        <v>0.79534090909090904</v>
      </c>
      <c r="I12" s="251">
        <f t="shared" si="2"/>
        <v>0.30181818181818182</v>
      </c>
      <c r="J12" s="251">
        <f t="shared" si="2"/>
        <v>0.38303030303030305</v>
      </c>
      <c r="K12" s="251">
        <f t="shared" si="2"/>
        <v>0.49659090909090908</v>
      </c>
      <c r="L12" s="251">
        <f t="shared" si="2"/>
        <v>0.34499999999999997</v>
      </c>
      <c r="M12" s="251">
        <f t="shared" si="2"/>
        <v>0.43681818181818183</v>
      </c>
      <c r="N12" s="251">
        <f t="shared" si="2"/>
        <v>0.55382575757575758</v>
      </c>
      <c r="O12" s="252">
        <f t="shared" si="2"/>
        <v>0.21772727272727271</v>
      </c>
    </row>
    <row r="13" spans="1:15" ht="15.75" thickBot="1"/>
    <row r="14" spans="1:15" ht="45.75" thickBot="1">
      <c r="C14" s="100" t="s">
        <v>151</v>
      </c>
      <c r="D14" s="101">
        <v>0</v>
      </c>
      <c r="E14" s="102">
        <v>19</v>
      </c>
      <c r="F14" s="102">
        <v>6.5</v>
      </c>
      <c r="G14" s="102">
        <v>89</v>
      </c>
      <c r="H14" s="102">
        <v>36.5</v>
      </c>
      <c r="I14" s="102">
        <v>62</v>
      </c>
      <c r="J14" s="102">
        <v>63.5</v>
      </c>
      <c r="K14" s="102">
        <v>61</v>
      </c>
      <c r="L14" s="102">
        <v>45</v>
      </c>
      <c r="M14" s="102">
        <v>23</v>
      </c>
      <c r="N14" s="102">
        <v>3.5</v>
      </c>
      <c r="O14" s="103">
        <v>43.5</v>
      </c>
    </row>
    <row r="15" spans="1:15">
      <c r="C15" s="100"/>
      <c r="D15" s="105">
        <f>D14/D7</f>
        <v>0</v>
      </c>
      <c r="E15" s="105">
        <f t="shared" ref="E15:O15" si="3">E14/E7</f>
        <v>1.0240379433006359E-3</v>
      </c>
      <c r="F15" s="105">
        <f t="shared" si="3"/>
        <v>4.9437176756921203E-4</v>
      </c>
      <c r="G15" s="105">
        <f t="shared" si="3"/>
        <v>2.3104880581516097E-2</v>
      </c>
      <c r="H15" s="105">
        <f t="shared" si="3"/>
        <v>1.7383435728913655E-3</v>
      </c>
      <c r="I15" s="105">
        <f t="shared" si="3"/>
        <v>7.7811244979919675E-3</v>
      </c>
      <c r="J15" s="105">
        <f t="shared" si="3"/>
        <v>6.279667721518987E-3</v>
      </c>
      <c r="K15" s="105">
        <f t="shared" si="3"/>
        <v>4.6529366895499621E-3</v>
      </c>
      <c r="L15" s="105">
        <f t="shared" si="3"/>
        <v>4.940711462450593E-3</v>
      </c>
      <c r="M15" s="105">
        <f t="shared" si="3"/>
        <v>1.9944502254595907E-3</v>
      </c>
      <c r="N15" s="105">
        <f t="shared" si="3"/>
        <v>2.3938171123726149E-4</v>
      </c>
      <c r="O15" s="105">
        <f t="shared" si="3"/>
        <v>7.5678496868475994E-3</v>
      </c>
    </row>
    <row r="16" spans="1:15">
      <c r="C16" s="100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</row>
    <row r="17" spans="3:21">
      <c r="C17" s="518" t="s">
        <v>157</v>
      </c>
      <c r="D17" s="518"/>
      <c r="E17" s="518"/>
      <c r="F17" s="105"/>
      <c r="G17" s="105"/>
      <c r="H17" s="105"/>
      <c r="I17" s="105"/>
      <c r="J17" s="105"/>
      <c r="K17" s="105"/>
      <c r="L17" s="105"/>
      <c r="M17" s="105"/>
      <c r="N17" s="105"/>
      <c r="O17" s="105"/>
    </row>
    <row r="18" spans="3:21" ht="15.75" thickBot="1">
      <c r="C18" s="100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</row>
    <row r="19" spans="3:21">
      <c r="C19" s="113" t="s">
        <v>159</v>
      </c>
      <c r="D19" s="114">
        <v>5594</v>
      </c>
      <c r="E19" s="114">
        <v>6045</v>
      </c>
      <c r="F19" s="114">
        <v>4402</v>
      </c>
      <c r="G19" s="114">
        <v>1944</v>
      </c>
      <c r="H19" s="114">
        <v>6008</v>
      </c>
      <c r="I19" s="114">
        <v>2482</v>
      </c>
      <c r="J19" s="114">
        <v>1590</v>
      </c>
      <c r="K19" s="114">
        <v>1756</v>
      </c>
      <c r="L19" s="114">
        <v>1116.5</v>
      </c>
      <c r="M19" s="114">
        <v>1825.5</v>
      </c>
      <c r="N19" s="114">
        <v>3611.5</v>
      </c>
      <c r="O19" s="69">
        <v>1858.5</v>
      </c>
    </row>
    <row r="20" spans="3:21">
      <c r="C20" s="115" t="s">
        <v>142</v>
      </c>
      <c r="D20" s="13">
        <v>5739</v>
      </c>
      <c r="E20" s="13">
        <v>3569.5</v>
      </c>
      <c r="F20" s="13">
        <v>2881</v>
      </c>
      <c r="G20" s="13">
        <v>1725</v>
      </c>
      <c r="H20" s="13">
        <v>3274</v>
      </c>
      <c r="I20" s="13">
        <v>1827</v>
      </c>
      <c r="J20" s="13">
        <v>2596</v>
      </c>
      <c r="K20" s="13">
        <v>2623.5</v>
      </c>
      <c r="L20" s="13">
        <v>1757.5</v>
      </c>
      <c r="M20" s="13">
        <v>2936.5</v>
      </c>
      <c r="N20" s="13">
        <v>2924</v>
      </c>
      <c r="O20" s="8">
        <v>1493.5</v>
      </c>
    </row>
    <row r="21" spans="3:21">
      <c r="C21" s="115" t="s">
        <v>143</v>
      </c>
      <c r="D21" s="13">
        <v>2925</v>
      </c>
      <c r="E21" s="13">
        <v>2182</v>
      </c>
      <c r="F21" s="13">
        <v>1200</v>
      </c>
      <c r="G21" s="13">
        <v>849</v>
      </c>
      <c r="H21" s="13">
        <v>2767</v>
      </c>
      <c r="I21" s="13">
        <v>2353</v>
      </c>
      <c r="J21" s="13">
        <v>1428</v>
      </c>
      <c r="K21" s="13">
        <v>2339.5</v>
      </c>
      <c r="L21" s="13">
        <v>1198.5</v>
      </c>
      <c r="M21" s="13">
        <v>790</v>
      </c>
      <c r="N21" s="13">
        <v>3110.5</v>
      </c>
      <c r="O21" s="8">
        <v>1916</v>
      </c>
    </row>
    <row r="22" spans="3:21">
      <c r="C22" s="115" t="s">
        <v>144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141</v>
      </c>
      <c r="L22" s="13">
        <v>0</v>
      </c>
      <c r="M22" s="13">
        <v>0</v>
      </c>
      <c r="N22" s="13">
        <v>141</v>
      </c>
      <c r="O22" s="8">
        <v>180</v>
      </c>
    </row>
    <row r="23" spans="3:21">
      <c r="C23" s="115" t="s">
        <v>145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1500</v>
      </c>
      <c r="K23" s="13">
        <v>2117</v>
      </c>
      <c r="L23" s="13">
        <v>929</v>
      </c>
      <c r="M23" s="13">
        <v>914</v>
      </c>
      <c r="N23" s="13">
        <v>2828.5</v>
      </c>
      <c r="O23" s="8">
        <v>1314</v>
      </c>
    </row>
    <row r="24" spans="3:21" ht="15.75" thickBot="1">
      <c r="C24" s="119" t="s">
        <v>158</v>
      </c>
      <c r="D24" s="25">
        <v>5115</v>
      </c>
      <c r="E24" s="25">
        <v>4424.5</v>
      </c>
      <c r="F24" s="25">
        <v>6122.5</v>
      </c>
      <c r="G24" s="25">
        <v>2289</v>
      </c>
      <c r="H24" s="25">
        <v>3377.5</v>
      </c>
      <c r="I24" s="25">
        <v>3278</v>
      </c>
      <c r="J24" s="25">
        <v>4192.5</v>
      </c>
      <c r="K24" s="25">
        <v>3866</v>
      </c>
      <c r="L24" s="25">
        <v>2913.5</v>
      </c>
      <c r="M24" s="25">
        <v>2731</v>
      </c>
      <c r="N24" s="25">
        <v>4210</v>
      </c>
      <c r="O24" s="99">
        <v>2642.5</v>
      </c>
    </row>
    <row r="25" spans="3:21" ht="15.75" thickBot="1">
      <c r="C25" s="116" t="s">
        <v>156</v>
      </c>
      <c r="D25" s="117">
        <v>19373</v>
      </c>
      <c r="E25" s="117">
        <v>16221</v>
      </c>
      <c r="F25" s="117">
        <v>14605.5</v>
      </c>
      <c r="G25" s="117">
        <v>6807</v>
      </c>
      <c r="H25" s="117">
        <v>15426.5</v>
      </c>
      <c r="I25" s="117">
        <v>9940</v>
      </c>
      <c r="J25" s="117">
        <v>11306.5</v>
      </c>
      <c r="K25" s="117">
        <v>12843</v>
      </c>
      <c r="L25" s="117">
        <v>7915</v>
      </c>
      <c r="M25" s="117">
        <v>9197</v>
      </c>
      <c r="N25" s="117">
        <v>16825.5</v>
      </c>
      <c r="O25" s="118">
        <v>9404.5</v>
      </c>
    </row>
    <row r="26" spans="3:21">
      <c r="C26" s="100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</row>
    <row r="27" spans="3:21" ht="15.75" thickBot="1">
      <c r="C27" s="81" t="s">
        <v>129</v>
      </c>
    </row>
    <row r="28" spans="3:21">
      <c r="C28" s="87"/>
      <c r="D28" s="88" t="s">
        <v>130</v>
      </c>
      <c r="E28" s="88" t="s">
        <v>131</v>
      </c>
      <c r="F28" s="88" t="s">
        <v>132</v>
      </c>
      <c r="G28" s="88" t="s">
        <v>133</v>
      </c>
      <c r="H28" s="88" t="s">
        <v>134</v>
      </c>
      <c r="I28" s="88" t="s">
        <v>135</v>
      </c>
      <c r="J28" s="88" t="s">
        <v>136</v>
      </c>
      <c r="K28" s="88" t="s">
        <v>137</v>
      </c>
      <c r="L28" s="88" t="s">
        <v>138</v>
      </c>
      <c r="M28" s="88" t="s">
        <v>139</v>
      </c>
      <c r="N28" s="88" t="s">
        <v>140</v>
      </c>
      <c r="O28" s="89" t="s">
        <v>141</v>
      </c>
    </row>
    <row r="29" spans="3:21">
      <c r="C29" s="90" t="s">
        <v>142</v>
      </c>
      <c r="D29" s="14">
        <v>345.5</v>
      </c>
      <c r="E29" s="13">
        <v>265.5</v>
      </c>
      <c r="F29" s="13">
        <v>267.5</v>
      </c>
      <c r="G29" s="14">
        <v>172</v>
      </c>
      <c r="H29" s="14">
        <v>184.5</v>
      </c>
      <c r="I29" s="14">
        <v>389</v>
      </c>
      <c r="J29" s="14">
        <v>389</v>
      </c>
      <c r="K29" s="14">
        <v>211</v>
      </c>
      <c r="L29" s="14">
        <v>252</v>
      </c>
      <c r="M29" s="14">
        <v>303</v>
      </c>
      <c r="N29" s="14">
        <v>253</v>
      </c>
      <c r="O29" s="91">
        <v>248</v>
      </c>
      <c r="U29">
        <f>D7*1.2</f>
        <v>23247.599999999999</v>
      </c>
    </row>
    <row r="30" spans="3:21">
      <c r="C30" s="90" t="s">
        <v>143</v>
      </c>
      <c r="D30" s="14">
        <v>172</v>
      </c>
      <c r="E30" s="14">
        <v>125</v>
      </c>
      <c r="F30" s="13">
        <v>205</v>
      </c>
      <c r="G30" s="14">
        <v>34</v>
      </c>
      <c r="H30" s="14">
        <v>147</v>
      </c>
      <c r="I30" s="14">
        <v>272</v>
      </c>
      <c r="J30" s="14">
        <v>264</v>
      </c>
      <c r="K30" s="14">
        <v>260</v>
      </c>
      <c r="L30" s="14">
        <v>275</v>
      </c>
      <c r="M30" s="14">
        <v>100</v>
      </c>
      <c r="N30" s="14">
        <v>231</v>
      </c>
      <c r="O30" s="91">
        <v>291</v>
      </c>
    </row>
    <row r="31" spans="3:21">
      <c r="C31" s="90" t="s">
        <v>144</v>
      </c>
      <c r="D31" s="14">
        <v>0</v>
      </c>
      <c r="E31" s="13">
        <v>0</v>
      </c>
      <c r="F31" s="13">
        <v>0</v>
      </c>
      <c r="G31" s="14">
        <v>0</v>
      </c>
      <c r="H31" s="14">
        <v>0</v>
      </c>
      <c r="I31" s="14">
        <v>0</v>
      </c>
      <c r="J31" s="14">
        <v>0</v>
      </c>
      <c r="K31" s="14">
        <v>44.5</v>
      </c>
      <c r="L31" s="14">
        <v>0</v>
      </c>
      <c r="M31" s="14">
        <v>0</v>
      </c>
      <c r="N31" s="14">
        <v>45</v>
      </c>
      <c r="O31" s="91">
        <v>115.5</v>
      </c>
    </row>
    <row r="32" spans="3:21">
      <c r="C32" s="90" t="s">
        <v>145</v>
      </c>
      <c r="D32" s="14">
        <v>0</v>
      </c>
      <c r="E32" s="14">
        <v>0</v>
      </c>
      <c r="F32" s="13">
        <v>0</v>
      </c>
      <c r="G32" s="14">
        <v>0</v>
      </c>
      <c r="H32" s="14">
        <v>0</v>
      </c>
      <c r="I32" s="14">
        <v>0</v>
      </c>
      <c r="J32" s="14">
        <v>280</v>
      </c>
      <c r="K32" s="14">
        <v>351.5</v>
      </c>
      <c r="L32" s="14">
        <v>150</v>
      </c>
      <c r="M32" s="14">
        <v>310</v>
      </c>
      <c r="N32" s="14">
        <v>274.7</v>
      </c>
      <c r="O32" s="91">
        <v>180.5</v>
      </c>
    </row>
    <row r="33" spans="2:36" ht="15.75" thickBot="1">
      <c r="C33" s="92" t="s">
        <v>158</v>
      </c>
      <c r="D33" s="85">
        <v>525</v>
      </c>
      <c r="E33" s="25">
        <v>353</v>
      </c>
      <c r="F33" s="25">
        <v>467</v>
      </c>
      <c r="G33" s="85">
        <v>198.5</v>
      </c>
      <c r="H33" s="85">
        <v>168.5</v>
      </c>
      <c r="I33" s="85">
        <v>456.5</v>
      </c>
      <c r="J33" s="85">
        <v>371</v>
      </c>
      <c r="K33" s="85">
        <v>413.5</v>
      </c>
      <c r="L33" s="85">
        <v>284</v>
      </c>
      <c r="M33" s="85">
        <v>402</v>
      </c>
      <c r="N33" s="85">
        <v>317</v>
      </c>
      <c r="O33" s="86">
        <v>475.5</v>
      </c>
    </row>
    <row r="34" spans="2:36">
      <c r="D34" s="82">
        <f>SUM(D29:D33)</f>
        <v>1042.5</v>
      </c>
      <c r="E34" s="82">
        <f t="shared" ref="E34:O34" si="4">SUM(E29:E33)</f>
        <v>743.5</v>
      </c>
      <c r="F34" s="82">
        <f t="shared" si="4"/>
        <v>939.5</v>
      </c>
      <c r="G34" s="82">
        <f t="shared" si="4"/>
        <v>404.5</v>
      </c>
      <c r="H34" s="82">
        <f t="shared" si="4"/>
        <v>500</v>
      </c>
      <c r="I34" s="82">
        <f t="shared" si="4"/>
        <v>1117.5</v>
      </c>
      <c r="J34" s="82">
        <f t="shared" si="4"/>
        <v>1304</v>
      </c>
      <c r="K34" s="82">
        <f t="shared" si="4"/>
        <v>1280.5</v>
      </c>
      <c r="L34" s="82">
        <f t="shared" si="4"/>
        <v>961</v>
      </c>
      <c r="M34" s="82">
        <f t="shared" si="4"/>
        <v>1115</v>
      </c>
      <c r="N34" s="82">
        <f t="shared" si="4"/>
        <v>1120.7</v>
      </c>
      <c r="O34" s="82">
        <f t="shared" si="4"/>
        <v>1310.5</v>
      </c>
    </row>
    <row r="35" spans="2:36"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</row>
    <row r="36" spans="2:36" ht="15.75" thickBot="1">
      <c r="C36" s="52" t="s">
        <v>160</v>
      </c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AE36" t="s">
        <v>162</v>
      </c>
    </row>
    <row r="37" spans="2:36" ht="15.75" thickBot="1"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S37" s="124" t="s">
        <v>105</v>
      </c>
      <c r="T37" s="125" t="s">
        <v>106</v>
      </c>
      <c r="U37" s="125" t="s">
        <v>107</v>
      </c>
      <c r="V37" s="125" t="s">
        <v>108</v>
      </c>
      <c r="W37" s="125" t="s">
        <v>109</v>
      </c>
      <c r="X37" s="125" t="s">
        <v>110</v>
      </c>
      <c r="Y37" s="125" t="s">
        <v>111</v>
      </c>
      <c r="Z37" s="125" t="s">
        <v>112</v>
      </c>
      <c r="AA37" s="125" t="s">
        <v>113</v>
      </c>
      <c r="AB37" s="125" t="s">
        <v>114</v>
      </c>
      <c r="AC37" s="126" t="s">
        <v>115</v>
      </c>
      <c r="AD37" s="127" t="s">
        <v>116</v>
      </c>
      <c r="AI37" s="526" t="s">
        <v>239</v>
      </c>
      <c r="AJ37" s="527"/>
    </row>
    <row r="38" spans="2:36" ht="18.75">
      <c r="B38" s="520" t="s">
        <v>147</v>
      </c>
      <c r="C38" s="265" t="s">
        <v>142</v>
      </c>
      <c r="D38" s="268">
        <v>139.92749999999998</v>
      </c>
      <c r="E38" s="175">
        <v>92.924999999999997</v>
      </c>
      <c r="F38" s="175">
        <v>101.65</v>
      </c>
      <c r="G38" s="175">
        <v>84.279999999999987</v>
      </c>
      <c r="H38" s="175">
        <v>129.15</v>
      </c>
      <c r="I38" s="175">
        <v>233.39999999999998</v>
      </c>
      <c r="J38" s="175">
        <v>260.63</v>
      </c>
      <c r="K38" s="175">
        <v>122.38</v>
      </c>
      <c r="L38" s="175">
        <v>148.67999999999995</v>
      </c>
      <c r="M38" s="175">
        <v>215.13</v>
      </c>
      <c r="N38" s="175">
        <v>98.669999999999987</v>
      </c>
      <c r="O38" s="176">
        <v>171.12</v>
      </c>
      <c r="R38" s="121" t="s">
        <v>142</v>
      </c>
      <c r="S38" s="128">
        <f t="shared" ref="S38:AD39" si="5">D38/D20</f>
        <v>2.4381860951385257E-2</v>
      </c>
      <c r="T38" s="123">
        <f t="shared" si="5"/>
        <v>2.6033057851239667E-2</v>
      </c>
      <c r="U38" s="123">
        <f t="shared" si="5"/>
        <v>3.5282887886150645E-2</v>
      </c>
      <c r="V38" s="123">
        <f t="shared" si="5"/>
        <v>4.8857971014492747E-2</v>
      </c>
      <c r="W38" s="123">
        <f t="shared" si="5"/>
        <v>3.9447159437996336E-2</v>
      </c>
      <c r="X38" s="123">
        <f t="shared" si="5"/>
        <v>0.12775041050903119</v>
      </c>
      <c r="Y38" s="123">
        <f t="shared" si="5"/>
        <v>0.10039676425269646</v>
      </c>
      <c r="Z38" s="123">
        <f t="shared" si="5"/>
        <v>4.6647608157042116E-2</v>
      </c>
      <c r="AA38" s="123">
        <f t="shared" si="5"/>
        <v>8.4597439544807931E-2</v>
      </c>
      <c r="AB38" s="123">
        <f t="shared" si="5"/>
        <v>7.3260684488336447E-2</v>
      </c>
      <c r="AC38" s="123">
        <f t="shared" si="5"/>
        <v>3.3744870041039668E-2</v>
      </c>
      <c r="AD38" s="129">
        <f t="shared" si="5"/>
        <v>0.11457649815868765</v>
      </c>
      <c r="AE38" s="133">
        <f>AVERAGE(S38:AD38)</f>
        <v>6.2914767691075499E-2</v>
      </c>
      <c r="AI38" s="528"/>
      <c r="AJ38" s="529"/>
    </row>
    <row r="39" spans="2:36" ht="18.75">
      <c r="B39" s="521"/>
      <c r="C39" s="266" t="s">
        <v>143</v>
      </c>
      <c r="D39" s="258">
        <v>69.66</v>
      </c>
      <c r="E39" s="259">
        <v>43.75</v>
      </c>
      <c r="F39" s="259">
        <v>77.900000000000006</v>
      </c>
      <c r="G39" s="259">
        <v>16.659999999999997</v>
      </c>
      <c r="H39" s="259">
        <v>102.89999999999999</v>
      </c>
      <c r="I39" s="259">
        <v>163.19999999999999</v>
      </c>
      <c r="J39" s="259">
        <v>176.88000000000002</v>
      </c>
      <c r="K39" s="259">
        <v>150.79999999999998</v>
      </c>
      <c r="L39" s="259">
        <v>162.24999999999997</v>
      </c>
      <c r="M39" s="259">
        <v>71</v>
      </c>
      <c r="N39" s="259">
        <v>90.089999999999989</v>
      </c>
      <c r="O39" s="260">
        <v>200.79000000000002</v>
      </c>
      <c r="R39" s="121" t="s">
        <v>143</v>
      </c>
      <c r="S39" s="128">
        <f t="shared" si="5"/>
        <v>2.3815384615384613E-2</v>
      </c>
      <c r="T39" s="123">
        <f t="shared" si="5"/>
        <v>2.0050412465627863E-2</v>
      </c>
      <c r="U39" s="123">
        <f t="shared" si="5"/>
        <v>6.4916666666666678E-2</v>
      </c>
      <c r="V39" s="123">
        <f t="shared" si="5"/>
        <v>1.9623085983510008E-2</v>
      </c>
      <c r="W39" s="123">
        <f t="shared" si="5"/>
        <v>3.7188290567401514E-2</v>
      </c>
      <c r="X39" s="123">
        <f t="shared" si="5"/>
        <v>6.935826604334891E-2</v>
      </c>
      <c r="Y39" s="123">
        <f t="shared" si="5"/>
        <v>0.12386554621848742</v>
      </c>
      <c r="Z39" s="123">
        <f t="shared" si="5"/>
        <v>6.4458217567856371E-2</v>
      </c>
      <c r="AA39" s="123">
        <f t="shared" si="5"/>
        <v>0.13537755527743009</v>
      </c>
      <c r="AB39" s="123">
        <f t="shared" si="5"/>
        <v>8.9873417721518981E-2</v>
      </c>
      <c r="AC39" s="123">
        <f t="shared" si="5"/>
        <v>2.8963189197878152E-2</v>
      </c>
      <c r="AD39" s="129">
        <f t="shared" si="5"/>
        <v>0.10479645093945722</v>
      </c>
      <c r="AE39" s="133">
        <f t="shared" ref="AE39:AE42" si="6">AVERAGE(S39:AD39)</f>
        <v>6.519054027204732E-2</v>
      </c>
      <c r="AI39" s="484" t="s">
        <v>142</v>
      </c>
      <c r="AJ39" s="485">
        <v>4.7571329079752693E-2</v>
      </c>
    </row>
    <row r="40" spans="2:36" ht="18.75">
      <c r="B40" s="521"/>
      <c r="C40" s="266" t="s">
        <v>144</v>
      </c>
      <c r="D40" s="272">
        <v>0</v>
      </c>
      <c r="E40" s="177">
        <v>0</v>
      </c>
      <c r="F40" s="177">
        <v>0</v>
      </c>
      <c r="G40" s="177">
        <v>0</v>
      </c>
      <c r="H40" s="177">
        <v>0</v>
      </c>
      <c r="I40" s="177">
        <v>0</v>
      </c>
      <c r="J40" s="177">
        <v>0</v>
      </c>
      <c r="K40" s="177">
        <v>25.81</v>
      </c>
      <c r="L40" s="177">
        <v>0</v>
      </c>
      <c r="M40" s="177">
        <v>0</v>
      </c>
      <c r="N40" s="177">
        <v>17.549999999999997</v>
      </c>
      <c r="O40" s="178">
        <v>79.695000000000007</v>
      </c>
      <c r="R40" s="121" t="s">
        <v>144</v>
      </c>
      <c r="S40" s="128">
        <v>0</v>
      </c>
      <c r="T40" s="123">
        <v>0</v>
      </c>
      <c r="U40" s="123">
        <v>0</v>
      </c>
      <c r="V40" s="123">
        <v>0</v>
      </c>
      <c r="W40" s="123">
        <v>0</v>
      </c>
      <c r="X40" s="123">
        <v>0</v>
      </c>
      <c r="Y40" s="123">
        <v>0</v>
      </c>
      <c r="Z40" s="123">
        <f>K40/K22</f>
        <v>0.1830496453900709</v>
      </c>
      <c r="AA40" s="123">
        <v>0</v>
      </c>
      <c r="AB40" s="123">
        <v>0</v>
      </c>
      <c r="AC40" s="123">
        <f t="shared" ref="AC40:AD42" si="7">N40/N22</f>
        <v>0.12446808510638296</v>
      </c>
      <c r="AD40" s="129">
        <f t="shared" si="7"/>
        <v>0.44275000000000003</v>
      </c>
      <c r="AE40" s="133">
        <f t="shared" si="6"/>
        <v>6.2522310874704487E-2</v>
      </c>
      <c r="AI40" s="317" t="s">
        <v>143</v>
      </c>
      <c r="AJ40" s="319">
        <v>4.9299632240569775E-2</v>
      </c>
    </row>
    <row r="41" spans="2:36" ht="18.75">
      <c r="B41" s="521"/>
      <c r="C41" s="266" t="s">
        <v>145</v>
      </c>
      <c r="D41" s="258">
        <v>0</v>
      </c>
      <c r="E41" s="259">
        <v>0</v>
      </c>
      <c r="F41" s="259">
        <v>0</v>
      </c>
      <c r="G41" s="259">
        <v>0</v>
      </c>
      <c r="H41" s="259">
        <v>0</v>
      </c>
      <c r="I41" s="259">
        <v>0</v>
      </c>
      <c r="J41" s="259">
        <v>187.60000000000002</v>
      </c>
      <c r="K41" s="259">
        <v>203.86999999999998</v>
      </c>
      <c r="L41" s="259">
        <v>88.499999999999972</v>
      </c>
      <c r="M41" s="259">
        <v>220.1</v>
      </c>
      <c r="N41" s="259">
        <v>107.13299999999998</v>
      </c>
      <c r="O41" s="260">
        <v>124.54500000000002</v>
      </c>
      <c r="R41" s="121" t="s">
        <v>145</v>
      </c>
      <c r="S41" s="128">
        <v>0</v>
      </c>
      <c r="T41" s="123">
        <v>0</v>
      </c>
      <c r="U41" s="123">
        <v>0</v>
      </c>
      <c r="V41" s="123">
        <v>0</v>
      </c>
      <c r="W41" s="123">
        <v>0</v>
      </c>
      <c r="X41" s="123">
        <v>0</v>
      </c>
      <c r="Y41" s="123">
        <f>J41/J23</f>
        <v>0.12506666666666669</v>
      </c>
      <c r="Z41" s="123">
        <f>K41/K23</f>
        <v>9.6301369863013686E-2</v>
      </c>
      <c r="AA41" s="123">
        <f>L41/L23</f>
        <v>9.5263724434876185E-2</v>
      </c>
      <c r="AB41" s="123">
        <f>M41/M23</f>
        <v>0.24080962800875272</v>
      </c>
      <c r="AC41" s="123">
        <f t="shared" si="7"/>
        <v>3.7876259501502557E-2</v>
      </c>
      <c r="AD41" s="129">
        <f t="shared" si="7"/>
        <v>9.4783105022831063E-2</v>
      </c>
      <c r="AE41" s="133">
        <f t="shared" si="6"/>
        <v>5.7508396124803574E-2</v>
      </c>
      <c r="AI41" s="317" t="s">
        <v>144</v>
      </c>
      <c r="AJ41" s="319">
        <v>4.3845892434988182E-2</v>
      </c>
    </row>
    <row r="42" spans="2:36" ht="19.5" thickBot="1">
      <c r="B42" s="522"/>
      <c r="C42" s="267" t="s">
        <v>146</v>
      </c>
      <c r="D42" s="269">
        <v>212.62499999999997</v>
      </c>
      <c r="E42" s="270">
        <v>123.55</v>
      </c>
      <c r="F42" s="270">
        <v>177.46</v>
      </c>
      <c r="G42" s="270">
        <v>97.264999999999986</v>
      </c>
      <c r="H42" s="270">
        <v>117.94999999999999</v>
      </c>
      <c r="I42" s="270">
        <v>273.89999999999998</v>
      </c>
      <c r="J42" s="270">
        <v>248.57000000000002</v>
      </c>
      <c r="K42" s="270">
        <v>239.82999999999998</v>
      </c>
      <c r="L42" s="270">
        <v>167.55999999999995</v>
      </c>
      <c r="M42" s="270">
        <v>285.41999999999996</v>
      </c>
      <c r="N42" s="270">
        <v>123.62999999999998</v>
      </c>
      <c r="O42" s="271">
        <v>328.09500000000003</v>
      </c>
      <c r="R42" s="122" t="s">
        <v>158</v>
      </c>
      <c r="S42" s="130">
        <f t="shared" ref="S42:X42" si="8">D42/D24</f>
        <v>4.1568914956011727E-2</v>
      </c>
      <c r="T42" s="131">
        <f t="shared" si="8"/>
        <v>2.7924059215730591E-2</v>
      </c>
      <c r="U42" s="131">
        <f t="shared" si="8"/>
        <v>2.8984891792568395E-2</v>
      </c>
      <c r="V42" s="131">
        <f t="shared" si="8"/>
        <v>4.2492354740061154E-2</v>
      </c>
      <c r="W42" s="131">
        <f t="shared" si="8"/>
        <v>3.4922279792746112E-2</v>
      </c>
      <c r="X42" s="131">
        <f t="shared" si="8"/>
        <v>8.3557046979865768E-2</v>
      </c>
      <c r="Y42" s="131">
        <f>J42/J24</f>
        <v>5.9289206917113896E-2</v>
      </c>
      <c r="Z42" s="131">
        <f>K42/K24</f>
        <v>6.2035695809622343E-2</v>
      </c>
      <c r="AA42" s="131">
        <f>L42/L24</f>
        <v>5.751158400549166E-2</v>
      </c>
      <c r="AB42" s="131">
        <f>M42/M24</f>
        <v>0.1045111680703039</v>
      </c>
      <c r="AC42" s="131">
        <f t="shared" si="7"/>
        <v>2.9365795724465554E-2</v>
      </c>
      <c r="AD42" s="132">
        <f t="shared" si="7"/>
        <v>0.12416083254493851</v>
      </c>
      <c r="AE42" s="133">
        <f t="shared" si="6"/>
        <v>5.8026985879076627E-2</v>
      </c>
      <c r="AI42" s="317" t="s">
        <v>145</v>
      </c>
      <c r="AJ42" s="319">
        <v>3.3143385051151143E-2</v>
      </c>
    </row>
    <row r="43" spans="2:36" ht="19.5" thickBot="1">
      <c r="B43" s="523" t="s">
        <v>150</v>
      </c>
      <c r="C43" s="523"/>
      <c r="D43" s="261">
        <v>422.21249999999998</v>
      </c>
      <c r="E43" s="261">
        <v>260.22500000000002</v>
      </c>
      <c r="F43" s="261">
        <v>357.01</v>
      </c>
      <c r="G43" s="261">
        <v>198.20499999999998</v>
      </c>
      <c r="H43" s="261">
        <v>350</v>
      </c>
      <c r="I43" s="261">
        <v>670.5</v>
      </c>
      <c r="J43" s="261">
        <v>873.68000000000006</v>
      </c>
      <c r="K43" s="261">
        <v>742.68999999999983</v>
      </c>
      <c r="L43" s="261">
        <v>566.9899999999999</v>
      </c>
      <c r="M43" s="261">
        <v>791.65</v>
      </c>
      <c r="N43" s="261">
        <v>437.07299999999998</v>
      </c>
      <c r="O43" s="261">
        <v>904.24500000000012</v>
      </c>
      <c r="R43" s="116"/>
      <c r="AI43" s="318" t="s">
        <v>158</v>
      </c>
      <c r="AJ43" s="320">
        <v>4.4467501434956751E-2</v>
      </c>
    </row>
    <row r="45" spans="2:36" ht="15.75" thickBot="1">
      <c r="C45" s="519" t="s">
        <v>161</v>
      </c>
      <c r="D45" s="519"/>
      <c r="E45" s="519"/>
      <c r="AE45" t="s">
        <v>162</v>
      </c>
    </row>
    <row r="46" spans="2:36" ht="12" customHeight="1" thickBot="1">
      <c r="R46" s="134"/>
      <c r="S46" s="135" t="s">
        <v>105</v>
      </c>
      <c r="T46" s="136" t="s">
        <v>106</v>
      </c>
      <c r="U46" s="136" t="s">
        <v>107</v>
      </c>
      <c r="V46" s="136" t="s">
        <v>108</v>
      </c>
      <c r="W46" s="136" t="s">
        <v>109</v>
      </c>
      <c r="X46" s="136" t="s">
        <v>110</v>
      </c>
      <c r="Y46" s="136" t="s">
        <v>111</v>
      </c>
      <c r="Z46" s="136" t="s">
        <v>112</v>
      </c>
      <c r="AA46" s="136" t="s">
        <v>113</v>
      </c>
      <c r="AB46" s="136" t="s">
        <v>114</v>
      </c>
      <c r="AC46" s="137" t="s">
        <v>115</v>
      </c>
      <c r="AD46" s="138" t="s">
        <v>116</v>
      </c>
      <c r="AE46" s="134"/>
    </row>
    <row r="47" spans="2:36">
      <c r="B47" s="520" t="s">
        <v>148</v>
      </c>
      <c r="C47" s="278" t="s">
        <v>142</v>
      </c>
      <c r="D47" s="96">
        <v>205.57249999999999</v>
      </c>
      <c r="E47" s="83">
        <v>172.57500000000002</v>
      </c>
      <c r="F47" s="83">
        <v>165.85</v>
      </c>
      <c r="G47" s="83">
        <v>87.72</v>
      </c>
      <c r="H47" s="83">
        <v>55.350000000000009</v>
      </c>
      <c r="I47" s="83">
        <v>155.6</v>
      </c>
      <c r="J47" s="83">
        <v>128.37</v>
      </c>
      <c r="K47" s="83">
        <v>88.62</v>
      </c>
      <c r="L47" s="83">
        <v>103.32000000000002</v>
      </c>
      <c r="M47" s="83">
        <v>87.87</v>
      </c>
      <c r="N47" s="83">
        <v>154.32999999999998</v>
      </c>
      <c r="O47" s="84">
        <v>76.88</v>
      </c>
      <c r="R47" s="139" t="s">
        <v>142</v>
      </c>
      <c r="S47" s="140">
        <f t="shared" ref="S47:AD48" si="9">D47/D20</f>
        <v>3.582026485450427E-2</v>
      </c>
      <c r="T47" s="141">
        <f t="shared" si="9"/>
        <v>4.8347107438016533E-2</v>
      </c>
      <c r="U47" s="141">
        <f t="shared" si="9"/>
        <v>5.756681707740368E-2</v>
      </c>
      <c r="V47" s="141">
        <f t="shared" si="9"/>
        <v>5.0852173913043475E-2</v>
      </c>
      <c r="W47" s="141">
        <f t="shared" si="9"/>
        <v>1.6905925473427005E-2</v>
      </c>
      <c r="X47" s="141">
        <f t="shared" si="9"/>
        <v>8.5166940339354125E-2</v>
      </c>
      <c r="Y47" s="141">
        <f t="shared" si="9"/>
        <v>4.9449152542372886E-2</v>
      </c>
      <c r="Z47" s="141">
        <f t="shared" si="9"/>
        <v>3.3779302458547746E-2</v>
      </c>
      <c r="AA47" s="141">
        <f t="shared" si="9"/>
        <v>5.8788051209103853E-2</v>
      </c>
      <c r="AB47" s="141">
        <f t="shared" si="9"/>
        <v>2.9923378171292356E-2</v>
      </c>
      <c r="AC47" s="141">
        <f t="shared" si="9"/>
        <v>5.278043775649794E-2</v>
      </c>
      <c r="AD47" s="142">
        <f t="shared" si="9"/>
        <v>5.1476397723468362E-2</v>
      </c>
      <c r="AE47" s="143">
        <f>AVERAGE(S47:AD47)</f>
        <v>4.7571329079752693E-2</v>
      </c>
    </row>
    <row r="48" spans="2:36">
      <c r="B48" s="521"/>
      <c r="C48" s="279" t="s">
        <v>143</v>
      </c>
      <c r="D48" s="281">
        <v>102.33999999999999</v>
      </c>
      <c r="E48" s="282">
        <v>81.25</v>
      </c>
      <c r="F48" s="282">
        <v>127.1</v>
      </c>
      <c r="G48" s="282">
        <v>17.34</v>
      </c>
      <c r="H48" s="282">
        <v>44.100000000000009</v>
      </c>
      <c r="I48" s="282">
        <v>108.8</v>
      </c>
      <c r="J48" s="282">
        <v>87.12</v>
      </c>
      <c r="K48" s="282">
        <v>109.20000000000002</v>
      </c>
      <c r="L48" s="282">
        <v>112.75000000000003</v>
      </c>
      <c r="M48" s="282">
        <v>29.000000000000004</v>
      </c>
      <c r="N48" s="282">
        <v>140.91</v>
      </c>
      <c r="O48" s="283">
        <v>90.21</v>
      </c>
      <c r="R48" s="139" t="s">
        <v>143</v>
      </c>
      <c r="S48" s="140">
        <f t="shared" si="9"/>
        <v>3.4988034188034187E-2</v>
      </c>
      <c r="T48" s="141">
        <f t="shared" si="9"/>
        <v>3.7236480293308893E-2</v>
      </c>
      <c r="U48" s="141">
        <f t="shared" si="9"/>
        <v>0.10591666666666666</v>
      </c>
      <c r="V48" s="141">
        <f t="shared" si="9"/>
        <v>2.0424028268551237E-2</v>
      </c>
      <c r="W48" s="141">
        <f t="shared" si="9"/>
        <v>1.5937838814600654E-2</v>
      </c>
      <c r="X48" s="141">
        <f t="shared" si="9"/>
        <v>4.6238844028899273E-2</v>
      </c>
      <c r="Y48" s="141">
        <f t="shared" si="9"/>
        <v>6.100840336134454E-2</v>
      </c>
      <c r="Z48" s="141">
        <f t="shared" si="9"/>
        <v>4.6676640307758074E-2</v>
      </c>
      <c r="AA48" s="141">
        <f t="shared" si="9"/>
        <v>9.4075928243637905E-2</v>
      </c>
      <c r="AB48" s="141">
        <f t="shared" si="9"/>
        <v>3.6708860759493672E-2</v>
      </c>
      <c r="AC48" s="141">
        <f t="shared" si="9"/>
        <v>4.5301398488988905E-2</v>
      </c>
      <c r="AD48" s="142">
        <f t="shared" si="9"/>
        <v>4.7082463465553233E-2</v>
      </c>
      <c r="AE48" s="143">
        <f t="shared" ref="AE48:AE51" si="10">AVERAGE(S48:AD48)</f>
        <v>4.9299632240569775E-2</v>
      </c>
    </row>
    <row r="49" spans="2:47">
      <c r="B49" s="521"/>
      <c r="C49" s="279" t="s">
        <v>144</v>
      </c>
      <c r="D49" s="97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18.690000000000001</v>
      </c>
      <c r="L49" s="14">
        <v>0</v>
      </c>
      <c r="M49" s="14">
        <v>0</v>
      </c>
      <c r="N49" s="14">
        <v>27.45</v>
      </c>
      <c r="O49" s="91">
        <v>35.805</v>
      </c>
      <c r="R49" s="139" t="s">
        <v>144</v>
      </c>
      <c r="S49" s="140">
        <v>0</v>
      </c>
      <c r="T49" s="141">
        <v>0</v>
      </c>
      <c r="U49" s="141">
        <v>0</v>
      </c>
      <c r="V49" s="141">
        <v>0</v>
      </c>
      <c r="W49" s="141">
        <v>0</v>
      </c>
      <c r="X49" s="141">
        <v>0</v>
      </c>
      <c r="Y49" s="141">
        <v>0</v>
      </c>
      <c r="Z49" s="141">
        <f>K49/K22</f>
        <v>0.1325531914893617</v>
      </c>
      <c r="AA49" s="141">
        <v>0</v>
      </c>
      <c r="AB49" s="141">
        <v>0</v>
      </c>
      <c r="AC49" s="141">
        <f t="shared" ref="AC49:AD51" si="11">N49/N22</f>
        <v>0.19468085106382979</v>
      </c>
      <c r="AD49" s="142">
        <f t="shared" si="11"/>
        <v>0.19891666666666666</v>
      </c>
      <c r="AE49" s="143">
        <f t="shared" si="10"/>
        <v>4.3845892434988182E-2</v>
      </c>
    </row>
    <row r="50" spans="2:47">
      <c r="B50" s="521"/>
      <c r="C50" s="279" t="s">
        <v>145</v>
      </c>
      <c r="D50" s="281">
        <v>0</v>
      </c>
      <c r="E50" s="282">
        <v>0</v>
      </c>
      <c r="F50" s="282">
        <v>0</v>
      </c>
      <c r="G50" s="282">
        <v>0</v>
      </c>
      <c r="H50" s="282">
        <v>0</v>
      </c>
      <c r="I50" s="282">
        <v>0</v>
      </c>
      <c r="J50" s="282">
        <v>92.4</v>
      </c>
      <c r="K50" s="282">
        <v>147.63000000000002</v>
      </c>
      <c r="L50" s="282">
        <v>61.500000000000014</v>
      </c>
      <c r="M50" s="282">
        <v>89.9</v>
      </c>
      <c r="N50" s="282">
        <v>167.56699999999998</v>
      </c>
      <c r="O50" s="283">
        <v>55.954999999999998</v>
      </c>
      <c r="R50" s="139" t="s">
        <v>145</v>
      </c>
      <c r="S50" s="140">
        <v>0</v>
      </c>
      <c r="T50" s="141">
        <v>0</v>
      </c>
      <c r="U50" s="141">
        <v>0</v>
      </c>
      <c r="V50" s="141">
        <v>0</v>
      </c>
      <c r="W50" s="141">
        <v>0</v>
      </c>
      <c r="X50" s="141">
        <v>0</v>
      </c>
      <c r="Y50" s="141">
        <f>J50/J23</f>
        <v>6.1600000000000002E-2</v>
      </c>
      <c r="Z50" s="141">
        <f>K50/K23</f>
        <v>6.9735474728389243E-2</v>
      </c>
      <c r="AA50" s="141">
        <f>L50/L23</f>
        <v>6.6200215285252981E-2</v>
      </c>
      <c r="AB50" s="141">
        <f>M50/M23</f>
        <v>9.8358862144420134E-2</v>
      </c>
      <c r="AC50" s="141">
        <f t="shared" si="11"/>
        <v>5.9242354604914255E-2</v>
      </c>
      <c r="AD50" s="142">
        <f t="shared" si="11"/>
        <v>4.2583713850837139E-2</v>
      </c>
      <c r="AE50" s="143">
        <f t="shared" si="10"/>
        <v>3.3143385051151143E-2</v>
      </c>
    </row>
    <row r="51" spans="2:47" ht="15.75" thickBot="1">
      <c r="B51" s="522"/>
      <c r="C51" s="280" t="s">
        <v>146</v>
      </c>
      <c r="D51" s="98">
        <v>312.375</v>
      </c>
      <c r="E51" s="85">
        <v>229.45000000000002</v>
      </c>
      <c r="F51" s="85">
        <v>289.54000000000002</v>
      </c>
      <c r="G51" s="85">
        <v>101.235</v>
      </c>
      <c r="H51" s="85">
        <v>50.550000000000004</v>
      </c>
      <c r="I51" s="85">
        <v>182.6</v>
      </c>
      <c r="J51" s="85">
        <v>122.43</v>
      </c>
      <c r="K51" s="85">
        <v>173.67000000000002</v>
      </c>
      <c r="L51" s="85">
        <v>116.44000000000003</v>
      </c>
      <c r="M51" s="85">
        <v>116.58000000000001</v>
      </c>
      <c r="N51" s="85">
        <v>193.37</v>
      </c>
      <c r="O51" s="86">
        <v>147.405</v>
      </c>
      <c r="R51" s="144" t="s">
        <v>158</v>
      </c>
      <c r="S51" s="145">
        <f t="shared" ref="S51:X51" si="12">D51/D24</f>
        <v>6.1070381231671557E-2</v>
      </c>
      <c r="T51" s="146">
        <f t="shared" si="12"/>
        <v>5.1858967114928246E-2</v>
      </c>
      <c r="U51" s="146">
        <f t="shared" si="12"/>
        <v>4.7291139240506333E-2</v>
      </c>
      <c r="V51" s="146">
        <f t="shared" si="12"/>
        <v>4.4226736566186108E-2</v>
      </c>
      <c r="W51" s="146">
        <f t="shared" si="12"/>
        <v>1.4966691339748336E-2</v>
      </c>
      <c r="X51" s="146">
        <f t="shared" si="12"/>
        <v>5.5704697986577179E-2</v>
      </c>
      <c r="Y51" s="146">
        <f>J51/J24</f>
        <v>2.9202146690518786E-2</v>
      </c>
      <c r="Z51" s="146">
        <f>K51/K24</f>
        <v>4.4922400413864465E-2</v>
      </c>
      <c r="AA51" s="146">
        <f>L51/L24</f>
        <v>3.9965677020765408E-2</v>
      </c>
      <c r="AB51" s="146">
        <f>M51/M24</f>
        <v>4.2687660197729772E-2</v>
      </c>
      <c r="AC51" s="146">
        <f t="shared" si="11"/>
        <v>4.5931116389548693E-2</v>
      </c>
      <c r="AD51" s="147">
        <f t="shared" si="11"/>
        <v>5.5782403027436138E-2</v>
      </c>
      <c r="AE51" s="143">
        <f t="shared" si="10"/>
        <v>4.4467501434956751E-2</v>
      </c>
    </row>
    <row r="52" spans="2:47" ht="18.75" customHeight="1">
      <c r="B52" s="524" t="s">
        <v>149</v>
      </c>
      <c r="C52" s="524"/>
      <c r="D52" s="82">
        <v>620.28749999999991</v>
      </c>
      <c r="E52" s="82">
        <v>483.27500000000003</v>
      </c>
      <c r="F52" s="82">
        <v>582.49</v>
      </c>
      <c r="G52" s="82">
        <v>206.29500000000002</v>
      </c>
      <c r="H52" s="82">
        <v>150.00000000000003</v>
      </c>
      <c r="I52" s="82">
        <v>447</v>
      </c>
      <c r="J52" s="82">
        <v>430.32</v>
      </c>
      <c r="K52" s="82">
        <v>537.81000000000006</v>
      </c>
      <c r="L52" s="82">
        <v>394.0100000000001</v>
      </c>
      <c r="M52" s="82">
        <v>323.35000000000002</v>
      </c>
      <c r="N52" s="82">
        <v>683.62699999999995</v>
      </c>
      <c r="O52" s="82">
        <v>406.255</v>
      </c>
    </row>
    <row r="53" spans="2:47">
      <c r="B53" s="525"/>
      <c r="C53" s="525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</row>
    <row r="54" spans="2:47" ht="15.75" thickBot="1"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</row>
    <row r="55" spans="2:47" ht="45.75" thickBot="1">
      <c r="C55" s="80" t="s">
        <v>152</v>
      </c>
      <c r="D55" s="93">
        <v>1042.5</v>
      </c>
      <c r="E55" s="94">
        <v>743.5</v>
      </c>
      <c r="F55" s="94">
        <v>939.5</v>
      </c>
      <c r="G55" s="94">
        <v>404.5</v>
      </c>
      <c r="H55" s="94">
        <v>500</v>
      </c>
      <c r="I55" s="94">
        <v>1117.5</v>
      </c>
      <c r="J55" s="94">
        <v>1304</v>
      </c>
      <c r="K55" s="94">
        <v>1280.5</v>
      </c>
      <c r="L55" s="94">
        <v>961</v>
      </c>
      <c r="M55" s="94">
        <v>1115</v>
      </c>
      <c r="N55" s="94">
        <v>1120.6999999999998</v>
      </c>
      <c r="O55" s="95">
        <v>1310.5</v>
      </c>
    </row>
    <row r="56" spans="2:47" ht="15.75" thickBot="1"/>
    <row r="57" spans="2:47" ht="45.75" thickBot="1">
      <c r="C57" s="80" t="s">
        <v>153</v>
      </c>
      <c r="D57" s="106">
        <f t="shared" ref="D57:O57" si="13">D55+D14</f>
        <v>1042.5</v>
      </c>
      <c r="E57" s="107">
        <f t="shared" si="13"/>
        <v>762.5</v>
      </c>
      <c r="F57" s="107">
        <f t="shared" si="13"/>
        <v>946</v>
      </c>
      <c r="G57" s="107">
        <f t="shared" si="13"/>
        <v>493.5</v>
      </c>
      <c r="H57" s="107">
        <f t="shared" si="13"/>
        <v>536.5</v>
      </c>
      <c r="I57" s="107">
        <f t="shared" si="13"/>
        <v>1179.5</v>
      </c>
      <c r="J57" s="107">
        <f t="shared" si="13"/>
        <v>1367.5</v>
      </c>
      <c r="K57" s="107">
        <f t="shared" si="13"/>
        <v>1341.5</v>
      </c>
      <c r="L57" s="107">
        <f t="shared" si="13"/>
        <v>1006</v>
      </c>
      <c r="M57" s="107">
        <f t="shared" si="13"/>
        <v>1138</v>
      </c>
      <c r="N57" s="107">
        <f t="shared" si="13"/>
        <v>1124.1999999999998</v>
      </c>
      <c r="O57" s="108">
        <f t="shared" si="13"/>
        <v>1354</v>
      </c>
    </row>
    <row r="59" spans="2:47" ht="15.75" thickBot="1"/>
    <row r="60" spans="2:47" ht="75.75" thickBot="1">
      <c r="C60" s="80" t="s">
        <v>154</v>
      </c>
      <c r="D60" s="109">
        <f t="shared" ref="D60:O60" si="14">D57/D7</f>
        <v>5.3812006400660715E-2</v>
      </c>
      <c r="E60" s="110">
        <f t="shared" si="14"/>
        <v>4.1096259566670262E-2</v>
      </c>
      <c r="F60" s="110">
        <f t="shared" si="14"/>
        <v>7.1950106480073009E-2</v>
      </c>
      <c r="G60" s="110">
        <f t="shared" si="14"/>
        <v>0.12811526479750779</v>
      </c>
      <c r="H60" s="110">
        <f t="shared" si="14"/>
        <v>2.5551269228937468E-2</v>
      </c>
      <c r="I60" s="110">
        <f t="shared" si="14"/>
        <v>0.14802961847389559</v>
      </c>
      <c r="J60" s="110">
        <f t="shared" si="14"/>
        <v>0.13523536392405064</v>
      </c>
      <c r="K60" s="110">
        <f t="shared" si="14"/>
        <v>0.10232646834477498</v>
      </c>
      <c r="L60" s="110">
        <f t="shared" si="14"/>
        <v>0.11045234958278437</v>
      </c>
      <c r="M60" s="110">
        <f t="shared" si="14"/>
        <v>9.8681928546652795E-2</v>
      </c>
      <c r="N60" s="110">
        <f t="shared" si="14"/>
        <v>7.6889405649408368E-2</v>
      </c>
      <c r="O60" s="111">
        <f t="shared" si="14"/>
        <v>0.23556019485038274</v>
      </c>
    </row>
    <row r="61" spans="2:47">
      <c r="AJ61" s="493" t="s">
        <v>130</v>
      </c>
      <c r="AK61" s="493" t="s">
        <v>131</v>
      </c>
      <c r="AL61" s="493" t="s">
        <v>132</v>
      </c>
      <c r="AM61" s="493" t="s">
        <v>133</v>
      </c>
      <c r="AN61" s="493" t="s">
        <v>134</v>
      </c>
      <c r="AO61" s="493" t="s">
        <v>135</v>
      </c>
      <c r="AP61" s="493" t="s">
        <v>136</v>
      </c>
      <c r="AQ61" s="493" t="s">
        <v>137</v>
      </c>
      <c r="AR61" s="493" t="s">
        <v>183</v>
      </c>
      <c r="AS61" s="493" t="s">
        <v>139</v>
      </c>
      <c r="AT61" s="493" t="s">
        <v>140</v>
      </c>
      <c r="AU61" s="493" t="s">
        <v>141</v>
      </c>
    </row>
    <row r="62" spans="2:47">
      <c r="AJ62" s="493"/>
      <c r="AK62" s="493"/>
      <c r="AL62" s="493"/>
      <c r="AM62" s="493"/>
      <c r="AN62" s="493"/>
      <c r="AO62" s="493"/>
      <c r="AP62" s="493"/>
      <c r="AQ62" s="493"/>
      <c r="AR62" s="493"/>
      <c r="AS62" s="493"/>
      <c r="AT62" s="493"/>
      <c r="AU62" s="493"/>
    </row>
    <row r="63" spans="2:47">
      <c r="AJ63" s="493"/>
      <c r="AK63" s="493"/>
      <c r="AL63" s="493"/>
      <c r="AM63" s="493"/>
      <c r="AN63" s="493"/>
      <c r="AO63" s="493"/>
      <c r="AP63" s="493"/>
      <c r="AQ63" s="493"/>
      <c r="AR63" s="493"/>
      <c r="AS63" s="493"/>
      <c r="AT63" s="493"/>
      <c r="AU63" s="493"/>
    </row>
    <row r="64" spans="2:47">
      <c r="AJ64" s="493"/>
      <c r="AK64" s="493"/>
      <c r="AL64" s="493"/>
      <c r="AM64" s="493"/>
      <c r="AN64" s="493"/>
      <c r="AO64" s="493"/>
      <c r="AP64" s="493"/>
      <c r="AQ64" s="493"/>
      <c r="AR64" s="493"/>
      <c r="AS64" s="493"/>
      <c r="AT64" s="493"/>
      <c r="AU64" s="493"/>
    </row>
    <row r="65" spans="3:47">
      <c r="AJ65" s="493"/>
      <c r="AK65" s="493"/>
      <c r="AL65" s="493"/>
      <c r="AM65" s="493"/>
      <c r="AN65" s="493"/>
      <c r="AO65" s="493"/>
      <c r="AP65" s="493"/>
      <c r="AQ65" s="493"/>
      <c r="AR65" s="493"/>
      <c r="AS65" s="493"/>
      <c r="AT65" s="493"/>
      <c r="AU65" s="493"/>
    </row>
    <row r="66" spans="3:47" ht="15.75" thickBot="1">
      <c r="AJ66" s="494"/>
      <c r="AK66" s="494"/>
      <c r="AL66" s="494"/>
      <c r="AM66" s="494"/>
      <c r="AN66" s="494"/>
      <c r="AO66" s="494"/>
      <c r="AP66" s="494"/>
      <c r="AQ66" s="494"/>
      <c r="AR66" s="494"/>
      <c r="AS66" s="494"/>
      <c r="AT66" s="494"/>
      <c r="AU66" s="494"/>
    </row>
    <row r="67" spans="3:47" ht="21">
      <c r="C67" s="265" t="s">
        <v>142</v>
      </c>
      <c r="D67" s="82">
        <f>SUM(D38:O38)</f>
        <v>1797.9424999999997</v>
      </c>
      <c r="AH67" s="520" t="s">
        <v>147</v>
      </c>
      <c r="AI67" s="265" t="s">
        <v>142</v>
      </c>
      <c r="AJ67" s="273">
        <v>139.92749999999998</v>
      </c>
      <c r="AK67" s="179">
        <v>92.924999999999997</v>
      </c>
      <c r="AL67" s="179">
        <v>101.65</v>
      </c>
      <c r="AM67" s="179">
        <v>84.279999999999987</v>
      </c>
      <c r="AN67" s="179">
        <v>129.15</v>
      </c>
      <c r="AO67" s="179">
        <v>233.39999999999998</v>
      </c>
      <c r="AP67" s="179">
        <v>260.63</v>
      </c>
      <c r="AQ67" s="179">
        <v>122.38</v>
      </c>
      <c r="AR67" s="179">
        <v>148.67999999999995</v>
      </c>
      <c r="AS67" s="179">
        <v>215.13</v>
      </c>
      <c r="AT67" s="179">
        <v>98.669999999999987</v>
      </c>
      <c r="AU67" s="180">
        <v>171.12</v>
      </c>
    </row>
    <row r="68" spans="3:47" ht="21">
      <c r="C68" s="266" t="s">
        <v>143</v>
      </c>
      <c r="D68" s="82">
        <f t="shared" ref="D68:D71" si="15">SUM(D39:O39)</f>
        <v>1325.8799999999999</v>
      </c>
      <c r="N68" s="309"/>
      <c r="AH68" s="521"/>
      <c r="AI68" s="266" t="s">
        <v>143</v>
      </c>
      <c r="AJ68" s="262">
        <v>69.66</v>
      </c>
      <c r="AK68" s="263">
        <v>43.75</v>
      </c>
      <c r="AL68" s="263">
        <v>77.900000000000006</v>
      </c>
      <c r="AM68" s="263">
        <v>16.659999999999997</v>
      </c>
      <c r="AN68" s="263">
        <v>102.89999999999999</v>
      </c>
      <c r="AO68" s="263">
        <v>163.19999999999999</v>
      </c>
      <c r="AP68" s="263">
        <v>176.88000000000002</v>
      </c>
      <c r="AQ68" s="263">
        <v>150.79999999999998</v>
      </c>
      <c r="AR68" s="263">
        <v>162.24999999999997</v>
      </c>
      <c r="AS68" s="263">
        <v>71</v>
      </c>
      <c r="AT68" s="263">
        <v>90.089999999999989</v>
      </c>
      <c r="AU68" s="264">
        <v>200.79000000000002</v>
      </c>
    </row>
    <row r="69" spans="3:47" ht="21.75" thickBot="1">
      <c r="C69" s="266" t="s">
        <v>144</v>
      </c>
      <c r="D69" s="82">
        <f t="shared" si="15"/>
        <v>123.05500000000001</v>
      </c>
      <c r="AH69" s="521"/>
      <c r="AI69" s="266" t="s">
        <v>144</v>
      </c>
      <c r="AJ69" s="274">
        <v>0</v>
      </c>
      <c r="AK69" s="181">
        <v>0</v>
      </c>
      <c r="AL69" s="181">
        <v>0</v>
      </c>
      <c r="AM69" s="181">
        <v>0</v>
      </c>
      <c r="AN69" s="181">
        <v>0</v>
      </c>
      <c r="AO69" s="181">
        <v>0</v>
      </c>
      <c r="AP69" s="181">
        <v>0</v>
      </c>
      <c r="AQ69" s="181">
        <v>25.81</v>
      </c>
      <c r="AR69" s="181">
        <v>0</v>
      </c>
      <c r="AS69" s="181">
        <v>0</v>
      </c>
      <c r="AT69" s="181">
        <v>17.549999999999997</v>
      </c>
      <c r="AU69" s="182">
        <v>79.695000000000007</v>
      </c>
    </row>
    <row r="70" spans="3:47" ht="21">
      <c r="C70" s="266" t="s">
        <v>145</v>
      </c>
      <c r="D70" s="82">
        <f t="shared" si="15"/>
        <v>931.74800000000005</v>
      </c>
      <c r="F70" s="265" t="s">
        <v>142</v>
      </c>
      <c r="G70" s="82">
        <f>D67+D74</f>
        <v>3280</v>
      </c>
      <c r="H70" s="308">
        <f>G70/$G$75</f>
        <v>0.27704574633421175</v>
      </c>
      <c r="K70" s="310" t="s">
        <v>142</v>
      </c>
      <c r="L70" s="313">
        <v>0.27704574633421175</v>
      </c>
      <c r="AH70" s="521"/>
      <c r="AI70" s="266" t="s">
        <v>145</v>
      </c>
      <c r="AJ70" s="262">
        <v>0</v>
      </c>
      <c r="AK70" s="263">
        <v>0</v>
      </c>
      <c r="AL70" s="263">
        <v>0</v>
      </c>
      <c r="AM70" s="263">
        <v>0</v>
      </c>
      <c r="AN70" s="263">
        <v>0</v>
      </c>
      <c r="AO70" s="263">
        <v>0</v>
      </c>
      <c r="AP70" s="263">
        <v>187.60000000000002</v>
      </c>
      <c r="AQ70" s="263">
        <v>203.86999999999998</v>
      </c>
      <c r="AR70" s="263">
        <v>88.499999999999972</v>
      </c>
      <c r="AS70" s="263">
        <v>220.1</v>
      </c>
      <c r="AT70" s="263">
        <v>107.13299999999998</v>
      </c>
      <c r="AU70" s="264">
        <v>124.54500000000002</v>
      </c>
    </row>
    <row r="71" spans="3:47" ht="21.75" thickBot="1">
      <c r="C71" s="267" t="s">
        <v>146</v>
      </c>
      <c r="D71" s="82">
        <f t="shared" si="15"/>
        <v>2395.8549999999996</v>
      </c>
      <c r="F71" s="266" t="s">
        <v>143</v>
      </c>
      <c r="G71" s="82">
        <f t="shared" ref="G71:G74" si="16">D68+D75</f>
        <v>2376</v>
      </c>
      <c r="H71" s="308">
        <f t="shared" ref="H71:H74" si="17">G71/$G$75</f>
        <v>0.20068923575917291</v>
      </c>
      <c r="K71" s="311" t="s">
        <v>143</v>
      </c>
      <c r="L71" s="314">
        <v>0.20068923575917291</v>
      </c>
      <c r="AH71" s="522"/>
      <c r="AI71" s="267" t="s">
        <v>146</v>
      </c>
      <c r="AJ71" s="275">
        <v>212.62499999999997</v>
      </c>
      <c r="AK71" s="276">
        <v>123.55</v>
      </c>
      <c r="AL71" s="276">
        <v>177.46</v>
      </c>
      <c r="AM71" s="276">
        <v>97.264999999999986</v>
      </c>
      <c r="AN71" s="276">
        <v>117.94999999999999</v>
      </c>
      <c r="AO71" s="276">
        <v>273.89999999999998</v>
      </c>
      <c r="AP71" s="276">
        <v>248.57000000000002</v>
      </c>
      <c r="AQ71" s="276">
        <v>239.82999999999998</v>
      </c>
      <c r="AR71" s="276">
        <v>167.55999999999995</v>
      </c>
      <c r="AS71" s="276">
        <v>285.41999999999996</v>
      </c>
      <c r="AT71" s="276">
        <v>123.62999999999998</v>
      </c>
      <c r="AU71" s="277">
        <v>328.09500000000003</v>
      </c>
    </row>
    <row r="72" spans="3:47" ht="18.75" customHeight="1">
      <c r="F72" s="266" t="s">
        <v>144</v>
      </c>
      <c r="G72" s="82">
        <f t="shared" si="16"/>
        <v>205</v>
      </c>
      <c r="H72" s="308">
        <f t="shared" si="17"/>
        <v>1.7315359145888234E-2</v>
      </c>
      <c r="K72" s="311" t="s">
        <v>144</v>
      </c>
      <c r="L72" s="314">
        <v>1.7315359145888234E-2</v>
      </c>
      <c r="AH72" s="524" t="s">
        <v>150</v>
      </c>
      <c r="AI72" s="524"/>
      <c r="AJ72" s="530">
        <v>422.21249999999998</v>
      </c>
      <c r="AK72" s="530">
        <v>260.22500000000002</v>
      </c>
      <c r="AL72" s="530">
        <v>357.01</v>
      </c>
      <c r="AM72" s="530">
        <v>198.20499999999998</v>
      </c>
      <c r="AN72" s="530">
        <v>350</v>
      </c>
      <c r="AO72" s="530">
        <v>670.5</v>
      </c>
      <c r="AP72" s="530">
        <v>873.68000000000006</v>
      </c>
      <c r="AQ72" s="530">
        <v>742.68999999999983</v>
      </c>
      <c r="AR72" s="530">
        <v>566.9899999999999</v>
      </c>
      <c r="AS72" s="530">
        <v>791.65</v>
      </c>
      <c r="AT72" s="530">
        <v>437.07299999999998</v>
      </c>
      <c r="AU72" s="530">
        <v>904.24500000000012</v>
      </c>
    </row>
    <row r="73" spans="3:47" ht="19.5" thickBot="1">
      <c r="F73" s="266" t="s">
        <v>145</v>
      </c>
      <c r="G73" s="82">
        <f t="shared" si="16"/>
        <v>1546.7000000000003</v>
      </c>
      <c r="H73" s="308">
        <f t="shared" si="17"/>
        <v>0.13064227312656262</v>
      </c>
      <c r="K73" s="311" t="s">
        <v>145</v>
      </c>
      <c r="L73" s="314">
        <v>0.13064227312656262</v>
      </c>
      <c r="AH73" s="525"/>
      <c r="AI73" s="525"/>
      <c r="AJ73" s="531"/>
      <c r="AK73" s="531"/>
      <c r="AL73" s="531"/>
      <c r="AM73" s="531"/>
      <c r="AN73" s="531"/>
      <c r="AO73" s="531"/>
      <c r="AP73" s="531"/>
      <c r="AQ73" s="531"/>
      <c r="AR73" s="531"/>
      <c r="AS73" s="531"/>
      <c r="AT73" s="531"/>
      <c r="AU73" s="531"/>
    </row>
    <row r="74" spans="3:47" ht="19.5" thickBot="1">
      <c r="C74" s="265" t="s">
        <v>142</v>
      </c>
      <c r="D74" s="82">
        <f>SUM(D47:O47)</f>
        <v>1482.0575000000003</v>
      </c>
      <c r="F74" s="267" t="s">
        <v>146</v>
      </c>
      <c r="G74" s="82">
        <f t="shared" si="16"/>
        <v>4431.5</v>
      </c>
      <c r="H74" s="308">
        <f t="shared" si="17"/>
        <v>0.37430738563416444</v>
      </c>
      <c r="K74" s="312" t="s">
        <v>146</v>
      </c>
      <c r="L74" s="315">
        <v>0.37430738563416444</v>
      </c>
    </row>
    <row r="75" spans="3:47" ht="18.75">
      <c r="C75" s="266" t="s">
        <v>143</v>
      </c>
      <c r="D75" s="82">
        <f t="shared" ref="D75:D78" si="18">SUM(D48:O48)</f>
        <v>1050.1199999999999</v>
      </c>
      <c r="G75" s="82">
        <f>SUM(G70:G74)</f>
        <v>11839.2</v>
      </c>
    </row>
    <row r="76" spans="3:47" ht="19.5" thickBot="1">
      <c r="C76" s="266" t="s">
        <v>144</v>
      </c>
      <c r="D76" s="82">
        <f t="shared" si="18"/>
        <v>81.944999999999993</v>
      </c>
    </row>
    <row r="77" spans="3:47" ht="21">
      <c r="C77" s="266" t="s">
        <v>145</v>
      </c>
      <c r="D77" s="82">
        <f t="shared" si="18"/>
        <v>614.95200000000011</v>
      </c>
      <c r="AH77" s="520" t="s">
        <v>148</v>
      </c>
      <c r="AI77" s="265" t="s">
        <v>142</v>
      </c>
      <c r="AJ77" s="284">
        <v>205.57249999999999</v>
      </c>
      <c r="AK77" s="285">
        <v>172.57500000000002</v>
      </c>
      <c r="AL77" s="285">
        <v>165.85</v>
      </c>
      <c r="AM77" s="285">
        <v>87.72</v>
      </c>
      <c r="AN77" s="285">
        <v>55.350000000000009</v>
      </c>
      <c r="AO77" s="285">
        <v>155.6</v>
      </c>
      <c r="AP77" s="285">
        <v>128.37</v>
      </c>
      <c r="AQ77" s="285">
        <v>88.62</v>
      </c>
      <c r="AR77" s="285">
        <v>103.32000000000002</v>
      </c>
      <c r="AS77" s="285">
        <v>87.87</v>
      </c>
      <c r="AT77" s="285">
        <v>154.32999999999998</v>
      </c>
      <c r="AU77" s="286">
        <v>76.88</v>
      </c>
    </row>
    <row r="78" spans="3:47" ht="21.75" thickBot="1">
      <c r="C78" s="267" t="s">
        <v>146</v>
      </c>
      <c r="D78" s="82">
        <f t="shared" si="18"/>
        <v>2035.6450000000002</v>
      </c>
      <c r="AH78" s="521"/>
      <c r="AI78" s="266" t="s">
        <v>143</v>
      </c>
      <c r="AJ78" s="287">
        <v>102.33999999999999</v>
      </c>
      <c r="AK78" s="288">
        <v>81.25</v>
      </c>
      <c r="AL78" s="288">
        <v>127.1</v>
      </c>
      <c r="AM78" s="288">
        <v>17.34</v>
      </c>
      <c r="AN78" s="288">
        <v>44.100000000000009</v>
      </c>
      <c r="AO78" s="288">
        <v>108.8</v>
      </c>
      <c r="AP78" s="288">
        <v>87.12</v>
      </c>
      <c r="AQ78" s="288">
        <v>109.20000000000002</v>
      </c>
      <c r="AR78" s="288">
        <v>112.75000000000003</v>
      </c>
      <c r="AS78" s="288">
        <v>29.000000000000004</v>
      </c>
      <c r="AT78" s="288">
        <v>140.91</v>
      </c>
      <c r="AU78" s="289">
        <v>90.21</v>
      </c>
    </row>
    <row r="79" spans="3:47" ht="21">
      <c r="AH79" s="521"/>
      <c r="AI79" s="266" t="s">
        <v>144</v>
      </c>
      <c r="AJ79" s="290">
        <v>0</v>
      </c>
      <c r="AK79" s="291">
        <v>0</v>
      </c>
      <c r="AL79" s="291">
        <v>0</v>
      </c>
      <c r="AM79" s="291">
        <v>0</v>
      </c>
      <c r="AN79" s="291">
        <v>0</v>
      </c>
      <c r="AO79" s="291">
        <v>0</v>
      </c>
      <c r="AP79" s="291">
        <v>0</v>
      </c>
      <c r="AQ79" s="291">
        <v>18.690000000000001</v>
      </c>
      <c r="AR79" s="291">
        <v>0</v>
      </c>
      <c r="AS79" s="291">
        <v>0</v>
      </c>
      <c r="AT79" s="291">
        <v>27.45</v>
      </c>
      <c r="AU79" s="292">
        <v>35.805</v>
      </c>
    </row>
    <row r="80" spans="3:47" ht="21">
      <c r="AH80" s="521"/>
      <c r="AI80" s="266" t="s">
        <v>145</v>
      </c>
      <c r="AJ80" s="287">
        <v>0</v>
      </c>
      <c r="AK80" s="288">
        <v>0</v>
      </c>
      <c r="AL80" s="288">
        <v>0</v>
      </c>
      <c r="AM80" s="288">
        <v>0</v>
      </c>
      <c r="AN80" s="288">
        <v>0</v>
      </c>
      <c r="AO80" s="288">
        <v>0</v>
      </c>
      <c r="AP80" s="288">
        <v>92.4</v>
      </c>
      <c r="AQ80" s="288">
        <v>147.63000000000002</v>
      </c>
      <c r="AR80" s="288">
        <v>61.500000000000014</v>
      </c>
      <c r="AS80" s="288">
        <v>89.9</v>
      </c>
      <c r="AT80" s="288">
        <v>167.56699999999998</v>
      </c>
      <c r="AU80" s="289">
        <v>55.954999999999998</v>
      </c>
    </row>
    <row r="81" spans="34:47" ht="21.75" thickBot="1">
      <c r="AH81" s="522"/>
      <c r="AI81" s="267" t="s">
        <v>146</v>
      </c>
      <c r="AJ81" s="293">
        <v>312.375</v>
      </c>
      <c r="AK81" s="294">
        <v>229.45000000000002</v>
      </c>
      <c r="AL81" s="294">
        <v>289.54000000000002</v>
      </c>
      <c r="AM81" s="294">
        <v>101.235</v>
      </c>
      <c r="AN81" s="294">
        <v>50.550000000000004</v>
      </c>
      <c r="AO81" s="294">
        <v>182.6</v>
      </c>
      <c r="AP81" s="294">
        <v>122.43</v>
      </c>
      <c r="AQ81" s="294">
        <v>173.67000000000002</v>
      </c>
      <c r="AR81" s="294">
        <v>116.44000000000003</v>
      </c>
      <c r="AS81" s="294">
        <v>116.58000000000001</v>
      </c>
      <c r="AT81" s="294">
        <v>193.37</v>
      </c>
      <c r="AU81" s="295">
        <v>147.405</v>
      </c>
    </row>
    <row r="82" spans="34:47" ht="15" customHeight="1">
      <c r="AH82" s="524" t="s">
        <v>149</v>
      </c>
      <c r="AI82" s="524"/>
      <c r="AJ82" s="532">
        <v>620.28749999999991</v>
      </c>
      <c r="AK82" s="532">
        <v>483.27500000000003</v>
      </c>
      <c r="AL82" s="532">
        <v>582.49</v>
      </c>
      <c r="AM82" s="532">
        <v>206.29500000000002</v>
      </c>
      <c r="AN82" s="532">
        <v>150.00000000000003</v>
      </c>
      <c r="AO82" s="532">
        <v>447</v>
      </c>
      <c r="AP82" s="532">
        <v>430.32</v>
      </c>
      <c r="AQ82" s="532">
        <v>537.81000000000006</v>
      </c>
      <c r="AR82" s="532">
        <v>394.0100000000001</v>
      </c>
      <c r="AS82" s="532">
        <v>323.35000000000002</v>
      </c>
      <c r="AT82" s="532">
        <v>683.62699999999995</v>
      </c>
      <c r="AU82" s="532">
        <v>406.255</v>
      </c>
    </row>
    <row r="83" spans="34:47" ht="19.5" customHeight="1">
      <c r="AH83" s="525"/>
      <c r="AI83" s="525"/>
      <c r="AJ83" s="533"/>
      <c r="AK83" s="533"/>
      <c r="AL83" s="533"/>
      <c r="AM83" s="533"/>
      <c r="AN83" s="533"/>
      <c r="AO83" s="533"/>
      <c r="AP83" s="533"/>
      <c r="AQ83" s="533"/>
      <c r="AR83" s="533"/>
      <c r="AS83" s="533"/>
      <c r="AT83" s="533"/>
      <c r="AU83" s="533"/>
    </row>
    <row r="84" spans="34:47">
      <c r="AJ84" s="493" t="s">
        <v>130</v>
      </c>
      <c r="AK84" s="493" t="s">
        <v>131</v>
      </c>
      <c r="AL84" s="493" t="s">
        <v>132</v>
      </c>
      <c r="AM84" s="493" t="s">
        <v>133</v>
      </c>
      <c r="AN84" s="493" t="s">
        <v>134</v>
      </c>
      <c r="AO84" s="493" t="s">
        <v>135</v>
      </c>
      <c r="AP84" s="493" t="s">
        <v>136</v>
      </c>
      <c r="AQ84" s="493" t="s">
        <v>137</v>
      </c>
      <c r="AR84" s="493" t="s">
        <v>183</v>
      </c>
      <c r="AS84" s="493" t="s">
        <v>139</v>
      </c>
      <c r="AT84" s="493" t="s">
        <v>140</v>
      </c>
      <c r="AU84" s="493" t="s">
        <v>141</v>
      </c>
    </row>
    <row r="85" spans="34:47">
      <c r="AJ85" s="493"/>
      <c r="AK85" s="493"/>
      <c r="AL85" s="493"/>
      <c r="AM85" s="493"/>
      <c r="AN85" s="493"/>
      <c r="AO85" s="493"/>
      <c r="AP85" s="493"/>
      <c r="AQ85" s="493"/>
      <c r="AR85" s="493"/>
      <c r="AS85" s="493"/>
      <c r="AT85" s="493"/>
      <c r="AU85" s="493"/>
    </row>
    <row r="86" spans="34:47">
      <c r="AJ86" s="493"/>
      <c r="AK86" s="493"/>
      <c r="AL86" s="493"/>
      <c r="AM86" s="493"/>
      <c r="AN86" s="493"/>
      <c r="AO86" s="493"/>
      <c r="AP86" s="493"/>
      <c r="AQ86" s="493"/>
      <c r="AR86" s="493"/>
      <c r="AS86" s="493"/>
      <c r="AT86" s="493"/>
      <c r="AU86" s="493"/>
    </row>
    <row r="87" spans="34:47">
      <c r="AJ87" s="493"/>
      <c r="AK87" s="493"/>
      <c r="AL87" s="493"/>
      <c r="AM87" s="493"/>
      <c r="AN87" s="493"/>
      <c r="AO87" s="493"/>
      <c r="AP87" s="493"/>
      <c r="AQ87" s="493"/>
      <c r="AR87" s="493"/>
      <c r="AS87" s="493"/>
      <c r="AT87" s="493"/>
      <c r="AU87" s="493"/>
    </row>
    <row r="88" spans="34:47">
      <c r="AJ88" s="493"/>
      <c r="AK88" s="493"/>
      <c r="AL88" s="493"/>
      <c r="AM88" s="493"/>
      <c r="AN88" s="493"/>
      <c r="AO88" s="493"/>
      <c r="AP88" s="493"/>
      <c r="AQ88" s="493"/>
      <c r="AR88" s="493"/>
      <c r="AS88" s="493"/>
      <c r="AT88" s="493"/>
      <c r="AU88" s="493"/>
    </row>
    <row r="89" spans="34:47" ht="15.75" thickBot="1">
      <c r="AJ89" s="494"/>
      <c r="AK89" s="494"/>
      <c r="AL89" s="494"/>
      <c r="AM89" s="494"/>
      <c r="AN89" s="494"/>
      <c r="AO89" s="494"/>
      <c r="AP89" s="494"/>
      <c r="AQ89" s="494"/>
      <c r="AR89" s="494"/>
      <c r="AS89" s="494"/>
      <c r="AT89" s="494"/>
      <c r="AU89" s="494"/>
    </row>
    <row r="90" spans="34:47" ht="75.75" thickBot="1">
      <c r="AI90" s="307" t="s">
        <v>154</v>
      </c>
      <c r="AJ90" s="296">
        <v>5.3812006400660715E-2</v>
      </c>
      <c r="AK90" s="297">
        <v>4.1096259566670262E-2</v>
      </c>
      <c r="AL90" s="297">
        <v>7.1950106480073009E-2</v>
      </c>
      <c r="AM90" s="297">
        <v>0.12811526479750779</v>
      </c>
      <c r="AN90" s="297">
        <v>2.5551269228937468E-2</v>
      </c>
      <c r="AO90" s="297">
        <v>0.14802961847389559</v>
      </c>
      <c r="AP90" s="297">
        <v>0.13523536392405064</v>
      </c>
      <c r="AQ90" s="297">
        <v>0.10232646834477498</v>
      </c>
      <c r="AR90" s="297">
        <v>0.11045234958278437</v>
      </c>
      <c r="AS90" s="297">
        <v>9.8681928546652795E-2</v>
      </c>
      <c r="AT90" s="297">
        <v>7.6889405649408368E-2</v>
      </c>
      <c r="AU90" s="298">
        <v>0.23556019485038274</v>
      </c>
    </row>
    <row r="92" spans="34:47">
      <c r="AJ92" s="493" t="s">
        <v>130</v>
      </c>
      <c r="AK92" s="493" t="s">
        <v>131</v>
      </c>
      <c r="AL92" s="493" t="s">
        <v>132</v>
      </c>
      <c r="AM92" s="493" t="s">
        <v>133</v>
      </c>
      <c r="AN92" s="493" t="s">
        <v>134</v>
      </c>
      <c r="AO92" s="493" t="s">
        <v>135</v>
      </c>
      <c r="AP92" s="493" t="s">
        <v>136</v>
      </c>
      <c r="AQ92" s="493" t="s">
        <v>137</v>
      </c>
      <c r="AR92" s="493" t="s">
        <v>183</v>
      </c>
      <c r="AS92" s="493" t="s">
        <v>139</v>
      </c>
      <c r="AT92" s="493" t="s">
        <v>140</v>
      </c>
      <c r="AU92" s="493" t="s">
        <v>141</v>
      </c>
    </row>
    <row r="93" spans="34:47">
      <c r="AJ93" s="493"/>
      <c r="AK93" s="493"/>
      <c r="AL93" s="493"/>
      <c r="AM93" s="493"/>
      <c r="AN93" s="493"/>
      <c r="AO93" s="493"/>
      <c r="AP93" s="493"/>
      <c r="AQ93" s="493"/>
      <c r="AR93" s="493"/>
      <c r="AS93" s="493"/>
      <c r="AT93" s="493"/>
      <c r="AU93" s="493"/>
    </row>
    <row r="94" spans="34:47">
      <c r="AJ94" s="493"/>
      <c r="AK94" s="493"/>
      <c r="AL94" s="493"/>
      <c r="AM94" s="493"/>
      <c r="AN94" s="493"/>
      <c r="AO94" s="493"/>
      <c r="AP94" s="493"/>
      <c r="AQ94" s="493"/>
      <c r="AR94" s="493"/>
      <c r="AS94" s="493"/>
      <c r="AT94" s="493"/>
      <c r="AU94" s="493"/>
    </row>
    <row r="95" spans="34:47">
      <c r="AJ95" s="493"/>
      <c r="AK95" s="493"/>
      <c r="AL95" s="493"/>
      <c r="AM95" s="493"/>
      <c r="AN95" s="493"/>
      <c r="AO95" s="493"/>
      <c r="AP95" s="493"/>
      <c r="AQ95" s="493"/>
      <c r="AR95" s="493"/>
      <c r="AS95" s="493"/>
      <c r="AT95" s="493"/>
      <c r="AU95" s="493"/>
    </row>
    <row r="96" spans="34:47">
      <c r="AJ96" s="493"/>
      <c r="AK96" s="493"/>
      <c r="AL96" s="493"/>
      <c r="AM96" s="493"/>
      <c r="AN96" s="493"/>
      <c r="AO96" s="493"/>
      <c r="AP96" s="493"/>
      <c r="AQ96" s="493"/>
      <c r="AR96" s="493"/>
      <c r="AS96" s="493"/>
      <c r="AT96" s="493"/>
      <c r="AU96" s="493"/>
    </row>
    <row r="97" spans="35:47" ht="15.75" thickBot="1">
      <c r="AJ97" s="494"/>
      <c r="AK97" s="494"/>
      <c r="AL97" s="494"/>
      <c r="AM97" s="494"/>
      <c r="AN97" s="494"/>
      <c r="AO97" s="494"/>
      <c r="AP97" s="494"/>
      <c r="AQ97" s="494"/>
      <c r="AR97" s="494"/>
      <c r="AS97" s="494"/>
      <c r="AT97" s="494"/>
      <c r="AU97" s="494"/>
    </row>
    <row r="98" spans="35:47" ht="45">
      <c r="AI98" s="305" t="s">
        <v>198</v>
      </c>
      <c r="AJ98" s="303">
        <v>1042.5</v>
      </c>
      <c r="AK98" s="299">
        <v>743.5</v>
      </c>
      <c r="AL98" s="299">
        <v>939.5</v>
      </c>
      <c r="AM98" s="299">
        <v>404.5</v>
      </c>
      <c r="AN98" s="299">
        <v>500</v>
      </c>
      <c r="AO98" s="299">
        <v>1117.5</v>
      </c>
      <c r="AP98" s="299">
        <v>1304</v>
      </c>
      <c r="AQ98" s="299">
        <v>1280.5</v>
      </c>
      <c r="AR98" s="299">
        <v>961</v>
      </c>
      <c r="AS98" s="299">
        <v>1115</v>
      </c>
      <c r="AT98" s="299">
        <v>1120.6999999999998</v>
      </c>
      <c r="AU98" s="300">
        <v>1310.5</v>
      </c>
    </row>
    <row r="99" spans="35:47" ht="45.75" thickBot="1">
      <c r="AI99" s="306" t="s">
        <v>199</v>
      </c>
      <c r="AJ99" s="304">
        <v>1042.5</v>
      </c>
      <c r="AK99" s="301">
        <v>762.5</v>
      </c>
      <c r="AL99" s="301">
        <v>946</v>
      </c>
      <c r="AM99" s="301">
        <v>493.5</v>
      </c>
      <c r="AN99" s="301">
        <v>536.5</v>
      </c>
      <c r="AO99" s="301">
        <v>1179.5</v>
      </c>
      <c r="AP99" s="301">
        <v>1367.5</v>
      </c>
      <c r="AQ99" s="301">
        <v>1341.5</v>
      </c>
      <c r="AR99" s="301">
        <v>1006</v>
      </c>
      <c r="AS99" s="301">
        <v>1138</v>
      </c>
      <c r="AT99" s="301">
        <v>1124.1999999999998</v>
      </c>
      <c r="AU99" s="302">
        <v>1354</v>
      </c>
    </row>
  </sheetData>
  <mergeCells count="83">
    <mergeCell ref="AJ84:AJ89"/>
    <mergeCell ref="AK84:AK89"/>
    <mergeCell ref="AJ92:AJ97"/>
    <mergeCell ref="AK92:AK97"/>
    <mergeCell ref="AL92:AL97"/>
    <mergeCell ref="AM92:AM97"/>
    <mergeCell ref="AN92:AN97"/>
    <mergeCell ref="AT92:AT97"/>
    <mergeCell ref="AU92:AU97"/>
    <mergeCell ref="AO92:AO97"/>
    <mergeCell ref="AP92:AP97"/>
    <mergeCell ref="AQ92:AQ97"/>
    <mergeCell ref="AR92:AR97"/>
    <mergeCell ref="AS92:AS97"/>
    <mergeCell ref="AL84:AL89"/>
    <mergeCell ref="AM84:AM89"/>
    <mergeCell ref="AN84:AN89"/>
    <mergeCell ref="AO84:AO89"/>
    <mergeCell ref="AP84:AP89"/>
    <mergeCell ref="AQ84:AQ89"/>
    <mergeCell ref="AR84:AR89"/>
    <mergeCell ref="AS84:AS89"/>
    <mergeCell ref="AT84:AT89"/>
    <mergeCell ref="AU84:AU89"/>
    <mergeCell ref="AU72:AU73"/>
    <mergeCell ref="B52:C53"/>
    <mergeCell ref="AH77:AH81"/>
    <mergeCell ref="AH82:AI83"/>
    <mergeCell ref="AJ82:AJ83"/>
    <mergeCell ref="AK82:AK83"/>
    <mergeCell ref="AL82:AL83"/>
    <mergeCell ref="AM82:AM83"/>
    <mergeCell ref="AN82:AN83"/>
    <mergeCell ref="AO82:AO83"/>
    <mergeCell ref="AP82:AP83"/>
    <mergeCell ref="AQ82:AQ83"/>
    <mergeCell ref="AR82:AR83"/>
    <mergeCell ref="AS82:AS83"/>
    <mergeCell ref="AT82:AT83"/>
    <mergeCell ref="AU82:AU83"/>
    <mergeCell ref="AP72:AP73"/>
    <mergeCell ref="AQ72:AQ73"/>
    <mergeCell ref="AR72:AR73"/>
    <mergeCell ref="AS72:AS73"/>
    <mergeCell ref="AT72:AT73"/>
    <mergeCell ref="AK72:AK73"/>
    <mergeCell ref="AL72:AL73"/>
    <mergeCell ref="AM72:AM73"/>
    <mergeCell ref="AN72:AN73"/>
    <mergeCell ref="AO72:AO73"/>
    <mergeCell ref="AT61:AT66"/>
    <mergeCell ref="AU61:AU66"/>
    <mergeCell ref="N1:N6"/>
    <mergeCell ref="O1:O6"/>
    <mergeCell ref="AH67:AH71"/>
    <mergeCell ref="AO61:AO66"/>
    <mergeCell ref="AP61:AP66"/>
    <mergeCell ref="AQ61:AQ66"/>
    <mergeCell ref="AR61:AR66"/>
    <mergeCell ref="AS61:AS66"/>
    <mergeCell ref="AJ61:AJ66"/>
    <mergeCell ref="AK61:AK66"/>
    <mergeCell ref="AL61:AL66"/>
    <mergeCell ref="AM61:AM66"/>
    <mergeCell ref="AN61:AN66"/>
    <mergeCell ref="AH72:AI73"/>
    <mergeCell ref="I1:I6"/>
    <mergeCell ref="J1:J6"/>
    <mergeCell ref="K1:K6"/>
    <mergeCell ref="L1:L6"/>
    <mergeCell ref="M1:M6"/>
    <mergeCell ref="AI37:AJ38"/>
    <mergeCell ref="AJ72:AJ73"/>
    <mergeCell ref="D1:D6"/>
    <mergeCell ref="E1:E6"/>
    <mergeCell ref="F1:F6"/>
    <mergeCell ref="G1:G6"/>
    <mergeCell ref="H1:H6"/>
    <mergeCell ref="C17:E17"/>
    <mergeCell ref="C45:E45"/>
    <mergeCell ref="B38:B42"/>
    <mergeCell ref="B47:B51"/>
    <mergeCell ref="B43:C43"/>
  </mergeCells>
  <pageMargins left="0.7" right="0.7" top="0.75" bottom="0.75" header="0.3" footer="0.3"/>
  <pageSetup scale="65" orientation="landscape" horizontalDpi="4294967293" vertic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2:T59"/>
  <sheetViews>
    <sheetView topLeftCell="C40" zoomScale="85" zoomScaleNormal="85" workbookViewId="0">
      <selection activeCell="R41" sqref="R41:S48"/>
    </sheetView>
  </sheetViews>
  <sheetFormatPr baseColWidth="10" defaultRowHeight="15"/>
  <cols>
    <col min="2" max="13" width="7.7109375" customWidth="1"/>
  </cols>
  <sheetData>
    <row r="2" spans="1:13">
      <c r="B2" s="540" t="s">
        <v>130</v>
      </c>
      <c r="C2" s="540" t="s">
        <v>131</v>
      </c>
      <c r="D2" s="540" t="s">
        <v>132</v>
      </c>
      <c r="E2" s="540" t="s">
        <v>133</v>
      </c>
      <c r="F2" s="540" t="s">
        <v>134</v>
      </c>
      <c r="G2" s="540" t="s">
        <v>135</v>
      </c>
      <c r="H2" s="540" t="s">
        <v>136</v>
      </c>
      <c r="I2" s="540" t="s">
        <v>137</v>
      </c>
      <c r="J2" s="540" t="s">
        <v>138</v>
      </c>
      <c r="K2" s="540" t="s">
        <v>139</v>
      </c>
      <c r="L2" s="540" t="s">
        <v>140</v>
      </c>
      <c r="M2" s="540" t="s">
        <v>141</v>
      </c>
    </row>
    <row r="3" spans="1:13">
      <c r="A3" s="52" t="s">
        <v>163</v>
      </c>
      <c r="B3" s="540"/>
      <c r="C3" s="540"/>
      <c r="D3" s="540"/>
      <c r="E3" s="540"/>
      <c r="F3" s="540"/>
      <c r="G3" s="540"/>
      <c r="H3" s="540"/>
      <c r="I3" s="540"/>
      <c r="J3" s="540"/>
      <c r="K3" s="540"/>
      <c r="L3" s="540"/>
      <c r="M3" s="540"/>
    </row>
    <row r="4" spans="1:13">
      <c r="A4" s="52"/>
      <c r="B4" s="540"/>
      <c r="C4" s="540"/>
      <c r="D4" s="540"/>
      <c r="E4" s="540"/>
      <c r="F4" s="540"/>
      <c r="G4" s="540"/>
      <c r="H4" s="540"/>
      <c r="I4" s="540"/>
      <c r="J4" s="540"/>
      <c r="K4" s="540"/>
      <c r="L4" s="540"/>
      <c r="M4" s="540"/>
    </row>
    <row r="5" spans="1:13">
      <c r="A5" s="52"/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</row>
    <row r="6" spans="1:13">
      <c r="A6" s="152" t="s">
        <v>142</v>
      </c>
      <c r="B6" s="13">
        <v>5739</v>
      </c>
      <c r="C6" s="13">
        <v>3569.5</v>
      </c>
      <c r="D6" s="13">
        <v>2881</v>
      </c>
      <c r="E6" s="13">
        <v>1725</v>
      </c>
      <c r="F6" s="13">
        <v>3274</v>
      </c>
      <c r="G6" s="13">
        <v>1827</v>
      </c>
      <c r="H6" s="13">
        <v>2596</v>
      </c>
      <c r="I6" s="13">
        <v>2623.5</v>
      </c>
      <c r="J6" s="13">
        <v>1757.5</v>
      </c>
      <c r="K6" s="13">
        <v>2936.5</v>
      </c>
      <c r="L6" s="13">
        <v>2924</v>
      </c>
      <c r="M6" s="8">
        <v>1493.5</v>
      </c>
    </row>
    <row r="7" spans="1:13">
      <c r="A7" s="152" t="s">
        <v>143</v>
      </c>
      <c r="B7" s="13">
        <v>2925</v>
      </c>
      <c r="C7" s="13">
        <v>2182</v>
      </c>
      <c r="D7" s="13">
        <v>1200</v>
      </c>
      <c r="E7" s="13">
        <v>849</v>
      </c>
      <c r="F7" s="13">
        <v>2767</v>
      </c>
      <c r="G7" s="13">
        <v>2353</v>
      </c>
      <c r="H7" s="13">
        <v>1428</v>
      </c>
      <c r="I7" s="13">
        <v>2339.5</v>
      </c>
      <c r="J7" s="13">
        <v>1198.5</v>
      </c>
      <c r="K7" s="13">
        <v>790</v>
      </c>
      <c r="L7" s="13">
        <v>3110.5</v>
      </c>
      <c r="M7" s="8">
        <v>1916</v>
      </c>
    </row>
    <row r="8" spans="1:13">
      <c r="A8" s="152" t="s">
        <v>144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141</v>
      </c>
      <c r="J8" s="13">
        <v>0</v>
      </c>
      <c r="K8" s="13">
        <v>0</v>
      </c>
      <c r="L8" s="13">
        <v>141</v>
      </c>
      <c r="M8" s="8">
        <v>180</v>
      </c>
    </row>
    <row r="9" spans="1:13">
      <c r="A9" s="152" t="s">
        <v>145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1500</v>
      </c>
      <c r="I9" s="13">
        <v>2117</v>
      </c>
      <c r="J9" s="13">
        <v>929</v>
      </c>
      <c r="K9" s="13">
        <v>914</v>
      </c>
      <c r="L9" s="13">
        <v>2828.5</v>
      </c>
      <c r="M9" s="8">
        <v>1314</v>
      </c>
    </row>
    <row r="10" spans="1:13" ht="15.75" thickBot="1">
      <c r="A10" s="153" t="s">
        <v>158</v>
      </c>
      <c r="B10" s="25">
        <v>5115</v>
      </c>
      <c r="C10" s="25">
        <v>4424.5</v>
      </c>
      <c r="D10" s="25">
        <v>6122.5</v>
      </c>
      <c r="E10" s="25">
        <v>2289</v>
      </c>
      <c r="F10" s="25">
        <v>3377.5</v>
      </c>
      <c r="G10" s="25">
        <v>3278</v>
      </c>
      <c r="H10" s="25">
        <v>4192.5</v>
      </c>
      <c r="I10" s="25">
        <v>3866</v>
      </c>
      <c r="J10" s="25">
        <v>2913.5</v>
      </c>
      <c r="K10" s="25">
        <v>2731</v>
      </c>
      <c r="L10" s="25">
        <v>4210</v>
      </c>
      <c r="M10" s="99">
        <v>2642.5</v>
      </c>
    </row>
    <row r="11" spans="1:13" ht="15.75" thickBot="1">
      <c r="A11" s="154" t="s">
        <v>156</v>
      </c>
      <c r="B11" s="117">
        <v>19373</v>
      </c>
      <c r="C11" s="117">
        <v>16221</v>
      </c>
      <c r="D11" s="117">
        <v>14605.5</v>
      </c>
      <c r="E11" s="117">
        <v>6807</v>
      </c>
      <c r="F11" s="117">
        <v>15426.5</v>
      </c>
      <c r="G11" s="117">
        <v>9940</v>
      </c>
      <c r="H11" s="117">
        <v>11306.5</v>
      </c>
      <c r="I11" s="117">
        <v>12843</v>
      </c>
      <c r="J11" s="117">
        <v>7915</v>
      </c>
      <c r="K11" s="117">
        <v>9197</v>
      </c>
      <c r="L11" s="117">
        <v>16825.5</v>
      </c>
      <c r="M11" s="118">
        <v>9404.5</v>
      </c>
    </row>
    <row r="13" spans="1:13" ht="15" customHeight="1">
      <c r="A13" s="112" t="s">
        <v>164</v>
      </c>
      <c r="B13" s="112"/>
    </row>
    <row r="14" spans="1:13" ht="15" customHeight="1">
      <c r="A14" s="171"/>
      <c r="B14" s="540" t="s">
        <v>130</v>
      </c>
      <c r="C14" s="540" t="s">
        <v>131</v>
      </c>
      <c r="D14" s="540" t="s">
        <v>132</v>
      </c>
      <c r="E14" s="540" t="s">
        <v>133</v>
      </c>
      <c r="F14" s="540" t="s">
        <v>134</v>
      </c>
      <c r="G14" s="540" t="s">
        <v>135</v>
      </c>
      <c r="H14" s="540" t="s">
        <v>136</v>
      </c>
      <c r="I14" s="540" t="s">
        <v>137</v>
      </c>
      <c r="J14" s="540" t="s">
        <v>138</v>
      </c>
      <c r="K14" s="540" t="s">
        <v>139</v>
      </c>
      <c r="L14" s="540" t="s">
        <v>140</v>
      </c>
      <c r="M14" s="540" t="s">
        <v>141</v>
      </c>
    </row>
    <row r="15" spans="1:13" ht="15" customHeight="1">
      <c r="A15" s="171"/>
      <c r="B15" s="540"/>
      <c r="C15" s="540"/>
      <c r="D15" s="540"/>
      <c r="E15" s="540"/>
      <c r="F15" s="540"/>
      <c r="G15" s="540"/>
      <c r="H15" s="540"/>
      <c r="I15" s="540"/>
      <c r="J15" s="540"/>
      <c r="K15" s="540"/>
      <c r="L15" s="540"/>
      <c r="M15" s="540"/>
    </row>
    <row r="16" spans="1:13" ht="15.75" thickBot="1">
      <c r="B16" s="540"/>
      <c r="C16" s="540"/>
      <c r="D16" s="540"/>
      <c r="E16" s="540"/>
      <c r="F16" s="540"/>
      <c r="G16" s="540"/>
      <c r="H16" s="540"/>
      <c r="I16" s="540"/>
      <c r="J16" s="540"/>
      <c r="K16" s="540"/>
      <c r="L16" s="540"/>
      <c r="M16" s="540"/>
    </row>
    <row r="17" spans="1:20">
      <c r="A17" s="254"/>
      <c r="B17" s="541"/>
      <c r="C17" s="541"/>
      <c r="D17" s="541"/>
      <c r="E17" s="541"/>
      <c r="F17" s="541"/>
      <c r="G17" s="541"/>
      <c r="H17" s="541"/>
      <c r="I17" s="541"/>
      <c r="J17" s="541"/>
      <c r="K17" s="541"/>
      <c r="L17" s="541"/>
      <c r="M17" s="541"/>
    </row>
    <row r="18" spans="1:20">
      <c r="A18" s="151" t="s">
        <v>142</v>
      </c>
      <c r="B18" s="14">
        <v>47.825000000000003</v>
      </c>
      <c r="C18" s="14">
        <v>29.745833333333334</v>
      </c>
      <c r="D18" s="14">
        <v>24.008333333333333</v>
      </c>
      <c r="E18" s="14">
        <v>14.375</v>
      </c>
      <c r="F18" s="14">
        <v>27.283333333333335</v>
      </c>
      <c r="G18" s="14">
        <v>15.225</v>
      </c>
      <c r="H18" s="14">
        <v>21.633333333333333</v>
      </c>
      <c r="I18" s="13">
        <v>29</v>
      </c>
      <c r="J18" s="13">
        <v>31</v>
      </c>
      <c r="K18" s="14">
        <v>24.470833333333335</v>
      </c>
      <c r="L18" s="14">
        <v>24.366666666666667</v>
      </c>
      <c r="M18" s="91">
        <v>12.445833333333333</v>
      </c>
    </row>
    <row r="19" spans="1:20">
      <c r="A19" s="151" t="s">
        <v>143</v>
      </c>
      <c r="B19" s="14">
        <v>29.25</v>
      </c>
      <c r="C19" s="14">
        <v>21.82</v>
      </c>
      <c r="D19" s="13">
        <v>12</v>
      </c>
      <c r="E19" s="13">
        <v>10</v>
      </c>
      <c r="F19" s="14">
        <v>27.67</v>
      </c>
      <c r="G19" s="14">
        <v>23.53</v>
      </c>
      <c r="H19" s="14">
        <v>14.28</v>
      </c>
      <c r="I19" s="14">
        <v>23.395</v>
      </c>
      <c r="J19" s="14">
        <v>11.984999999999999</v>
      </c>
      <c r="K19" s="13">
        <v>19</v>
      </c>
      <c r="L19" s="14">
        <v>31.105</v>
      </c>
      <c r="M19" s="91">
        <v>22</v>
      </c>
      <c r="T19">
        <v>150</v>
      </c>
    </row>
    <row r="20" spans="1:20">
      <c r="A20" s="151" t="s">
        <v>144</v>
      </c>
      <c r="B20" s="14">
        <v>0</v>
      </c>
      <c r="C20" s="14">
        <v>0</v>
      </c>
      <c r="D20" s="13">
        <v>0</v>
      </c>
      <c r="E20" s="13">
        <v>0</v>
      </c>
      <c r="F20" s="14">
        <v>0</v>
      </c>
      <c r="G20" s="14">
        <v>0</v>
      </c>
      <c r="H20" s="14">
        <v>0</v>
      </c>
      <c r="I20" s="14">
        <v>1</v>
      </c>
      <c r="J20" s="14">
        <v>0</v>
      </c>
      <c r="K20" s="13">
        <v>0</v>
      </c>
      <c r="L20" s="14">
        <v>1</v>
      </c>
      <c r="M20" s="91">
        <v>2</v>
      </c>
      <c r="T20">
        <v>120</v>
      </c>
    </row>
    <row r="21" spans="1:20">
      <c r="A21" s="151" t="s">
        <v>145</v>
      </c>
      <c r="B21" s="14"/>
      <c r="C21" s="14"/>
      <c r="D21" s="13"/>
      <c r="E21" s="13"/>
      <c r="F21" s="13"/>
      <c r="G21" s="13"/>
      <c r="H21" s="14">
        <v>12.5</v>
      </c>
      <c r="I21" s="14">
        <v>17.641666666666666</v>
      </c>
      <c r="J21" s="14">
        <v>7.7416666666666663</v>
      </c>
      <c r="K21" s="14">
        <v>7.6166666666666663</v>
      </c>
      <c r="L21" s="14">
        <v>23.570833333333333</v>
      </c>
      <c r="M21" s="14">
        <v>10.95</v>
      </c>
    </row>
    <row r="22" spans="1:20" ht="15.75" thickBot="1">
      <c r="A22" s="151" t="s">
        <v>158</v>
      </c>
      <c r="B22" s="85">
        <v>34.1</v>
      </c>
      <c r="C22" s="85">
        <v>29.496666666666666</v>
      </c>
      <c r="D22" s="85">
        <v>40.81666666666667</v>
      </c>
      <c r="E22" s="85">
        <v>15.26</v>
      </c>
      <c r="F22" s="85">
        <v>22.516666666666666</v>
      </c>
      <c r="G22" s="85">
        <v>21.853333333333332</v>
      </c>
      <c r="H22" s="85">
        <v>27.95</v>
      </c>
      <c r="I22" s="85">
        <v>25.773333333333333</v>
      </c>
      <c r="J22" s="85">
        <v>19.423333333333332</v>
      </c>
      <c r="K22" s="85">
        <v>18.206666666666667</v>
      </c>
      <c r="L22" s="85">
        <v>28.066666666666666</v>
      </c>
      <c r="M22" s="86">
        <v>17.616666666666667</v>
      </c>
      <c r="T22">
        <f>T19/T20</f>
        <v>1.25</v>
      </c>
    </row>
    <row r="23" spans="1:20">
      <c r="B23" s="82">
        <f>SUM(B18:B22)</f>
        <v>111.17500000000001</v>
      </c>
      <c r="C23" s="82">
        <f t="shared" ref="C23:M23" si="0">SUM(C18:C22)</f>
        <v>81.0625</v>
      </c>
      <c r="D23" s="82">
        <f t="shared" si="0"/>
        <v>76.825000000000003</v>
      </c>
      <c r="E23" s="82">
        <f t="shared" si="0"/>
        <v>39.634999999999998</v>
      </c>
      <c r="F23" s="82">
        <f t="shared" si="0"/>
        <v>77.47</v>
      </c>
      <c r="G23" s="82">
        <f t="shared" si="0"/>
        <v>60.608333333333334</v>
      </c>
      <c r="H23" s="82">
        <f t="shared" si="0"/>
        <v>76.36333333333333</v>
      </c>
      <c r="I23" s="82">
        <f t="shared" si="0"/>
        <v>96.81</v>
      </c>
      <c r="J23" s="82">
        <f t="shared" si="0"/>
        <v>70.150000000000006</v>
      </c>
      <c r="K23" s="82">
        <f t="shared" si="0"/>
        <v>69.294166666666669</v>
      </c>
      <c r="L23" s="82">
        <f t="shared" si="0"/>
        <v>108.10916666666665</v>
      </c>
      <c r="M23" s="82">
        <f t="shared" si="0"/>
        <v>65.012499999999989</v>
      </c>
    </row>
    <row r="24" spans="1:20"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</row>
    <row r="25" spans="1:20">
      <c r="A25" s="120" t="s">
        <v>165</v>
      </c>
      <c r="B25" s="120"/>
      <c r="C25" s="120"/>
      <c r="D25" s="120"/>
      <c r="E25" s="120"/>
      <c r="F25" s="120"/>
      <c r="G25" s="120"/>
      <c r="H25" s="120"/>
      <c r="I25" s="120"/>
      <c r="J25" s="120"/>
      <c r="K25" s="82"/>
      <c r="L25" s="82"/>
      <c r="M25" s="82"/>
    </row>
    <row r="28" spans="1:20" ht="15" customHeight="1">
      <c r="B28" s="540" t="s">
        <v>130</v>
      </c>
      <c r="C28" s="540" t="s">
        <v>131</v>
      </c>
      <c r="D28" s="540" t="s">
        <v>132</v>
      </c>
      <c r="E28" s="540" t="s">
        <v>133</v>
      </c>
      <c r="F28" s="540" t="s">
        <v>134</v>
      </c>
      <c r="G28" s="540" t="s">
        <v>135</v>
      </c>
      <c r="H28" s="540" t="s">
        <v>136</v>
      </c>
      <c r="I28" s="540" t="s">
        <v>137</v>
      </c>
      <c r="J28" s="540" t="s">
        <v>138</v>
      </c>
      <c r="K28" s="540" t="s">
        <v>139</v>
      </c>
      <c r="L28" s="540" t="s">
        <v>140</v>
      </c>
      <c r="M28" s="540" t="s">
        <v>141</v>
      </c>
    </row>
    <row r="29" spans="1:20">
      <c r="B29" s="540"/>
      <c r="C29" s="540"/>
      <c r="D29" s="540"/>
      <c r="E29" s="540"/>
      <c r="F29" s="540"/>
      <c r="G29" s="540"/>
      <c r="H29" s="540"/>
      <c r="I29" s="540"/>
      <c r="J29" s="540"/>
      <c r="K29" s="540"/>
      <c r="L29" s="540"/>
      <c r="M29" s="540"/>
    </row>
    <row r="30" spans="1:20">
      <c r="B30" s="540"/>
      <c r="C30" s="540"/>
      <c r="D30" s="540"/>
      <c r="E30" s="540"/>
      <c r="F30" s="540"/>
      <c r="G30" s="540"/>
      <c r="H30" s="540"/>
      <c r="I30" s="540"/>
      <c r="J30" s="540"/>
      <c r="K30" s="540"/>
      <c r="L30" s="540"/>
      <c r="M30" s="540"/>
    </row>
    <row r="31" spans="1:20">
      <c r="B31" s="541"/>
      <c r="C31" s="541"/>
      <c r="D31" s="541"/>
      <c r="E31" s="541"/>
      <c r="F31" s="541"/>
      <c r="G31" s="541"/>
      <c r="H31" s="541"/>
      <c r="I31" s="541"/>
      <c r="J31" s="541"/>
      <c r="K31" s="541"/>
      <c r="L31" s="541"/>
      <c r="M31" s="541"/>
    </row>
    <row r="32" spans="1:20" ht="21">
      <c r="A32" s="257" t="s">
        <v>142</v>
      </c>
      <c r="B32" s="255">
        <f>B6/B18</f>
        <v>119.99999999999999</v>
      </c>
      <c r="C32" s="255">
        <f t="shared" ref="C32:M32" si="1">C6/C18</f>
        <v>120</v>
      </c>
      <c r="D32" s="255">
        <f t="shared" si="1"/>
        <v>120</v>
      </c>
      <c r="E32" s="255">
        <f t="shared" si="1"/>
        <v>120</v>
      </c>
      <c r="F32" s="255">
        <f t="shared" si="1"/>
        <v>119.99999999999999</v>
      </c>
      <c r="G32" s="255">
        <f t="shared" si="1"/>
        <v>120</v>
      </c>
      <c r="H32" s="255">
        <f t="shared" si="1"/>
        <v>120</v>
      </c>
      <c r="I32" s="256">
        <f t="shared" si="1"/>
        <v>90.465517241379317</v>
      </c>
      <c r="J32" s="256">
        <f t="shared" si="1"/>
        <v>56.693548387096776</v>
      </c>
      <c r="K32" s="255">
        <f t="shared" si="1"/>
        <v>119.99999999999999</v>
      </c>
      <c r="L32" s="255">
        <f t="shared" si="1"/>
        <v>120</v>
      </c>
      <c r="M32" s="255">
        <f t="shared" si="1"/>
        <v>120</v>
      </c>
      <c r="O32" s="476">
        <f>SUM(B32:M32)/12</f>
        <v>112.26325546903968</v>
      </c>
      <c r="P32">
        <v>120</v>
      </c>
    </row>
    <row r="33" spans="1:19" ht="21">
      <c r="A33" s="257" t="s">
        <v>143</v>
      </c>
      <c r="B33" s="255">
        <f>B7/B19</f>
        <v>100</v>
      </c>
      <c r="C33" s="255">
        <f t="shared" ref="C33:M33" si="2">C7/C19</f>
        <v>100</v>
      </c>
      <c r="D33" s="255">
        <f t="shared" si="2"/>
        <v>100</v>
      </c>
      <c r="E33" s="256">
        <f t="shared" si="2"/>
        <v>84.9</v>
      </c>
      <c r="F33" s="255">
        <f t="shared" si="2"/>
        <v>100</v>
      </c>
      <c r="G33" s="255">
        <f t="shared" si="2"/>
        <v>100</v>
      </c>
      <c r="H33" s="255">
        <f t="shared" si="2"/>
        <v>100</v>
      </c>
      <c r="I33" s="255">
        <f t="shared" si="2"/>
        <v>100</v>
      </c>
      <c r="J33" s="255">
        <f t="shared" si="2"/>
        <v>100</v>
      </c>
      <c r="K33" s="256">
        <f t="shared" si="2"/>
        <v>41.578947368421055</v>
      </c>
      <c r="L33" s="255">
        <f t="shared" si="2"/>
        <v>100</v>
      </c>
      <c r="M33" s="256">
        <f t="shared" si="2"/>
        <v>87.090909090909093</v>
      </c>
      <c r="O33" s="476">
        <f t="shared" ref="O33:O36" si="3">SUM(B33:M33)/12</f>
        <v>92.797488038277493</v>
      </c>
      <c r="P33">
        <v>100</v>
      </c>
    </row>
    <row r="34" spans="1:19" ht="21">
      <c r="A34" s="257" t="s">
        <v>144</v>
      </c>
      <c r="B34" s="255">
        <v>0</v>
      </c>
      <c r="C34" s="255">
        <v>0</v>
      </c>
      <c r="D34" s="255">
        <v>0</v>
      </c>
      <c r="E34" s="255">
        <v>0</v>
      </c>
      <c r="F34" s="255">
        <v>0</v>
      </c>
      <c r="G34" s="255">
        <v>0</v>
      </c>
      <c r="H34" s="255">
        <v>0</v>
      </c>
      <c r="I34" s="255">
        <f>I8/I20</f>
        <v>141</v>
      </c>
      <c r="J34" s="255">
        <v>0</v>
      </c>
      <c r="K34" s="255">
        <v>0</v>
      </c>
      <c r="L34" s="255">
        <f t="shared" ref="L34:M36" si="4">L8/L20</f>
        <v>141</v>
      </c>
      <c r="M34" s="255">
        <f t="shared" si="4"/>
        <v>90</v>
      </c>
      <c r="O34" s="476">
        <f t="shared" si="3"/>
        <v>31</v>
      </c>
      <c r="P34">
        <v>90</v>
      </c>
    </row>
    <row r="35" spans="1:19" ht="21">
      <c r="A35" s="257" t="s">
        <v>145</v>
      </c>
      <c r="B35" s="255">
        <v>0</v>
      </c>
      <c r="C35" s="255">
        <v>0</v>
      </c>
      <c r="D35" s="255">
        <v>0</v>
      </c>
      <c r="E35" s="255">
        <v>0</v>
      </c>
      <c r="F35" s="255">
        <v>0</v>
      </c>
      <c r="G35" s="255">
        <v>0</v>
      </c>
      <c r="H35" s="255">
        <f>H9/H21</f>
        <v>120</v>
      </c>
      <c r="I35" s="255">
        <f>I9/I21</f>
        <v>120</v>
      </c>
      <c r="J35" s="255">
        <f>J9/J21</f>
        <v>120</v>
      </c>
      <c r="K35" s="255">
        <f>K9/K21</f>
        <v>120</v>
      </c>
      <c r="L35" s="255">
        <f t="shared" si="4"/>
        <v>120</v>
      </c>
      <c r="M35" s="255">
        <f t="shared" si="4"/>
        <v>120.00000000000001</v>
      </c>
      <c r="O35" s="476">
        <f t="shared" si="3"/>
        <v>60</v>
      </c>
      <c r="P35">
        <v>120</v>
      </c>
    </row>
    <row r="36" spans="1:19" ht="21">
      <c r="A36" s="257" t="s">
        <v>158</v>
      </c>
      <c r="B36" s="255">
        <f t="shared" ref="B36:G36" si="5">B10/B22</f>
        <v>150</v>
      </c>
      <c r="C36" s="255">
        <f t="shared" si="5"/>
        <v>150</v>
      </c>
      <c r="D36" s="255">
        <f t="shared" si="5"/>
        <v>150</v>
      </c>
      <c r="E36" s="255">
        <f t="shared" si="5"/>
        <v>150</v>
      </c>
      <c r="F36" s="255">
        <f t="shared" si="5"/>
        <v>150</v>
      </c>
      <c r="G36" s="255">
        <f t="shared" si="5"/>
        <v>150</v>
      </c>
      <c r="H36" s="255">
        <f>H10/H22</f>
        <v>150</v>
      </c>
      <c r="I36" s="255">
        <f>I10/I22</f>
        <v>150</v>
      </c>
      <c r="J36" s="255">
        <f>J10/J22</f>
        <v>150</v>
      </c>
      <c r="K36" s="255">
        <f>K10/K22</f>
        <v>150</v>
      </c>
      <c r="L36" s="255">
        <f t="shared" si="4"/>
        <v>150</v>
      </c>
      <c r="M36" s="255">
        <f t="shared" si="4"/>
        <v>150</v>
      </c>
      <c r="O36" s="476">
        <f t="shared" si="3"/>
        <v>150</v>
      </c>
      <c r="P36">
        <v>150</v>
      </c>
    </row>
    <row r="37" spans="1:19">
      <c r="B37" t="s">
        <v>166</v>
      </c>
    </row>
    <row r="40" spans="1:19" ht="15.75" thickBot="1"/>
    <row r="41" spans="1:19">
      <c r="R41" s="534" t="s">
        <v>234</v>
      </c>
      <c r="S41" s="535"/>
    </row>
    <row r="42" spans="1:19">
      <c r="R42" s="536"/>
      <c r="S42" s="537"/>
    </row>
    <row r="43" spans="1:19">
      <c r="R43" s="536"/>
      <c r="S43" s="537"/>
    </row>
    <row r="44" spans="1:19">
      <c r="R44" s="322" t="s">
        <v>142</v>
      </c>
      <c r="S44" s="8">
        <v>120</v>
      </c>
    </row>
    <row r="45" spans="1:19">
      <c r="R45" s="322" t="s">
        <v>143</v>
      </c>
      <c r="S45" s="8">
        <v>100</v>
      </c>
    </row>
    <row r="46" spans="1:19" ht="17.25" customHeight="1">
      <c r="R46" s="322" t="s">
        <v>144</v>
      </c>
      <c r="S46" s="8">
        <v>90</v>
      </c>
    </row>
    <row r="47" spans="1:19" ht="15" customHeight="1">
      <c r="R47" s="322" t="s">
        <v>145</v>
      </c>
      <c r="S47" s="8">
        <v>120</v>
      </c>
    </row>
    <row r="48" spans="1:19" ht="15.75" thickBot="1">
      <c r="R48" s="323" t="s">
        <v>158</v>
      </c>
      <c r="S48" s="99">
        <v>150</v>
      </c>
    </row>
    <row r="50" spans="1:2">
      <c r="A50" t="s">
        <v>167</v>
      </c>
    </row>
    <row r="51" spans="1:2" ht="15.75" thickBot="1"/>
    <row r="52" spans="1:2">
      <c r="A52" s="534" t="s">
        <v>169</v>
      </c>
      <c r="B52" s="535"/>
    </row>
    <row r="53" spans="1:2">
      <c r="A53" s="536"/>
      <c r="B53" s="537"/>
    </row>
    <row r="54" spans="1:2" ht="15.75" thickBot="1">
      <c r="A54" s="538"/>
      <c r="B54" s="539"/>
    </row>
    <row r="55" spans="1:2">
      <c r="A55" s="321" t="s">
        <v>142</v>
      </c>
      <c r="B55" s="155">
        <v>150</v>
      </c>
    </row>
    <row r="56" spans="1:2">
      <c r="A56" s="322" t="s">
        <v>143</v>
      </c>
      <c r="B56" s="156">
        <v>150</v>
      </c>
    </row>
    <row r="57" spans="1:2">
      <c r="A57" s="322" t="s">
        <v>144</v>
      </c>
      <c r="B57" s="156">
        <v>150</v>
      </c>
    </row>
    <row r="58" spans="1:2">
      <c r="A58" s="322" t="s">
        <v>145</v>
      </c>
      <c r="B58" s="156">
        <v>150</v>
      </c>
    </row>
    <row r="59" spans="1:2" ht="15.75" thickBot="1">
      <c r="A59" s="323" t="s">
        <v>158</v>
      </c>
      <c r="B59" s="157">
        <v>170</v>
      </c>
    </row>
  </sheetData>
  <mergeCells count="38">
    <mergeCell ref="R41:S43"/>
    <mergeCell ref="L2:L5"/>
    <mergeCell ref="M2:M5"/>
    <mergeCell ref="G2:G5"/>
    <mergeCell ref="H2:H5"/>
    <mergeCell ref="I2:I5"/>
    <mergeCell ref="J2:J5"/>
    <mergeCell ref="K2:K5"/>
    <mergeCell ref="K28:K31"/>
    <mergeCell ref="L28:L31"/>
    <mergeCell ref="M28:M31"/>
    <mergeCell ref="G14:G17"/>
    <mergeCell ref="H14:H17"/>
    <mergeCell ref="I14:I17"/>
    <mergeCell ref="J14:J17"/>
    <mergeCell ref="K14:K17"/>
    <mergeCell ref="B2:B5"/>
    <mergeCell ref="C2:C5"/>
    <mergeCell ref="D2:D5"/>
    <mergeCell ref="E2:E5"/>
    <mergeCell ref="F2:F5"/>
    <mergeCell ref="B14:B17"/>
    <mergeCell ref="C14:C17"/>
    <mergeCell ref="D14:D17"/>
    <mergeCell ref="E14:E17"/>
    <mergeCell ref="F14:F17"/>
    <mergeCell ref="L14:L17"/>
    <mergeCell ref="M14:M17"/>
    <mergeCell ref="F28:F31"/>
    <mergeCell ref="G28:G31"/>
    <mergeCell ref="H28:H31"/>
    <mergeCell ref="I28:I31"/>
    <mergeCell ref="J28:J31"/>
    <mergeCell ref="A52:B54"/>
    <mergeCell ref="B28:B31"/>
    <mergeCell ref="C28:C31"/>
    <mergeCell ref="D28:D31"/>
    <mergeCell ref="E28:E31"/>
  </mergeCells>
  <pageMargins left="0.7" right="0.7" top="0.75" bottom="0.75" header="0.3" footer="0.3"/>
  <pageSetup paperSize="9" scale="80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C4:O11"/>
  <sheetViews>
    <sheetView workbookViewId="0">
      <selection activeCell="C4" sqref="C4:O11"/>
    </sheetView>
  </sheetViews>
  <sheetFormatPr baseColWidth="10" defaultRowHeight="15"/>
  <cols>
    <col min="4" max="4" width="8.7109375" bestFit="1" customWidth="1"/>
    <col min="5" max="5" width="10.140625" bestFit="1" customWidth="1"/>
    <col min="6" max="6" width="8.85546875" bestFit="1" customWidth="1"/>
    <col min="7" max="7" width="7.42578125" bestFit="1" customWidth="1"/>
    <col min="8" max="8" width="8.28515625" bestFit="1" customWidth="1"/>
    <col min="9" max="10" width="8" bestFit="1" customWidth="1"/>
    <col min="11" max="11" width="9.28515625" bestFit="1" customWidth="1"/>
    <col min="12" max="12" width="11.28515625" bestFit="1" customWidth="1"/>
    <col min="13" max="13" width="10.28515625" bestFit="1" customWidth="1"/>
    <col min="14" max="14" width="10.7109375" bestFit="1" customWidth="1"/>
    <col min="15" max="15" width="10" bestFit="1" customWidth="1"/>
  </cols>
  <sheetData>
    <row r="4" spans="3:15" ht="30.75" thickBot="1">
      <c r="D4" s="414" t="s">
        <v>130</v>
      </c>
      <c r="E4" s="414" t="s">
        <v>131</v>
      </c>
      <c r="F4" s="414" t="s">
        <v>132</v>
      </c>
      <c r="G4" s="414" t="s">
        <v>133</v>
      </c>
      <c r="H4" s="414" t="s">
        <v>134</v>
      </c>
      <c r="I4" s="414" t="s">
        <v>135</v>
      </c>
      <c r="J4" s="414" t="s">
        <v>136</v>
      </c>
      <c r="K4" s="414" t="s">
        <v>137</v>
      </c>
      <c r="L4" s="414" t="s">
        <v>138</v>
      </c>
      <c r="M4" s="414" t="s">
        <v>139</v>
      </c>
      <c r="N4" s="414" t="s">
        <v>140</v>
      </c>
      <c r="O4" s="414" t="s">
        <v>141</v>
      </c>
    </row>
    <row r="5" spans="3:15">
      <c r="C5" s="321" t="s">
        <v>155</v>
      </c>
      <c r="D5" s="114">
        <v>5594</v>
      </c>
      <c r="E5" s="114">
        <v>6045</v>
      </c>
      <c r="F5" s="114">
        <v>4402</v>
      </c>
      <c r="G5" s="114">
        <v>1944</v>
      </c>
      <c r="H5" s="114">
        <v>6008</v>
      </c>
      <c r="I5" s="114">
        <v>2482</v>
      </c>
      <c r="J5" s="114">
        <v>1590</v>
      </c>
      <c r="K5" s="114">
        <v>1756</v>
      </c>
      <c r="L5" s="114">
        <v>1116.5</v>
      </c>
      <c r="M5" s="114">
        <v>1825.5</v>
      </c>
      <c r="N5" s="114">
        <v>3611.5</v>
      </c>
      <c r="O5" s="69">
        <v>1858.5</v>
      </c>
    </row>
    <row r="6" spans="3:15">
      <c r="C6" s="322" t="s">
        <v>142</v>
      </c>
      <c r="D6" s="13">
        <v>5739</v>
      </c>
      <c r="E6" s="13">
        <v>3569.5</v>
      </c>
      <c r="F6" s="13">
        <v>2881</v>
      </c>
      <c r="G6" s="13">
        <v>1725</v>
      </c>
      <c r="H6" s="13">
        <v>3274</v>
      </c>
      <c r="I6" s="13">
        <v>1827</v>
      </c>
      <c r="J6" s="13">
        <v>2596</v>
      </c>
      <c r="K6" s="13">
        <v>2623.5</v>
      </c>
      <c r="L6" s="13">
        <v>1757.5</v>
      </c>
      <c r="M6" s="13">
        <v>2936.5</v>
      </c>
      <c r="N6" s="13">
        <v>2924</v>
      </c>
      <c r="O6" s="8">
        <v>1493.5</v>
      </c>
    </row>
    <row r="7" spans="3:15">
      <c r="C7" s="322" t="s">
        <v>143</v>
      </c>
      <c r="D7" s="13">
        <v>2925</v>
      </c>
      <c r="E7" s="13">
        <v>2182</v>
      </c>
      <c r="F7" s="13">
        <v>1200</v>
      </c>
      <c r="G7" s="13">
        <v>849</v>
      </c>
      <c r="H7" s="13">
        <v>2767</v>
      </c>
      <c r="I7" s="13">
        <v>2353</v>
      </c>
      <c r="J7" s="13">
        <v>1428</v>
      </c>
      <c r="K7" s="13">
        <v>2339.5</v>
      </c>
      <c r="L7" s="13">
        <v>1198.5</v>
      </c>
      <c r="M7" s="13">
        <v>790</v>
      </c>
      <c r="N7" s="13">
        <v>3110.5</v>
      </c>
      <c r="O7" s="8">
        <v>1916</v>
      </c>
    </row>
    <row r="8" spans="3:15">
      <c r="C8" s="322" t="s">
        <v>144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141</v>
      </c>
      <c r="L8" s="13">
        <v>0</v>
      </c>
      <c r="M8" s="13">
        <v>0</v>
      </c>
      <c r="N8" s="13">
        <v>141</v>
      </c>
      <c r="O8" s="8">
        <v>180</v>
      </c>
    </row>
    <row r="9" spans="3:15">
      <c r="C9" s="322" t="s">
        <v>145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1500</v>
      </c>
      <c r="K9" s="13">
        <v>2117</v>
      </c>
      <c r="L9" s="13">
        <v>929</v>
      </c>
      <c r="M9" s="13">
        <v>914</v>
      </c>
      <c r="N9" s="13">
        <v>2828.5</v>
      </c>
      <c r="O9" s="8">
        <v>1314</v>
      </c>
    </row>
    <row r="10" spans="3:15" ht="15.75" thickBot="1">
      <c r="C10" s="421" t="s">
        <v>168</v>
      </c>
      <c r="D10" s="148">
        <v>5115</v>
      </c>
      <c r="E10" s="148">
        <v>4424.5</v>
      </c>
      <c r="F10" s="148">
        <v>6122.5</v>
      </c>
      <c r="G10" s="148">
        <v>2289</v>
      </c>
      <c r="H10" s="148">
        <v>3377.5</v>
      </c>
      <c r="I10" s="148">
        <v>3278</v>
      </c>
      <c r="J10" s="148">
        <v>4192.5</v>
      </c>
      <c r="K10" s="148">
        <v>3866</v>
      </c>
      <c r="L10" s="148">
        <v>2913.5</v>
      </c>
      <c r="M10" s="148">
        <v>2731</v>
      </c>
      <c r="N10" s="148">
        <v>4210</v>
      </c>
      <c r="O10" s="79">
        <v>2642.5</v>
      </c>
    </row>
    <row r="11" spans="3:15" ht="15.75" thickBot="1">
      <c r="C11" s="422" t="s">
        <v>156</v>
      </c>
      <c r="D11" s="149">
        <v>19373</v>
      </c>
      <c r="E11" s="149">
        <v>16221</v>
      </c>
      <c r="F11" s="149">
        <v>14605.5</v>
      </c>
      <c r="G11" s="149">
        <v>6807</v>
      </c>
      <c r="H11" s="149">
        <v>15426.5</v>
      </c>
      <c r="I11" s="149">
        <v>9940</v>
      </c>
      <c r="J11" s="149">
        <v>11306.5</v>
      </c>
      <c r="K11" s="149">
        <v>12843</v>
      </c>
      <c r="L11" s="149">
        <v>7915</v>
      </c>
      <c r="M11" s="149">
        <v>9197</v>
      </c>
      <c r="N11" s="149">
        <v>16825.5</v>
      </c>
      <c r="O11" s="150">
        <v>9404.5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Hoja1</vt:lpstr>
      <vt:lpstr>Hoja2</vt:lpstr>
      <vt:lpstr>OBJETIVOS</vt:lpstr>
      <vt:lpstr>Hoja3</vt:lpstr>
      <vt:lpstr>meta agua</vt:lpstr>
      <vt:lpstr>meta electrica</vt:lpstr>
      <vt:lpstr>meta merma</vt:lpstr>
      <vt:lpstr>transportacion </vt:lpstr>
      <vt:lpstr>VENTAS</vt:lpstr>
      <vt:lpstr>ana costos</vt:lpstr>
      <vt:lpstr>Hoja4</vt:lpstr>
      <vt:lpstr>Hoja5</vt:lpstr>
      <vt:lpstr>Hoja6</vt:lpstr>
      <vt:lpstr>Hoja7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2008-02-15T15:04:10Z</cp:lastPrinted>
  <dcterms:created xsi:type="dcterms:W3CDTF">2008-01-30T03:32:14Z</dcterms:created>
  <dcterms:modified xsi:type="dcterms:W3CDTF">2008-04-21T19:53:23Z</dcterms:modified>
</cp:coreProperties>
</file>