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712" firstSheet="10" activeTab="12"/>
  </bookViews>
  <sheets>
    <sheet name="ANEXO 1" sheetId="1" r:id="rId1"/>
    <sheet name="ANEXO 3" sheetId="2" r:id="rId2"/>
    <sheet name="ANEXO 4" sheetId="3" r:id="rId3"/>
    <sheet name="ANEXO 5" sheetId="4" r:id="rId4"/>
    <sheet name="ANEXO 6" sheetId="5" r:id="rId5"/>
    <sheet name="ANEXO 6-1" sheetId="6" r:id="rId6"/>
    <sheet name="ANEXO 7" sheetId="7" r:id="rId7"/>
    <sheet name="ANEXO 7 - 1" sheetId="8" r:id="rId8"/>
    <sheet name="Cálculos del Costo de Capital" sheetId="9" r:id="rId9"/>
    <sheet name="Costo de Capital" sheetId="10" r:id="rId10"/>
    <sheet name="T.Amortizacion" sheetId="11" r:id="rId11"/>
    <sheet name="Inflacion" sheetId="12" r:id="rId12"/>
    <sheet name="Flujo de Caja" sheetId="13" r:id="rId13"/>
    <sheet name="Costos" sheetId="14" r:id="rId14"/>
    <sheet name="Ing. Consultoria" sheetId="15" r:id="rId15"/>
    <sheet name="Ing Subasta" sheetId="16" r:id="rId16"/>
    <sheet name="Publicaciones 1er año" sheetId="17" r:id="rId17"/>
    <sheet name="Publicaciones 2do año" sheetId="18" r:id="rId18"/>
    <sheet name="Pto Muerto" sheetId="19" r:id="rId19"/>
    <sheet name="Venta de Banners" sheetId="20" r:id="rId20"/>
  </sheets>
  <externalReferences>
    <externalReference r:id="rId23"/>
    <externalReference r:id="rId24"/>
  </externalReferences>
  <definedNames>
    <definedName name="_xlnm.Print_Area" localSheetId="2">'ANEXO 4'!$A$1:$D$53</definedName>
    <definedName name="ZA0" localSheetId="13">"Crystal Ball Data : Ver. 4,0,7"</definedName>
    <definedName name="ZA0" localSheetId="12">"Crystal Ball Data : Ver. 4,0,7"</definedName>
    <definedName name="ZA0" localSheetId="11">"Crystal Ball Data : Ver. 4,0,7"</definedName>
    <definedName name="ZA0" localSheetId="14">"Crystal Ball Data : Ver. 4,0,7"</definedName>
    <definedName name="ZA0" localSheetId="17">"Crystal Ball Data : Ver. 4,0,7"</definedName>
    <definedName name="ZA0" localSheetId="19">"Crystal Ball Data : Ver. 4,0,7"</definedName>
    <definedName name="ZA0A" localSheetId="13">5+105</definedName>
    <definedName name="ZA0A" localSheetId="12">3+102</definedName>
    <definedName name="ZA0A" localSheetId="11">3+102</definedName>
    <definedName name="ZA0A" localSheetId="14">3+102</definedName>
    <definedName name="ZA0A" localSheetId="17">2+101</definedName>
    <definedName name="ZA0A" localSheetId="19">2+101</definedName>
    <definedName name="ZA0C" localSheetId="13">0+0</definedName>
    <definedName name="ZA0D" localSheetId="13">0+0</definedName>
    <definedName name="ZA0F" localSheetId="13">0+0</definedName>
    <definedName name="ZA0F" localSheetId="12">2+101</definedName>
    <definedName name="ZA0T" localSheetId="13">48832508+0</definedName>
    <definedName name="ZA0T" localSheetId="12">4811144+0</definedName>
    <definedName name="ZA0T" localSheetId="11">2160324+0</definedName>
    <definedName name="ZA0T" localSheetId="14">4525920+0</definedName>
    <definedName name="ZA0T" localSheetId="17">6652084+0</definedName>
    <definedName name="ZA0T" localSheetId="19">7039860+0</definedName>
    <definedName name="ZA100" localSheetId="13">'Costos'!$B$4+"bConstitución  Legal"+545+60+77+877</definedName>
    <definedName name="ZA100" localSheetId="12">'Flujo de Caja'!$F$3+"bF3"+16929+5+10+15</definedName>
    <definedName name="ZA100" localSheetId="11">'Inflacion'!$C$18+"aInflación supuesta"+545+20+5</definedName>
    <definedName name="ZA100" localSheetId="14">'Ing. Consultoria'!$M$13+"aN13"+16929+40+10</definedName>
    <definedName name="ZA100" localSheetId="17">'Publicaciones 2do año'!$F$4+"aTasa de Creciento"+5+0.1+0.05</definedName>
    <definedName name="ZA100" localSheetId="19">'Venta de Banners'!$D$16+"aTasa de Crecimiento"+5+0.05+0.05</definedName>
    <definedName name="ZA101" localSheetId="13">'Costos'!$B$6+"bRegistro de Dominio ( Bianual )"+545+50+130+150</definedName>
    <definedName name="ZA101" localSheetId="12">'Flujo de Caja'!$Q$3+"bQ3"+16929+12+15+19</definedName>
    <definedName name="ZA101" localSheetId="11">'Inflacion'!$C$19+"aC19"+16929+15+3</definedName>
    <definedName name="ZA101" localSheetId="14">'Ing. Consultoria'!$M$14+"aN14"+16929+800+150</definedName>
    <definedName name="ZA101" localSheetId="17">'Publicaciones 2do año'!$G$4+"aG4"+16389+0.15+0.02</definedName>
    <definedName name="ZA101" localSheetId="19">'Venta de Banners'!$E$16+"aE16"+16389+0.1+0.02</definedName>
    <definedName name="ZA102" localSheetId="13">'Costos'!$E$44+"fPromedio"+545+200+"?"+300</definedName>
    <definedName name="ZA102" localSheetId="12">'Flujo de Caja'!$AC$3+"aAC3"+16929+12+5</definedName>
    <definedName name="ZA102" localSheetId="11">'Inflacion'!$C$20+"aC20"+16929+10+1.5</definedName>
    <definedName name="ZA102" localSheetId="14">'Ing. Consultoria'!$M$15+"aN15"+16929+2000+120</definedName>
    <definedName name="ZA104" localSheetId="13">'Costos'!$E$85+"bE84"+16929+150+200+280</definedName>
    <definedName name="ZA105" localSheetId="13">'Costos'!$F$84+"bF83"+16929+10+19+30</definedName>
    <definedName name="ZF100" localSheetId="12">'Flujo de Caja'!$D$74+"VAN"+"dólares"+545+545+441+57+18+342+477+4+3+"-"+"+"+2.6+50+2</definedName>
    <definedName name="ZF101" localSheetId="12">'Flujo de Caja'!$D$75+"TIR mensual"+"porcentaje"+517+517+441+85+336+370+795+4+3+"-"+"+"+2.6+50+2</definedName>
  </definedNames>
  <calcPr fullCalcOnLoad="1"/>
</workbook>
</file>

<file path=xl/sharedStrings.xml><?xml version="1.0" encoding="utf-8"?>
<sst xmlns="http://schemas.openxmlformats.org/spreadsheetml/2006/main" count="1348" uniqueCount="493">
  <si>
    <t>Mes</t>
  </si>
  <si>
    <t>TOTAL</t>
  </si>
  <si>
    <t xml:space="preserve">Edición </t>
  </si>
  <si>
    <t># Anunciantes</t>
  </si>
  <si>
    <t>Promedio Móvil</t>
  </si>
  <si>
    <t>Codigo</t>
  </si>
  <si>
    <t>Indice Estacional e Irregular</t>
  </si>
  <si>
    <t>INDICE ESTACIONAL</t>
  </si>
  <si>
    <t>Ventas Destacionalizadas</t>
  </si>
  <si>
    <t>Serie</t>
  </si>
  <si>
    <t>Promedio</t>
  </si>
  <si>
    <t>Bo</t>
  </si>
  <si>
    <t>Coeficiente</t>
  </si>
  <si>
    <t>e - edición</t>
  </si>
  <si>
    <t>Periodo</t>
  </si>
  <si>
    <t>Anunciantes</t>
  </si>
  <si>
    <t>Ventas de Publicidad en Ediciones 1er. Año Guayaquil y Quito</t>
  </si>
  <si>
    <t>Directos</t>
  </si>
  <si>
    <t>Agencias</t>
  </si>
  <si>
    <t>Ingresos Netos</t>
  </si>
  <si>
    <t>Enero</t>
  </si>
  <si>
    <t># 1 - 2</t>
  </si>
  <si>
    <t>Febrero</t>
  </si>
  <si>
    <t># 3 - 4</t>
  </si>
  <si>
    <t>Marzo</t>
  </si>
  <si>
    <t># 5 - 6</t>
  </si>
  <si>
    <t>Abril</t>
  </si>
  <si>
    <t># 7 - 8</t>
  </si>
  <si>
    <t>Mayo</t>
  </si>
  <si>
    <t># 9 - 10</t>
  </si>
  <si>
    <t>Junio</t>
  </si>
  <si>
    <t># 11 - 12</t>
  </si>
  <si>
    <t>Julio</t>
  </si>
  <si>
    <t># 13 - 14</t>
  </si>
  <si>
    <t>Agosto</t>
  </si>
  <si>
    <t># 15 - 16</t>
  </si>
  <si>
    <t>Septiembre</t>
  </si>
  <si>
    <t># 17 - 18</t>
  </si>
  <si>
    <t>Octubre</t>
  </si>
  <si>
    <t># 19 - 20</t>
  </si>
  <si>
    <t>Noviembre</t>
  </si>
  <si>
    <t># 21 - 22</t>
  </si>
  <si>
    <t>Diciembre</t>
  </si>
  <si>
    <t># 23 - 24</t>
  </si>
  <si>
    <t>Ingresos por Publicidad</t>
  </si>
  <si>
    <t>Ene - Oct</t>
  </si>
  <si>
    <t>SUCRES</t>
  </si>
  <si>
    <t>DÓLARES</t>
  </si>
  <si>
    <t>Promedio Mensual</t>
  </si>
  <si>
    <t>Promedio por Anunciante</t>
  </si>
  <si>
    <t>Guayaquil</t>
  </si>
  <si>
    <t>Quito</t>
  </si>
  <si>
    <t>Ene - Jul</t>
  </si>
  <si>
    <t>Total</t>
  </si>
  <si>
    <t>PROMEDIO GENERAL</t>
  </si>
  <si>
    <t>Modelo de Demanda de Servicio de Consultoría</t>
  </si>
  <si>
    <t>Asunciones.-  Para realizar la estimación de la demanda del servicio de consultoría se consideran</t>
  </si>
  <si>
    <t>las siguientes asunciones básicas:</t>
  </si>
  <si>
    <t>a) Población Meta = 30% de las principales 1000 empresas del país que contratan servicio de asesoría externa</t>
  </si>
  <si>
    <t>b) El precio de  las consultorías dependerá de la categoría a la que pertenezca y del cliente al cual se le ofrece.</t>
  </si>
  <si>
    <t>Dólares</t>
  </si>
  <si>
    <t>Cg</t>
  </si>
  <si>
    <t xml:space="preserve">Categoría A .- </t>
  </si>
  <si>
    <t>0 - 80</t>
  </si>
  <si>
    <t xml:space="preserve">Promedios </t>
  </si>
  <si>
    <t xml:space="preserve">Categoría B .- </t>
  </si>
  <si>
    <t>por Categoría</t>
  </si>
  <si>
    <t xml:space="preserve">Categoría C .- </t>
  </si>
  <si>
    <t>c) Se espera que durante un mes considerado "normal" existan entre 1 y 6 consultorías  durante los primeros</t>
  </si>
  <si>
    <t xml:space="preserve"> 6 meses de funcionamiento. Para los siguientes 6 meses un promedio de 3 a 8 consultorías y luego de este </t>
  </si>
  <si>
    <t>punto un promedio de 4 a 10 consultorías al mes.</t>
  </si>
  <si>
    <t>Una vez consideradas estas asunciones básicas se realizará un proceso de simulación aleatoria de la potencial</t>
  </si>
  <si>
    <t>demanda del servicio de consultoría y de los ingresos respectivos.</t>
  </si>
  <si>
    <t xml:space="preserve"> Mes</t>
  </si>
  <si>
    <t>Número de Consultorías</t>
  </si>
  <si>
    <t>Categorías Demandadas</t>
  </si>
  <si>
    <t>Ingreso Promedio</t>
  </si>
  <si>
    <t>Demandadas</t>
  </si>
  <si>
    <t>A = 1      B = 2      C = 3</t>
  </si>
  <si>
    <t>Esperado por Consultoría</t>
  </si>
  <si>
    <t>Rango</t>
  </si>
  <si>
    <t xml:space="preserve">Participacion </t>
  </si>
  <si>
    <t xml:space="preserve">Transacciones por </t>
  </si>
  <si>
    <t>P</t>
  </si>
  <si>
    <t>Ingreso mes 1</t>
  </si>
  <si>
    <t>Mes 1</t>
  </si>
  <si>
    <t>por rango</t>
  </si>
  <si>
    <t>rango de  negociación</t>
  </si>
  <si>
    <t>Ingreso Total mensual</t>
  </si>
  <si>
    <t>Meses</t>
  </si>
  <si>
    <t>Monto negociado</t>
  </si>
  <si>
    <t xml:space="preserve">Numero de </t>
  </si>
  <si>
    <t xml:space="preserve">Suma </t>
  </si>
  <si>
    <t xml:space="preserve">Valor  </t>
  </si>
  <si>
    <t xml:space="preserve">Tasa </t>
  </si>
  <si>
    <t>Monto Anual</t>
  </si>
  <si>
    <t>Transacciones</t>
  </si>
  <si>
    <t>Trimestres</t>
  </si>
  <si>
    <t>Referencia</t>
  </si>
  <si>
    <t>Aleatoria</t>
  </si>
  <si>
    <t>Negociado</t>
  </si>
  <si>
    <t>0 a 1000</t>
  </si>
  <si>
    <t>1001 a 5000</t>
  </si>
  <si>
    <t>5001 a 15000</t>
  </si>
  <si>
    <t>15001 a 25000</t>
  </si>
  <si>
    <t>25001 a 5000</t>
  </si>
  <si>
    <t>mas de 50000</t>
  </si>
  <si>
    <t>Año 1</t>
  </si>
  <si>
    <t>Mes 2</t>
  </si>
  <si>
    <t>Mes3</t>
  </si>
  <si>
    <t>Año 2</t>
  </si>
  <si>
    <t>Mes4</t>
  </si>
  <si>
    <t>Mes5</t>
  </si>
  <si>
    <t>Año 3</t>
  </si>
  <si>
    <t>Mes6</t>
  </si>
  <si>
    <t>Mes7</t>
  </si>
  <si>
    <t>Mes8</t>
  </si>
  <si>
    <t>Mes 9</t>
  </si>
  <si>
    <t>Mes10</t>
  </si>
  <si>
    <t>Mes 11</t>
  </si>
  <si>
    <t>Mes 12</t>
  </si>
  <si>
    <t>Año2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</si>
  <si>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</si>
  <si>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</si>
  <si>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</si>
  <si>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</si>
  <si>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</si>
  <si>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</si>
  <si>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</si>
  <si>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</si>
  <si>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</si>
  <si>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</si>
  <si>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</si>
  <si>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</si>
  <si>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Año3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</si>
  <si>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</si>
  <si>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</si>
  <si>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</si>
  <si>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</si>
  <si>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</si>
  <si>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</si>
  <si>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</si>
  <si>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</si>
  <si>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</si>
  <si>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Mes34</t>
  </si>
  <si>
    <t>Mes 35</t>
  </si>
  <si>
    <t>Mes 36</t>
  </si>
  <si>
    <t>Visitas Promedio</t>
  </si>
  <si>
    <t>Por Mes</t>
  </si>
  <si>
    <t>Páginas Leídas</t>
  </si>
  <si>
    <t>Por Visita</t>
  </si>
  <si>
    <t>USD $</t>
  </si>
  <si>
    <t>Banners por página</t>
  </si>
  <si>
    <t>Descripción</t>
  </si>
  <si>
    <t>Dimensión</t>
  </si>
  <si>
    <t>File Size</t>
  </si>
  <si>
    <t>CPM</t>
  </si>
  <si>
    <t>Porcentaje de Banners Vendidos</t>
  </si>
  <si>
    <t>Superior</t>
  </si>
  <si>
    <t>468 x 060</t>
  </si>
  <si>
    <t>10 k</t>
  </si>
  <si>
    <t>Porcentaje de Banners en Alianzas</t>
  </si>
  <si>
    <t>Lateral Izquierdo Superior</t>
  </si>
  <si>
    <t>090 x 120</t>
  </si>
  <si>
    <t>% Venta Directos</t>
  </si>
  <si>
    <t>Lateral Derecho Superior</t>
  </si>
  <si>
    <t>% Venta Agencias Interactivas</t>
  </si>
  <si>
    <t>Lateral Izquierdo Inferior</t>
  </si>
  <si>
    <t>080 x 080</t>
  </si>
  <si>
    <t>Lateral Derecho Inferior</t>
  </si>
  <si>
    <t>Inferior</t>
  </si>
  <si>
    <t>Ingreso por página vista</t>
  </si>
  <si>
    <t>Usuarios Unicos</t>
  </si>
  <si>
    <t>Páginas Vistas</t>
  </si>
  <si>
    <t>INGRESOS POR BANNERS</t>
  </si>
  <si>
    <t>INGRESO NETO</t>
  </si>
  <si>
    <t>bo</t>
  </si>
  <si>
    <t>b1</t>
  </si>
  <si>
    <t>Tasa de Creciento</t>
  </si>
  <si>
    <t>%Agencias</t>
  </si>
  <si>
    <t>Años</t>
  </si>
  <si>
    <t>2do</t>
  </si>
  <si>
    <t>3ero</t>
  </si>
  <si>
    <t>4to</t>
  </si>
  <si>
    <t>5to</t>
  </si>
  <si>
    <t>Ventas en Publicidad para el 2do año</t>
  </si>
  <si>
    <t>Promedio Quincenal</t>
  </si>
  <si>
    <t xml:space="preserve">Tabla # </t>
  </si>
  <si>
    <t>Costos de Constitución Legal de la  empresa.</t>
  </si>
  <si>
    <t>Constitución  Legal</t>
  </si>
  <si>
    <t>Registro de Marca</t>
  </si>
  <si>
    <t>TABLA DE COSTOS</t>
  </si>
  <si>
    <t>CARGO</t>
  </si>
  <si>
    <t>FIJO MENSUAL</t>
  </si>
  <si>
    <t>VARIABLE</t>
  </si>
  <si>
    <t>Gerente Administrativo (1)</t>
  </si>
  <si>
    <t>800.00</t>
  </si>
  <si>
    <t>Asistente de Gerencia (1)</t>
  </si>
  <si>
    <t>400.00</t>
  </si>
  <si>
    <t>-</t>
  </si>
  <si>
    <t>Director (1)</t>
  </si>
  <si>
    <t>600.00</t>
  </si>
  <si>
    <t>Editor (1)</t>
  </si>
  <si>
    <t>500.00</t>
  </si>
  <si>
    <t>Redactores Externos (10)</t>
  </si>
  <si>
    <t>1% de ganancias netas en ediciones</t>
  </si>
  <si>
    <t>Investigador (1)</t>
  </si>
  <si>
    <t>300.00</t>
  </si>
  <si>
    <t>Jefe de Sistemas</t>
  </si>
  <si>
    <t>Programador Diurno (1)</t>
  </si>
  <si>
    <t>350.00</t>
  </si>
  <si>
    <t>Programador Nocturno (1)</t>
  </si>
  <si>
    <t>Asistente Base de Datos (1)</t>
  </si>
  <si>
    <t>180.00</t>
  </si>
  <si>
    <t>Diagramador Uno (1)</t>
  </si>
  <si>
    <t>Diagramador Dos (2)</t>
  </si>
  <si>
    <t>200.00</t>
  </si>
  <si>
    <t>Jefe de Marketing</t>
  </si>
  <si>
    <t>450.00</t>
  </si>
  <si>
    <t>Jefe de Ventas</t>
  </si>
  <si>
    <t>100.00</t>
  </si>
  <si>
    <t>2% de las ventas totales cobradas</t>
  </si>
  <si>
    <t>Jefe de Producto</t>
  </si>
  <si>
    <t>80.00</t>
  </si>
  <si>
    <t>3% sobre la venta de banners y publicaciones cobradas</t>
  </si>
  <si>
    <t>Jefe Financiero</t>
  </si>
  <si>
    <t>Tesorero</t>
  </si>
  <si>
    <t>Contador</t>
  </si>
  <si>
    <t>250.00</t>
  </si>
  <si>
    <t>Secretaria</t>
  </si>
  <si>
    <t>150.00</t>
  </si>
  <si>
    <t>Mensajero</t>
  </si>
  <si>
    <t>MAS COMISIONES</t>
  </si>
  <si>
    <t>RUBRO</t>
  </si>
  <si>
    <t>COSTO</t>
  </si>
  <si>
    <t>Plan de Marketing (mensual)</t>
  </si>
  <si>
    <t xml:space="preserve">  5,000.00</t>
  </si>
  <si>
    <t>Elaboración de la Cuña (trimestral)</t>
  </si>
  <si>
    <t>10,000.00</t>
  </si>
  <si>
    <t>Registro de Dominio ( Bianual )</t>
  </si>
  <si>
    <t>#</t>
  </si>
  <si>
    <t>Valor Unitario ($)</t>
  </si>
  <si>
    <t>Cantidad</t>
  </si>
  <si>
    <t>Valor Total ( $ )</t>
  </si>
  <si>
    <t>Renta del Local</t>
  </si>
  <si>
    <t>Equipos de Oficina</t>
  </si>
  <si>
    <t xml:space="preserve">     Aire acondicionado</t>
  </si>
  <si>
    <t xml:space="preserve">     Teléfonos Digitales</t>
  </si>
  <si>
    <t xml:space="preserve">     Conmutador</t>
  </si>
  <si>
    <t xml:space="preserve">     Impresoras</t>
  </si>
  <si>
    <t xml:space="preserve">     Scanner</t>
  </si>
  <si>
    <t xml:space="preserve">     Copiadora</t>
  </si>
  <si>
    <t xml:space="preserve">   *  Computadores</t>
  </si>
  <si>
    <t xml:space="preserve">       Comp. De Operación</t>
  </si>
  <si>
    <t xml:space="preserve">       Comp. De Diseño</t>
  </si>
  <si>
    <t xml:space="preserve">       Servidor de Desarrollo</t>
  </si>
  <si>
    <t xml:space="preserve">       Servidores  Web</t>
  </si>
  <si>
    <t>Utiles de Oficina</t>
  </si>
  <si>
    <t>promedio</t>
  </si>
  <si>
    <t>Muebles y Enseres</t>
  </si>
  <si>
    <t xml:space="preserve">     Escritorios</t>
  </si>
  <si>
    <t xml:space="preserve">     Separadores de Oficina</t>
  </si>
  <si>
    <t xml:space="preserve">     Archivadores</t>
  </si>
  <si>
    <t>Softwares</t>
  </si>
  <si>
    <t xml:space="preserve">     Softwares de Operación</t>
  </si>
  <si>
    <t xml:space="preserve">     Softwares de Diseño</t>
  </si>
  <si>
    <t xml:space="preserve">     Softwares para Servidores</t>
  </si>
  <si>
    <t xml:space="preserve">     Softwares para  Base de Datos</t>
  </si>
  <si>
    <t xml:space="preserve">     Softwares Financieros</t>
  </si>
  <si>
    <t>Equipo de Red Interna</t>
  </si>
  <si>
    <t xml:space="preserve">     Switch de 100 3com</t>
  </si>
  <si>
    <t xml:space="preserve">     Cableado de Red</t>
  </si>
  <si>
    <t>Servicios Contratados</t>
  </si>
  <si>
    <t xml:space="preserve">     Servicio de Internet </t>
  </si>
  <si>
    <t xml:space="preserve">     Servicio Web-Hosting </t>
  </si>
  <si>
    <t>TOTAL INVERSION TÉCNICA INICIAL</t>
  </si>
  <si>
    <t>Ingresos</t>
  </si>
  <si>
    <t>Flujo de Caja del Proyectado</t>
  </si>
  <si>
    <t>Ingresos por Servicio de Subasta</t>
  </si>
  <si>
    <t>Ingresos por Servicio de Consultoría</t>
  </si>
  <si>
    <t>Ingresos por Servicio de Publicidad</t>
  </si>
  <si>
    <t>Mes 0</t>
  </si>
  <si>
    <t>Mes 3</t>
  </si>
  <si>
    <t>Mes 4</t>
  </si>
  <si>
    <t>Mes 5</t>
  </si>
  <si>
    <t>Mes 6</t>
  </si>
  <si>
    <t>Mes 7</t>
  </si>
  <si>
    <t>Mes 8</t>
  </si>
  <si>
    <t>Mes 10</t>
  </si>
  <si>
    <t>Mes 34</t>
  </si>
  <si>
    <t>Total Ingresos</t>
  </si>
  <si>
    <t>Egresos</t>
  </si>
  <si>
    <t xml:space="preserve">      Ingresos Por Venta de Banners</t>
  </si>
  <si>
    <r>
      <t xml:space="preserve">      </t>
    </r>
    <r>
      <rPr>
        <b/>
        <sz val="10"/>
        <color indexed="57"/>
        <rFont val="Arial"/>
        <family val="2"/>
      </rPr>
      <t>Ingresos Por Edicion E-Book</t>
    </r>
  </si>
  <si>
    <t>Ingreso N 2</t>
  </si>
  <si>
    <t>Ingreso N 3</t>
  </si>
  <si>
    <t>Inversión Inicial</t>
  </si>
  <si>
    <t xml:space="preserve">Infraestructura </t>
  </si>
  <si>
    <t>Gastos de Constitución</t>
  </si>
  <si>
    <t xml:space="preserve">     Licencias y Certificados</t>
  </si>
  <si>
    <t>2 rubros</t>
  </si>
  <si>
    <t>Costo de Instalación</t>
  </si>
  <si>
    <t>Renta</t>
  </si>
  <si>
    <t>Alquiler</t>
  </si>
  <si>
    <t>Servicio de Internet</t>
  </si>
  <si>
    <t>Servicio de Webhosting</t>
  </si>
  <si>
    <t>Publicidad</t>
  </si>
  <si>
    <t>Comisiones</t>
  </si>
  <si>
    <t>Servicios Básicos</t>
  </si>
  <si>
    <t>Luz</t>
  </si>
  <si>
    <t>Agua</t>
  </si>
  <si>
    <t>Teléfono</t>
  </si>
  <si>
    <t>Redactores Externos</t>
  </si>
  <si>
    <t>Mantenimiento</t>
  </si>
  <si>
    <t>Suscripciones</t>
  </si>
  <si>
    <t>Costo Total</t>
  </si>
  <si>
    <t>Tasa de inflación</t>
  </si>
  <si>
    <t>Utilidad Operacional</t>
  </si>
  <si>
    <t>Intereses</t>
  </si>
  <si>
    <t>Utilidad D.I</t>
  </si>
  <si>
    <t>Promoción</t>
  </si>
  <si>
    <t>25% IMPTOS Y 15% P.T</t>
  </si>
  <si>
    <t>UTILIDAD NETA</t>
  </si>
  <si>
    <t>Depreciación</t>
  </si>
  <si>
    <t>Flujo de Caja</t>
  </si>
  <si>
    <t>Capital de Trabajo</t>
  </si>
  <si>
    <t>Reinversiones</t>
  </si>
  <si>
    <t>Dominio</t>
  </si>
  <si>
    <t>Valor de Recuperación</t>
  </si>
  <si>
    <t>Tasa de crecimiento de Ingresos por Subastas</t>
  </si>
  <si>
    <t>Flujo de Caja Deflactado</t>
  </si>
  <si>
    <t>VAN</t>
  </si>
  <si>
    <t>Flujo Descontado</t>
  </si>
  <si>
    <t>25001 a 50000</t>
  </si>
  <si>
    <t>Costo de Capital mensual</t>
  </si>
  <si>
    <t>TIR mensual</t>
  </si>
  <si>
    <t>Sueldos</t>
  </si>
  <si>
    <t>Inflación del mes:</t>
  </si>
  <si>
    <t>5.58 %</t>
  </si>
  <si>
    <t>En lo que va del año:</t>
  </si>
  <si>
    <t>60.71 %</t>
  </si>
  <si>
    <t>Variación anual:</t>
  </si>
  <si>
    <t>DATOS PRINCIPALES</t>
  </si>
  <si>
    <t>DICIEMBRE, 1999</t>
  </si>
  <si>
    <r>
      <t xml:space="preserve">El </t>
    </r>
    <r>
      <rPr>
        <b/>
        <sz val="10"/>
        <rFont val="Arial"/>
        <family val="2"/>
      </rPr>
      <t>Indice de Precios al Consumidor Urbano (IPCU)</t>
    </r>
    <r>
      <rPr>
        <sz val="10"/>
        <rFont val="Arial"/>
        <family val="2"/>
      </rPr>
      <t xml:space="preserve"> correspondiente al mes de diciembre de 1998 fue </t>
    </r>
  </si>
  <si>
    <t>de 279,2. Si se lo compara con el Indice del mes anterior (277,1) la inflación mensual es de 0,8%,</t>
  </si>
  <si>
    <t xml:space="preserve"> frente al Indice de diciembre de 1997 (194,7) la inflación anual asciende al 43,4%; </t>
  </si>
  <si>
    <t>en cambio, la inflación en lo que va del año es de (43,4)%.</t>
  </si>
  <si>
    <r>
      <t xml:space="preserve">El </t>
    </r>
    <r>
      <rPr>
        <b/>
        <sz val="7.5"/>
        <rFont val="Arial"/>
        <family val="2"/>
      </rPr>
      <t>Indice de Precios al Consumidor Urbano (IPCU)</t>
    </r>
    <r>
      <rPr>
        <sz val="7.5"/>
        <rFont val="Arial"/>
        <family val="2"/>
      </rPr>
      <t xml:space="preserve"> correspondiente al mes de Enero del 2000 fue de 513,0. Si se lo compara con el Indice del mes anterior (448,7) </t>
    </r>
    <r>
      <rPr>
        <b/>
        <sz val="7.5"/>
        <rFont val="Arial"/>
        <family val="2"/>
      </rPr>
      <t>la inflación mensual es de 14,3%</t>
    </r>
    <r>
      <rPr>
        <sz val="7.5"/>
        <rFont val="Arial"/>
        <family val="2"/>
      </rPr>
      <t>, frente al Indice de enero de 1999 (288,1) la inflación anual asciende al 78,1%; en cambio, la inflación en lo que va del año es de (14,3)%.</t>
    </r>
  </si>
  <si>
    <r>
      <t xml:space="preserve">El </t>
    </r>
    <r>
      <rPr>
        <b/>
        <sz val="10"/>
        <rFont val="Arial"/>
        <family val="2"/>
      </rPr>
      <t>Indice de Precios al Consumidor Urbano (IPCU)</t>
    </r>
    <r>
      <rPr>
        <sz val="10"/>
        <rFont val="Arial"/>
        <family val="2"/>
      </rPr>
      <t xml:space="preserve"> correspondiente al mes de Febrero de 2000 fue de 564,4. Si se lo compara con el Indice del mes anterior (513,0) la </t>
    </r>
    <r>
      <rPr>
        <b/>
        <sz val="10"/>
        <rFont val="Arial"/>
        <family val="2"/>
      </rPr>
      <t>inflación mensual es de 10,0%</t>
    </r>
    <r>
      <rPr>
        <sz val="10"/>
        <rFont val="Arial"/>
        <family val="2"/>
      </rPr>
      <t xml:space="preserve">, frente al Indice de febrero de 1999 (295,8) la </t>
    </r>
    <r>
      <rPr>
        <b/>
        <sz val="10"/>
        <rFont val="Arial"/>
        <family val="2"/>
      </rPr>
      <t>inflación anual asciende al 90,8%</t>
    </r>
    <r>
      <rPr>
        <sz val="10"/>
        <rFont val="Arial"/>
        <family val="2"/>
      </rPr>
      <t xml:space="preserve">; en cambio, la </t>
    </r>
    <r>
      <rPr>
        <b/>
        <sz val="10"/>
        <rFont val="Arial"/>
        <family val="2"/>
      </rPr>
      <t>inflación en lo que va del año es de (25,8)%</t>
    </r>
    <r>
      <rPr>
        <sz val="10"/>
        <rFont val="Arial"/>
        <family val="2"/>
      </rPr>
      <t>.</t>
    </r>
  </si>
  <si>
    <r>
      <t xml:space="preserve">El </t>
    </r>
    <r>
      <rPr>
        <b/>
        <sz val="10"/>
        <rFont val="Arial"/>
        <family val="2"/>
      </rPr>
      <t>Indice de Precios al Consumidor Urbano</t>
    </r>
    <r>
      <rPr>
        <sz val="10"/>
        <rFont val="Arial"/>
        <family val="2"/>
      </rPr>
      <t xml:space="preserve"> (IPCU) correspondiente al mes de marzo de 2000 fue de 607,2. Si se lo compara con el Indice del mes anterior (564,4) </t>
    </r>
    <r>
      <rPr>
        <b/>
        <sz val="10"/>
        <rFont val="Arial"/>
        <family val="2"/>
      </rPr>
      <t>la inflación mensual es de 7,6%</t>
    </r>
    <r>
      <rPr>
        <sz val="10"/>
        <rFont val="Arial"/>
        <family val="2"/>
      </rPr>
      <t>, frente al Indice de marzo de 1999 (335,7) la inflación anual asciende al 80,9%; en cambio, la inflación en lo que va del año es de (35,3)%.</t>
    </r>
  </si>
  <si>
    <r>
      <t xml:space="preserve">El </t>
    </r>
    <r>
      <rPr>
        <b/>
        <sz val="10"/>
        <rFont val="Arial"/>
        <family val="2"/>
      </rPr>
      <t>Indice de Precios al Consumidor Urbano (IPCU)</t>
    </r>
    <r>
      <rPr>
        <sz val="10"/>
        <rFont val="Arial"/>
        <family val="2"/>
      </rPr>
      <t xml:space="preserve"> correspondiente al mes de abril de 2000 fue de 669,2. Si se lo compara con el Indice del mes anterior (607,2) la </t>
    </r>
    <r>
      <rPr>
        <b/>
        <sz val="10"/>
        <rFont val="Arial"/>
        <family val="2"/>
      </rPr>
      <t>inflación mensual es de 10,2%</t>
    </r>
    <r>
      <rPr>
        <sz val="10"/>
        <rFont val="Arial"/>
        <family val="2"/>
      </rPr>
      <t xml:space="preserve">, frente al Indice de abril de 1999 (354,3) la inflación anual asciende al 88,9%; en cambio, la inflación </t>
    </r>
    <r>
      <rPr>
        <b/>
        <sz val="10"/>
        <rFont val="Arial"/>
        <family val="2"/>
      </rPr>
      <t>en lo que va del año es de (49,1)%.</t>
    </r>
  </si>
  <si>
    <r>
      <t xml:space="preserve">El </t>
    </r>
    <r>
      <rPr>
        <b/>
        <sz val="8"/>
        <rFont val="Arial"/>
        <family val="2"/>
      </rPr>
      <t>Indice de Precios al Consumidor Urbano (IPCU)</t>
    </r>
    <r>
      <rPr>
        <sz val="8"/>
        <rFont val="Arial"/>
        <family val="2"/>
      </rPr>
      <t xml:space="preserve"> correspondiente al mes de mayo de 2000 fue de 703,6. Si se lo compara con el Indice del mes anterior (669,2) </t>
    </r>
    <r>
      <rPr>
        <b/>
        <sz val="8"/>
        <rFont val="Arial"/>
        <family val="2"/>
      </rPr>
      <t>la inflación mensual es de 5,1%,</t>
    </r>
    <r>
      <rPr>
        <sz val="8"/>
        <rFont val="Arial"/>
        <family val="2"/>
      </rPr>
      <t xml:space="preserve"> frente al Indice de mayo de 1999 (357,4) la inflación anual asciende al 96,9%; en cambio, la inflación en lo que va del año es de (56,8)%.</t>
    </r>
  </si>
  <si>
    <r>
      <t>El Indice de Precios al Consumidor Urbano (IPCU)</t>
    </r>
    <r>
      <rPr>
        <sz val="9"/>
        <rFont val="Arial"/>
        <family val="2"/>
      </rPr>
      <t xml:space="preserve"> correspondiente al mes de junio de 2000 fue de 741,0. Si se lo compara con el Indice del mes anterior (703,6) </t>
    </r>
    <r>
      <rPr>
        <b/>
        <sz val="9"/>
        <rFont val="Arial"/>
        <family val="2"/>
      </rPr>
      <t>la inflación mensual es de 5,3%,</t>
    </r>
    <r>
      <rPr>
        <sz val="9"/>
        <rFont val="Arial"/>
        <family val="2"/>
      </rPr>
      <t xml:space="preserve"> frente al Indice de junio de 1999 (363,8) la inflación anual asciende al 103,7%; en cambio, la inflación en lo que va del año es de (65,1)%.</t>
    </r>
  </si>
  <si>
    <r>
      <t xml:space="preserve">El </t>
    </r>
    <r>
      <rPr>
        <b/>
        <sz val="9"/>
        <rFont val="Arial"/>
        <family val="2"/>
      </rPr>
      <t>Indice de Precios al Consumidor Urbano</t>
    </r>
    <r>
      <rPr>
        <sz val="9"/>
        <rFont val="Arial"/>
        <family val="2"/>
      </rPr>
      <t xml:space="preserve"> (IPCU) correspondiente al mes de julio de 2000 fue de 758,6. Si se lo compara con el Indice del mes anterior (741,0) la </t>
    </r>
    <r>
      <rPr>
        <b/>
        <sz val="9"/>
        <rFont val="Arial"/>
        <family val="2"/>
      </rPr>
      <t>inflación mensual es de 2,4%</t>
    </r>
    <r>
      <rPr>
        <sz val="9"/>
        <rFont val="Arial"/>
        <family val="2"/>
      </rPr>
      <t>, frente al Indice de julio de 1999 (374,9) la inflación anual asciende al 102,3%; en cambio, la inflación en lo que va del año es de (69,1)%.</t>
    </r>
  </si>
  <si>
    <r>
      <t xml:space="preserve">El </t>
    </r>
    <r>
      <rPr>
        <b/>
        <sz val="8"/>
        <rFont val="Arial"/>
        <family val="2"/>
      </rPr>
      <t>Indice de Precios al Consumidor Urbano (IPCU)</t>
    </r>
    <r>
      <rPr>
        <sz val="8"/>
        <rFont val="Arial"/>
        <family val="2"/>
      </rPr>
      <t xml:space="preserve"> correspondiente al mes de agosto de 2000 fue de 768,9. Si se lo compara con el Indice del mes anterior (758,6) </t>
    </r>
    <r>
      <rPr>
        <b/>
        <sz val="8"/>
        <rFont val="Arial"/>
        <family val="2"/>
      </rPr>
      <t>la inflación mensual es de 1,4%</t>
    </r>
    <r>
      <rPr>
        <sz val="8"/>
        <rFont val="Arial"/>
        <family val="2"/>
      </rPr>
      <t>, frente al Indice de agosto de 1999 (376,9) la inflación anual asciende al 104,0%; en cambio, la inflación en lo que va del a¤o es de (71,4)%.</t>
    </r>
  </si>
  <si>
    <r>
      <t xml:space="preserve">El </t>
    </r>
    <r>
      <rPr>
        <b/>
        <sz val="7.5"/>
        <rFont val="Arial"/>
        <family val="2"/>
      </rPr>
      <t>Indice de Precios al Consumidor Urbano (IPCU)</t>
    </r>
    <r>
      <rPr>
        <sz val="7.5"/>
        <rFont val="Arial"/>
        <family val="2"/>
      </rPr>
      <t xml:space="preserve"> correspondiente al mes de septiembre de 2000 fue de 797,2. Si se lo compara con el Indice del mes anterior (768,9) </t>
    </r>
    <r>
      <rPr>
        <b/>
        <sz val="7.5"/>
        <rFont val="Arial"/>
        <family val="2"/>
      </rPr>
      <t>la inflación mensual es de 3,7%,</t>
    </r>
    <r>
      <rPr>
        <sz val="7.5"/>
        <rFont val="Arial"/>
        <family val="2"/>
      </rPr>
      <t xml:space="preserve"> frente al Indice de septiembre de 1999 (383,5) la inflación anual asciende al 107,9%; en cambio, la inflación en lo que va del año es de (77,7)%.</t>
    </r>
  </si>
  <si>
    <r>
      <t xml:space="preserve">El </t>
    </r>
    <r>
      <rPr>
        <b/>
        <sz val="10"/>
        <rFont val="Arial"/>
        <family val="2"/>
      </rPr>
      <t>Indice de Precios al Consumidor Urbano (IPCU)</t>
    </r>
    <r>
      <rPr>
        <sz val="10"/>
        <rFont val="Arial"/>
        <family val="2"/>
      </rPr>
      <t xml:space="preserve"> correspondiente al mes de octubre de 2000 fue de 818,7. Si se lo compara con el Indice del mes anterior (797,2) </t>
    </r>
    <r>
      <rPr>
        <b/>
        <sz val="10"/>
        <rFont val="Arial"/>
        <family val="2"/>
      </rPr>
      <t>la inflación mensual es de 2,7%</t>
    </r>
    <r>
      <rPr>
        <sz val="10"/>
        <rFont val="Arial"/>
        <family val="2"/>
      </rPr>
      <t>, frente al Indice de octubre de 1999 (399,5) la inflación anual asciende al 104,9%; en cambio, la inflación en lo que va del año es de (82,5)%.</t>
    </r>
  </si>
  <si>
    <t>Año</t>
  </si>
  <si>
    <t>Valor</t>
  </si>
  <si>
    <t>Anual</t>
  </si>
  <si>
    <t>Inflación supuesta</t>
  </si>
  <si>
    <t>80 - 1520</t>
  </si>
  <si>
    <t>1520 - 2480</t>
  </si>
  <si>
    <t>Tasa de Crecimiento</t>
  </si>
  <si>
    <t xml:space="preserve">Suma Clientes </t>
  </si>
  <si>
    <t>Subastas</t>
  </si>
  <si>
    <t xml:space="preserve">No. Clientes </t>
  </si>
  <si>
    <t>No Clientes =</t>
  </si>
  <si>
    <t>No Clientes 1año</t>
  </si>
  <si>
    <t xml:space="preserve">Clientes 2 y tercer años = </t>
  </si>
  <si>
    <t>Servicio de Subasta</t>
  </si>
  <si>
    <t>Servicio de consultoría</t>
  </si>
  <si>
    <t>Servicio de Publicidad</t>
  </si>
  <si>
    <t xml:space="preserve">Total Clientes </t>
  </si>
  <si>
    <t>Análisis del Punto Muerto</t>
  </si>
  <si>
    <t>VA de Ingresos</t>
  </si>
  <si>
    <t>VA de Costos</t>
  </si>
  <si>
    <t>VA INGRESOS</t>
  </si>
  <si>
    <t>Número de Clientes</t>
  </si>
  <si>
    <t>VA COSTOS</t>
  </si>
  <si>
    <t>X</t>
  </si>
  <si>
    <t>Numero de clientes</t>
  </si>
  <si>
    <t>Va Costos</t>
  </si>
  <si>
    <t>VA Ingresos</t>
  </si>
  <si>
    <t>Punto muerto de clientes</t>
  </si>
  <si>
    <t>Sin sensibilizacion</t>
  </si>
  <si>
    <t>Punto Muerto</t>
  </si>
  <si>
    <t>No. clientes Situación Proyectada</t>
  </si>
  <si>
    <t>int</t>
  </si>
  <si>
    <t>capital</t>
  </si>
  <si>
    <t>Pago</t>
  </si>
  <si>
    <t>Capital</t>
  </si>
  <si>
    <t>Interes</t>
  </si>
  <si>
    <t>Valor en Libro</t>
  </si>
  <si>
    <t>tasa efc</t>
  </si>
  <si>
    <t>Amortizacion de Capital</t>
  </si>
  <si>
    <t>Ingresos Descontados</t>
  </si>
  <si>
    <t>Costos Totales Descontados</t>
  </si>
  <si>
    <t>e-bay</t>
  </si>
  <si>
    <t>Nasdaq</t>
  </si>
  <si>
    <t>Rj</t>
  </si>
  <si>
    <t>Rm</t>
  </si>
  <si>
    <t>Rj promedio</t>
  </si>
  <si>
    <t>Rm promedio</t>
  </si>
  <si>
    <t>COVAR (Rj,Rm)</t>
  </si>
  <si>
    <t>VAR (Rj)</t>
  </si>
  <si>
    <t>VAR (Rm)</t>
  </si>
  <si>
    <t>Beta (e-bay)</t>
  </si>
  <si>
    <t>Costo de Capital</t>
  </si>
  <si>
    <t>e - Bay Inc.</t>
  </si>
  <si>
    <t>Tusinversiones.com</t>
  </si>
  <si>
    <t>Activos Circulantes</t>
  </si>
  <si>
    <t>Activos Fijos</t>
  </si>
  <si>
    <t>Otros Activos</t>
  </si>
  <si>
    <t>Total Activos</t>
  </si>
  <si>
    <t>Pasivo Circulante</t>
  </si>
  <si>
    <t>Pasivo Largo Plazo</t>
  </si>
  <si>
    <t>Otros pasivos</t>
  </si>
  <si>
    <t>Patrimonio</t>
  </si>
  <si>
    <t>Total Pasivos</t>
  </si>
  <si>
    <t>i</t>
  </si>
  <si>
    <t>Rf = PRIME</t>
  </si>
  <si>
    <t>Tasa de impuesto(T)</t>
  </si>
  <si>
    <t>B</t>
  </si>
  <si>
    <t>S</t>
  </si>
  <si>
    <t>ERm</t>
  </si>
  <si>
    <t>B/S</t>
  </si>
  <si>
    <t>B/(S+B)</t>
  </si>
  <si>
    <t>S/(S+B)</t>
  </si>
  <si>
    <t>1 + [B(1-T)]/S</t>
  </si>
  <si>
    <t>Bj</t>
  </si>
  <si>
    <t>Ks</t>
  </si>
  <si>
    <t>WACC tusinversiones.com</t>
  </si>
  <si>
    <t>VL</t>
  </si>
  <si>
    <t>Amortiazacion</t>
  </si>
  <si>
    <t>anual</t>
  </si>
  <si>
    <t>anual capitalizable mensualmente</t>
  </si>
  <si>
    <t xml:space="preserve">      Ingresos Por Edicion E-Book</t>
  </si>
  <si>
    <t>ANEXO 1</t>
  </si>
  <si>
    <t>FLUJO DE CAJA DEL PROYECTO</t>
  </si>
  <si>
    <t>ANEXO 3</t>
  </si>
  <si>
    <t>REQUERIMIENTOS</t>
  </si>
  <si>
    <t>Constitución Legal</t>
  </si>
  <si>
    <t>Registro Marca</t>
  </si>
  <si>
    <t>Regisro de Dominio</t>
  </si>
  <si>
    <t>DESCRIPCION</t>
  </si>
  <si>
    <t>LEGALES</t>
  </si>
  <si>
    <t>TECNICOS</t>
  </si>
  <si>
    <t>Software</t>
  </si>
  <si>
    <t>RENTA</t>
  </si>
  <si>
    <t>INSTALACION</t>
  </si>
  <si>
    <t>PUBLICIDAD</t>
  </si>
  <si>
    <t>Publicaciones</t>
  </si>
  <si>
    <t>Cuña Publicitaria</t>
  </si>
  <si>
    <t>ANEXO 4</t>
  </si>
  <si>
    <t>re</t>
  </si>
  <si>
    <t>DETERMINACION DEL COSTO DE CAPITAL</t>
  </si>
  <si>
    <t>ANEXO 5</t>
  </si>
  <si>
    <t>DEMANDA PROYECTADA - SERVICIO DE CONSULTORIA</t>
  </si>
  <si>
    <t>Ingreso</t>
  </si>
  <si>
    <t>Esperado</t>
  </si>
  <si>
    <t>ANEXO 6</t>
  </si>
  <si>
    <t>DEMANDA PROYECTADA - SERVICIO DE SUBASTA</t>
  </si>
  <si>
    <t>Participacion por rango</t>
  </si>
  <si>
    <t>Transacciones por rango de negociacion</t>
  </si>
  <si>
    <t>Ingreso mes</t>
  </si>
  <si>
    <t>ANEXO 6 - 1</t>
  </si>
  <si>
    <t>ANUNCIANTES</t>
  </si>
  <si>
    <t>DEMANDA PROYECTADA - SERVICIO DE PUBLICIDAD</t>
  </si>
  <si>
    <t>ANEXO 7</t>
  </si>
  <si>
    <t>SEGUNDO AÑO</t>
  </si>
  <si>
    <t>PRIMER AÑO</t>
  </si>
  <si>
    <t>1/13</t>
  </si>
  <si>
    <t>2/14</t>
  </si>
  <si>
    <t>3/15</t>
  </si>
  <si>
    <t>Anunciantes Proyectados 2do. año</t>
  </si>
  <si>
    <t>Anunciantes Proyectados 1er. año</t>
  </si>
  <si>
    <t>4/16</t>
  </si>
  <si>
    <t>5/17</t>
  </si>
  <si>
    <t>6/18</t>
  </si>
  <si>
    <t>7/19</t>
  </si>
  <si>
    <t>8/20</t>
  </si>
  <si>
    <t>9/21</t>
  </si>
  <si>
    <t>10/22</t>
  </si>
  <si>
    <t>11/23</t>
  </si>
  <si>
    <t>12/24</t>
  </si>
  <si>
    <t>ANEXO 7- 1</t>
  </si>
  <si>
    <t>Visitas Promedio por Mes</t>
  </si>
  <si>
    <t>Páginas Leídas por visita</t>
  </si>
  <si>
    <t xml:space="preserve">Número de </t>
  </si>
  <si>
    <t xml:space="preserve">     fax</t>
  </si>
  <si>
    <t xml:space="preserve">TIR ANUAL 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</si>
</sst>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_ * #,##0_ ;_ * \-#,##0_ ;_ * &quot;-&quot;??_ ;_ @_ "/>
    <numFmt numFmtId="171" formatCode="_ * #,##0.0_ ;_ * \-#,##0.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"/>
    <numFmt numFmtId="176" formatCode="0.0%"/>
    <numFmt numFmtId="177" formatCode="0.00000"/>
    <numFmt numFmtId="178" formatCode="0.000"/>
    <numFmt numFmtId="179" formatCode="0.0"/>
    <numFmt numFmtId="180" formatCode="_ * #,##0.000_ ;_ * \-#,##0.000_ ;_ * &quot;-&quot;??_ ;_ @_ "/>
    <numFmt numFmtId="181" formatCode="#,##0.00_ ;[Red]\-#,##0.00\ "/>
    <numFmt numFmtId="182" formatCode="0.00000000"/>
    <numFmt numFmtId="183" formatCode="0.0000000"/>
    <numFmt numFmtId="184" formatCode="0.000000"/>
    <numFmt numFmtId="185" formatCode="#,##0.00_ ;\-#,##0.00\ "/>
    <numFmt numFmtId="186" formatCode="#,##0.0_ ;\-#,##0.0\ "/>
    <numFmt numFmtId="187" formatCode="#,##0_ ;\-#,##0\ "/>
    <numFmt numFmtId="188" formatCode="_-* #,##0.00_-;\-* #,##0.00_-;_-* &quot;-&quot;??_-;_-@_-"/>
    <numFmt numFmtId="189" formatCode="0.0000%"/>
    <numFmt numFmtId="190" formatCode="0.000%"/>
    <numFmt numFmtId="191" formatCode="0.00000%"/>
    <numFmt numFmtId="192" formatCode="_ * #,##0.0000_ ;_ * \-#,##0.0000_ ;_ * &quot;-&quot;??_ ;_ @_ 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8"/>
      <color indexed="62"/>
      <name val="Arial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indexed="54"/>
      <name val="Arial"/>
      <family val="2"/>
    </font>
    <font>
      <b/>
      <sz val="10"/>
      <color indexed="19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sz val="2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5"/>
      <name val="Arial"/>
      <family val="2"/>
    </font>
    <font>
      <b/>
      <sz val="1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1" fillId="0" borderId="0" xfId="17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7" applyAlignment="1">
      <alignment horizontal="center" vertical="center"/>
    </xf>
    <xf numFmtId="43" fontId="0" fillId="0" borderId="0" xfId="17" applyAlignment="1">
      <alignment/>
    </xf>
    <xf numFmtId="17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70" fontId="1" fillId="0" borderId="0" xfId="17" applyNumberFormat="1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0" xfId="17" applyNumberFormat="1" applyAlignment="1">
      <alignment horizontal="center" vertical="center"/>
    </xf>
    <xf numFmtId="43" fontId="0" fillId="0" borderId="0" xfId="17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3" fontId="1" fillId="0" borderId="5" xfId="17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70" fontId="0" fillId="0" borderId="8" xfId="0" applyNumberFormat="1" applyFont="1" applyBorder="1" applyAlignment="1">
      <alignment horizontal="center" vertical="center" wrapText="1"/>
    </xf>
    <xf numFmtId="43" fontId="0" fillId="0" borderId="8" xfId="17" applyBorder="1" applyAlignment="1">
      <alignment horizontal="center" vertical="center" wrapText="1"/>
    </xf>
    <xf numFmtId="43" fontId="0" fillId="0" borderId="8" xfId="17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3" fontId="8" fillId="0" borderId="11" xfId="0" applyNumberFormat="1" applyFont="1" applyBorder="1" applyAlignment="1">
      <alignment horizontal="center" vertical="center" wrapText="1"/>
    </xf>
    <xf numFmtId="43" fontId="8" fillId="0" borderId="12" xfId="0" applyNumberFormat="1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3" fontId="0" fillId="0" borderId="16" xfId="17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0" fontId="0" fillId="0" borderId="0" xfId="0" applyNumberFormat="1" applyFont="1" applyBorder="1" applyAlignment="1">
      <alignment horizontal="center" vertical="center" wrapText="1"/>
    </xf>
    <xf numFmtId="43" fontId="0" fillId="0" borderId="0" xfId="17" applyFont="1" applyAlignment="1">
      <alignment horizontal="center" vertical="center"/>
    </xf>
    <xf numFmtId="43" fontId="0" fillId="0" borderId="0" xfId="0" applyNumberFormat="1" applyBorder="1" applyAlignment="1">
      <alignment horizontal="center" vertical="center" wrapText="1"/>
    </xf>
    <xf numFmtId="171" fontId="0" fillId="0" borderId="0" xfId="0" applyNumberFormat="1" applyBorder="1" applyAlignment="1">
      <alignment horizontal="center" vertical="center" wrapText="1"/>
    </xf>
    <xf numFmtId="43" fontId="0" fillId="0" borderId="0" xfId="17" applyBorder="1" applyAlignment="1">
      <alignment horizontal="center" vertical="center" wrapText="1"/>
    </xf>
    <xf numFmtId="170" fontId="0" fillId="0" borderId="0" xfId="17" applyNumberFormat="1" applyAlignment="1">
      <alignment horizontal="center" vertical="center"/>
    </xf>
    <xf numFmtId="170" fontId="0" fillId="0" borderId="0" xfId="17" applyNumberFormat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 horizontal="center"/>
    </xf>
    <xf numFmtId="170" fontId="0" fillId="0" borderId="8" xfId="17" applyNumberFormat="1" applyBorder="1" applyAlignment="1">
      <alignment/>
    </xf>
    <xf numFmtId="43" fontId="0" fillId="0" borderId="8" xfId="0" applyNumberFormat="1" applyBorder="1" applyAlignment="1">
      <alignment/>
    </xf>
    <xf numFmtId="43" fontId="0" fillId="0" borderId="8" xfId="17" applyBorder="1" applyAlignment="1">
      <alignment/>
    </xf>
    <xf numFmtId="0" fontId="0" fillId="0" borderId="10" xfId="0" applyBorder="1" applyAlignment="1">
      <alignment/>
    </xf>
    <xf numFmtId="170" fontId="0" fillId="0" borderId="10" xfId="17" applyNumberFormat="1" applyBorder="1" applyAlignment="1">
      <alignment/>
    </xf>
    <xf numFmtId="43" fontId="8" fillId="0" borderId="12" xfId="0" applyNumberFormat="1" applyFont="1" applyBorder="1" applyAlignment="1">
      <alignment/>
    </xf>
    <xf numFmtId="43" fontId="8" fillId="0" borderId="19" xfId="0" applyNumberFormat="1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2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20" xfId="0" applyFont="1" applyBorder="1" applyAlignment="1">
      <alignment horizontal="right" vertical="top" wrapText="1"/>
    </xf>
    <xf numFmtId="0" fontId="11" fillId="0" borderId="0" xfId="0" applyFont="1" applyAlignment="1">
      <alignment horizontal="justify"/>
    </xf>
    <xf numFmtId="0" fontId="11" fillId="0" borderId="8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 horizontal="justify" vertical="top" wrapText="1"/>
    </xf>
    <xf numFmtId="9" fontId="0" fillId="0" borderId="0" xfId="21" applyAlignment="1">
      <alignment/>
    </xf>
    <xf numFmtId="175" fontId="0" fillId="0" borderId="0" xfId="0" applyNumberFormat="1" applyAlignment="1">
      <alignment/>
    </xf>
    <xf numFmtId="176" fontId="0" fillId="0" borderId="0" xfId="21" applyNumberFormat="1" applyAlignment="1">
      <alignment/>
    </xf>
    <xf numFmtId="0" fontId="16" fillId="0" borderId="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11" fillId="2" borderId="9" xfId="0" applyFont="1" applyFill="1" applyBorder="1" applyAlignment="1">
      <alignment horizontal="center"/>
    </xf>
    <xf numFmtId="0" fontId="17" fillId="2" borderId="25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6" fillId="2" borderId="8" xfId="0" applyFont="1" applyFill="1" applyBorder="1" applyAlignment="1">
      <alignment/>
    </xf>
    <xf numFmtId="0" fontId="16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justify" vertical="top" wrapText="1"/>
    </xf>
    <xf numFmtId="43" fontId="8" fillId="0" borderId="0" xfId="17" applyFont="1" applyAlignment="1">
      <alignment/>
    </xf>
    <xf numFmtId="43" fontId="23" fillId="0" borderId="0" xfId="17" applyFont="1" applyAlignment="1">
      <alignment horizontal="center"/>
    </xf>
    <xf numFmtId="43" fontId="1" fillId="0" borderId="0" xfId="17" applyFont="1" applyAlignment="1">
      <alignment/>
    </xf>
    <xf numFmtId="43" fontId="24" fillId="0" borderId="0" xfId="17" applyFont="1" applyAlignment="1">
      <alignment horizontal="center"/>
    </xf>
    <xf numFmtId="43" fontId="7" fillId="0" borderId="0" xfId="17" applyFont="1" applyAlignment="1">
      <alignment horizontal="center"/>
    </xf>
    <xf numFmtId="43" fontId="27" fillId="0" borderId="0" xfId="17" applyFont="1" applyAlignment="1">
      <alignment/>
    </xf>
    <xf numFmtId="43" fontId="28" fillId="0" borderId="0" xfId="17" applyFont="1" applyAlignment="1">
      <alignment/>
    </xf>
    <xf numFmtId="43" fontId="25" fillId="0" borderId="0" xfId="17" applyFont="1" applyAlignment="1">
      <alignment horizontal="center"/>
    </xf>
    <xf numFmtId="43" fontId="26" fillId="0" borderId="0" xfId="17" applyFont="1" applyAlignment="1">
      <alignment horizontal="center"/>
    </xf>
    <xf numFmtId="43" fontId="0" fillId="0" borderId="0" xfId="17" applyFont="1" applyAlignment="1">
      <alignment/>
    </xf>
    <xf numFmtId="43" fontId="0" fillId="0" borderId="0" xfId="17" applyFont="1" applyAlignment="1">
      <alignment/>
    </xf>
    <xf numFmtId="43" fontId="0" fillId="0" borderId="0" xfId="17" applyFont="1" applyAlignment="1">
      <alignment horizontal="center"/>
    </xf>
    <xf numFmtId="8" fontId="0" fillId="0" borderId="0" xfId="17" applyNumberFormat="1" applyAlignment="1">
      <alignment/>
    </xf>
    <xf numFmtId="10" fontId="0" fillId="0" borderId="0" xfId="21" applyNumberFormat="1" applyAlignment="1">
      <alignment/>
    </xf>
    <xf numFmtId="43" fontId="29" fillId="3" borderId="0" xfId="17" applyFont="1" applyFill="1" applyAlignment="1">
      <alignment/>
    </xf>
    <xf numFmtId="10" fontId="29" fillId="3" borderId="0" xfId="17" applyNumberFormat="1" applyFont="1" applyFill="1" applyAlignment="1">
      <alignment/>
    </xf>
    <xf numFmtId="43" fontId="10" fillId="0" borderId="0" xfId="17" applyFont="1" applyAlignment="1">
      <alignment/>
    </xf>
    <xf numFmtId="181" fontId="10" fillId="0" borderId="0" xfId="17" applyNumberFormat="1" applyFont="1" applyAlignment="1">
      <alignment/>
    </xf>
    <xf numFmtId="0" fontId="30" fillId="4" borderId="0" xfId="0" applyFont="1" applyFill="1" applyAlignment="1">
      <alignment wrapText="1"/>
    </xf>
    <xf numFmtId="0" fontId="30" fillId="4" borderId="0" xfId="0" applyFont="1" applyFill="1" applyAlignment="1">
      <alignment horizontal="right" wrapText="1"/>
    </xf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right" wrapText="1"/>
    </xf>
    <xf numFmtId="0" fontId="10" fillId="6" borderId="0" xfId="0" applyFont="1" applyFill="1" applyAlignment="1">
      <alignment wrapText="1"/>
    </xf>
    <xf numFmtId="0" fontId="10" fillId="6" borderId="0" xfId="0" applyFont="1" applyFill="1" applyAlignment="1">
      <alignment horizontal="right" wrapText="1"/>
    </xf>
    <xf numFmtId="0" fontId="32" fillId="0" borderId="0" xfId="0" applyFont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0" fillId="3" borderId="0" xfId="0" applyFill="1" applyAlignment="1">
      <alignment/>
    </xf>
    <xf numFmtId="170" fontId="1" fillId="0" borderId="0" xfId="17" applyNumberFormat="1" applyFont="1" applyAlignment="1">
      <alignment/>
    </xf>
    <xf numFmtId="43" fontId="0" fillId="7" borderId="0" xfId="17" applyFill="1" applyAlignment="1">
      <alignment/>
    </xf>
    <xf numFmtId="181" fontId="29" fillId="8" borderId="0" xfId="17" applyNumberFormat="1" applyFont="1" applyFill="1" applyAlignment="1">
      <alignment/>
    </xf>
    <xf numFmtId="10" fontId="29" fillId="8" borderId="0" xfId="17" applyNumberFormat="1" applyFont="1" applyFill="1" applyAlignment="1">
      <alignment/>
    </xf>
    <xf numFmtId="0" fontId="10" fillId="7" borderId="22" xfId="0" applyFont="1" applyFill="1" applyBorder="1" applyAlignment="1">
      <alignment horizontal="right" vertical="top" wrapText="1"/>
    </xf>
    <xf numFmtId="0" fontId="10" fillId="7" borderId="20" xfId="0" applyFont="1" applyFill="1" applyBorder="1" applyAlignment="1">
      <alignment horizontal="right" vertical="top" wrapText="1"/>
    </xf>
    <xf numFmtId="0" fontId="17" fillId="7" borderId="24" xfId="0" applyFont="1" applyFill="1" applyBorder="1" applyAlignment="1">
      <alignment/>
    </xf>
    <xf numFmtId="0" fontId="2" fillId="7" borderId="0" xfId="0" applyFont="1" applyFill="1" applyAlignment="1">
      <alignment horizontal="center"/>
    </xf>
    <xf numFmtId="0" fontId="11" fillId="7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0" fillId="7" borderId="0" xfId="0" applyFill="1" applyAlignment="1">
      <alignment/>
    </xf>
    <xf numFmtId="9" fontId="8" fillId="7" borderId="0" xfId="0" applyNumberFormat="1" applyFont="1" applyFill="1" applyAlignment="1">
      <alignment/>
    </xf>
    <xf numFmtId="9" fontId="0" fillId="7" borderId="0" xfId="0" applyNumberFormat="1" applyFill="1" applyAlignment="1">
      <alignment/>
    </xf>
    <xf numFmtId="1" fontId="8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170" fontId="1" fillId="0" borderId="16" xfId="0" applyNumberFormat="1" applyFont="1" applyBorder="1" applyAlignment="1">
      <alignment horizontal="center" vertical="center" wrapText="1"/>
    </xf>
    <xf numFmtId="43" fontId="0" fillId="0" borderId="0" xfId="17" applyAlignment="1">
      <alignment horizontal="center"/>
    </xf>
    <xf numFmtId="185" fontId="0" fillId="0" borderId="0" xfId="17" applyNumberFormat="1" applyFont="1" applyAlignment="1">
      <alignment/>
    </xf>
    <xf numFmtId="187" fontId="0" fillId="0" borderId="0" xfId="17" applyNumberFormat="1" applyFont="1" applyAlignment="1">
      <alignment/>
    </xf>
    <xf numFmtId="170" fontId="8" fillId="0" borderId="0" xfId="17" applyNumberFormat="1" applyFont="1" applyAlignment="1">
      <alignment/>
    </xf>
    <xf numFmtId="8" fontId="0" fillId="0" borderId="0" xfId="0" applyNumberFormat="1" applyAlignment="1">
      <alignment/>
    </xf>
    <xf numFmtId="10" fontId="37" fillId="0" borderId="0" xfId="21" applyNumberFormat="1" applyFont="1" applyAlignment="1">
      <alignment horizontal="center"/>
    </xf>
    <xf numFmtId="0" fontId="29" fillId="0" borderId="0" xfId="0" applyFont="1" applyAlignment="1">
      <alignment horizontal="center"/>
    </xf>
    <xf numFmtId="10" fontId="1" fillId="0" borderId="0" xfId="21" applyNumberFormat="1" applyFont="1" applyAlignment="1">
      <alignment horizontal="center"/>
    </xf>
    <xf numFmtId="10" fontId="1" fillId="0" borderId="6" xfId="21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0" fillId="0" borderId="18" xfId="21" applyNumberFormat="1" applyBorder="1" applyAlignment="1">
      <alignment/>
    </xf>
    <xf numFmtId="0" fontId="38" fillId="0" borderId="26" xfId="0" applyFont="1" applyBorder="1" applyAlignment="1">
      <alignment/>
    </xf>
    <xf numFmtId="43" fontId="38" fillId="0" borderId="27" xfId="17" applyFont="1" applyBorder="1" applyAlignment="1">
      <alignment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189" fontId="42" fillId="0" borderId="0" xfId="21" applyNumberFormat="1" applyFont="1" applyAlignment="1">
      <alignment horizontal="center"/>
    </xf>
    <xf numFmtId="0" fontId="40" fillId="0" borderId="0" xfId="0" applyFont="1" applyAlignment="1">
      <alignment/>
    </xf>
    <xf numFmtId="177" fontId="41" fillId="0" borderId="0" xfId="0" applyNumberFormat="1" applyFont="1" applyAlignment="1">
      <alignment horizontal="centerContinuous"/>
    </xf>
    <xf numFmtId="190" fontId="41" fillId="0" borderId="0" xfId="21" applyNumberFormat="1" applyFont="1" applyAlignment="1">
      <alignment/>
    </xf>
    <xf numFmtId="0" fontId="41" fillId="0" borderId="0" xfId="0" applyNumberFormat="1" applyFont="1" applyAlignment="1">
      <alignment/>
    </xf>
    <xf numFmtId="10" fontId="41" fillId="0" borderId="0" xfId="21" applyNumberFormat="1" applyFont="1" applyAlignment="1">
      <alignment/>
    </xf>
    <xf numFmtId="190" fontId="0" fillId="0" borderId="0" xfId="21" applyNumberFormat="1" applyFont="1" applyAlignment="1">
      <alignment/>
    </xf>
    <xf numFmtId="0" fontId="0" fillId="0" borderId="0" xfId="0" applyNumberFormat="1" applyAlignment="1">
      <alignment/>
    </xf>
    <xf numFmtId="191" fontId="0" fillId="0" borderId="18" xfId="0" applyNumberFormat="1" applyBorder="1" applyAlignment="1">
      <alignment/>
    </xf>
    <xf numFmtId="10" fontId="38" fillId="3" borderId="26" xfId="21" applyNumberFormat="1" applyFont="1" applyFill="1" applyBorder="1" applyAlignment="1">
      <alignment horizontal="center"/>
    </xf>
    <xf numFmtId="10" fontId="38" fillId="3" borderId="28" xfId="21" applyNumberFormat="1" applyFont="1" applyFill="1" applyBorder="1" applyAlignment="1">
      <alignment horizontal="center"/>
    </xf>
    <xf numFmtId="10" fontId="29" fillId="9" borderId="26" xfId="21" applyNumberFormat="1" applyFont="1" applyFill="1" applyBorder="1" applyAlignment="1">
      <alignment horizontal="center" vertical="center"/>
    </xf>
    <xf numFmtId="0" fontId="29" fillId="9" borderId="28" xfId="0" applyFont="1" applyFill="1" applyBorder="1" applyAlignment="1">
      <alignment horizontal="center" vertical="center" wrapText="1"/>
    </xf>
    <xf numFmtId="43" fontId="8" fillId="0" borderId="0" xfId="17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3" fontId="10" fillId="0" borderId="0" xfId="17" applyFont="1" applyAlignment="1">
      <alignment horizontal="center"/>
    </xf>
    <xf numFmtId="0" fontId="10" fillId="0" borderId="7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7" xfId="0" applyFont="1" applyBorder="1" applyAlignment="1">
      <alignment/>
    </xf>
    <xf numFmtId="43" fontId="8" fillId="0" borderId="29" xfId="17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17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8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9" fontId="10" fillId="0" borderId="0" xfId="21" applyFont="1" applyAlignment="1">
      <alignment horizontal="center"/>
    </xf>
    <xf numFmtId="10" fontId="10" fillId="0" borderId="0" xfId="21" applyNumberFormat="1" applyFont="1" applyAlignment="1">
      <alignment horizontal="center"/>
    </xf>
    <xf numFmtId="10" fontId="51" fillId="0" borderId="0" xfId="2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10" fillId="0" borderId="0" xfId="0" applyNumberFormat="1" applyFont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10" fontId="8" fillId="0" borderId="26" xfId="21" applyNumberFormat="1" applyFont="1" applyFill="1" applyBorder="1" applyAlignment="1">
      <alignment horizontal="center"/>
    </xf>
    <xf numFmtId="10" fontId="8" fillId="0" borderId="28" xfId="21" applyNumberFormat="1" applyFont="1" applyFill="1" applyBorder="1" applyAlignment="1">
      <alignment horizontal="center"/>
    </xf>
    <xf numFmtId="10" fontId="10" fillId="0" borderId="26" xfId="21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89" fontId="8" fillId="0" borderId="0" xfId="21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29" xfId="0" applyFont="1" applyBorder="1" applyAlignment="1">
      <alignment horizontal="right" vertical="center"/>
    </xf>
    <xf numFmtId="0" fontId="10" fillId="0" borderId="29" xfId="0" applyFont="1" applyBorder="1" applyAlignment="1">
      <alignment horizontal="right"/>
    </xf>
    <xf numFmtId="10" fontId="51" fillId="0" borderId="29" xfId="0" applyNumberFormat="1" applyFont="1" applyBorder="1" applyAlignment="1">
      <alignment horizontal="right"/>
    </xf>
    <xf numFmtId="9" fontId="10" fillId="0" borderId="29" xfId="2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10" fontId="10" fillId="0" borderId="29" xfId="21" applyNumberFormat="1" applyFont="1" applyBorder="1" applyAlignment="1">
      <alignment horizontal="right"/>
    </xf>
    <xf numFmtId="43" fontId="10" fillId="0" borderId="29" xfId="17" applyFont="1" applyBorder="1" applyAlignment="1">
      <alignment horizontal="right"/>
    </xf>
    <xf numFmtId="43" fontId="8" fillId="0" borderId="29" xfId="17" applyFont="1" applyBorder="1" applyAlignment="1">
      <alignment horizontal="right"/>
    </xf>
    <xf numFmtId="10" fontId="51" fillId="0" borderId="29" xfId="21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9" fontId="10" fillId="0" borderId="0" xfId="21" applyFont="1" applyBorder="1" applyAlignment="1">
      <alignment horizontal="right"/>
    </xf>
    <xf numFmtId="43" fontId="10" fillId="0" borderId="0" xfId="17" applyFont="1" applyBorder="1" applyAlignment="1">
      <alignment horizontal="right"/>
    </xf>
    <xf numFmtId="10" fontId="10" fillId="0" borderId="0" xfId="21" applyNumberFormat="1" applyFont="1" applyBorder="1" applyAlignment="1">
      <alignment horizontal="right"/>
    </xf>
    <xf numFmtId="43" fontId="8" fillId="0" borderId="0" xfId="17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90" fontId="10" fillId="0" borderId="0" xfId="21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right"/>
    </xf>
    <xf numFmtId="170" fontId="10" fillId="0" borderId="0" xfId="17" applyNumberFormat="1" applyFont="1" applyAlignment="1">
      <alignment/>
    </xf>
    <xf numFmtId="0" fontId="10" fillId="0" borderId="0" xfId="0" applyFont="1" applyBorder="1" applyAlignment="1">
      <alignment horizontal="center" vertical="center" wrapText="1"/>
    </xf>
    <xf numFmtId="43" fontId="8" fillId="0" borderId="2" xfId="17" applyFont="1" applyBorder="1" applyAlignment="1">
      <alignment horizontal="center"/>
    </xf>
    <xf numFmtId="43" fontId="8" fillId="0" borderId="31" xfId="17" applyFont="1" applyBorder="1" applyAlignment="1">
      <alignment/>
    </xf>
    <xf numFmtId="43" fontId="8" fillId="0" borderId="14" xfId="17" applyFont="1" applyBorder="1" applyAlignment="1">
      <alignment horizontal="center"/>
    </xf>
    <xf numFmtId="43" fontId="10" fillId="0" borderId="30" xfId="17" applyFont="1" applyBorder="1" applyAlignment="1">
      <alignment/>
    </xf>
    <xf numFmtId="43" fontId="52" fillId="0" borderId="0" xfId="17" applyFont="1" applyAlignment="1">
      <alignment horizontal="center"/>
    </xf>
    <xf numFmtId="43" fontId="53" fillId="0" borderId="0" xfId="17" applyFont="1" applyAlignment="1">
      <alignment horizontal="center"/>
    </xf>
    <xf numFmtId="43" fontId="1" fillId="0" borderId="0" xfId="17" applyFont="1" applyAlignment="1">
      <alignment horizontal="center" vertical="center" wrapText="1"/>
    </xf>
    <xf numFmtId="43" fontId="8" fillId="0" borderId="0" xfId="17" applyFont="1" applyAlignment="1">
      <alignment horizontal="center" vertical="center" wrapText="1"/>
    </xf>
    <xf numFmtId="43" fontId="10" fillId="0" borderId="0" xfId="17" applyFont="1" applyAlignment="1">
      <alignment horizontal="center" vertical="center" wrapText="1"/>
    </xf>
    <xf numFmtId="43" fontId="0" fillId="0" borderId="7" xfId="17" applyFont="1" applyBorder="1" applyAlignment="1">
      <alignment/>
    </xf>
    <xf numFmtId="43" fontId="0" fillId="0" borderId="0" xfId="17" applyFont="1" applyBorder="1" applyAlignment="1">
      <alignment/>
    </xf>
    <xf numFmtId="43" fontId="29" fillId="0" borderId="0" xfId="17" applyFont="1" applyFill="1" applyBorder="1" applyAlignment="1">
      <alignment/>
    </xf>
    <xf numFmtId="43" fontId="8" fillId="0" borderId="7" xfId="17" applyFont="1" applyBorder="1" applyAlignment="1">
      <alignment/>
    </xf>
    <xf numFmtId="43" fontId="10" fillId="0" borderId="7" xfId="17" applyFont="1" applyBorder="1" applyAlignment="1">
      <alignment/>
    </xf>
    <xf numFmtId="170" fontId="8" fillId="0" borderId="29" xfId="17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43" fontId="8" fillId="0" borderId="30" xfId="17" applyFont="1" applyBorder="1" applyAlignment="1">
      <alignment/>
    </xf>
    <xf numFmtId="192" fontId="8" fillId="0" borderId="30" xfId="17" applyNumberFormat="1" applyFont="1" applyBorder="1" applyAlignment="1">
      <alignment/>
    </xf>
    <xf numFmtId="43" fontId="8" fillId="0" borderId="29" xfId="17" applyNumberFormat="1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0" fontId="0" fillId="0" borderId="33" xfId="0" applyNumberFormat="1" applyFont="1" applyBorder="1" applyAlignment="1">
      <alignment horizontal="center" vertical="center" wrapText="1"/>
    </xf>
    <xf numFmtId="170" fontId="0" fillId="0" borderId="34" xfId="0" applyNumberFormat="1" applyFont="1" applyBorder="1" applyAlignment="1">
      <alignment horizontal="center" vertical="center" wrapText="1"/>
    </xf>
    <xf numFmtId="170" fontId="0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1" fillId="0" borderId="3" xfId="17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43" fontId="10" fillId="0" borderId="0" xfId="17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0" fontId="10" fillId="0" borderId="29" xfId="0" applyNumberFormat="1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34" xfId="0" applyFont="1" applyBorder="1" applyAlignment="1">
      <alignment/>
    </xf>
    <xf numFmtId="3" fontId="10" fillId="0" borderId="34" xfId="0" applyNumberFormat="1" applyFont="1" applyBorder="1" applyAlignment="1">
      <alignment/>
    </xf>
    <xf numFmtId="0" fontId="8" fillId="0" borderId="8" xfId="0" applyFont="1" applyBorder="1" applyAlignment="1">
      <alignment/>
    </xf>
    <xf numFmtId="43" fontId="1" fillId="0" borderId="0" xfId="17" applyFont="1" applyBorder="1" applyAlignment="1">
      <alignment horizontal="center"/>
    </xf>
    <xf numFmtId="43" fontId="0" fillId="0" borderId="0" xfId="17" applyFont="1" applyFill="1" applyAlignment="1">
      <alignment/>
    </xf>
    <xf numFmtId="43" fontId="45" fillId="0" borderId="0" xfId="17" applyFont="1" applyFill="1" applyAlignment="1">
      <alignment horizontal="left"/>
    </xf>
    <xf numFmtId="43" fontId="44" fillId="0" borderId="0" xfId="17" applyFont="1" applyFill="1" applyAlignment="1">
      <alignment horizontal="left"/>
    </xf>
    <xf numFmtId="43" fontId="44" fillId="0" borderId="0" xfId="17" applyFont="1" applyFill="1" applyBorder="1" applyAlignment="1">
      <alignment horizontal="center"/>
    </xf>
    <xf numFmtId="43" fontId="1" fillId="0" borderId="0" xfId="17" applyFont="1" applyFill="1" applyBorder="1" applyAlignment="1">
      <alignment/>
    </xf>
    <xf numFmtId="170" fontId="1" fillId="0" borderId="0" xfId="17" applyNumberFormat="1" applyFont="1" applyFill="1" applyBorder="1" applyAlignment="1">
      <alignment/>
    </xf>
    <xf numFmtId="43" fontId="0" fillId="0" borderId="0" xfId="17" applyFont="1" applyFill="1" applyBorder="1" applyAlignment="1">
      <alignment/>
    </xf>
    <xf numFmtId="43" fontId="8" fillId="0" borderId="0" xfId="17" applyFont="1" applyFill="1" applyBorder="1" applyAlignment="1">
      <alignment/>
    </xf>
    <xf numFmtId="43" fontId="1" fillId="0" borderId="0" xfId="17" applyFont="1" applyFill="1" applyBorder="1" applyAlignment="1">
      <alignment horizontal="center"/>
    </xf>
    <xf numFmtId="43" fontId="0" fillId="0" borderId="0" xfId="17" applyFont="1" applyFill="1" applyBorder="1" applyAlignment="1">
      <alignment horizontal="center"/>
    </xf>
    <xf numFmtId="43" fontId="10" fillId="0" borderId="0" xfId="17" applyFont="1" applyFill="1" applyBorder="1" applyAlignment="1">
      <alignment/>
    </xf>
    <xf numFmtId="43" fontId="10" fillId="0" borderId="0" xfId="17" applyFont="1" applyFill="1" applyAlignment="1">
      <alignment/>
    </xf>
    <xf numFmtId="10" fontId="10" fillId="0" borderId="0" xfId="21" applyNumberFormat="1" applyFont="1" applyFill="1" applyBorder="1" applyAlignment="1">
      <alignment/>
    </xf>
    <xf numFmtId="170" fontId="1" fillId="0" borderId="0" xfId="17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10" fillId="0" borderId="29" xfId="17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7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8" fillId="0" borderId="29" xfId="17" applyFont="1" applyFill="1" applyBorder="1" applyAlignment="1">
      <alignment/>
    </xf>
    <xf numFmtId="0" fontId="10" fillId="0" borderId="14" xfId="0" applyFont="1" applyFill="1" applyBorder="1" applyAlignment="1">
      <alignment/>
    </xf>
    <xf numFmtId="43" fontId="10" fillId="0" borderId="15" xfId="17" applyFont="1" applyFill="1" applyBorder="1" applyAlignment="1">
      <alignment/>
    </xf>
    <xf numFmtId="0" fontId="10" fillId="0" borderId="30" xfId="0" applyFont="1" applyFill="1" applyBorder="1" applyAlignment="1">
      <alignment/>
    </xf>
    <xf numFmtId="43" fontId="0" fillId="0" borderId="2" xfId="17" applyFont="1" applyBorder="1" applyAlignment="1">
      <alignment/>
    </xf>
    <xf numFmtId="170" fontId="1" fillId="0" borderId="3" xfId="17" applyNumberFormat="1" applyFont="1" applyBorder="1" applyAlignment="1">
      <alignment horizontal="center"/>
    </xf>
    <xf numFmtId="43" fontId="1" fillId="0" borderId="3" xfId="17" applyFont="1" applyBorder="1" applyAlignment="1">
      <alignment horizontal="center"/>
    </xf>
    <xf numFmtId="43" fontId="1" fillId="0" borderId="31" xfId="17" applyFont="1" applyBorder="1" applyAlignment="1">
      <alignment horizontal="center"/>
    </xf>
    <xf numFmtId="170" fontId="0" fillId="0" borderId="0" xfId="17" applyNumberFormat="1" applyFont="1" applyBorder="1" applyAlignment="1">
      <alignment horizontal="center"/>
    </xf>
    <xf numFmtId="43" fontId="1" fillId="0" borderId="29" xfId="17" applyFont="1" applyBorder="1" applyAlignment="1">
      <alignment horizontal="center"/>
    </xf>
    <xf numFmtId="170" fontId="10" fillId="0" borderId="0" xfId="17" applyNumberFormat="1" applyFont="1" applyBorder="1" applyAlignment="1">
      <alignment horizontal="center"/>
    </xf>
    <xf numFmtId="170" fontId="8" fillId="0" borderId="0" xfId="17" applyNumberFormat="1" applyFont="1" applyBorder="1" applyAlignment="1">
      <alignment horizontal="center"/>
    </xf>
    <xf numFmtId="43" fontId="8" fillId="0" borderId="7" xfId="17" applyFont="1" applyFill="1" applyBorder="1" applyAlignment="1">
      <alignment/>
    </xf>
    <xf numFmtId="170" fontId="10" fillId="0" borderId="0" xfId="17" applyNumberFormat="1" applyFont="1" applyBorder="1" applyAlignment="1">
      <alignment/>
    </xf>
    <xf numFmtId="43" fontId="10" fillId="0" borderId="14" xfId="17" applyFont="1" applyBorder="1" applyAlignment="1">
      <alignment/>
    </xf>
    <xf numFmtId="170" fontId="10" fillId="0" borderId="15" xfId="17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3" fontId="1" fillId="3" borderId="8" xfId="17" applyFont="1" applyFill="1" applyBorder="1" applyAlignment="1">
      <alignment horizontal="center"/>
    </xf>
    <xf numFmtId="170" fontId="8" fillId="3" borderId="8" xfId="17" applyNumberFormat="1" applyFont="1" applyFill="1" applyBorder="1" applyAlignment="1">
      <alignment/>
    </xf>
    <xf numFmtId="43" fontId="46" fillId="3" borderId="0" xfId="17" applyFont="1" applyFill="1" applyAlignment="1">
      <alignment/>
    </xf>
    <xf numFmtId="10" fontId="46" fillId="5" borderId="0" xfId="21" applyNumberFormat="1" applyFont="1" applyFill="1" applyAlignment="1">
      <alignment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0" fontId="1" fillId="0" borderId="6" xfId="21" applyNumberFormat="1" applyFont="1" applyBorder="1" applyAlignment="1">
      <alignment horizontal="center"/>
    </xf>
    <xf numFmtId="10" fontId="1" fillId="0" borderId="38" xfId="21" applyNumberFormat="1" applyFont="1" applyBorder="1" applyAlignment="1">
      <alignment horizontal="center"/>
    </xf>
    <xf numFmtId="10" fontId="0" fillId="0" borderId="38" xfId="21" applyNumberFormat="1" applyBorder="1" applyAlignment="1">
      <alignment horizontal="center"/>
    </xf>
    <xf numFmtId="43" fontId="49" fillId="0" borderId="0" xfId="17" applyFont="1" applyFill="1" applyAlignment="1">
      <alignment horizontal="center" vertical="center"/>
    </xf>
    <xf numFmtId="43" fontId="45" fillId="0" borderId="0" xfId="17" applyFont="1" applyFill="1" applyAlignment="1">
      <alignment horizontal="center" vertical="center"/>
    </xf>
    <xf numFmtId="43" fontId="48" fillId="0" borderId="3" xfId="17" applyFont="1" applyFill="1" applyBorder="1" applyAlignment="1">
      <alignment horizontal="center"/>
    </xf>
    <xf numFmtId="43" fontId="48" fillId="0" borderId="31" xfId="17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3" fontId="53" fillId="0" borderId="0" xfId="17" applyFont="1" applyAlignment="1">
      <alignment horizontal="center"/>
    </xf>
    <xf numFmtId="43" fontId="52" fillId="0" borderId="0" xfId="17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0" fontId="0" fillId="0" borderId="18" xfId="21" applyNumberFormat="1" applyBorder="1" applyAlignment="1">
      <alignment horizontal="center"/>
    </xf>
    <xf numFmtId="0" fontId="39" fillId="9" borderId="0" xfId="0" applyFont="1" applyFill="1" applyAlignment="1">
      <alignment horizontal="center"/>
    </xf>
    <xf numFmtId="0" fontId="42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10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0" fontId="41" fillId="0" borderId="0" xfId="0" applyNumberFormat="1" applyFont="1" applyAlignment="1">
      <alignment horizontal="center"/>
    </xf>
    <xf numFmtId="9" fontId="41" fillId="0" borderId="0" xfId="21" applyFont="1" applyAlignment="1">
      <alignment horizontal="center"/>
    </xf>
    <xf numFmtId="43" fontId="41" fillId="0" borderId="0" xfId="17" applyFont="1" applyAlignment="1">
      <alignment horizontal="center"/>
    </xf>
    <xf numFmtId="10" fontId="41" fillId="0" borderId="0" xfId="21" applyNumberFormat="1" applyFont="1" applyAlignment="1">
      <alignment horizontal="center"/>
    </xf>
    <xf numFmtId="0" fontId="41" fillId="0" borderId="0" xfId="0" applyFont="1" applyAlignment="1">
      <alignment horizontal="center"/>
    </xf>
    <xf numFmtId="43" fontId="42" fillId="0" borderId="0" xfId="17" applyFont="1" applyAlignment="1">
      <alignment horizontal="center"/>
    </xf>
    <xf numFmtId="10" fontId="43" fillId="0" borderId="0" xfId="21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38" fillId="3" borderId="39" xfId="0" applyFont="1" applyFill="1" applyBorder="1" applyAlignment="1">
      <alignment horizontal="center"/>
    </xf>
    <xf numFmtId="0" fontId="38" fillId="3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Ventas%20de%20Publicidad%20por%20edici&#243;n%201er%20a&#241;o%20del%20proyec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Ventas%20de%20Publicidad%20por%20edici&#243;n%202do%20a&#241;o%20del%20proyec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 de Anunciantes 1er Año"/>
      <sheetName val="Indice de Anunciantes Mensual"/>
      <sheetName val="TOTAL DE ANUNCIANTES"/>
      <sheetName val="Regresión de Anunciantes"/>
    </sheetNames>
    <sheetDataSet>
      <sheetData sheetId="1">
        <row r="3">
          <cell r="F3">
            <v>0.9099264705882353</v>
          </cell>
        </row>
        <row r="4">
          <cell r="F4">
            <v>0.8837209302325582</v>
          </cell>
        </row>
        <row r="5">
          <cell r="F5">
            <v>1.1436314363143631</v>
          </cell>
        </row>
        <row r="6">
          <cell r="F6">
            <v>0.9451848911070782</v>
          </cell>
        </row>
        <row r="7">
          <cell r="F7">
            <v>0.9864864864864864</v>
          </cell>
        </row>
        <row r="8">
          <cell r="F8">
            <v>0.9580459770114943</v>
          </cell>
        </row>
        <row r="9">
          <cell r="F9">
            <v>1.1063829787234043</v>
          </cell>
        </row>
        <row r="10">
          <cell r="F10">
            <v>0.8963800904977375</v>
          </cell>
        </row>
        <row r="11">
          <cell r="F11">
            <v>1.1025</v>
          </cell>
        </row>
        <row r="12">
          <cell r="F12">
            <v>0.951048951048951</v>
          </cell>
        </row>
        <row r="13">
          <cell r="F13">
            <v>1.0856382978723405</v>
          </cell>
        </row>
        <row r="14">
          <cell r="F14">
            <v>0.9821428571428571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ección"/>
      <sheetName val="Indices"/>
      <sheetName val="Regresión"/>
      <sheetName val="Publicaciones"/>
    </sheetNames>
    <sheetDataSet>
      <sheetData sheetId="0">
        <row r="48">
          <cell r="F48">
            <v>402.96259254178483</v>
          </cell>
        </row>
      </sheetData>
      <sheetData sheetId="1">
        <row r="2">
          <cell r="B2">
            <v>1.1356893303720061</v>
          </cell>
        </row>
        <row r="3">
          <cell r="B3">
            <v>1.060474537037037</v>
          </cell>
        </row>
        <row r="4">
          <cell r="B4">
            <v>1.0349761018469736</v>
          </cell>
        </row>
        <row r="5">
          <cell r="B5">
            <v>0.9741800701460981</v>
          </cell>
        </row>
        <row r="6">
          <cell r="B6">
            <v>0.9881010377957038</v>
          </cell>
        </row>
        <row r="7">
          <cell r="B7">
            <v>0.8025920513132789</v>
          </cell>
        </row>
        <row r="8">
          <cell r="B8">
            <v>1.0607554758674163</v>
          </cell>
        </row>
        <row r="9">
          <cell r="B9">
            <v>0.9981295000154506</v>
          </cell>
        </row>
        <row r="10">
          <cell r="B10">
            <v>0.8430341921043859</v>
          </cell>
        </row>
        <row r="11">
          <cell r="B11">
            <v>1.166189115109872</v>
          </cell>
        </row>
        <row r="12">
          <cell r="B12">
            <v>1.024239386330931</v>
          </cell>
        </row>
        <row r="13">
          <cell r="B13">
            <v>0.9009342923353302</v>
          </cell>
        </row>
        <row r="14">
          <cell r="B14">
            <v>1.108157608157608</v>
          </cell>
        </row>
        <row r="15">
          <cell r="B15">
            <v>0.9418562657999278</v>
          </cell>
        </row>
        <row r="16">
          <cell r="B16">
            <v>1.0830627705627707</v>
          </cell>
        </row>
        <row r="17">
          <cell r="B17">
            <v>0.9155178508306823</v>
          </cell>
        </row>
        <row r="18">
          <cell r="B18">
            <v>0.8356348494206395</v>
          </cell>
        </row>
        <row r="19">
          <cell r="B19">
            <v>1.118841547076056</v>
          </cell>
        </row>
        <row r="20">
          <cell r="B20">
            <v>0.9559048691909808</v>
          </cell>
        </row>
        <row r="21">
          <cell r="B21">
            <v>1.1629185337749453</v>
          </cell>
        </row>
        <row r="22">
          <cell r="B22">
            <v>0.8190010545489406</v>
          </cell>
        </row>
        <row r="23">
          <cell r="B23">
            <v>1.0955948798245876</v>
          </cell>
        </row>
        <row r="24">
          <cell r="B24">
            <v>0.9542908072319838</v>
          </cell>
        </row>
        <row r="25">
          <cell r="B25">
            <v>0.9309116809116809</v>
          </cell>
        </row>
      </sheetData>
      <sheetData sheetId="2">
        <row r="17">
          <cell r="B17">
            <v>15.768832715645882</v>
          </cell>
        </row>
        <row r="18">
          <cell r="B18">
            <v>-0.0018601470615827688</v>
          </cell>
        </row>
      </sheetData>
      <sheetData sheetId="3">
        <row r="26">
          <cell r="E26">
            <v>23</v>
          </cell>
        </row>
        <row r="27">
          <cell r="E27">
            <v>29</v>
          </cell>
        </row>
        <row r="28">
          <cell r="E28">
            <v>23</v>
          </cell>
        </row>
        <row r="29">
          <cell r="E29">
            <v>29</v>
          </cell>
        </row>
        <row r="30">
          <cell r="E30">
            <v>25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E33">
            <v>9</v>
          </cell>
        </row>
        <row r="34">
          <cell r="E34">
            <v>11</v>
          </cell>
        </row>
        <row r="35">
          <cell r="E35">
            <v>14</v>
          </cell>
        </row>
        <row r="36">
          <cell r="E36">
            <v>11</v>
          </cell>
        </row>
        <row r="37">
          <cell r="E37">
            <v>12</v>
          </cell>
        </row>
        <row r="38">
          <cell r="E38">
            <v>10</v>
          </cell>
        </row>
        <row r="39">
          <cell r="E39">
            <v>10</v>
          </cell>
        </row>
        <row r="40">
          <cell r="E40">
            <v>9</v>
          </cell>
        </row>
        <row r="41">
          <cell r="E41">
            <v>9</v>
          </cell>
        </row>
        <row r="42">
          <cell r="E42">
            <v>6</v>
          </cell>
        </row>
        <row r="43">
          <cell r="E43">
            <v>12</v>
          </cell>
        </row>
        <row r="44">
          <cell r="E44">
            <v>10</v>
          </cell>
        </row>
        <row r="45">
          <cell r="E45">
            <v>13</v>
          </cell>
        </row>
        <row r="74">
          <cell r="E74">
            <v>22</v>
          </cell>
        </row>
        <row r="75">
          <cell r="E75">
            <v>18</v>
          </cell>
        </row>
        <row r="76">
          <cell r="E76">
            <v>22</v>
          </cell>
        </row>
        <row r="77">
          <cell r="E77">
            <v>11</v>
          </cell>
        </row>
        <row r="78">
          <cell r="E78">
            <v>9</v>
          </cell>
        </row>
        <row r="79">
          <cell r="E79">
            <v>8</v>
          </cell>
        </row>
        <row r="80">
          <cell r="E80">
            <v>18</v>
          </cell>
        </row>
        <row r="81">
          <cell r="E81">
            <v>17</v>
          </cell>
        </row>
        <row r="82">
          <cell r="E82">
            <v>11</v>
          </cell>
        </row>
        <row r="83">
          <cell r="E83">
            <v>13</v>
          </cell>
        </row>
        <row r="84">
          <cell r="E84">
            <v>24</v>
          </cell>
        </row>
        <row r="85">
          <cell r="E85">
            <v>24</v>
          </cell>
        </row>
        <row r="86">
          <cell r="E86">
            <v>11</v>
          </cell>
        </row>
        <row r="87">
          <cell r="B87">
            <v>0.3459141926612752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workbookViewId="0" topLeftCell="A1">
      <selection activeCell="A1" sqref="A1:T1"/>
    </sheetView>
  </sheetViews>
  <sheetFormatPr defaultColWidth="11.421875" defaultRowHeight="12.75"/>
  <cols>
    <col min="1" max="1" width="12.7109375" style="332" bestFit="1" customWidth="1"/>
    <col min="2" max="2" width="44.7109375" style="332" bestFit="1" customWidth="1"/>
    <col min="3" max="3" width="14.57421875" style="332" bestFit="1" customWidth="1"/>
    <col min="4" max="4" width="11.421875" style="332" bestFit="1" customWidth="1"/>
    <col min="5" max="5" width="11.57421875" style="332" bestFit="1" customWidth="1"/>
    <col min="6" max="6" width="14.57421875" style="332" customWidth="1"/>
    <col min="7" max="7" width="11.57421875" style="332" bestFit="1" customWidth="1"/>
    <col min="8" max="8" width="12.57421875" style="332" bestFit="1" customWidth="1"/>
    <col min="9" max="20" width="11.57421875" style="332" bestFit="1" customWidth="1"/>
    <col min="21" max="21" width="44.7109375" style="332" bestFit="1" customWidth="1"/>
    <col min="22" max="40" width="11.57421875" style="332" bestFit="1" customWidth="1"/>
    <col min="41" max="16384" width="11.421875" style="332" customWidth="1"/>
  </cols>
  <sheetData>
    <row r="1" spans="1:23" ht="30">
      <c r="A1" s="391" t="s">
        <v>439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V1" s="333"/>
      <c r="W1" s="333"/>
    </row>
    <row r="2" spans="1:23" ht="27.75">
      <c r="A2" s="392" t="s">
        <v>440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V2" s="334"/>
      <c r="W2" s="334"/>
    </row>
    <row r="3" spans="1:41" ht="12.7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8"/>
      <c r="V3" s="335"/>
      <c r="W3" s="335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</row>
    <row r="4" spans="1:41" s="345" customFormat="1" ht="12.75">
      <c r="A4" s="337"/>
      <c r="B4" s="337"/>
      <c r="C4" s="337"/>
      <c r="D4" s="337">
        <v>1</v>
      </c>
      <c r="E4" s="337">
        <v>2</v>
      </c>
      <c r="F4" s="337">
        <v>3</v>
      </c>
      <c r="G4" s="337">
        <v>4</v>
      </c>
      <c r="H4" s="337">
        <v>5</v>
      </c>
      <c r="I4" s="337">
        <v>6</v>
      </c>
      <c r="J4" s="337">
        <v>7</v>
      </c>
      <c r="K4" s="337">
        <v>8</v>
      </c>
      <c r="L4" s="337">
        <v>9</v>
      </c>
      <c r="M4" s="337">
        <v>10</v>
      </c>
      <c r="N4" s="337">
        <v>11</v>
      </c>
      <c r="O4" s="337">
        <v>12</v>
      </c>
      <c r="P4" s="337">
        <v>13</v>
      </c>
      <c r="Q4" s="337">
        <v>14</v>
      </c>
      <c r="R4" s="337">
        <v>15</v>
      </c>
      <c r="S4" s="337">
        <v>16</v>
      </c>
      <c r="T4" s="337">
        <v>17</v>
      </c>
      <c r="U4" s="337"/>
      <c r="V4" s="337">
        <v>18</v>
      </c>
      <c r="W4" s="337">
        <v>19</v>
      </c>
      <c r="X4" s="337">
        <v>20</v>
      </c>
      <c r="Y4" s="337">
        <v>21</v>
      </c>
      <c r="Z4" s="337">
        <v>22</v>
      </c>
      <c r="AA4" s="337">
        <v>23</v>
      </c>
      <c r="AB4" s="337">
        <v>24</v>
      </c>
      <c r="AC4" s="337">
        <v>25</v>
      </c>
      <c r="AD4" s="337">
        <v>26</v>
      </c>
      <c r="AE4" s="337">
        <v>27</v>
      </c>
      <c r="AF4" s="337">
        <v>28</v>
      </c>
      <c r="AG4" s="337">
        <v>29</v>
      </c>
      <c r="AH4" s="337">
        <v>30</v>
      </c>
      <c r="AI4" s="337">
        <v>31</v>
      </c>
      <c r="AJ4" s="337">
        <v>32</v>
      </c>
      <c r="AK4" s="337">
        <v>33</v>
      </c>
      <c r="AL4" s="337">
        <v>34</v>
      </c>
      <c r="AM4" s="337">
        <v>35</v>
      </c>
      <c r="AN4" s="337">
        <v>36</v>
      </c>
      <c r="AO4" s="337"/>
    </row>
    <row r="5" spans="1:41" ht="12.75">
      <c r="A5" s="338"/>
      <c r="B5" s="336" t="s">
        <v>329</v>
      </c>
      <c r="C5" s="338"/>
      <c r="D5" s="338">
        <v>0</v>
      </c>
      <c r="E5" s="338">
        <v>10</v>
      </c>
      <c r="F5" s="338">
        <v>10</v>
      </c>
      <c r="G5" s="338">
        <v>10</v>
      </c>
      <c r="H5" s="338">
        <v>10</v>
      </c>
      <c r="I5" s="338">
        <v>10</v>
      </c>
      <c r="J5" s="338">
        <v>10</v>
      </c>
      <c r="K5" s="338">
        <v>10</v>
      </c>
      <c r="L5" s="338">
        <v>10</v>
      </c>
      <c r="M5" s="338">
        <v>10</v>
      </c>
      <c r="N5" s="338">
        <v>10</v>
      </c>
      <c r="O5" s="338">
        <v>10</v>
      </c>
      <c r="P5" s="338">
        <v>15</v>
      </c>
      <c r="Q5" s="338">
        <v>15</v>
      </c>
      <c r="R5" s="338">
        <v>15</v>
      </c>
      <c r="S5" s="338">
        <v>15</v>
      </c>
      <c r="T5" s="338">
        <v>15</v>
      </c>
      <c r="U5" s="336" t="s">
        <v>329</v>
      </c>
      <c r="V5" s="338">
        <v>15</v>
      </c>
      <c r="W5" s="338">
        <v>15</v>
      </c>
      <c r="X5" s="338">
        <v>15</v>
      </c>
      <c r="Y5" s="338">
        <v>15</v>
      </c>
      <c r="Z5" s="338">
        <v>15</v>
      </c>
      <c r="AA5" s="338">
        <v>15</v>
      </c>
      <c r="AB5" s="338">
        <v>15</v>
      </c>
      <c r="AC5" s="338">
        <v>12</v>
      </c>
      <c r="AD5" s="338">
        <v>12</v>
      </c>
      <c r="AE5" s="338">
        <v>12</v>
      </c>
      <c r="AF5" s="338">
        <v>12</v>
      </c>
      <c r="AG5" s="338">
        <v>12</v>
      </c>
      <c r="AH5" s="338">
        <v>12</v>
      </c>
      <c r="AI5" s="338">
        <v>12</v>
      </c>
      <c r="AJ5" s="338">
        <v>12</v>
      </c>
      <c r="AK5" s="338">
        <v>12</v>
      </c>
      <c r="AL5" s="338">
        <v>12</v>
      </c>
      <c r="AM5" s="338">
        <v>12</v>
      </c>
      <c r="AN5" s="338">
        <v>12</v>
      </c>
      <c r="AO5" s="338"/>
    </row>
    <row r="6" spans="1:41" ht="12.75">
      <c r="A6" s="338"/>
      <c r="B6" s="336" t="s">
        <v>316</v>
      </c>
      <c r="C6" s="338"/>
      <c r="D6" s="338">
        <v>2.5</v>
      </c>
      <c r="E6" s="338">
        <v>2.5</v>
      </c>
      <c r="F6" s="338">
        <v>2.5</v>
      </c>
      <c r="G6" s="338">
        <v>2.5</v>
      </c>
      <c r="H6" s="338">
        <v>2.5</v>
      </c>
      <c r="I6" s="338">
        <v>2.5</v>
      </c>
      <c r="J6" s="338">
        <v>2.5</v>
      </c>
      <c r="K6" s="338">
        <v>2.5</v>
      </c>
      <c r="L6" s="338">
        <v>2.5</v>
      </c>
      <c r="M6" s="338">
        <v>2.5</v>
      </c>
      <c r="N6" s="338">
        <v>2.5</v>
      </c>
      <c r="O6" s="338">
        <v>2.5</v>
      </c>
      <c r="P6" s="338">
        <v>1.25</v>
      </c>
      <c r="Q6" s="338">
        <v>1.25</v>
      </c>
      <c r="R6" s="338">
        <v>1.25</v>
      </c>
      <c r="S6" s="338">
        <v>1.25</v>
      </c>
      <c r="T6" s="338">
        <v>1.25</v>
      </c>
      <c r="U6" s="336" t="s">
        <v>316</v>
      </c>
      <c r="V6" s="338">
        <v>1.25</v>
      </c>
      <c r="W6" s="338">
        <v>1.25</v>
      </c>
      <c r="X6" s="338">
        <v>1.25</v>
      </c>
      <c r="Y6" s="338">
        <v>1.25</v>
      </c>
      <c r="Z6" s="338">
        <v>1.25</v>
      </c>
      <c r="AA6" s="338">
        <v>1.25</v>
      </c>
      <c r="AB6" s="338">
        <v>1.25</v>
      </c>
      <c r="AC6" s="338">
        <v>0.8333333333333334</v>
      </c>
      <c r="AD6" s="338">
        <v>0.8333333333333334</v>
      </c>
      <c r="AE6" s="338">
        <v>0.8333333333333334</v>
      </c>
      <c r="AF6" s="338">
        <v>0.8333333333333334</v>
      </c>
      <c r="AG6" s="338">
        <v>0.8333333333333334</v>
      </c>
      <c r="AH6" s="338">
        <v>0.8333333333333334</v>
      </c>
      <c r="AI6" s="338">
        <v>0.8333333333333334</v>
      </c>
      <c r="AJ6" s="338">
        <v>0.8333333333333334</v>
      </c>
      <c r="AK6" s="338">
        <v>0.8333333333333334</v>
      </c>
      <c r="AL6" s="338">
        <v>0.8333333333333334</v>
      </c>
      <c r="AM6" s="338">
        <v>0.8333333333333334</v>
      </c>
      <c r="AN6" s="338">
        <v>0.8333333333333334</v>
      </c>
      <c r="AO6" s="338"/>
    </row>
    <row r="7" spans="1:41" ht="12.75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</row>
    <row r="8" spans="1:41" ht="15.75">
      <c r="A8" s="338"/>
      <c r="B8" s="339" t="s">
        <v>277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9" t="s">
        <v>277</v>
      </c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</row>
    <row r="9" spans="1:41" ht="12.75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</row>
    <row r="10" spans="1:41" ht="12.75">
      <c r="A10" s="340" t="s">
        <v>153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</row>
    <row r="11" spans="1:41" ht="12.75">
      <c r="A11" s="338"/>
      <c r="B11" s="338"/>
      <c r="C11" s="340" t="s">
        <v>281</v>
      </c>
      <c r="D11" s="340" t="s">
        <v>85</v>
      </c>
      <c r="E11" s="340" t="s">
        <v>108</v>
      </c>
      <c r="F11" s="340" t="s">
        <v>282</v>
      </c>
      <c r="G11" s="340" t="s">
        <v>283</v>
      </c>
      <c r="H11" s="340" t="s">
        <v>284</v>
      </c>
      <c r="I11" s="340" t="s">
        <v>285</v>
      </c>
      <c r="J11" s="340" t="s">
        <v>286</v>
      </c>
      <c r="K11" s="340" t="s">
        <v>287</v>
      </c>
      <c r="L11" s="340" t="s">
        <v>117</v>
      </c>
      <c r="M11" s="340" t="s">
        <v>288</v>
      </c>
      <c r="N11" s="340" t="s">
        <v>119</v>
      </c>
      <c r="O11" s="340" t="s">
        <v>120</v>
      </c>
      <c r="P11" s="340" t="s">
        <v>122</v>
      </c>
      <c r="Q11" s="340" t="s">
        <v>123</v>
      </c>
      <c r="R11" s="340" t="s">
        <v>124</v>
      </c>
      <c r="S11" s="340" t="s">
        <v>125</v>
      </c>
      <c r="T11" s="340" t="s">
        <v>126</v>
      </c>
      <c r="U11" s="338"/>
      <c r="V11" s="340" t="s">
        <v>127</v>
      </c>
      <c r="W11" s="340" t="s">
        <v>128</v>
      </c>
      <c r="X11" s="340" t="s">
        <v>129</v>
      </c>
      <c r="Y11" s="340" t="s">
        <v>130</v>
      </c>
      <c r="Z11" s="340" t="s">
        <v>131</v>
      </c>
      <c r="AA11" s="340" t="s">
        <v>132</v>
      </c>
      <c r="AB11" s="340" t="s">
        <v>133</v>
      </c>
      <c r="AC11" s="340" t="s">
        <v>135</v>
      </c>
      <c r="AD11" s="340" t="s">
        <v>136</v>
      </c>
      <c r="AE11" s="340" t="s">
        <v>137</v>
      </c>
      <c r="AF11" s="340" t="s">
        <v>138</v>
      </c>
      <c r="AG11" s="340" t="s">
        <v>139</v>
      </c>
      <c r="AH11" s="340" t="s">
        <v>140</v>
      </c>
      <c r="AI11" s="340" t="s">
        <v>141</v>
      </c>
      <c r="AJ11" s="340" t="s">
        <v>142</v>
      </c>
      <c r="AK11" s="340" t="s">
        <v>143</v>
      </c>
      <c r="AL11" s="340" t="s">
        <v>289</v>
      </c>
      <c r="AM11" s="340" t="s">
        <v>145</v>
      </c>
      <c r="AN11" s="340" t="s">
        <v>146</v>
      </c>
      <c r="AO11" s="338"/>
    </row>
    <row r="12" spans="1:41" ht="12.75">
      <c r="A12" s="340" t="s">
        <v>276</v>
      </c>
      <c r="B12" s="340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40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</row>
    <row r="13" spans="1:41" ht="12.75">
      <c r="A13" s="338"/>
      <c r="B13" s="336" t="s">
        <v>278</v>
      </c>
      <c r="C13" s="338"/>
      <c r="D13" s="336">
        <v>1626</v>
      </c>
      <c r="E13" s="336">
        <v>4107.4</v>
      </c>
      <c r="F13" s="336">
        <v>1537.8</v>
      </c>
      <c r="G13" s="336">
        <v>1619.2</v>
      </c>
      <c r="H13" s="336">
        <v>3326.4</v>
      </c>
      <c r="I13" s="336">
        <v>5315.2</v>
      </c>
      <c r="J13" s="336">
        <v>6010.4</v>
      </c>
      <c r="K13" s="336">
        <v>1788.6</v>
      </c>
      <c r="L13" s="336">
        <v>1449.8</v>
      </c>
      <c r="M13" s="336">
        <v>2318.8</v>
      </c>
      <c r="N13" s="336">
        <v>754.6</v>
      </c>
      <c r="O13" s="336">
        <v>4076.6</v>
      </c>
      <c r="P13" s="336">
        <v>1248.44</v>
      </c>
      <c r="Q13" s="336">
        <v>7297.554999999999</v>
      </c>
      <c r="R13" s="336">
        <v>3189.87</v>
      </c>
      <c r="S13" s="336">
        <v>6181.365</v>
      </c>
      <c r="T13" s="336">
        <v>648.025</v>
      </c>
      <c r="U13" s="336" t="s">
        <v>278</v>
      </c>
      <c r="V13" s="336">
        <v>2787.83</v>
      </c>
      <c r="W13" s="336">
        <v>4943.504999999999</v>
      </c>
      <c r="X13" s="336">
        <v>7297.554999999999</v>
      </c>
      <c r="Y13" s="336">
        <v>1243.15</v>
      </c>
      <c r="Z13" s="336">
        <v>5345.545</v>
      </c>
      <c r="AA13" s="336">
        <v>6390.32</v>
      </c>
      <c r="AB13" s="336">
        <v>2150.385</v>
      </c>
      <c r="AC13" s="336">
        <v>5771.2704</v>
      </c>
      <c r="AD13" s="336">
        <v>4710.9888</v>
      </c>
      <c r="AE13" s="336">
        <v>5771.2704</v>
      </c>
      <c r="AF13" s="336">
        <v>7938.201600000001</v>
      </c>
      <c r="AG13" s="336">
        <v>1221.0240000000001</v>
      </c>
      <c r="AH13" s="336">
        <v>9391.0656</v>
      </c>
      <c r="AI13" s="336">
        <v>7468.3392</v>
      </c>
      <c r="AJ13" s="336">
        <v>2550.24</v>
      </c>
      <c r="AK13" s="336">
        <v>8445.1584</v>
      </c>
      <c r="AL13" s="336">
        <v>1452.8640000000003</v>
      </c>
      <c r="AM13" s="336">
        <v>1109.7408</v>
      </c>
      <c r="AN13" s="336">
        <v>8445.1584</v>
      </c>
      <c r="AO13" s="338"/>
    </row>
    <row r="14" spans="1:41" ht="12.75">
      <c r="A14" s="338"/>
      <c r="B14" s="336" t="s">
        <v>279</v>
      </c>
      <c r="C14" s="338"/>
      <c r="D14" s="336">
        <v>4440</v>
      </c>
      <c r="E14" s="336">
        <v>6480</v>
      </c>
      <c r="F14" s="336">
        <v>5640</v>
      </c>
      <c r="G14" s="336">
        <v>5640</v>
      </c>
      <c r="H14" s="336">
        <v>6840</v>
      </c>
      <c r="I14" s="336">
        <v>9280</v>
      </c>
      <c r="J14" s="336">
        <v>7320</v>
      </c>
      <c r="K14" s="336">
        <v>9280</v>
      </c>
      <c r="L14" s="336">
        <v>9680</v>
      </c>
      <c r="M14" s="336">
        <v>10080</v>
      </c>
      <c r="N14" s="336">
        <v>8440</v>
      </c>
      <c r="O14" s="336">
        <v>8560</v>
      </c>
      <c r="P14" s="336">
        <v>5640</v>
      </c>
      <c r="Q14" s="336">
        <v>6840</v>
      </c>
      <c r="R14" s="336">
        <v>5640</v>
      </c>
      <c r="S14" s="336">
        <v>6840</v>
      </c>
      <c r="T14" s="336">
        <v>6480</v>
      </c>
      <c r="U14" s="336" t="s">
        <v>279</v>
      </c>
      <c r="V14" s="336">
        <v>5640</v>
      </c>
      <c r="W14" s="336">
        <v>8480</v>
      </c>
      <c r="X14" s="336">
        <v>9640</v>
      </c>
      <c r="Y14" s="336">
        <v>8480</v>
      </c>
      <c r="Z14" s="336">
        <v>9320</v>
      </c>
      <c r="AA14" s="336">
        <v>12920</v>
      </c>
      <c r="AB14" s="336">
        <v>9680</v>
      </c>
      <c r="AC14" s="336">
        <v>6880</v>
      </c>
      <c r="AD14" s="336">
        <v>6080</v>
      </c>
      <c r="AE14" s="336">
        <v>8480</v>
      </c>
      <c r="AF14" s="336">
        <v>8520</v>
      </c>
      <c r="AG14" s="336">
        <v>9240</v>
      </c>
      <c r="AH14" s="336">
        <v>8120</v>
      </c>
      <c r="AI14" s="336">
        <v>8480</v>
      </c>
      <c r="AJ14" s="336">
        <v>5680</v>
      </c>
      <c r="AK14" s="336">
        <v>7240</v>
      </c>
      <c r="AL14" s="336">
        <v>8440</v>
      </c>
      <c r="AM14" s="336">
        <v>9640</v>
      </c>
      <c r="AN14" s="336">
        <v>6840</v>
      </c>
      <c r="AO14" s="338"/>
    </row>
    <row r="15" spans="1:41" ht="12.75">
      <c r="A15" s="338"/>
      <c r="B15" s="336" t="s">
        <v>280</v>
      </c>
      <c r="C15" s="338"/>
      <c r="D15" s="336">
        <v>4376.226447096296</v>
      </c>
      <c r="E15" s="336">
        <v>4544.346523295723</v>
      </c>
      <c r="F15" s="336">
        <v>5920.837074833467</v>
      </c>
      <c r="G15" s="336">
        <v>5048.812068153337</v>
      </c>
      <c r="H15" s="336">
        <v>5179.650045795798</v>
      </c>
      <c r="I15" s="336">
        <v>5032.585864867837</v>
      </c>
      <c r="J15" s="336">
        <v>5567.965919269871</v>
      </c>
      <c r="K15" s="336">
        <v>4746.837776560544</v>
      </c>
      <c r="L15" s="336">
        <v>5474.529585801693</v>
      </c>
      <c r="M15" s="336">
        <v>4907.935839474804</v>
      </c>
      <c r="N15" s="336">
        <v>5352.460945399664</v>
      </c>
      <c r="O15" s="336">
        <v>4984.157571881441</v>
      </c>
      <c r="P15" s="336">
        <v>12984.608656734392</v>
      </c>
      <c r="Q15" s="336">
        <v>12068.775397528725</v>
      </c>
      <c r="R15" s="336">
        <v>10988.97015198417</v>
      </c>
      <c r="S15" s="336">
        <v>12530.458194248615</v>
      </c>
      <c r="T15" s="336">
        <v>12368.112362251979</v>
      </c>
      <c r="U15" s="336" t="s">
        <v>280</v>
      </c>
      <c r="V15" s="336">
        <v>12026.759724805468</v>
      </c>
      <c r="W15" s="336">
        <v>12813.189788736845</v>
      </c>
      <c r="X15" s="336">
        <v>12658.56273820699</v>
      </c>
      <c r="Y15" s="336">
        <v>12549.481894449033</v>
      </c>
      <c r="Z15" s="336">
        <v>13566.115640211247</v>
      </c>
      <c r="AA15" s="336">
        <v>12611.18119599156</v>
      </c>
      <c r="AB15" s="336">
        <v>12602.093310079836</v>
      </c>
      <c r="AC15" s="336">
        <v>16109.037288832946</v>
      </c>
      <c r="AD15" s="336">
        <v>15015.421589927595</v>
      </c>
      <c r="AE15" s="336">
        <v>13729.23284784162</v>
      </c>
      <c r="AF15" s="336">
        <v>15453.286167173543</v>
      </c>
      <c r="AG15" s="336">
        <v>15213.432558883105</v>
      </c>
      <c r="AH15" s="336">
        <v>14762.956951976928</v>
      </c>
      <c r="AI15" s="336">
        <v>15604.386943144036</v>
      </c>
      <c r="AJ15" s="336">
        <v>15358.2615486475</v>
      </c>
      <c r="AK15" s="336">
        <v>15158.863773205447</v>
      </c>
      <c r="AL15" s="336">
        <v>16248.060024953453</v>
      </c>
      <c r="AM15" s="336">
        <v>15063.630619716185</v>
      </c>
      <c r="AN15" s="336">
        <v>14960.239893887441</v>
      </c>
      <c r="AO15" s="338"/>
    </row>
    <row r="16" spans="1:41" ht="12.75">
      <c r="A16" s="338"/>
      <c r="B16" s="336"/>
      <c r="C16" s="338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8"/>
    </row>
    <row r="17" spans="1:41" ht="12.75">
      <c r="A17" s="338"/>
      <c r="B17" s="336" t="s">
        <v>292</v>
      </c>
      <c r="C17" s="338"/>
      <c r="D17" s="338">
        <v>370.5</v>
      </c>
      <c r="E17" s="338">
        <v>741</v>
      </c>
      <c r="F17" s="338">
        <v>1111.5</v>
      </c>
      <c r="G17" s="338">
        <v>1167.075</v>
      </c>
      <c r="H17" s="338">
        <v>1225.42875</v>
      </c>
      <c r="I17" s="338">
        <v>1286.7001875</v>
      </c>
      <c r="J17" s="338">
        <v>1351.0351968750003</v>
      </c>
      <c r="K17" s="338">
        <v>1418.5869567187503</v>
      </c>
      <c r="L17" s="338">
        <v>1489.5163045546878</v>
      </c>
      <c r="M17" s="338">
        <v>1563.9921197824224</v>
      </c>
      <c r="N17" s="338">
        <v>1642.1917257715436</v>
      </c>
      <c r="O17" s="338">
        <v>1724.3013120601208</v>
      </c>
      <c r="P17" s="338">
        <v>1853.3970287130433</v>
      </c>
      <c r="Q17" s="338">
        <v>1946.0668801486954</v>
      </c>
      <c r="R17" s="338">
        <v>2043.3702241561305</v>
      </c>
      <c r="S17" s="338">
        <v>2145.5387353639367</v>
      </c>
      <c r="T17" s="338">
        <v>2252.815672132134</v>
      </c>
      <c r="U17" s="336" t="s">
        <v>292</v>
      </c>
      <c r="V17" s="338">
        <v>2365.4564557387403</v>
      </c>
      <c r="W17" s="338">
        <v>2483.7292785256777</v>
      </c>
      <c r="X17" s="338">
        <v>2607.9157424519613</v>
      </c>
      <c r="Y17" s="338">
        <v>2738.31152957456</v>
      </c>
      <c r="Z17" s="338">
        <v>2875.2271060532876</v>
      </c>
      <c r="AA17" s="338">
        <v>3018.988461355953</v>
      </c>
      <c r="AB17" s="338">
        <v>3169.937884423751</v>
      </c>
      <c r="AC17" s="338">
        <v>3308.143916608396</v>
      </c>
      <c r="AD17" s="338">
        <v>3374.306794940563</v>
      </c>
      <c r="AE17" s="338">
        <v>3441.792930839375</v>
      </c>
      <c r="AF17" s="338">
        <v>3510.628789456163</v>
      </c>
      <c r="AG17" s="338">
        <v>3580.8413652452864</v>
      </c>
      <c r="AH17" s="338">
        <v>3652.458192550192</v>
      </c>
      <c r="AI17" s="338">
        <v>3725.5073564011955</v>
      </c>
      <c r="AJ17" s="338">
        <v>3800.0175035292195</v>
      </c>
      <c r="AK17" s="338">
        <v>3876.0178535998057</v>
      </c>
      <c r="AL17" s="338">
        <v>3953.5382106718002</v>
      </c>
      <c r="AM17" s="338">
        <v>4032.6089748852373</v>
      </c>
      <c r="AN17" s="338">
        <v>4113.261154382943</v>
      </c>
      <c r="AO17" s="338"/>
    </row>
    <row r="18" spans="1:41" ht="12.75">
      <c r="A18" s="338"/>
      <c r="B18" s="336" t="s">
        <v>438</v>
      </c>
      <c r="C18" s="338"/>
      <c r="D18" s="338">
        <v>4005.7264470962964</v>
      </c>
      <c r="E18" s="338">
        <v>3803.3465232957233</v>
      </c>
      <c r="F18" s="338">
        <v>4809.337074833467</v>
      </c>
      <c r="G18" s="338">
        <v>3881.7370681533375</v>
      </c>
      <c r="H18" s="338">
        <v>3954.221295795798</v>
      </c>
      <c r="I18" s="338">
        <v>3745.8856773678367</v>
      </c>
      <c r="J18" s="338">
        <v>4216.930722394871</v>
      </c>
      <c r="K18" s="338">
        <v>3328.2508198417936</v>
      </c>
      <c r="L18" s="338">
        <v>3985.0132812470056</v>
      </c>
      <c r="M18" s="338">
        <v>3343.943719692382</v>
      </c>
      <c r="N18" s="338">
        <v>3710.2692196281196</v>
      </c>
      <c r="O18" s="338">
        <v>3259.8562598213202</v>
      </c>
      <c r="P18" s="338">
        <v>11131.211628021349</v>
      </c>
      <c r="Q18" s="338">
        <v>10122.70851738003</v>
      </c>
      <c r="R18" s="338">
        <v>8945.59992782804</v>
      </c>
      <c r="S18" s="338">
        <v>10384.919458884679</v>
      </c>
      <c r="T18" s="338">
        <v>10115.296690119845</v>
      </c>
      <c r="U18" s="336" t="s">
        <v>438</v>
      </c>
      <c r="V18" s="338">
        <v>9661.303269066728</v>
      </c>
      <c r="W18" s="338">
        <v>10329.460510211167</v>
      </c>
      <c r="X18" s="338">
        <v>10050.646995755029</v>
      </c>
      <c r="Y18" s="338">
        <v>9811.170364874471</v>
      </c>
      <c r="Z18" s="338">
        <v>10690.888534157959</v>
      </c>
      <c r="AA18" s="338">
        <v>9592.192734635606</v>
      </c>
      <c r="AB18" s="338">
        <v>9432.155425656085</v>
      </c>
      <c r="AC18" s="338">
        <v>12800.89337222455</v>
      </c>
      <c r="AD18" s="338">
        <v>11641.114794987032</v>
      </c>
      <c r="AE18" s="338">
        <v>10287.439917002244</v>
      </c>
      <c r="AF18" s="338">
        <v>11942.65737771738</v>
      </c>
      <c r="AG18" s="338">
        <v>11632.59119363782</v>
      </c>
      <c r="AH18" s="338">
        <v>11110.498759426737</v>
      </c>
      <c r="AI18" s="338">
        <v>11878.879586742842</v>
      </c>
      <c r="AJ18" s="338">
        <v>11558.244045118281</v>
      </c>
      <c r="AK18" s="338">
        <v>11282.845919605641</v>
      </c>
      <c r="AL18" s="338">
        <v>12294.521814281652</v>
      </c>
      <c r="AM18" s="338">
        <v>11031.021644830947</v>
      </c>
      <c r="AN18" s="338">
        <v>10846.978739504499</v>
      </c>
      <c r="AO18" s="338"/>
    </row>
    <row r="19" spans="1:41" ht="12.75">
      <c r="A19" s="338"/>
      <c r="B19" s="336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6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</row>
    <row r="20" spans="1:41" ht="12.75">
      <c r="A20" s="338"/>
      <c r="B20" s="340" t="s">
        <v>290</v>
      </c>
      <c r="C20" s="338"/>
      <c r="D20" s="336">
        <v>10703.282108273703</v>
      </c>
      <c r="E20" s="336">
        <v>15510.040186378117</v>
      </c>
      <c r="F20" s="336">
        <v>13426.103001704301</v>
      </c>
      <c r="G20" s="336">
        <v>12615.712369857169</v>
      </c>
      <c r="H20" s="336">
        <v>15729.70129694069</v>
      </c>
      <c r="I20" s="336">
        <v>20118.48051148953</v>
      </c>
      <c r="J20" s="336">
        <v>19370.82506725162</v>
      </c>
      <c r="K20" s="336">
        <v>16210.823720974557</v>
      </c>
      <c r="L20" s="336">
        <v>17019.437825446734</v>
      </c>
      <c r="M20" s="336">
        <v>17739.404235461672</v>
      </c>
      <c r="N20" s="336">
        <v>14910.737469034655</v>
      </c>
      <c r="O20" s="336">
        <v>18061.276511178476</v>
      </c>
      <c r="P20" s="336">
        <v>20121.46176494357</v>
      </c>
      <c r="Q20" s="336">
        <v>26533.909527497835</v>
      </c>
      <c r="R20" s="336">
        <v>20066.57565388397</v>
      </c>
      <c r="S20" s="336">
        <v>25871.22098417672</v>
      </c>
      <c r="T20" s="336">
        <v>19739.83907928013</v>
      </c>
      <c r="U20" s="340" t="s">
        <v>290</v>
      </c>
      <c r="V20" s="336">
        <v>20710.272096365534</v>
      </c>
      <c r="W20" s="336">
        <v>26564.653473596052</v>
      </c>
      <c r="X20" s="336">
        <v>29966.069209934576</v>
      </c>
      <c r="Y20" s="336">
        <v>22551.039793129647</v>
      </c>
      <c r="Z20" s="336">
        <v>28584.556398213885</v>
      </c>
      <c r="AA20" s="336">
        <v>32320.519960941452</v>
      </c>
      <c r="AB20" s="336">
        <v>24737.884288955836</v>
      </c>
      <c r="AC20" s="336">
        <v>28999.97691957322</v>
      </c>
      <c r="AD20" s="336">
        <v>26021.463809843655</v>
      </c>
      <c r="AE20" s="336">
        <v>28213.674108240302</v>
      </c>
      <c r="AF20" s="336">
        <v>32177.41683189999</v>
      </c>
      <c r="AG20" s="336">
        <v>25888.41036354046</v>
      </c>
      <c r="AH20" s="336">
        <v>32542.97273991007</v>
      </c>
      <c r="AI20" s="336">
        <v>31815.665527670233</v>
      </c>
      <c r="AJ20" s="336">
        <v>23785.072394886232</v>
      </c>
      <c r="AK20" s="336">
        <v>31101.055691315494</v>
      </c>
      <c r="AL20" s="336">
        <v>26358.76505849473</v>
      </c>
      <c r="AM20" s="336">
        <v>26028.48284821382</v>
      </c>
      <c r="AN20" s="336">
        <v>30497.443279669835</v>
      </c>
      <c r="AO20" s="338"/>
    </row>
    <row r="21" spans="1:41" ht="12.75">
      <c r="A21" s="338"/>
      <c r="B21" s="338" t="s">
        <v>397</v>
      </c>
      <c r="C21" s="338"/>
      <c r="D21" s="338">
        <v>9853.807241523882</v>
      </c>
      <c r="E21" s="338">
        <v>13474.447561950432</v>
      </c>
      <c r="F21" s="338">
        <v>11006.746790404794</v>
      </c>
      <c r="G21" s="338">
        <v>9759.593638713677</v>
      </c>
      <c r="H21" s="338">
        <v>11482.894837774447</v>
      </c>
      <c r="I21" s="338">
        <v>13859.164323219069</v>
      </c>
      <c r="J21" s="338">
        <v>12592.180548151871</v>
      </c>
      <c r="K21" s="338">
        <v>9944.177359587047</v>
      </c>
      <c r="L21" s="338">
        <v>9851.898854836918</v>
      </c>
      <c r="M21" s="338">
        <v>9690.021029510048</v>
      </c>
      <c r="N21" s="338">
        <v>7685.918384826269</v>
      </c>
      <c r="O21" s="338">
        <v>8785.288781475272</v>
      </c>
      <c r="P21" s="338">
        <v>9349.89894390773</v>
      </c>
      <c r="Q21" s="338">
        <v>11634.817852976408</v>
      </c>
      <c r="R21" s="338">
        <v>8303.143943037114</v>
      </c>
      <c r="S21" s="338">
        <v>10101.763139034138</v>
      </c>
      <c r="T21" s="338">
        <v>7273.3555651086735</v>
      </c>
      <c r="U21" s="338" t="s">
        <v>397</v>
      </c>
      <c r="V21" s="338">
        <v>7200.919755369129</v>
      </c>
      <c r="W21" s="338">
        <v>8716.001113503651</v>
      </c>
      <c r="X21" s="338">
        <v>9277.98905147376</v>
      </c>
      <c r="Y21" s="338">
        <v>6588.728381379935</v>
      </c>
      <c r="Z21" s="338">
        <v>7880.929549532261</v>
      </c>
      <c r="AA21" s="338">
        <v>8408.824390565962</v>
      </c>
      <c r="AB21" s="338">
        <v>6073.379974086672</v>
      </c>
      <c r="AC21" s="338">
        <v>6746.32741464539</v>
      </c>
      <c r="AD21" s="338">
        <v>5712.318859066368</v>
      </c>
      <c r="AE21" s="338">
        <v>5844.553237208737</v>
      </c>
      <c r="AF21" s="338">
        <v>6290.045764964703</v>
      </c>
      <c r="AG21" s="338">
        <v>4775.501308246012</v>
      </c>
      <c r="AH21" s="338">
        <v>5664.763227022506</v>
      </c>
      <c r="AI21" s="338">
        <v>5226.085463267795</v>
      </c>
      <c r="AJ21" s="338">
        <v>3686.8114560628233</v>
      </c>
      <c r="AK21" s="338">
        <v>4549.173881947729</v>
      </c>
      <c r="AL21" s="338">
        <v>3638.2573951521995</v>
      </c>
      <c r="AM21" s="338">
        <v>3390.222264781375</v>
      </c>
      <c r="AN21" s="338">
        <v>3748.4671119386535</v>
      </c>
      <c r="AO21" s="338"/>
    </row>
    <row r="22" spans="1:41" ht="12.75">
      <c r="A22" s="340" t="s">
        <v>291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</row>
    <row r="23" spans="1:41" ht="12.75">
      <c r="A23" s="338"/>
      <c r="B23" s="338" t="s">
        <v>336</v>
      </c>
      <c r="C23" s="338"/>
      <c r="D23" s="338">
        <v>4543</v>
      </c>
      <c r="E23" s="338">
        <v>4543</v>
      </c>
      <c r="F23" s="338">
        <v>4543</v>
      </c>
      <c r="G23" s="338">
        <v>4543</v>
      </c>
      <c r="H23" s="338">
        <v>4543</v>
      </c>
      <c r="I23" s="338">
        <v>4543</v>
      </c>
      <c r="J23" s="338">
        <v>4543</v>
      </c>
      <c r="K23" s="338">
        <v>4543</v>
      </c>
      <c r="L23" s="338">
        <v>4543</v>
      </c>
      <c r="M23" s="338">
        <v>4543</v>
      </c>
      <c r="N23" s="338">
        <v>4543</v>
      </c>
      <c r="O23" s="338">
        <v>4543</v>
      </c>
      <c r="P23" s="338">
        <v>5905.9</v>
      </c>
      <c r="Q23" s="338">
        <v>5905.9</v>
      </c>
      <c r="R23" s="338">
        <v>5905.9</v>
      </c>
      <c r="S23" s="338">
        <v>5905.9</v>
      </c>
      <c r="T23" s="338">
        <v>5905.9</v>
      </c>
      <c r="U23" s="338" t="s">
        <v>336</v>
      </c>
      <c r="V23" s="338">
        <v>5905.9</v>
      </c>
      <c r="W23" s="338">
        <v>5905.9</v>
      </c>
      <c r="X23" s="338">
        <v>5905.9</v>
      </c>
      <c r="Y23" s="338">
        <v>5905.9</v>
      </c>
      <c r="Z23" s="338">
        <v>5905.9</v>
      </c>
      <c r="AA23" s="338">
        <v>5905.9</v>
      </c>
      <c r="AB23" s="338">
        <v>5905.9</v>
      </c>
      <c r="AC23" s="338">
        <v>6791.785</v>
      </c>
      <c r="AD23" s="338">
        <v>6791.785</v>
      </c>
      <c r="AE23" s="338">
        <v>6791.785</v>
      </c>
      <c r="AF23" s="338">
        <v>6791.785</v>
      </c>
      <c r="AG23" s="338">
        <v>6791.785</v>
      </c>
      <c r="AH23" s="338">
        <v>6791.785</v>
      </c>
      <c r="AI23" s="338">
        <v>6791.785</v>
      </c>
      <c r="AJ23" s="338">
        <v>6791.785</v>
      </c>
      <c r="AK23" s="338">
        <v>6791.785</v>
      </c>
      <c r="AL23" s="338">
        <v>6791.785</v>
      </c>
      <c r="AM23" s="338">
        <v>6791.785</v>
      </c>
      <c r="AN23" s="338">
        <v>6791.785</v>
      </c>
      <c r="AO23" s="338"/>
    </row>
    <row r="24" spans="1:41" ht="12.75">
      <c r="A24" s="338"/>
      <c r="B24" s="338" t="s">
        <v>304</v>
      </c>
      <c r="C24" s="338"/>
      <c r="D24" s="338">
        <v>0</v>
      </c>
      <c r="E24" s="338">
        <v>30</v>
      </c>
      <c r="F24" s="338">
        <v>30</v>
      </c>
      <c r="G24" s="338">
        <v>30</v>
      </c>
      <c r="H24" s="338">
        <v>30</v>
      </c>
      <c r="I24" s="338">
        <v>30</v>
      </c>
      <c r="J24" s="338">
        <v>30</v>
      </c>
      <c r="K24" s="338">
        <v>30</v>
      </c>
      <c r="L24" s="338">
        <v>30</v>
      </c>
      <c r="M24" s="338">
        <v>30</v>
      </c>
      <c r="N24" s="338">
        <v>30</v>
      </c>
      <c r="O24" s="338">
        <v>30</v>
      </c>
      <c r="P24" s="338">
        <v>30</v>
      </c>
      <c r="Q24" s="338">
        <v>30</v>
      </c>
      <c r="R24" s="338">
        <v>30</v>
      </c>
      <c r="S24" s="338">
        <v>30</v>
      </c>
      <c r="T24" s="338">
        <v>30</v>
      </c>
      <c r="U24" s="338" t="s">
        <v>304</v>
      </c>
      <c r="V24" s="338">
        <v>30</v>
      </c>
      <c r="W24" s="338">
        <v>30</v>
      </c>
      <c r="X24" s="338">
        <v>30</v>
      </c>
      <c r="Y24" s="338">
        <v>30</v>
      </c>
      <c r="Z24" s="338">
        <v>30</v>
      </c>
      <c r="AA24" s="338">
        <v>30</v>
      </c>
      <c r="AB24" s="338">
        <v>30</v>
      </c>
      <c r="AC24" s="338">
        <v>30</v>
      </c>
      <c r="AD24" s="338">
        <v>30</v>
      </c>
      <c r="AE24" s="338">
        <v>30</v>
      </c>
      <c r="AF24" s="338">
        <v>30</v>
      </c>
      <c r="AG24" s="338">
        <v>30</v>
      </c>
      <c r="AH24" s="338">
        <v>30</v>
      </c>
      <c r="AI24" s="338">
        <v>30</v>
      </c>
      <c r="AJ24" s="338">
        <v>30</v>
      </c>
      <c r="AK24" s="338">
        <v>30</v>
      </c>
      <c r="AL24" s="338">
        <v>30</v>
      </c>
      <c r="AM24" s="338">
        <v>30</v>
      </c>
      <c r="AN24" s="338">
        <v>30</v>
      </c>
      <c r="AO24" s="338"/>
    </row>
    <row r="25" spans="1:41" ht="12.75">
      <c r="A25" s="338"/>
      <c r="B25" s="338" t="s">
        <v>305</v>
      </c>
      <c r="C25" s="338"/>
      <c r="D25" s="338">
        <v>0</v>
      </c>
      <c r="E25" s="338">
        <v>280</v>
      </c>
      <c r="F25" s="338">
        <v>280</v>
      </c>
      <c r="G25" s="338">
        <v>280</v>
      </c>
      <c r="H25" s="338">
        <v>280</v>
      </c>
      <c r="I25" s="338">
        <v>280</v>
      </c>
      <c r="J25" s="338">
        <v>280</v>
      </c>
      <c r="K25" s="338">
        <v>280</v>
      </c>
      <c r="L25" s="338">
        <v>280</v>
      </c>
      <c r="M25" s="338">
        <v>280</v>
      </c>
      <c r="N25" s="338">
        <v>280</v>
      </c>
      <c r="O25" s="338">
        <v>280</v>
      </c>
      <c r="P25" s="338">
        <v>280</v>
      </c>
      <c r="Q25" s="338">
        <v>280</v>
      </c>
      <c r="R25" s="338">
        <v>280</v>
      </c>
      <c r="S25" s="338">
        <v>280</v>
      </c>
      <c r="T25" s="338">
        <v>280</v>
      </c>
      <c r="U25" s="338" t="s">
        <v>305</v>
      </c>
      <c r="V25" s="338">
        <v>280</v>
      </c>
      <c r="W25" s="338">
        <v>280</v>
      </c>
      <c r="X25" s="338">
        <v>280</v>
      </c>
      <c r="Y25" s="338">
        <v>280</v>
      </c>
      <c r="Z25" s="338">
        <v>280</v>
      </c>
      <c r="AA25" s="338">
        <v>280</v>
      </c>
      <c r="AB25" s="338">
        <v>280</v>
      </c>
      <c r="AC25" s="338">
        <v>280</v>
      </c>
      <c r="AD25" s="338">
        <v>280</v>
      </c>
      <c r="AE25" s="338">
        <v>280</v>
      </c>
      <c r="AF25" s="338">
        <v>280</v>
      </c>
      <c r="AG25" s="338">
        <v>280</v>
      </c>
      <c r="AH25" s="338">
        <v>280</v>
      </c>
      <c r="AI25" s="338">
        <v>280</v>
      </c>
      <c r="AJ25" s="338">
        <v>280</v>
      </c>
      <c r="AK25" s="338">
        <v>280</v>
      </c>
      <c r="AL25" s="338">
        <v>280</v>
      </c>
      <c r="AM25" s="338">
        <v>280</v>
      </c>
      <c r="AN25" s="338">
        <v>280</v>
      </c>
      <c r="AO25" s="338"/>
    </row>
    <row r="26" spans="1:41" ht="12.75">
      <c r="A26" s="338"/>
      <c r="B26" s="338" t="s">
        <v>327</v>
      </c>
      <c r="C26" s="338"/>
      <c r="D26" s="338">
        <v>0</v>
      </c>
      <c r="E26" s="338">
        <v>0</v>
      </c>
      <c r="F26" s="338">
        <v>0</v>
      </c>
      <c r="G26" s="338">
        <v>0</v>
      </c>
      <c r="H26" s="338">
        <v>0</v>
      </c>
      <c r="I26" s="338">
        <v>0</v>
      </c>
      <c r="J26" s="338">
        <v>0</v>
      </c>
      <c r="K26" s="338">
        <v>0</v>
      </c>
      <c r="L26" s="338">
        <v>0</v>
      </c>
      <c r="M26" s="338">
        <v>0</v>
      </c>
      <c r="N26" s="338">
        <v>0</v>
      </c>
      <c r="O26" s="338">
        <v>0</v>
      </c>
      <c r="P26" s="338">
        <v>0</v>
      </c>
      <c r="Q26" s="338">
        <v>0</v>
      </c>
      <c r="R26" s="338">
        <v>0</v>
      </c>
      <c r="S26" s="338">
        <v>0</v>
      </c>
      <c r="T26" s="338">
        <v>0</v>
      </c>
      <c r="U26" s="338" t="s">
        <v>327</v>
      </c>
      <c r="V26" s="338">
        <v>0</v>
      </c>
      <c r="W26" s="338">
        <v>0</v>
      </c>
      <c r="X26" s="338">
        <v>0</v>
      </c>
      <c r="Y26" s="338">
        <v>0</v>
      </c>
      <c r="Z26" s="338">
        <v>0</v>
      </c>
      <c r="AA26" s="338">
        <v>0</v>
      </c>
      <c r="AB26" s="338">
        <v>150</v>
      </c>
      <c r="AC26" s="338">
        <v>0</v>
      </c>
      <c r="AD26" s="338">
        <v>0</v>
      </c>
      <c r="AE26" s="338">
        <v>0</v>
      </c>
      <c r="AF26" s="338">
        <v>0</v>
      </c>
      <c r="AG26" s="338">
        <v>0</v>
      </c>
      <c r="AH26" s="338">
        <v>0</v>
      </c>
      <c r="AI26" s="338">
        <v>0</v>
      </c>
      <c r="AJ26" s="338">
        <v>0</v>
      </c>
      <c r="AK26" s="338">
        <v>0</v>
      </c>
      <c r="AL26" s="338">
        <v>0</v>
      </c>
      <c r="AM26" s="338">
        <v>0</v>
      </c>
      <c r="AN26" s="338">
        <v>0</v>
      </c>
      <c r="AO26" s="338"/>
    </row>
    <row r="27" spans="1:41" ht="12.75">
      <c r="A27" s="338"/>
      <c r="B27" s="338" t="s">
        <v>302</v>
      </c>
      <c r="C27" s="338"/>
      <c r="D27" s="338">
        <v>250</v>
      </c>
      <c r="E27" s="338">
        <v>250</v>
      </c>
      <c r="F27" s="338">
        <v>250</v>
      </c>
      <c r="G27" s="338">
        <v>250</v>
      </c>
      <c r="H27" s="338">
        <v>250</v>
      </c>
      <c r="I27" s="338">
        <v>250</v>
      </c>
      <c r="J27" s="338">
        <v>250</v>
      </c>
      <c r="K27" s="338">
        <v>250</v>
      </c>
      <c r="L27" s="338">
        <v>250</v>
      </c>
      <c r="M27" s="338">
        <v>250</v>
      </c>
      <c r="N27" s="338">
        <v>250</v>
      </c>
      <c r="O27" s="338">
        <v>250</v>
      </c>
      <c r="P27" s="338">
        <v>250</v>
      </c>
      <c r="Q27" s="338">
        <v>250</v>
      </c>
      <c r="R27" s="338">
        <v>250</v>
      </c>
      <c r="S27" s="338">
        <v>250</v>
      </c>
      <c r="T27" s="338">
        <v>250</v>
      </c>
      <c r="U27" s="338" t="s">
        <v>302</v>
      </c>
      <c r="V27" s="338">
        <v>250</v>
      </c>
      <c r="W27" s="338">
        <v>250</v>
      </c>
      <c r="X27" s="338">
        <v>250</v>
      </c>
      <c r="Y27" s="338">
        <v>250</v>
      </c>
      <c r="Z27" s="338">
        <v>250</v>
      </c>
      <c r="AA27" s="338">
        <v>250</v>
      </c>
      <c r="AB27" s="338">
        <v>250</v>
      </c>
      <c r="AC27" s="338">
        <v>250</v>
      </c>
      <c r="AD27" s="338">
        <v>250</v>
      </c>
      <c r="AE27" s="338">
        <v>250</v>
      </c>
      <c r="AF27" s="338">
        <v>250</v>
      </c>
      <c r="AG27" s="338">
        <v>250</v>
      </c>
      <c r="AH27" s="338">
        <v>250</v>
      </c>
      <c r="AI27" s="338">
        <v>250</v>
      </c>
      <c r="AJ27" s="338">
        <v>250</v>
      </c>
      <c r="AK27" s="338">
        <v>250</v>
      </c>
      <c r="AL27" s="338">
        <v>0</v>
      </c>
      <c r="AM27" s="338">
        <v>0</v>
      </c>
      <c r="AN27" s="338">
        <v>0</v>
      </c>
      <c r="AO27" s="338"/>
    </row>
    <row r="28" spans="1:41" ht="12.75">
      <c r="A28" s="338"/>
      <c r="B28" s="338" t="s">
        <v>320</v>
      </c>
      <c r="C28" s="338"/>
      <c r="D28" s="338">
        <v>0</v>
      </c>
      <c r="E28" s="338">
        <v>0</v>
      </c>
      <c r="F28" s="338">
        <v>0</v>
      </c>
      <c r="G28" s="338">
        <v>5000</v>
      </c>
      <c r="H28" s="338">
        <v>0</v>
      </c>
      <c r="I28" s="338">
        <v>0</v>
      </c>
      <c r="J28" s="338">
        <v>0</v>
      </c>
      <c r="K28" s="338">
        <v>5000</v>
      </c>
      <c r="L28" s="338">
        <v>0</v>
      </c>
      <c r="M28" s="338">
        <v>0</v>
      </c>
      <c r="N28" s="338">
        <v>0</v>
      </c>
      <c r="O28" s="338">
        <v>5000</v>
      </c>
      <c r="P28" s="338">
        <v>0</v>
      </c>
      <c r="Q28" s="338">
        <v>0</v>
      </c>
      <c r="R28" s="338">
        <v>0</v>
      </c>
      <c r="S28" s="338">
        <v>10000</v>
      </c>
      <c r="T28" s="338">
        <v>0</v>
      </c>
      <c r="U28" s="338" t="s">
        <v>320</v>
      </c>
      <c r="V28" s="338">
        <v>0</v>
      </c>
      <c r="W28" s="338">
        <v>0</v>
      </c>
      <c r="X28" s="338">
        <v>5000</v>
      </c>
      <c r="Y28" s="338">
        <v>0</v>
      </c>
      <c r="Z28" s="338">
        <v>0</v>
      </c>
      <c r="AA28" s="338">
        <v>0</v>
      </c>
      <c r="AB28" s="338">
        <v>10000</v>
      </c>
      <c r="AC28" s="338">
        <v>0</v>
      </c>
      <c r="AD28" s="338">
        <v>0</v>
      </c>
      <c r="AE28" s="338">
        <v>0</v>
      </c>
      <c r="AF28" s="338">
        <v>5000</v>
      </c>
      <c r="AG28" s="338">
        <v>0</v>
      </c>
      <c r="AH28" s="338">
        <v>0</v>
      </c>
      <c r="AI28" s="338">
        <v>0</v>
      </c>
      <c r="AJ28" s="338">
        <v>10000</v>
      </c>
      <c r="AK28" s="338">
        <v>0</v>
      </c>
      <c r="AL28" s="338">
        <v>0</v>
      </c>
      <c r="AM28" s="338">
        <v>0</v>
      </c>
      <c r="AN28" s="338">
        <v>0</v>
      </c>
      <c r="AO28" s="338"/>
    </row>
    <row r="29" spans="1:41" ht="12.75">
      <c r="A29" s="338"/>
      <c r="B29" s="338" t="s">
        <v>307</v>
      </c>
      <c r="C29" s="338"/>
      <c r="D29" s="338">
        <v>328.5084632482111</v>
      </c>
      <c r="E29" s="338">
        <v>480.1212055913435</v>
      </c>
      <c r="F29" s="338">
        <v>425.01309005112904</v>
      </c>
      <c r="G29" s="338">
        <v>401.812871095715</v>
      </c>
      <c r="H29" s="338">
        <v>496.39961390822066</v>
      </c>
      <c r="I29" s="338">
        <v>629.288419094686</v>
      </c>
      <c r="J29" s="338">
        <v>608.1454559550485</v>
      </c>
      <c r="K29" s="338">
        <v>514.6964507636117</v>
      </c>
      <c r="L29" s="338">
        <v>540.3734608544958</v>
      </c>
      <c r="M29" s="338">
        <v>563.4619694594986</v>
      </c>
      <c r="N29" s="338">
        <v>480.16595858647054</v>
      </c>
      <c r="O29" s="338">
        <v>576.3243215765567</v>
      </c>
      <c r="P29" s="338">
        <v>640.711793522568</v>
      </c>
      <c r="Q29" s="338">
        <v>834.938623427909</v>
      </c>
      <c r="R29" s="338">
        <v>642.8646740996418</v>
      </c>
      <c r="S29" s="338">
        <v>819.0474042325803</v>
      </c>
      <c r="T29" s="338">
        <v>637.2514858210466</v>
      </c>
      <c r="U29" s="338" t="s">
        <v>307</v>
      </c>
      <c r="V29" s="338">
        <v>668.6172920057408</v>
      </c>
      <c r="W29" s="338">
        <v>846.614189778395</v>
      </c>
      <c r="X29" s="338">
        <v>951.1403911470765</v>
      </c>
      <c r="Y29" s="338">
        <v>731.2974243853805</v>
      </c>
      <c r="Z29" s="338">
        <v>915.0412340674823</v>
      </c>
      <c r="AA29" s="338">
        <v>1029.9953680553626</v>
      </c>
      <c r="AB29" s="338">
        <v>805.5352863571501</v>
      </c>
      <c r="AC29" s="338">
        <v>936.1621859193644</v>
      </c>
      <c r="AD29" s="338">
        <v>848.1300501941209</v>
      </c>
      <c r="AE29" s="338">
        <v>915.2460818639966</v>
      </c>
      <c r="AF29" s="338">
        <v>1035.535080746123</v>
      </c>
      <c r="AG29" s="338">
        <v>848.2691382111195</v>
      </c>
      <c r="AH29" s="338">
        <v>1049.338346048306</v>
      </c>
      <c r="AI29" s="338">
        <v>1028.9801129581308</v>
      </c>
      <c r="AJ29" s="338">
        <v>789.5525219171714</v>
      </c>
      <c r="AK29" s="338">
        <v>1010.5520278114609</v>
      </c>
      <c r="AL29" s="338">
        <v>869.8337159682778</v>
      </c>
      <c r="AM29" s="338">
        <v>861.5066649441193</v>
      </c>
      <c r="AN29" s="338">
        <v>997.188521477754</v>
      </c>
      <c r="AO29" s="338"/>
    </row>
    <row r="30" spans="1:41" ht="12.75">
      <c r="A30" s="338"/>
      <c r="B30" s="338" t="s">
        <v>312</v>
      </c>
      <c r="C30" s="338"/>
      <c r="D30" s="338">
        <v>40.05726447096296</v>
      </c>
      <c r="E30" s="338">
        <v>38.033465232957234</v>
      </c>
      <c r="F30" s="338">
        <v>48.09337074833468</v>
      </c>
      <c r="G30" s="338">
        <v>38.817370681533376</v>
      </c>
      <c r="H30" s="338">
        <v>39.54221295795798</v>
      </c>
      <c r="I30" s="338">
        <v>37.45885677367837</v>
      </c>
      <c r="J30" s="338">
        <v>42.16930722394871</v>
      </c>
      <c r="K30" s="338">
        <v>33.282508198417936</v>
      </c>
      <c r="L30" s="338">
        <v>39.85013281247006</v>
      </c>
      <c r="M30" s="338">
        <v>33.43943719692382</v>
      </c>
      <c r="N30" s="338">
        <v>37.1026921962812</v>
      </c>
      <c r="O30" s="338">
        <v>32.598562598213206</v>
      </c>
      <c r="P30" s="338">
        <v>111.31211628021349</v>
      </c>
      <c r="Q30" s="338">
        <v>101.2270851738003</v>
      </c>
      <c r="R30" s="338">
        <v>89.4559992782804</v>
      </c>
      <c r="S30" s="338">
        <v>103.84919458884679</v>
      </c>
      <c r="T30" s="338">
        <v>101.15296690119845</v>
      </c>
      <c r="U30" s="338" t="s">
        <v>312</v>
      </c>
      <c r="V30" s="338">
        <v>96.61303269066728</v>
      </c>
      <c r="W30" s="338">
        <v>103.29460510211167</v>
      </c>
      <c r="X30" s="338">
        <v>100.5064699575503</v>
      </c>
      <c r="Y30" s="338">
        <v>98.11170364874472</v>
      </c>
      <c r="Z30" s="338">
        <v>106.90888534157959</v>
      </c>
      <c r="AA30" s="338">
        <v>95.92192734635606</v>
      </c>
      <c r="AB30" s="338">
        <v>94.32155425656084</v>
      </c>
      <c r="AC30" s="338">
        <v>128.0089337222455</v>
      </c>
      <c r="AD30" s="338">
        <v>116.41114794987033</v>
      </c>
      <c r="AE30" s="338">
        <v>102.87439917002244</v>
      </c>
      <c r="AF30" s="338">
        <v>119.4265737771738</v>
      </c>
      <c r="AG30" s="338">
        <v>116.3259119363782</v>
      </c>
      <c r="AH30" s="338">
        <v>111.10498759426737</v>
      </c>
      <c r="AI30" s="338">
        <v>118.78879586742842</v>
      </c>
      <c r="AJ30" s="338">
        <v>115.58244045118282</v>
      </c>
      <c r="AK30" s="338">
        <v>112.82845919605641</v>
      </c>
      <c r="AL30" s="338">
        <v>122.94521814281653</v>
      </c>
      <c r="AM30" s="338">
        <v>110.31021644830948</v>
      </c>
      <c r="AN30" s="338">
        <v>108.46978739504499</v>
      </c>
      <c r="AO30" s="338"/>
    </row>
    <row r="31" spans="1:41" ht="12.75">
      <c r="A31" s="338"/>
      <c r="B31" s="338" t="s">
        <v>308</v>
      </c>
      <c r="C31" s="338"/>
      <c r="D31" s="338">
        <v>270</v>
      </c>
      <c r="E31" s="338">
        <v>270</v>
      </c>
      <c r="F31" s="338">
        <v>270</v>
      </c>
      <c r="G31" s="338">
        <v>270</v>
      </c>
      <c r="H31" s="338">
        <v>270</v>
      </c>
      <c r="I31" s="338">
        <v>270</v>
      </c>
      <c r="J31" s="338">
        <v>270</v>
      </c>
      <c r="K31" s="338">
        <v>270</v>
      </c>
      <c r="L31" s="338">
        <v>270</v>
      </c>
      <c r="M31" s="338">
        <v>270</v>
      </c>
      <c r="N31" s="338">
        <v>270</v>
      </c>
      <c r="O31" s="338">
        <v>270</v>
      </c>
      <c r="P31" s="338">
        <v>270</v>
      </c>
      <c r="Q31" s="338">
        <v>270</v>
      </c>
      <c r="R31" s="338">
        <v>270</v>
      </c>
      <c r="S31" s="338">
        <v>270</v>
      </c>
      <c r="T31" s="338">
        <v>270</v>
      </c>
      <c r="U31" s="338" t="s">
        <v>308</v>
      </c>
      <c r="V31" s="338">
        <v>270</v>
      </c>
      <c r="W31" s="338">
        <v>270</v>
      </c>
      <c r="X31" s="338">
        <v>270</v>
      </c>
      <c r="Y31" s="338">
        <v>270</v>
      </c>
      <c r="Z31" s="338">
        <v>270</v>
      </c>
      <c r="AA31" s="338">
        <v>270</v>
      </c>
      <c r="AB31" s="338">
        <v>270</v>
      </c>
      <c r="AC31" s="338">
        <v>270</v>
      </c>
      <c r="AD31" s="338">
        <v>270</v>
      </c>
      <c r="AE31" s="338">
        <v>270</v>
      </c>
      <c r="AF31" s="338">
        <v>270</v>
      </c>
      <c r="AG31" s="338">
        <v>270</v>
      </c>
      <c r="AH31" s="338">
        <v>270</v>
      </c>
      <c r="AI31" s="338">
        <v>270</v>
      </c>
      <c r="AJ31" s="338">
        <v>270</v>
      </c>
      <c r="AK31" s="338">
        <v>270</v>
      </c>
      <c r="AL31" s="338">
        <v>270</v>
      </c>
      <c r="AM31" s="338">
        <v>270</v>
      </c>
      <c r="AN31" s="338">
        <v>270</v>
      </c>
      <c r="AO31" s="338"/>
    </row>
    <row r="32" spans="1:41" ht="12.75">
      <c r="A32" s="338"/>
      <c r="B32" s="341" t="s">
        <v>309</v>
      </c>
      <c r="C32" s="338"/>
      <c r="D32" s="338">
        <v>100</v>
      </c>
      <c r="E32" s="338">
        <v>100</v>
      </c>
      <c r="F32" s="338">
        <v>100</v>
      </c>
      <c r="G32" s="338">
        <v>100</v>
      </c>
      <c r="H32" s="338">
        <v>100</v>
      </c>
      <c r="I32" s="338">
        <v>100</v>
      </c>
      <c r="J32" s="338">
        <v>100</v>
      </c>
      <c r="K32" s="338">
        <v>100</v>
      </c>
      <c r="L32" s="338">
        <v>100</v>
      </c>
      <c r="M32" s="338">
        <v>100</v>
      </c>
      <c r="N32" s="338">
        <v>100</v>
      </c>
      <c r="O32" s="338">
        <v>100</v>
      </c>
      <c r="P32" s="338">
        <v>100</v>
      </c>
      <c r="Q32" s="338">
        <v>100</v>
      </c>
      <c r="R32" s="338">
        <v>100</v>
      </c>
      <c r="S32" s="338">
        <v>100</v>
      </c>
      <c r="T32" s="338">
        <v>100</v>
      </c>
      <c r="U32" s="341" t="s">
        <v>309</v>
      </c>
      <c r="V32" s="338">
        <v>100</v>
      </c>
      <c r="W32" s="338">
        <v>100</v>
      </c>
      <c r="X32" s="338">
        <v>100</v>
      </c>
      <c r="Y32" s="338">
        <v>100</v>
      </c>
      <c r="Z32" s="338">
        <v>100</v>
      </c>
      <c r="AA32" s="338">
        <v>100</v>
      </c>
      <c r="AB32" s="338">
        <v>100</v>
      </c>
      <c r="AC32" s="338">
        <v>100</v>
      </c>
      <c r="AD32" s="338">
        <v>100</v>
      </c>
      <c r="AE32" s="338">
        <v>100</v>
      </c>
      <c r="AF32" s="338">
        <v>100</v>
      </c>
      <c r="AG32" s="338">
        <v>100</v>
      </c>
      <c r="AH32" s="338">
        <v>100</v>
      </c>
      <c r="AI32" s="338">
        <v>100</v>
      </c>
      <c r="AJ32" s="338">
        <v>100</v>
      </c>
      <c r="AK32" s="338">
        <v>100</v>
      </c>
      <c r="AL32" s="338">
        <v>100</v>
      </c>
      <c r="AM32" s="338">
        <v>100</v>
      </c>
      <c r="AN32" s="338">
        <v>100</v>
      </c>
      <c r="AO32" s="338"/>
    </row>
    <row r="33" spans="1:41" ht="12.75">
      <c r="A33" s="338"/>
      <c r="B33" s="341" t="s">
        <v>310</v>
      </c>
      <c r="C33" s="338"/>
      <c r="D33" s="338">
        <v>20</v>
      </c>
      <c r="E33" s="338">
        <v>20</v>
      </c>
      <c r="F33" s="338">
        <v>20</v>
      </c>
      <c r="G33" s="338">
        <v>20</v>
      </c>
      <c r="H33" s="338">
        <v>20</v>
      </c>
      <c r="I33" s="338">
        <v>20</v>
      </c>
      <c r="J33" s="338">
        <v>20</v>
      </c>
      <c r="K33" s="338">
        <v>20</v>
      </c>
      <c r="L33" s="338">
        <v>20</v>
      </c>
      <c r="M33" s="338">
        <v>20</v>
      </c>
      <c r="N33" s="338">
        <v>20</v>
      </c>
      <c r="O33" s="338">
        <v>20</v>
      </c>
      <c r="P33" s="338">
        <v>20</v>
      </c>
      <c r="Q33" s="338">
        <v>20</v>
      </c>
      <c r="R33" s="338">
        <v>20</v>
      </c>
      <c r="S33" s="338">
        <v>20</v>
      </c>
      <c r="T33" s="338">
        <v>20</v>
      </c>
      <c r="U33" s="341" t="s">
        <v>310</v>
      </c>
      <c r="V33" s="338">
        <v>20</v>
      </c>
      <c r="W33" s="338">
        <v>20</v>
      </c>
      <c r="X33" s="338">
        <v>20</v>
      </c>
      <c r="Y33" s="338">
        <v>20</v>
      </c>
      <c r="Z33" s="338">
        <v>20</v>
      </c>
      <c r="AA33" s="338">
        <v>20</v>
      </c>
      <c r="AB33" s="338">
        <v>20</v>
      </c>
      <c r="AC33" s="338">
        <v>20</v>
      </c>
      <c r="AD33" s="338">
        <v>20</v>
      </c>
      <c r="AE33" s="338">
        <v>20</v>
      </c>
      <c r="AF33" s="338">
        <v>20</v>
      </c>
      <c r="AG33" s="338">
        <v>20</v>
      </c>
      <c r="AH33" s="338">
        <v>20</v>
      </c>
      <c r="AI33" s="338">
        <v>20</v>
      </c>
      <c r="AJ33" s="338">
        <v>20</v>
      </c>
      <c r="AK33" s="338">
        <v>20</v>
      </c>
      <c r="AL33" s="338">
        <v>20</v>
      </c>
      <c r="AM33" s="338">
        <v>20</v>
      </c>
      <c r="AN33" s="338">
        <v>20</v>
      </c>
      <c r="AO33" s="338"/>
    </row>
    <row r="34" spans="1:41" ht="12.75">
      <c r="A34" s="338"/>
      <c r="B34" s="341" t="s">
        <v>311</v>
      </c>
      <c r="C34" s="338"/>
      <c r="D34" s="338">
        <v>150</v>
      </c>
      <c r="E34" s="338">
        <v>150</v>
      </c>
      <c r="F34" s="338">
        <v>150</v>
      </c>
      <c r="G34" s="338">
        <v>150</v>
      </c>
      <c r="H34" s="338">
        <v>150</v>
      </c>
      <c r="I34" s="338">
        <v>150</v>
      </c>
      <c r="J34" s="338">
        <v>150</v>
      </c>
      <c r="K34" s="338">
        <v>150</v>
      </c>
      <c r="L34" s="338">
        <v>150</v>
      </c>
      <c r="M34" s="338">
        <v>150</v>
      </c>
      <c r="N34" s="338">
        <v>150</v>
      </c>
      <c r="O34" s="338">
        <v>150</v>
      </c>
      <c r="P34" s="338">
        <v>150</v>
      </c>
      <c r="Q34" s="338">
        <v>150</v>
      </c>
      <c r="R34" s="338">
        <v>150</v>
      </c>
      <c r="S34" s="338">
        <v>150</v>
      </c>
      <c r="T34" s="338">
        <v>150</v>
      </c>
      <c r="U34" s="341" t="s">
        <v>311</v>
      </c>
      <c r="V34" s="338">
        <v>150</v>
      </c>
      <c r="W34" s="338">
        <v>150</v>
      </c>
      <c r="X34" s="338">
        <v>150</v>
      </c>
      <c r="Y34" s="338">
        <v>150</v>
      </c>
      <c r="Z34" s="338">
        <v>150</v>
      </c>
      <c r="AA34" s="338">
        <v>150</v>
      </c>
      <c r="AB34" s="338">
        <v>150</v>
      </c>
      <c r="AC34" s="338">
        <v>150</v>
      </c>
      <c r="AD34" s="338">
        <v>150</v>
      </c>
      <c r="AE34" s="338">
        <v>150</v>
      </c>
      <c r="AF34" s="338">
        <v>150</v>
      </c>
      <c r="AG34" s="338">
        <v>150</v>
      </c>
      <c r="AH34" s="338">
        <v>150</v>
      </c>
      <c r="AI34" s="338">
        <v>150</v>
      </c>
      <c r="AJ34" s="338">
        <v>150</v>
      </c>
      <c r="AK34" s="338">
        <v>150</v>
      </c>
      <c r="AL34" s="338">
        <v>150</v>
      </c>
      <c r="AM34" s="338">
        <v>150</v>
      </c>
      <c r="AN34" s="338">
        <v>150</v>
      </c>
      <c r="AO34" s="338"/>
    </row>
    <row r="35" spans="1:41" ht="12.75">
      <c r="A35" s="338"/>
      <c r="B35" s="338" t="s">
        <v>313</v>
      </c>
      <c r="C35" s="338"/>
      <c r="D35" s="338">
        <v>80</v>
      </c>
      <c r="E35" s="338">
        <v>80</v>
      </c>
      <c r="F35" s="338">
        <v>80</v>
      </c>
      <c r="G35" s="338">
        <v>80</v>
      </c>
      <c r="H35" s="338">
        <v>80</v>
      </c>
      <c r="I35" s="338">
        <v>80</v>
      </c>
      <c r="J35" s="338">
        <v>80</v>
      </c>
      <c r="K35" s="338">
        <v>80</v>
      </c>
      <c r="L35" s="338">
        <v>80</v>
      </c>
      <c r="M35" s="338">
        <v>80</v>
      </c>
      <c r="N35" s="338">
        <v>80</v>
      </c>
      <c r="O35" s="338">
        <v>80</v>
      </c>
      <c r="P35" s="338">
        <v>80</v>
      </c>
      <c r="Q35" s="338">
        <v>80</v>
      </c>
      <c r="R35" s="338">
        <v>80</v>
      </c>
      <c r="S35" s="338">
        <v>80</v>
      </c>
      <c r="T35" s="338">
        <v>80</v>
      </c>
      <c r="U35" s="338" t="s">
        <v>313</v>
      </c>
      <c r="V35" s="338">
        <v>80</v>
      </c>
      <c r="W35" s="338">
        <v>80</v>
      </c>
      <c r="X35" s="338">
        <v>80</v>
      </c>
      <c r="Y35" s="338">
        <v>80</v>
      </c>
      <c r="Z35" s="338">
        <v>80</v>
      </c>
      <c r="AA35" s="338">
        <v>80</v>
      </c>
      <c r="AB35" s="338">
        <v>80</v>
      </c>
      <c r="AC35" s="338">
        <v>80</v>
      </c>
      <c r="AD35" s="338">
        <v>80</v>
      </c>
      <c r="AE35" s="338">
        <v>80</v>
      </c>
      <c r="AF35" s="338">
        <v>80</v>
      </c>
      <c r="AG35" s="338">
        <v>80</v>
      </c>
      <c r="AH35" s="338">
        <v>80</v>
      </c>
      <c r="AI35" s="338">
        <v>80</v>
      </c>
      <c r="AJ35" s="338">
        <v>80</v>
      </c>
      <c r="AK35" s="338">
        <v>80</v>
      </c>
      <c r="AL35" s="338">
        <v>80</v>
      </c>
      <c r="AM35" s="338">
        <v>80</v>
      </c>
      <c r="AN35" s="338">
        <v>80</v>
      </c>
      <c r="AO35" s="338"/>
    </row>
    <row r="36" spans="1:41" ht="12.75">
      <c r="A36" s="338"/>
      <c r="B36" s="338" t="s">
        <v>257</v>
      </c>
      <c r="C36" s="338"/>
      <c r="D36" s="338">
        <v>100</v>
      </c>
      <c r="E36" s="338">
        <v>100</v>
      </c>
      <c r="F36" s="338">
        <v>100</v>
      </c>
      <c r="G36" s="338">
        <v>100</v>
      </c>
      <c r="H36" s="338">
        <v>100</v>
      </c>
      <c r="I36" s="338">
        <v>100</v>
      </c>
      <c r="J36" s="338">
        <v>100</v>
      </c>
      <c r="K36" s="338">
        <v>100</v>
      </c>
      <c r="L36" s="338">
        <v>100</v>
      </c>
      <c r="M36" s="338">
        <v>100</v>
      </c>
      <c r="N36" s="338">
        <v>100</v>
      </c>
      <c r="O36" s="338">
        <v>100</v>
      </c>
      <c r="P36" s="338">
        <v>100</v>
      </c>
      <c r="Q36" s="338">
        <v>100</v>
      </c>
      <c r="R36" s="338">
        <v>100</v>
      </c>
      <c r="S36" s="338">
        <v>100</v>
      </c>
      <c r="T36" s="338">
        <v>100</v>
      </c>
      <c r="U36" s="338" t="s">
        <v>257</v>
      </c>
      <c r="V36" s="338">
        <v>100</v>
      </c>
      <c r="W36" s="338">
        <v>100</v>
      </c>
      <c r="X36" s="338">
        <v>100</v>
      </c>
      <c r="Y36" s="338">
        <v>100</v>
      </c>
      <c r="Z36" s="338">
        <v>100</v>
      </c>
      <c r="AA36" s="338">
        <v>100</v>
      </c>
      <c r="AB36" s="338">
        <v>100</v>
      </c>
      <c r="AC36" s="338">
        <v>100</v>
      </c>
      <c r="AD36" s="338">
        <v>100</v>
      </c>
      <c r="AE36" s="338">
        <v>100</v>
      </c>
      <c r="AF36" s="338">
        <v>100</v>
      </c>
      <c r="AG36" s="338">
        <v>100</v>
      </c>
      <c r="AH36" s="338">
        <v>100</v>
      </c>
      <c r="AI36" s="338">
        <v>100</v>
      </c>
      <c r="AJ36" s="338">
        <v>100</v>
      </c>
      <c r="AK36" s="338">
        <v>100</v>
      </c>
      <c r="AL36" s="338">
        <v>100</v>
      </c>
      <c r="AM36" s="338">
        <v>100</v>
      </c>
      <c r="AN36" s="338">
        <v>100</v>
      </c>
      <c r="AO36" s="338"/>
    </row>
    <row r="37" spans="1:41" ht="12.75">
      <c r="A37" s="338"/>
      <c r="B37" s="338" t="s">
        <v>314</v>
      </c>
      <c r="C37" s="338"/>
      <c r="D37" s="338">
        <v>40</v>
      </c>
      <c r="E37" s="338">
        <v>40</v>
      </c>
      <c r="F37" s="338">
        <v>40</v>
      </c>
      <c r="G37" s="338">
        <v>40</v>
      </c>
      <c r="H37" s="338">
        <v>40</v>
      </c>
      <c r="I37" s="338">
        <v>40</v>
      </c>
      <c r="J37" s="338">
        <v>40</v>
      </c>
      <c r="K37" s="338">
        <v>40</v>
      </c>
      <c r="L37" s="338">
        <v>40</v>
      </c>
      <c r="M37" s="338">
        <v>40</v>
      </c>
      <c r="N37" s="338">
        <v>40</v>
      </c>
      <c r="O37" s="338">
        <v>40</v>
      </c>
      <c r="P37" s="338">
        <v>40</v>
      </c>
      <c r="Q37" s="338">
        <v>40</v>
      </c>
      <c r="R37" s="338">
        <v>40</v>
      </c>
      <c r="S37" s="338">
        <v>40</v>
      </c>
      <c r="T37" s="338">
        <v>40</v>
      </c>
      <c r="U37" s="338" t="s">
        <v>314</v>
      </c>
      <c r="V37" s="338">
        <v>40</v>
      </c>
      <c r="W37" s="338">
        <v>40</v>
      </c>
      <c r="X37" s="338">
        <v>40</v>
      </c>
      <c r="Y37" s="338">
        <v>40</v>
      </c>
      <c r="Z37" s="338">
        <v>40</v>
      </c>
      <c r="AA37" s="338">
        <v>40</v>
      </c>
      <c r="AB37" s="338">
        <v>40</v>
      </c>
      <c r="AC37" s="338">
        <v>40</v>
      </c>
      <c r="AD37" s="338">
        <v>40</v>
      </c>
      <c r="AE37" s="338">
        <v>40</v>
      </c>
      <c r="AF37" s="338">
        <v>40</v>
      </c>
      <c r="AG37" s="338">
        <v>40</v>
      </c>
      <c r="AH37" s="338">
        <v>40</v>
      </c>
      <c r="AI37" s="338">
        <v>40</v>
      </c>
      <c r="AJ37" s="338">
        <v>40</v>
      </c>
      <c r="AK37" s="338">
        <v>40</v>
      </c>
      <c r="AL37" s="338">
        <v>40</v>
      </c>
      <c r="AM37" s="338">
        <v>40</v>
      </c>
      <c r="AN37" s="338">
        <v>40</v>
      </c>
      <c r="AO37" s="338"/>
    </row>
    <row r="38" spans="1:41" ht="12.75">
      <c r="A38" s="338"/>
      <c r="B38" s="338" t="s">
        <v>323</v>
      </c>
      <c r="C38" s="338"/>
      <c r="D38" s="338">
        <v>568.5</v>
      </c>
      <c r="E38" s="338">
        <v>568.5</v>
      </c>
      <c r="F38" s="338">
        <v>568.5</v>
      </c>
      <c r="G38" s="338">
        <v>568.5</v>
      </c>
      <c r="H38" s="338">
        <v>568.5</v>
      </c>
      <c r="I38" s="338">
        <v>568.5</v>
      </c>
      <c r="J38" s="338">
        <v>568.5</v>
      </c>
      <c r="K38" s="338">
        <v>568.5</v>
      </c>
      <c r="L38" s="338">
        <v>568.5</v>
      </c>
      <c r="M38" s="338">
        <v>568.5</v>
      </c>
      <c r="N38" s="338">
        <v>568.5</v>
      </c>
      <c r="O38" s="338">
        <v>568.5</v>
      </c>
      <c r="P38" s="338">
        <v>568.5</v>
      </c>
      <c r="Q38" s="338">
        <v>568.5</v>
      </c>
      <c r="R38" s="338">
        <v>568.5</v>
      </c>
      <c r="S38" s="338">
        <v>568.5</v>
      </c>
      <c r="T38" s="338">
        <v>568.5</v>
      </c>
      <c r="U38" s="338" t="s">
        <v>323</v>
      </c>
      <c r="V38" s="338">
        <v>568.5</v>
      </c>
      <c r="W38" s="338">
        <v>568.5</v>
      </c>
      <c r="X38" s="338">
        <v>568.5</v>
      </c>
      <c r="Y38" s="338">
        <v>568.5</v>
      </c>
      <c r="Z38" s="338">
        <v>568.5</v>
      </c>
      <c r="AA38" s="338">
        <v>568.5</v>
      </c>
      <c r="AB38" s="338">
        <v>568.5</v>
      </c>
      <c r="AC38" s="338">
        <v>568.5</v>
      </c>
      <c r="AD38" s="338">
        <v>568.5</v>
      </c>
      <c r="AE38" s="338">
        <v>568.5</v>
      </c>
      <c r="AF38" s="338">
        <v>568.5</v>
      </c>
      <c r="AG38" s="338">
        <v>568.5</v>
      </c>
      <c r="AH38" s="338">
        <v>568.5</v>
      </c>
      <c r="AI38" s="338">
        <v>568.5</v>
      </c>
      <c r="AJ38" s="338">
        <v>568.5</v>
      </c>
      <c r="AK38" s="338">
        <v>568.5</v>
      </c>
      <c r="AL38" s="338">
        <v>568.5</v>
      </c>
      <c r="AM38" s="338">
        <v>568.5</v>
      </c>
      <c r="AN38" s="338">
        <v>568.5</v>
      </c>
      <c r="AO38" s="338"/>
    </row>
    <row r="39" spans="1:41" ht="12.75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</row>
    <row r="40" spans="1:41" ht="12.75">
      <c r="A40" s="338"/>
      <c r="B40" s="336" t="s">
        <v>315</v>
      </c>
      <c r="C40" s="338"/>
      <c r="D40" s="338">
        <v>6490.065727719174</v>
      </c>
      <c r="E40" s="338">
        <v>6949.654670824301</v>
      </c>
      <c r="F40" s="338">
        <v>6904.606460799464</v>
      </c>
      <c r="G40" s="338">
        <v>11872.13024177725</v>
      </c>
      <c r="H40" s="338">
        <v>6967.441826866179</v>
      </c>
      <c r="I40" s="338">
        <v>7098.247275868364</v>
      </c>
      <c r="J40" s="338">
        <v>7081.814763178997</v>
      </c>
      <c r="K40" s="338">
        <v>11979.478958962029</v>
      </c>
      <c r="L40" s="338">
        <v>7011.723593666966</v>
      </c>
      <c r="M40" s="338">
        <v>7028.401406656422</v>
      </c>
      <c r="N40" s="338">
        <v>6948.768650782752</v>
      </c>
      <c r="O40" s="338">
        <v>12040.42288417477</v>
      </c>
      <c r="P40" s="338">
        <v>8546.423909802783</v>
      </c>
      <c r="Q40" s="338">
        <v>8730.565708601709</v>
      </c>
      <c r="R40" s="338">
        <v>8526.720673377924</v>
      </c>
      <c r="S40" s="338">
        <v>18717.296598821427</v>
      </c>
      <c r="T40" s="338">
        <v>8532.804452722245</v>
      </c>
      <c r="U40" s="336" t="s">
        <v>315</v>
      </c>
      <c r="V40" s="338">
        <v>8559.630324696409</v>
      </c>
      <c r="W40" s="338">
        <v>8744.308794880508</v>
      </c>
      <c r="X40" s="338">
        <v>13846.046861104629</v>
      </c>
      <c r="Y40" s="338">
        <v>8623.809128034125</v>
      </c>
      <c r="Z40" s="338">
        <v>8816.350119409062</v>
      </c>
      <c r="AA40" s="338">
        <v>8920.31729540172</v>
      </c>
      <c r="AB40" s="338">
        <v>18844.25684061371</v>
      </c>
      <c r="AC40" s="338">
        <v>9744.456119641609</v>
      </c>
      <c r="AD40" s="338">
        <v>9644.82619814399</v>
      </c>
      <c r="AE40" s="338">
        <v>9698.405481034019</v>
      </c>
      <c r="AF40" s="338">
        <v>14835.246654523296</v>
      </c>
      <c r="AG40" s="338">
        <v>9644.880050147496</v>
      </c>
      <c r="AH40" s="338">
        <v>9840.728333642573</v>
      </c>
      <c r="AI40" s="338">
        <v>9828.05390882556</v>
      </c>
      <c r="AJ40" s="338">
        <v>19585.419962368356</v>
      </c>
      <c r="AK40" s="338">
        <v>9803.665487007516</v>
      </c>
      <c r="AL40" s="338">
        <v>9423.063934111095</v>
      </c>
      <c r="AM40" s="338">
        <v>9402.10188139243</v>
      </c>
      <c r="AN40" s="338">
        <v>9535.943308872798</v>
      </c>
      <c r="AO40" s="338"/>
    </row>
    <row r="41" spans="1:41" ht="12.75">
      <c r="A41" s="338"/>
      <c r="B41" s="338" t="s">
        <v>398</v>
      </c>
      <c r="C41" s="338"/>
      <c r="D41" s="338">
        <v>5974.976275392198</v>
      </c>
      <c r="E41" s="338">
        <v>6037.55736996277</v>
      </c>
      <c r="F41" s="338">
        <v>5660.410544427199</v>
      </c>
      <c r="G41" s="338">
        <v>9184.353874654906</v>
      </c>
      <c r="H41" s="338">
        <v>5086.326833286788</v>
      </c>
      <c r="I41" s="338">
        <v>4889.8213434618</v>
      </c>
      <c r="J41" s="338">
        <v>4603.59792610371</v>
      </c>
      <c r="K41" s="338">
        <v>7348.550912266539</v>
      </c>
      <c r="L41" s="338">
        <v>4058.8174739589185</v>
      </c>
      <c r="M41" s="338">
        <v>3839.2133428130473</v>
      </c>
      <c r="N41" s="338">
        <v>3581.826105909789</v>
      </c>
      <c r="O41" s="338">
        <v>5856.650941758758</v>
      </c>
      <c r="P41" s="338">
        <v>3971.2919877258682</v>
      </c>
      <c r="Q41" s="338">
        <v>3828.253867668995</v>
      </c>
      <c r="R41" s="338">
        <v>3528.184894836498</v>
      </c>
      <c r="S41" s="338">
        <v>7308.417989239335</v>
      </c>
      <c r="T41" s="338">
        <v>3144.0033782917085</v>
      </c>
      <c r="U41" s="338" t="s">
        <v>398</v>
      </c>
      <c r="V41" s="338">
        <v>2976.166166092034</v>
      </c>
      <c r="W41" s="338">
        <v>2869.0532428270753</v>
      </c>
      <c r="X41" s="338">
        <v>4286.964375725735</v>
      </c>
      <c r="Y41" s="338">
        <v>2519.614903734613</v>
      </c>
      <c r="Z41" s="338">
        <v>2430.7193439396774</v>
      </c>
      <c r="AA41" s="338">
        <v>2320.7974913710655</v>
      </c>
      <c r="AB41" s="338">
        <v>4626.439787068784</v>
      </c>
      <c r="AC41" s="338">
        <v>2266.8739234884424</v>
      </c>
      <c r="AD41" s="338">
        <v>2117.2645392544623</v>
      </c>
      <c r="AE41" s="338">
        <v>2009.0558547064634</v>
      </c>
      <c r="AF41" s="338">
        <v>2899.9960089705273</v>
      </c>
      <c r="AG41" s="338">
        <v>1779.1411929340356</v>
      </c>
      <c r="AH41" s="338">
        <v>1712.9779887370844</v>
      </c>
      <c r="AI41" s="338">
        <v>1614.3698022112876</v>
      </c>
      <c r="AJ41" s="338">
        <v>3035.843216713764</v>
      </c>
      <c r="AK41" s="338">
        <v>1433.989232503784</v>
      </c>
      <c r="AL41" s="338">
        <v>1300.6501619931923</v>
      </c>
      <c r="AM41" s="338">
        <v>1224.6282397603084</v>
      </c>
      <c r="AN41" s="338">
        <v>1172.0710338512063</v>
      </c>
      <c r="AO41" s="338"/>
    </row>
    <row r="42" spans="1:41" ht="12.75">
      <c r="A42" s="338"/>
      <c r="B42" s="338" t="s">
        <v>317</v>
      </c>
      <c r="C42" s="338"/>
      <c r="D42" s="338">
        <v>4213.216380554529</v>
      </c>
      <c r="E42" s="338">
        <v>8560.385515553815</v>
      </c>
      <c r="F42" s="338">
        <v>6521.496540904837</v>
      </c>
      <c r="G42" s="338">
        <v>743.5821280799191</v>
      </c>
      <c r="H42" s="338">
        <v>8762.25947007451</v>
      </c>
      <c r="I42" s="338">
        <v>13020.233235621166</v>
      </c>
      <c r="J42" s="338">
        <v>12289.01030407262</v>
      </c>
      <c r="K42" s="338">
        <v>4231.344762012528</v>
      </c>
      <c r="L42" s="338">
        <v>10007.714231779768</v>
      </c>
      <c r="M42" s="338">
        <v>10711.002828805249</v>
      </c>
      <c r="N42" s="338">
        <v>7961.968818251903</v>
      </c>
      <c r="O42" s="338">
        <v>6020.853627003706</v>
      </c>
      <c r="P42" s="338">
        <v>11575.037855140788</v>
      </c>
      <c r="Q42" s="338">
        <v>17803.343818896126</v>
      </c>
      <c r="R42" s="338">
        <v>11539.854980506047</v>
      </c>
      <c r="S42" s="338">
        <v>7153.924385355294</v>
      </c>
      <c r="T42" s="338">
        <v>11207.034626557885</v>
      </c>
      <c r="U42" s="338" t="s">
        <v>317</v>
      </c>
      <c r="V42" s="338">
        <v>12150.641771669125</v>
      </c>
      <c r="W42" s="338">
        <v>17820.344678715544</v>
      </c>
      <c r="X42" s="338">
        <v>16120.022348829947</v>
      </c>
      <c r="Y42" s="338">
        <v>13927.230665095522</v>
      </c>
      <c r="Z42" s="338">
        <v>19768.20627880482</v>
      </c>
      <c r="AA42" s="338">
        <v>23400.202665539735</v>
      </c>
      <c r="AB42" s="338">
        <v>5893.627448342126</v>
      </c>
      <c r="AC42" s="338">
        <v>19255.52079993161</v>
      </c>
      <c r="AD42" s="338">
        <v>16376.637611699665</v>
      </c>
      <c r="AE42" s="338">
        <v>18515.268627206286</v>
      </c>
      <c r="AF42" s="338">
        <v>17342.170177376694</v>
      </c>
      <c r="AG42" s="338">
        <v>16243.530313392965</v>
      </c>
      <c r="AH42" s="338">
        <v>22702.2444062675</v>
      </c>
      <c r="AI42" s="338">
        <v>21987.611618844676</v>
      </c>
      <c r="AJ42" s="338">
        <v>4199.652432517876</v>
      </c>
      <c r="AK42" s="338">
        <v>21297.39020430798</v>
      </c>
      <c r="AL42" s="338">
        <v>16935.701124383635</v>
      </c>
      <c r="AM42" s="338">
        <v>16626.380966821387</v>
      </c>
      <c r="AN42" s="338">
        <v>20961.499970797035</v>
      </c>
      <c r="AO42" s="338"/>
    </row>
    <row r="43" spans="1:41" ht="12.75">
      <c r="A43" s="338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</row>
    <row r="44" spans="1:41" ht="12.75">
      <c r="A44" s="338"/>
      <c r="B44" s="338" t="s">
        <v>318</v>
      </c>
      <c r="C44" s="338"/>
      <c r="D44" s="338">
        <v>211.28286666666668</v>
      </c>
      <c r="E44" s="338">
        <v>206.657524319324</v>
      </c>
      <c r="F44" s="338">
        <v>201.97128163107467</v>
      </c>
      <c r="G44" s="338">
        <v>197.22333674743004</v>
      </c>
      <c r="H44" s="338">
        <v>192.41287725615075</v>
      </c>
      <c r="I44" s="338">
        <v>187.5390800482363</v>
      </c>
      <c r="J44" s="338">
        <v>182.60111117708428</v>
      </c>
      <c r="K44" s="338">
        <v>177.59812571579545</v>
      </c>
      <c r="L44" s="338">
        <v>172.52926761259965</v>
      </c>
      <c r="M44" s="338">
        <v>167.39366954437844</v>
      </c>
      <c r="N44" s="338">
        <v>162.19045276825898</v>
      </c>
      <c r="O44" s="338">
        <v>156.91872697125393</v>
      </c>
      <c r="P44" s="338">
        <v>151.5775901179217</v>
      </c>
      <c r="Q44" s="338">
        <v>146.16612829602053</v>
      </c>
      <c r="R44" s="338">
        <v>140.68341556013104</v>
      </c>
      <c r="S44" s="338">
        <v>135.12851377321897</v>
      </c>
      <c r="T44" s="338">
        <v>129.50047244611258</v>
      </c>
      <c r="U44" s="338" t="s">
        <v>318</v>
      </c>
      <c r="V44" s="338">
        <v>123.79832857486596</v>
      </c>
      <c r="W44" s="338">
        <v>118.02110647598126</v>
      </c>
      <c r="X44" s="338">
        <v>112.16781761946123</v>
      </c>
      <c r="Y44" s="338">
        <v>106.2374604596637</v>
      </c>
      <c r="Z44" s="338">
        <v>100.22902026392883</v>
      </c>
      <c r="AA44" s="338">
        <v>94.14146893895011</v>
      </c>
      <c r="AB44" s="338">
        <v>87.97376485485917</v>
      </c>
      <c r="AC44" s="338">
        <v>81.72485266699438</v>
      </c>
      <c r="AD44" s="338">
        <v>75.3936631353227</v>
      </c>
      <c r="AE44" s="338">
        <v>68.979112941484</v>
      </c>
      <c r="AF44" s="338">
        <v>62.48010450342643</v>
      </c>
      <c r="AG44" s="338">
        <v>55.89552578760111</v>
      </c>
      <c r="AH44" s="338">
        <v>49.224250118684076</v>
      </c>
      <c r="AI44" s="338">
        <v>42.46513598679297</v>
      </c>
      <c r="AJ44" s="338">
        <v>35.6170268521653</v>
      </c>
      <c r="AK44" s="338">
        <v>28.678750947265033</v>
      </c>
      <c r="AL44" s="338">
        <v>21.649121076283578</v>
      </c>
      <c r="AM44" s="338">
        <v>14.526934412000868</v>
      </c>
      <c r="AN44" s="338">
        <v>7.31097228997177</v>
      </c>
      <c r="AO44" s="338"/>
    </row>
    <row r="45" spans="1:41" ht="12.75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</row>
    <row r="46" spans="1:41" ht="12.75">
      <c r="A46" s="338"/>
      <c r="B46" s="338" t="s">
        <v>319</v>
      </c>
      <c r="C46" s="338"/>
      <c r="D46" s="338">
        <v>4001.9335138878623</v>
      </c>
      <c r="E46" s="338">
        <v>8353.727991234491</v>
      </c>
      <c r="F46" s="338">
        <v>6319.5252592737625</v>
      </c>
      <c r="G46" s="338">
        <v>546.3587913324891</v>
      </c>
      <c r="H46" s="338">
        <v>8569.84659281836</v>
      </c>
      <c r="I46" s="338">
        <v>12832.69415557293</v>
      </c>
      <c r="J46" s="338">
        <v>12106.409192895537</v>
      </c>
      <c r="K46" s="338">
        <v>4053.7466362967325</v>
      </c>
      <c r="L46" s="338">
        <v>9835.184964167169</v>
      </c>
      <c r="M46" s="338">
        <v>10543.60915926087</v>
      </c>
      <c r="N46" s="338">
        <v>7799.778365483644</v>
      </c>
      <c r="O46" s="338">
        <v>5863.934900032452</v>
      </c>
      <c r="P46" s="338">
        <v>11423.460265022866</v>
      </c>
      <c r="Q46" s="338">
        <v>17657.177690600107</v>
      </c>
      <c r="R46" s="338">
        <v>11399.171564945915</v>
      </c>
      <c r="S46" s="338">
        <v>7018.795871582075</v>
      </c>
      <c r="T46" s="338">
        <v>11077.534154111772</v>
      </c>
      <c r="U46" s="338" t="s">
        <v>319</v>
      </c>
      <c r="V46" s="338">
        <v>12026.84344309426</v>
      </c>
      <c r="W46" s="338">
        <v>17702.323572239562</v>
      </c>
      <c r="X46" s="338">
        <v>16007.854531210485</v>
      </c>
      <c r="Y46" s="338">
        <v>13820.993204635857</v>
      </c>
      <c r="Z46" s="338">
        <v>19667.97725854089</v>
      </c>
      <c r="AA46" s="338">
        <v>23306.061196600785</v>
      </c>
      <c r="AB46" s="338">
        <v>5805.653683487267</v>
      </c>
      <c r="AC46" s="338">
        <v>19173.795947264618</v>
      </c>
      <c r="AD46" s="338">
        <v>16301.243948564343</v>
      </c>
      <c r="AE46" s="338">
        <v>18446.2895142648</v>
      </c>
      <c r="AF46" s="338">
        <v>17279.69007287327</v>
      </c>
      <c r="AG46" s="338">
        <v>16187.634787605364</v>
      </c>
      <c r="AH46" s="338">
        <v>22653.020156148814</v>
      </c>
      <c r="AI46" s="338">
        <v>21945.146482857883</v>
      </c>
      <c r="AJ46" s="338">
        <v>4164.035405665711</v>
      </c>
      <c r="AK46" s="338">
        <v>21268.711453360716</v>
      </c>
      <c r="AL46" s="338">
        <v>16914.05200330735</v>
      </c>
      <c r="AM46" s="338">
        <v>16611.854032409385</v>
      </c>
      <c r="AN46" s="338">
        <v>20954.188998507063</v>
      </c>
      <c r="AO46" s="338"/>
    </row>
    <row r="47" spans="1:41" ht="12.75">
      <c r="A47" s="338"/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</row>
    <row r="48" spans="1:41" ht="12.75">
      <c r="A48" s="338"/>
      <c r="B48" s="338" t="s">
        <v>321</v>
      </c>
      <c r="C48" s="338"/>
      <c r="D48" s="338">
        <v>1450.70089878435</v>
      </c>
      <c r="E48" s="338">
        <v>3028.226396822503</v>
      </c>
      <c r="F48" s="338">
        <v>2290.827906486739</v>
      </c>
      <c r="G48" s="338">
        <v>198.0550618580273</v>
      </c>
      <c r="H48" s="338">
        <v>3106.569389896655</v>
      </c>
      <c r="I48" s="338">
        <v>4651.851631395187</v>
      </c>
      <c r="J48" s="338">
        <v>4388.573332424632</v>
      </c>
      <c r="K48" s="338">
        <v>1469.4831556575655</v>
      </c>
      <c r="L48" s="338">
        <v>3565.2545495105987</v>
      </c>
      <c r="M48" s="338">
        <v>3822.0583202320654</v>
      </c>
      <c r="N48" s="338">
        <v>2827.419657487821</v>
      </c>
      <c r="O48" s="338">
        <v>2125.6764012617637</v>
      </c>
      <c r="P48" s="338">
        <v>4141.004346070789</v>
      </c>
      <c r="Q48" s="338">
        <v>6400.726912842539</v>
      </c>
      <c r="R48" s="338">
        <v>4132.199692292894</v>
      </c>
      <c r="S48" s="338">
        <v>2544.313503448502</v>
      </c>
      <c r="T48" s="338">
        <v>4015.606130865517</v>
      </c>
      <c r="U48" s="338" t="s">
        <v>321</v>
      </c>
      <c r="V48" s="338">
        <v>4359.730748121669</v>
      </c>
      <c r="W48" s="338">
        <v>6417.092294936841</v>
      </c>
      <c r="X48" s="338">
        <v>5802.8472675638</v>
      </c>
      <c r="Y48" s="338">
        <v>5010.1100366804985</v>
      </c>
      <c r="Z48" s="338">
        <v>7129.641756221073</v>
      </c>
      <c r="AA48" s="338">
        <v>8448.447183767785</v>
      </c>
      <c r="AB48" s="338">
        <v>2104.5494602641343</v>
      </c>
      <c r="AC48" s="338">
        <v>6950.5010308834235</v>
      </c>
      <c r="AD48" s="338">
        <v>5909.200931354574</v>
      </c>
      <c r="AE48" s="338">
        <v>6686.77994892099</v>
      </c>
      <c r="AF48" s="338">
        <v>6263.8876514165595</v>
      </c>
      <c r="AG48" s="338">
        <v>5868.017610506944</v>
      </c>
      <c r="AH48" s="338">
        <v>8211.719806603945</v>
      </c>
      <c r="AI48" s="338">
        <v>7955.115600035982</v>
      </c>
      <c r="AJ48" s="338">
        <v>1509.4628345538201</v>
      </c>
      <c r="AK48" s="338">
        <v>7709.907901843259</v>
      </c>
      <c r="AL48" s="338">
        <v>6131.343851198915</v>
      </c>
      <c r="AM48" s="338">
        <v>6021.797086748402</v>
      </c>
      <c r="AN48" s="338">
        <v>7595.89351195881</v>
      </c>
      <c r="AO48" s="338"/>
    </row>
    <row r="49" spans="1:41" ht="12.75">
      <c r="A49" s="338"/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</row>
    <row r="50" spans="1:41" ht="12.75">
      <c r="A50" s="338"/>
      <c r="B50" s="338" t="s">
        <v>322</v>
      </c>
      <c r="C50" s="338"/>
      <c r="D50" s="338">
        <v>2551.232615103512</v>
      </c>
      <c r="E50" s="338">
        <v>5325.501594411988</v>
      </c>
      <c r="F50" s="338">
        <v>4028.6973527870236</v>
      </c>
      <c r="G50" s="338">
        <v>348.30372947446176</v>
      </c>
      <c r="H50" s="338">
        <v>5463.277202921705</v>
      </c>
      <c r="I50" s="338">
        <v>8180.842524177743</v>
      </c>
      <c r="J50" s="338">
        <v>7717.835860470905</v>
      </c>
      <c r="K50" s="338">
        <v>2584.263480639167</v>
      </c>
      <c r="L50" s="338">
        <v>6269.93041465657</v>
      </c>
      <c r="M50" s="338">
        <v>6721.550839028805</v>
      </c>
      <c r="N50" s="338">
        <v>4972.358707995823</v>
      </c>
      <c r="O50" s="338">
        <v>3738.258498770688</v>
      </c>
      <c r="P50" s="338">
        <v>7282.455918952077</v>
      </c>
      <c r="Q50" s="338">
        <v>11256.450777757567</v>
      </c>
      <c r="R50" s="338">
        <v>7266.971872653021</v>
      </c>
      <c r="S50" s="338">
        <v>4474.482368133573</v>
      </c>
      <c r="T50" s="338">
        <v>7061.928023246255</v>
      </c>
      <c r="U50" s="338" t="s">
        <v>322</v>
      </c>
      <c r="V50" s="338">
        <v>7667.11269497259</v>
      </c>
      <c r="W50" s="338">
        <v>11285.23127730272</v>
      </c>
      <c r="X50" s="338">
        <v>10205.007263646685</v>
      </c>
      <c r="Y50" s="338">
        <v>8810.883167955359</v>
      </c>
      <c r="Z50" s="338">
        <v>12538.335502319816</v>
      </c>
      <c r="AA50" s="338">
        <v>14857.614012833</v>
      </c>
      <c r="AB50" s="338">
        <v>3701.1042232231325</v>
      </c>
      <c r="AC50" s="338">
        <v>12223.294916381194</v>
      </c>
      <c r="AD50" s="338">
        <v>10392.04301720977</v>
      </c>
      <c r="AE50" s="338">
        <v>11759.509565343811</v>
      </c>
      <c r="AF50" s="338">
        <v>11015.802421456709</v>
      </c>
      <c r="AG50" s="338">
        <v>10319.61717709842</v>
      </c>
      <c r="AH50" s="338">
        <v>14441.300349544868</v>
      </c>
      <c r="AI50" s="338">
        <v>13990.0308828219</v>
      </c>
      <c r="AJ50" s="338">
        <v>2654.5725711118903</v>
      </c>
      <c r="AK50" s="338">
        <v>13558.803551517456</v>
      </c>
      <c r="AL50" s="338">
        <v>10782.708152108436</v>
      </c>
      <c r="AM50" s="338">
        <v>10590.056945660983</v>
      </c>
      <c r="AN50" s="338">
        <v>13358.295486548253</v>
      </c>
      <c r="AO50" s="338"/>
    </row>
    <row r="51" spans="1:41" ht="12.75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</row>
    <row r="52" spans="1:41" ht="12.75">
      <c r="A52" s="338"/>
      <c r="B52" s="338" t="s">
        <v>323</v>
      </c>
      <c r="C52" s="338"/>
      <c r="D52" s="338">
        <v>568.5</v>
      </c>
      <c r="E52" s="338">
        <v>568.5</v>
      </c>
      <c r="F52" s="338">
        <v>568.5</v>
      </c>
      <c r="G52" s="338">
        <v>568.5</v>
      </c>
      <c r="H52" s="338">
        <v>568.5</v>
      </c>
      <c r="I52" s="338">
        <v>568.5</v>
      </c>
      <c r="J52" s="338">
        <v>568.5</v>
      </c>
      <c r="K52" s="338">
        <v>568.5</v>
      </c>
      <c r="L52" s="338">
        <v>568.5</v>
      </c>
      <c r="M52" s="338">
        <v>568.5</v>
      </c>
      <c r="N52" s="338">
        <v>568.5</v>
      </c>
      <c r="O52" s="338">
        <v>568.5</v>
      </c>
      <c r="P52" s="338">
        <v>568.5</v>
      </c>
      <c r="Q52" s="338">
        <v>568.5</v>
      </c>
      <c r="R52" s="338">
        <v>568.5</v>
      </c>
      <c r="S52" s="338">
        <v>568.5</v>
      </c>
      <c r="T52" s="338">
        <v>568.5</v>
      </c>
      <c r="U52" s="338" t="s">
        <v>323</v>
      </c>
      <c r="V52" s="338">
        <v>568.5</v>
      </c>
      <c r="W52" s="338">
        <v>568.5</v>
      </c>
      <c r="X52" s="338">
        <v>568.5</v>
      </c>
      <c r="Y52" s="338">
        <v>568.5</v>
      </c>
      <c r="Z52" s="338">
        <v>568.5</v>
      </c>
      <c r="AA52" s="338">
        <v>568.5</v>
      </c>
      <c r="AB52" s="338">
        <v>568.5</v>
      </c>
      <c r="AC52" s="338">
        <v>568.5</v>
      </c>
      <c r="AD52" s="338">
        <v>568.5</v>
      </c>
      <c r="AE52" s="338">
        <v>568.5</v>
      </c>
      <c r="AF52" s="338">
        <v>568.5</v>
      </c>
      <c r="AG52" s="338">
        <v>568.5</v>
      </c>
      <c r="AH52" s="338">
        <v>568.5</v>
      </c>
      <c r="AI52" s="338">
        <v>568.5</v>
      </c>
      <c r="AJ52" s="338">
        <v>568.5</v>
      </c>
      <c r="AK52" s="338">
        <v>568.5</v>
      </c>
      <c r="AL52" s="338">
        <v>568.5</v>
      </c>
      <c r="AM52" s="338">
        <v>568.5</v>
      </c>
      <c r="AN52" s="338">
        <v>568.5</v>
      </c>
      <c r="AO52" s="338"/>
    </row>
    <row r="53" spans="1:41" ht="12.75">
      <c r="A53" s="338"/>
      <c r="B53" s="338" t="s">
        <v>325</v>
      </c>
      <c r="C53" s="338"/>
      <c r="D53" s="338">
        <v>520</v>
      </c>
      <c r="E53" s="338">
        <v>310</v>
      </c>
      <c r="F53" s="338">
        <v>520</v>
      </c>
      <c r="G53" s="338">
        <v>310</v>
      </c>
      <c r="H53" s="338">
        <v>520</v>
      </c>
      <c r="I53" s="338">
        <v>310</v>
      </c>
      <c r="J53" s="338">
        <v>520</v>
      </c>
      <c r="K53" s="338">
        <v>310</v>
      </c>
      <c r="L53" s="338">
        <v>520</v>
      </c>
      <c r="M53" s="338">
        <v>310</v>
      </c>
      <c r="N53" s="338">
        <v>520</v>
      </c>
      <c r="O53" s="338">
        <v>310</v>
      </c>
      <c r="P53" s="338">
        <v>520</v>
      </c>
      <c r="Q53" s="338">
        <v>310</v>
      </c>
      <c r="R53" s="338">
        <v>520</v>
      </c>
      <c r="S53" s="338">
        <v>310</v>
      </c>
      <c r="T53" s="338">
        <v>520</v>
      </c>
      <c r="U53" s="338" t="s">
        <v>325</v>
      </c>
      <c r="V53" s="338">
        <v>310</v>
      </c>
      <c r="W53" s="338">
        <v>520</v>
      </c>
      <c r="X53" s="338">
        <v>310</v>
      </c>
      <c r="Y53" s="338">
        <v>520</v>
      </c>
      <c r="Z53" s="338">
        <v>310</v>
      </c>
      <c r="AA53" s="338">
        <v>520</v>
      </c>
      <c r="AB53" s="338">
        <v>310</v>
      </c>
      <c r="AC53" s="338">
        <v>520</v>
      </c>
      <c r="AD53" s="338">
        <v>310</v>
      </c>
      <c r="AE53" s="338">
        <v>520</v>
      </c>
      <c r="AF53" s="338">
        <v>310</v>
      </c>
      <c r="AG53" s="338">
        <v>520</v>
      </c>
      <c r="AH53" s="338">
        <v>310</v>
      </c>
      <c r="AI53" s="338">
        <v>520</v>
      </c>
      <c r="AJ53" s="338">
        <v>310</v>
      </c>
      <c r="AK53" s="338">
        <v>520</v>
      </c>
      <c r="AL53" s="338">
        <v>60</v>
      </c>
      <c r="AM53" s="338">
        <v>520</v>
      </c>
      <c r="AN53" s="338">
        <v>60</v>
      </c>
      <c r="AO53" s="338"/>
    </row>
    <row r="54" spans="1:41" ht="12.75">
      <c r="A54" s="338"/>
      <c r="B54" s="338" t="s">
        <v>396</v>
      </c>
      <c r="C54" s="338"/>
      <c r="D54" s="338">
        <v>351.29182384881005</v>
      </c>
      <c r="E54" s="338">
        <v>355.9171661961527</v>
      </c>
      <c r="F54" s="338">
        <v>360.60340888440203</v>
      </c>
      <c r="G54" s="338">
        <v>365.3513537680467</v>
      </c>
      <c r="H54" s="338">
        <v>370.161813259326</v>
      </c>
      <c r="I54" s="338">
        <v>375.0356104672404</v>
      </c>
      <c r="J54" s="338">
        <v>379.9735793383925</v>
      </c>
      <c r="K54" s="338">
        <v>384.9765647996813</v>
      </c>
      <c r="L54" s="338">
        <v>390.0454229028771</v>
      </c>
      <c r="M54" s="338">
        <v>395.1810209710983</v>
      </c>
      <c r="N54" s="338">
        <v>400.38423774721775</v>
      </c>
      <c r="O54" s="338">
        <v>405.6559635442228</v>
      </c>
      <c r="P54" s="338">
        <v>410.9971003975551</v>
      </c>
      <c r="Q54" s="338">
        <v>416.4085622194562</v>
      </c>
      <c r="R54" s="338">
        <v>421.8912749553457</v>
      </c>
      <c r="S54" s="338">
        <v>427.44617674225776</v>
      </c>
      <c r="T54" s="338">
        <v>433.0742180693642</v>
      </c>
      <c r="U54" s="338" t="s">
        <v>396</v>
      </c>
      <c r="V54" s="338">
        <v>438.77636194061074</v>
      </c>
      <c r="W54" s="338">
        <v>444.5535840394955</v>
      </c>
      <c r="X54" s="338">
        <v>450.4068728960155</v>
      </c>
      <c r="Y54" s="338">
        <v>456.33723005581305</v>
      </c>
      <c r="Z54" s="338">
        <v>462.3456702515479</v>
      </c>
      <c r="AA54" s="338">
        <v>468.43322157652665</v>
      </c>
      <c r="AB54" s="338">
        <v>474.6009256606176</v>
      </c>
      <c r="AC54" s="338">
        <v>480.84983784848237</v>
      </c>
      <c r="AD54" s="338">
        <v>487.18102738015403</v>
      </c>
      <c r="AE54" s="338">
        <v>493.5955775739927</v>
      </c>
      <c r="AF54" s="338">
        <v>500.0945860120503</v>
      </c>
      <c r="AG54" s="338">
        <v>506.6791647278756</v>
      </c>
      <c r="AH54" s="338">
        <v>513.3504403967927</v>
      </c>
      <c r="AI54" s="338">
        <v>520.1095545286837</v>
      </c>
      <c r="AJ54" s="338">
        <v>526.9576636633115</v>
      </c>
      <c r="AK54" s="338">
        <v>533.8959395682117</v>
      </c>
      <c r="AL54" s="338">
        <v>540.9255694391932</v>
      </c>
      <c r="AM54" s="338">
        <v>548.0477561034759</v>
      </c>
      <c r="AN54" s="338">
        <v>555.2637182255049</v>
      </c>
      <c r="AO54" s="338"/>
    </row>
    <row r="55" spans="1:41" ht="12.75">
      <c r="A55" s="338"/>
      <c r="B55" s="338" t="s">
        <v>326</v>
      </c>
      <c r="C55" s="338"/>
      <c r="D55" s="338">
        <v>46</v>
      </c>
      <c r="E55" s="338">
        <v>46</v>
      </c>
      <c r="F55" s="338">
        <v>46</v>
      </c>
      <c r="G55" s="338">
        <v>46</v>
      </c>
      <c r="H55" s="338">
        <v>46</v>
      </c>
      <c r="I55" s="338">
        <v>46</v>
      </c>
      <c r="J55" s="338">
        <v>46</v>
      </c>
      <c r="K55" s="338">
        <v>46</v>
      </c>
      <c r="L55" s="338">
        <v>46</v>
      </c>
      <c r="M55" s="338">
        <v>46</v>
      </c>
      <c r="N55" s="338">
        <v>46</v>
      </c>
      <c r="O55" s="338">
        <v>46</v>
      </c>
      <c r="P55" s="338">
        <v>2740</v>
      </c>
      <c r="Q55" s="338">
        <v>46</v>
      </c>
      <c r="R55" s="338">
        <v>46</v>
      </c>
      <c r="S55" s="338">
        <v>46</v>
      </c>
      <c r="T55" s="338">
        <v>46</v>
      </c>
      <c r="U55" s="338" t="s">
        <v>326</v>
      </c>
      <c r="V55" s="338">
        <v>46</v>
      </c>
      <c r="W55" s="338">
        <v>46</v>
      </c>
      <c r="X55" s="338">
        <v>46</v>
      </c>
      <c r="Y55" s="338">
        <v>46</v>
      </c>
      <c r="Z55" s="338">
        <v>46</v>
      </c>
      <c r="AA55" s="338">
        <v>46</v>
      </c>
      <c r="AB55" s="338">
        <v>2740</v>
      </c>
      <c r="AC55" s="338">
        <v>46</v>
      </c>
      <c r="AD55" s="338">
        <v>46</v>
      </c>
      <c r="AE55" s="338">
        <v>46</v>
      </c>
      <c r="AF55" s="338">
        <v>46</v>
      </c>
      <c r="AG55" s="338">
        <v>46</v>
      </c>
      <c r="AH55" s="338">
        <v>46</v>
      </c>
      <c r="AI55" s="338">
        <v>46</v>
      </c>
      <c r="AJ55" s="338">
        <v>46</v>
      </c>
      <c r="AK55" s="338">
        <v>46</v>
      </c>
      <c r="AL55" s="338">
        <v>46</v>
      </c>
      <c r="AM55" s="338">
        <v>46</v>
      </c>
      <c r="AN55" s="338">
        <v>46</v>
      </c>
      <c r="AO55" s="338"/>
    </row>
    <row r="56" spans="1:41" ht="12.75">
      <c r="A56" s="338"/>
      <c r="B56" s="338" t="s">
        <v>328</v>
      </c>
      <c r="C56" s="338"/>
      <c r="D56" s="338">
        <v>0</v>
      </c>
      <c r="E56" s="338">
        <v>0</v>
      </c>
      <c r="F56" s="338">
        <v>0</v>
      </c>
      <c r="G56" s="338">
        <v>0</v>
      </c>
      <c r="H56" s="338">
        <v>0</v>
      </c>
      <c r="I56" s="338">
        <v>0</v>
      </c>
      <c r="J56" s="338">
        <v>0</v>
      </c>
      <c r="K56" s="338">
        <v>0</v>
      </c>
      <c r="L56" s="338">
        <v>0</v>
      </c>
      <c r="M56" s="338">
        <v>0</v>
      </c>
      <c r="N56" s="338">
        <v>0</v>
      </c>
      <c r="O56" s="338">
        <v>0</v>
      </c>
      <c r="P56" s="338">
        <v>0</v>
      </c>
      <c r="Q56" s="338">
        <v>0</v>
      </c>
      <c r="R56" s="338">
        <v>0</v>
      </c>
      <c r="S56" s="338">
        <v>0</v>
      </c>
      <c r="T56" s="338">
        <v>0</v>
      </c>
      <c r="U56" s="338" t="s">
        <v>328</v>
      </c>
      <c r="V56" s="338">
        <v>0</v>
      </c>
      <c r="W56" s="338">
        <v>0</v>
      </c>
      <c r="X56" s="338">
        <v>0</v>
      </c>
      <c r="Y56" s="338">
        <v>0</v>
      </c>
      <c r="Z56" s="338">
        <v>0</v>
      </c>
      <c r="AA56" s="338">
        <v>0</v>
      </c>
      <c r="AB56" s="338">
        <v>0</v>
      </c>
      <c r="AC56" s="338">
        <v>0</v>
      </c>
      <c r="AD56" s="338">
        <v>0</v>
      </c>
      <c r="AE56" s="338">
        <v>0</v>
      </c>
      <c r="AF56" s="338">
        <v>0</v>
      </c>
      <c r="AG56" s="338">
        <v>0</v>
      </c>
      <c r="AH56" s="338">
        <v>0</v>
      </c>
      <c r="AI56" s="338">
        <v>0</v>
      </c>
      <c r="AJ56" s="338">
        <v>0</v>
      </c>
      <c r="AK56" s="338">
        <v>0</v>
      </c>
      <c r="AL56" s="338">
        <v>0</v>
      </c>
      <c r="AM56" s="338">
        <v>0</v>
      </c>
      <c r="AN56" s="338">
        <v>9610</v>
      </c>
      <c r="AO56" s="338"/>
    </row>
    <row r="57" spans="1:41" ht="12.75">
      <c r="A57" s="338"/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</row>
    <row r="58" spans="1:41" ht="12.75">
      <c r="A58" s="338"/>
      <c r="B58" s="338" t="s">
        <v>324</v>
      </c>
      <c r="C58" s="338"/>
      <c r="D58" s="338">
        <v>2202.440791254702</v>
      </c>
      <c r="E58" s="338">
        <v>5182.084428215835</v>
      </c>
      <c r="F58" s="338">
        <v>3670.593943902621</v>
      </c>
      <c r="G58" s="338">
        <v>195.45237570641507</v>
      </c>
      <c r="H58" s="338">
        <v>5095.615389662379</v>
      </c>
      <c r="I58" s="338">
        <v>8018.306913710504</v>
      </c>
      <c r="J58" s="338">
        <v>7340.362281132512</v>
      </c>
      <c r="K58" s="338">
        <v>2411.7869158394856</v>
      </c>
      <c r="L58" s="338">
        <v>5882.384991753693</v>
      </c>
      <c r="M58" s="338">
        <v>6538.869818057707</v>
      </c>
      <c r="N58" s="338">
        <v>4574.474470248606</v>
      </c>
      <c r="O58" s="338">
        <v>3545.102535226466</v>
      </c>
      <c r="P58" s="338">
        <v>4179.958818554522</v>
      </c>
      <c r="Q58" s="338">
        <v>11052.542215538111</v>
      </c>
      <c r="R58" s="338">
        <v>6847.580597697675</v>
      </c>
      <c r="S58" s="338">
        <v>4259.536191391315</v>
      </c>
      <c r="T58" s="338">
        <v>6631.353805176891</v>
      </c>
      <c r="U58" s="338" t="s">
        <v>324</v>
      </c>
      <c r="V58" s="338">
        <v>7440.836333031981</v>
      </c>
      <c r="W58" s="338">
        <v>10843.177693263226</v>
      </c>
      <c r="X58" s="338">
        <v>9967.10039075067</v>
      </c>
      <c r="Y58" s="338">
        <v>8357.045937899546</v>
      </c>
      <c r="Z58" s="338">
        <v>12288.489832068268</v>
      </c>
      <c r="AA58" s="338">
        <v>14391.680791256475</v>
      </c>
      <c r="AB58" s="338">
        <v>745.0032975625145</v>
      </c>
      <c r="AC58" s="338">
        <v>11744.945078532712</v>
      </c>
      <c r="AD58" s="338">
        <v>10117.361989829615</v>
      </c>
      <c r="AE58" s="338">
        <v>11268.413987769818</v>
      </c>
      <c r="AF58" s="338">
        <v>10728.207835444658</v>
      </c>
      <c r="AG58" s="338">
        <v>9815.438012370545</v>
      </c>
      <c r="AH58" s="338">
        <v>14140.449909148076</v>
      </c>
      <c r="AI58" s="338">
        <v>13472.421328293216</v>
      </c>
      <c r="AJ58" s="338">
        <v>2340.114907448579</v>
      </c>
      <c r="AK58" s="338">
        <v>13027.407611949244</v>
      </c>
      <c r="AL58" s="338">
        <v>10704.282582669242</v>
      </c>
      <c r="AM58" s="338">
        <v>10044.509189557506</v>
      </c>
      <c r="AN58" s="338">
        <v>22875.531768322748</v>
      </c>
      <c r="AO58" s="338"/>
    </row>
    <row r="59" spans="1:41" ht="12.75">
      <c r="A59" s="338"/>
      <c r="B59" s="338" t="s">
        <v>330</v>
      </c>
      <c r="C59" s="338">
        <v>-40117</v>
      </c>
      <c r="D59" s="338">
        <v>2148.7227231753195</v>
      </c>
      <c r="E59" s="338">
        <v>4932.382561062068</v>
      </c>
      <c r="F59" s="338">
        <v>3408.5113740335714</v>
      </c>
      <c r="G59" s="338">
        <v>177.07020579887072</v>
      </c>
      <c r="H59" s="338">
        <v>4503.7815101621345</v>
      </c>
      <c r="I59" s="338">
        <v>6914.160922002014</v>
      </c>
      <c r="J59" s="338">
        <v>6175.191600034405</v>
      </c>
      <c r="K59" s="338">
        <v>1979.4658407071408</v>
      </c>
      <c r="L59" s="338">
        <v>4710.192497740723</v>
      </c>
      <c r="M59" s="338">
        <v>5108.154650959276</v>
      </c>
      <c r="N59" s="338">
        <v>3486.411848676442</v>
      </c>
      <c r="O59" s="338">
        <v>2635.9818531566816</v>
      </c>
      <c r="P59" s="338">
        <v>3556.6128114618386</v>
      </c>
      <c r="Q59" s="338">
        <v>9288.20379843693</v>
      </c>
      <c r="R59" s="338">
        <v>5683.445167822156</v>
      </c>
      <c r="S59" s="338">
        <v>3491.739231155911</v>
      </c>
      <c r="T59" s="338">
        <v>5368.916597419601</v>
      </c>
      <c r="U59" s="338" t="s">
        <v>330</v>
      </c>
      <c r="V59" s="338">
        <v>5949.920706958619</v>
      </c>
      <c r="W59" s="338">
        <v>8563.493432868216</v>
      </c>
      <c r="X59" s="338">
        <v>7774.423506770864</v>
      </c>
      <c r="Y59" s="338">
        <v>6438.091131143504</v>
      </c>
      <c r="Z59" s="338">
        <v>9349.918234399334</v>
      </c>
      <c r="AA59" s="338">
        <v>10814.981586770564</v>
      </c>
      <c r="AB59" s="338">
        <v>552.9392635522893</v>
      </c>
      <c r="AC59" s="338">
        <v>9544.383550331931</v>
      </c>
      <c r="AD59" s="338">
        <v>8153.800061131174</v>
      </c>
      <c r="AE59" s="338">
        <v>9006.404302750081</v>
      </c>
      <c r="AF59" s="338">
        <v>8503.773789106313</v>
      </c>
      <c r="AG59" s="338">
        <v>7715.962013426989</v>
      </c>
      <c r="AH59" s="338">
        <v>11024.007490104408</v>
      </c>
      <c r="AI59" s="338">
        <v>10416.403718002714</v>
      </c>
      <c r="AJ59" s="338">
        <v>1794.3419334684836</v>
      </c>
      <c r="AK59" s="338">
        <v>9906.537800974456</v>
      </c>
      <c r="AL59" s="338">
        <v>8072.672619452526</v>
      </c>
      <c r="AM59" s="338">
        <v>7512.498028183191</v>
      </c>
      <c r="AN59" s="338">
        <v>16967.690150225466</v>
      </c>
      <c r="AO59" s="338"/>
    </row>
    <row r="60" spans="1:41" s="343" customFormat="1" ht="15">
      <c r="A60" s="342"/>
      <c r="B60" s="342" t="s">
        <v>332</v>
      </c>
      <c r="C60" s="342">
        <v>-40117</v>
      </c>
      <c r="D60" s="342">
        <v>2049.6220373306974</v>
      </c>
      <c r="E60" s="342">
        <v>4487.904059779957</v>
      </c>
      <c r="F60" s="342">
        <v>2958.318732103338</v>
      </c>
      <c r="G60" s="342">
        <v>146.5949849653566</v>
      </c>
      <c r="H60" s="342">
        <v>3556.676293273711</v>
      </c>
      <c r="I60" s="342">
        <v>5208.34705019572</v>
      </c>
      <c r="J60" s="342">
        <v>4437.151673874679</v>
      </c>
      <c r="K60" s="342">
        <v>1356.7357040020504</v>
      </c>
      <c r="L60" s="342">
        <v>3079.493588146261</v>
      </c>
      <c r="M60" s="342">
        <v>3185.65022839145</v>
      </c>
      <c r="N60" s="342">
        <v>2073.9875607817</v>
      </c>
      <c r="O60" s="342">
        <v>1495.7647006073528</v>
      </c>
      <c r="P60" s="342">
        <v>1925.0892000515119</v>
      </c>
      <c r="Q60" s="342">
        <v>4795.560897097571</v>
      </c>
      <c r="R60" s="342">
        <v>2799.06351939141</v>
      </c>
      <c r="S60" s="342">
        <v>1640.349110212807</v>
      </c>
      <c r="T60" s="342">
        <v>2405.8832458439583</v>
      </c>
      <c r="U60" s="342" t="s">
        <v>332</v>
      </c>
      <c r="V60" s="342">
        <v>2543.2700304106816</v>
      </c>
      <c r="W60" s="342">
        <v>3491.609527751061</v>
      </c>
      <c r="X60" s="342">
        <v>3023.6832983766826</v>
      </c>
      <c r="Y60" s="342">
        <v>2388.4636235778285</v>
      </c>
      <c r="Z60" s="342">
        <v>3308.740670728751</v>
      </c>
      <c r="AA60" s="342">
        <v>3650.68285734287</v>
      </c>
      <c r="AB60" s="342">
        <v>178.04064428066596</v>
      </c>
      <c r="AC60" s="342">
        <v>2931.453545273662</v>
      </c>
      <c r="AD60" s="342">
        <v>2388.848435057664</v>
      </c>
      <c r="AE60" s="342">
        <v>2516.9430102649876</v>
      </c>
      <c r="AF60" s="342">
        <v>2266.872257895293</v>
      </c>
      <c r="AG60" s="342">
        <v>1961.9992403371737</v>
      </c>
      <c r="AH60" s="342">
        <v>2673.878436845181</v>
      </c>
      <c r="AI60" s="342">
        <v>2409.979611859278</v>
      </c>
      <c r="AJ60" s="342">
        <v>395.9990796420954</v>
      </c>
      <c r="AK60" s="342">
        <v>2085.4715821626132</v>
      </c>
      <c r="AL60" s="342">
        <v>1621.0377213054542</v>
      </c>
      <c r="AM60" s="342">
        <v>1438.9760207823276</v>
      </c>
      <c r="AN60" s="342">
        <v>3100.1686201050825</v>
      </c>
      <c r="AO60" s="342"/>
    </row>
    <row r="61" spans="1:41" ht="12.75">
      <c r="A61" s="338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</row>
    <row r="62" spans="1:41" ht="15.75">
      <c r="A62" s="338"/>
      <c r="B62" s="339" t="s">
        <v>296</v>
      </c>
      <c r="C62" s="342">
        <v>40117</v>
      </c>
      <c r="D62" s="338"/>
      <c r="E62" s="342" t="s">
        <v>334</v>
      </c>
      <c r="F62" s="338"/>
      <c r="G62" s="338"/>
      <c r="H62" s="344">
        <v>0.04835071249218448</v>
      </c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9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</row>
    <row r="63" spans="1:41" ht="15">
      <c r="A63" s="338"/>
      <c r="B63" s="342" t="s">
        <v>297</v>
      </c>
      <c r="C63" s="342">
        <v>28650</v>
      </c>
      <c r="D63" s="338"/>
      <c r="E63" s="342" t="s">
        <v>331</v>
      </c>
      <c r="F63" s="338"/>
      <c r="G63" s="338"/>
      <c r="H63" s="342">
        <v>51861.31080004889</v>
      </c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42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</row>
    <row r="64" spans="1:41" ht="15">
      <c r="A64" s="338"/>
      <c r="B64" s="342" t="s">
        <v>298</v>
      </c>
      <c r="C64" s="342">
        <v>317</v>
      </c>
      <c r="D64" s="338"/>
      <c r="E64" s="342" t="s">
        <v>335</v>
      </c>
      <c r="F64" s="338"/>
      <c r="G64" s="338"/>
      <c r="H64" s="344">
        <v>0.059714909288342784</v>
      </c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42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</row>
    <row r="65" spans="1:41" ht="15">
      <c r="A65" s="338"/>
      <c r="B65" s="342" t="s">
        <v>301</v>
      </c>
      <c r="C65" s="342">
        <v>400</v>
      </c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42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</row>
    <row r="66" spans="1:41" ht="15">
      <c r="A66" s="338"/>
      <c r="B66" s="342" t="s">
        <v>303</v>
      </c>
      <c r="C66" s="342">
        <v>750</v>
      </c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42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</row>
    <row r="67" spans="1:41" ht="15">
      <c r="A67" s="338"/>
      <c r="B67" s="342" t="s">
        <v>306</v>
      </c>
      <c r="C67" s="342">
        <v>10000</v>
      </c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42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</row>
    <row r="68" spans="1:41" ht="12.75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</row>
    <row r="69" spans="1:41" ht="18">
      <c r="A69" s="338"/>
      <c r="B69" s="296"/>
      <c r="C69" s="296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296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</row>
    <row r="70" spans="1:41" ht="18">
      <c r="A70" s="338"/>
      <c r="B70" s="296"/>
      <c r="C70" s="296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296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</row>
    <row r="71" spans="1:41" ht="18">
      <c r="A71" s="338"/>
      <c r="B71" s="296"/>
      <c r="C71" s="296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296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</row>
    <row r="72" spans="1:41" ht="12.75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</row>
    <row r="73" spans="1:41" ht="12.75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</row>
    <row r="74" spans="1:41" ht="12.75">
      <c r="A74" s="338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</row>
  </sheetData>
  <mergeCells count="2">
    <mergeCell ref="A1:T1"/>
    <mergeCell ref="A2:T2"/>
  </mergeCells>
  <printOptions/>
  <pageMargins left="1.5748031496062993" right="1.5748031496062993" top="1.5748031496062993" bottom="0.9448818897637796" header="0" footer="0"/>
  <pageSetup horizontalDpi="360" verticalDpi="36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4" sqref="E4:F16"/>
    </sheetView>
  </sheetViews>
  <sheetFormatPr defaultColWidth="11.421875" defaultRowHeight="12.75"/>
  <cols>
    <col min="1" max="1" width="26.8515625" style="200" customWidth="1"/>
    <col min="2" max="2" width="14.421875" style="199" customWidth="1"/>
    <col min="3" max="3" width="12.28125" style="199" customWidth="1"/>
    <col min="4" max="4" width="23.57421875" style="199" customWidth="1"/>
    <col min="5" max="5" width="20.421875" style="199" customWidth="1"/>
    <col min="6" max="6" width="20.00390625" style="199" customWidth="1"/>
    <col min="7" max="16384" width="11.421875" style="199" customWidth="1"/>
  </cols>
  <sheetData>
    <row r="1" spans="1:8" ht="20.25">
      <c r="A1" s="415" t="s">
        <v>409</v>
      </c>
      <c r="B1" s="415"/>
      <c r="C1" s="415"/>
      <c r="D1" s="415"/>
      <c r="E1" s="415"/>
      <c r="F1" s="415"/>
      <c r="G1" s="198"/>
      <c r="H1" s="198"/>
    </row>
    <row r="4" spans="3:6" ht="16.5">
      <c r="C4" s="403" t="s">
        <v>410</v>
      </c>
      <c r="D4" s="403"/>
      <c r="E4" s="416" t="s">
        <v>411</v>
      </c>
      <c r="F4" s="416"/>
    </row>
    <row r="5" spans="1:7" ht="16.5">
      <c r="A5" s="200" t="s">
        <v>412</v>
      </c>
      <c r="C5" s="417">
        <v>522745000</v>
      </c>
      <c r="D5" s="417"/>
      <c r="E5" s="416"/>
      <c r="F5" s="416"/>
      <c r="G5" s="201"/>
    </row>
    <row r="6" spans="1:6" ht="16.5">
      <c r="A6" s="200" t="s">
        <v>413</v>
      </c>
      <c r="C6" s="417">
        <v>122054000</v>
      </c>
      <c r="D6" s="417"/>
      <c r="E6" s="416"/>
      <c r="F6" s="416"/>
    </row>
    <row r="7" spans="1:6" ht="16.5">
      <c r="A7" s="200" t="s">
        <v>414</v>
      </c>
      <c r="C7" s="417">
        <v>469347000</v>
      </c>
      <c r="D7" s="417"/>
      <c r="E7" s="416"/>
      <c r="F7" s="416"/>
    </row>
    <row r="8" spans="3:6" ht="16.5">
      <c r="C8" s="417"/>
      <c r="D8" s="417"/>
      <c r="E8" s="416"/>
      <c r="F8" s="416"/>
    </row>
    <row r="9" spans="1:6" ht="16.5">
      <c r="A9" s="200" t="s">
        <v>415</v>
      </c>
      <c r="C9" s="418">
        <f>SUM(C5:C8)</f>
        <v>1114146000</v>
      </c>
      <c r="D9" s="418"/>
      <c r="E9" s="416"/>
      <c r="F9" s="416"/>
    </row>
    <row r="10" spans="3:6" ht="16.5">
      <c r="C10" s="202"/>
      <c r="D10" s="202"/>
      <c r="E10" s="416"/>
      <c r="F10" s="416"/>
    </row>
    <row r="11" spans="1:6" ht="16.5">
      <c r="A11" s="200" t="s">
        <v>416</v>
      </c>
      <c r="C11" s="417">
        <v>101759000</v>
      </c>
      <c r="D11" s="417"/>
      <c r="E11" s="416"/>
      <c r="F11" s="416"/>
    </row>
    <row r="12" spans="1:6" ht="16.5">
      <c r="A12" s="200" t="s">
        <v>417</v>
      </c>
      <c r="C12" s="417">
        <v>22887000</v>
      </c>
      <c r="D12" s="417"/>
      <c r="E12" s="416"/>
      <c r="F12" s="416"/>
    </row>
    <row r="13" spans="1:6" ht="16.5">
      <c r="A13" s="200" t="s">
        <v>418</v>
      </c>
      <c r="C13" s="417">
        <v>20621000</v>
      </c>
      <c r="D13" s="417"/>
      <c r="E13" s="416"/>
      <c r="F13" s="416"/>
    </row>
    <row r="14" spans="1:6" ht="16.5">
      <c r="A14" s="200" t="s">
        <v>419</v>
      </c>
      <c r="C14" s="417">
        <v>968879000</v>
      </c>
      <c r="D14" s="417"/>
      <c r="E14" s="416"/>
      <c r="F14" s="416"/>
    </row>
    <row r="15" spans="3:6" ht="16.5">
      <c r="C15" s="202"/>
      <c r="D15" s="202"/>
      <c r="E15" s="416"/>
      <c r="F15" s="416"/>
    </row>
    <row r="16" spans="1:6" ht="16.5">
      <c r="A16" s="200" t="s">
        <v>420</v>
      </c>
      <c r="C16" s="418">
        <f>SUM(C11:C15)</f>
        <v>1114146000</v>
      </c>
      <c r="D16" s="418"/>
      <c r="E16" s="416"/>
      <c r="F16" s="416"/>
    </row>
    <row r="20" spans="1:6" ht="16.5">
      <c r="A20" s="203" t="s">
        <v>421</v>
      </c>
      <c r="B20" s="204"/>
      <c r="C20" s="403"/>
      <c r="D20" s="403"/>
      <c r="E20" s="419">
        <v>0.17</v>
      </c>
      <c r="F20" s="420"/>
    </row>
    <row r="21" spans="1:6" ht="16.5">
      <c r="A21" s="205" t="s">
        <v>422</v>
      </c>
      <c r="C21" s="421"/>
      <c r="D21" s="421"/>
      <c r="E21" s="419">
        <v>0.095</v>
      </c>
      <c r="F21" s="419"/>
    </row>
    <row r="22" spans="1:6" ht="16.5">
      <c r="A22" s="205" t="s">
        <v>423</v>
      </c>
      <c r="C22" s="422">
        <v>0.34</v>
      </c>
      <c r="D22" s="422"/>
      <c r="E22" s="422">
        <v>0.25</v>
      </c>
      <c r="F22" s="422"/>
    </row>
    <row r="23" spans="1:6" ht="16.5">
      <c r="A23" s="205" t="s">
        <v>424</v>
      </c>
      <c r="C23" s="423">
        <f>SUM(C11:D13)</f>
        <v>145267000</v>
      </c>
      <c r="D23" s="423"/>
      <c r="E23" s="417"/>
      <c r="F23" s="417"/>
    </row>
    <row r="24" spans="1:6" ht="16.5">
      <c r="A24" s="205" t="s">
        <v>425</v>
      </c>
      <c r="C24" s="423">
        <f>C14</f>
        <v>968879000</v>
      </c>
      <c r="D24" s="423"/>
      <c r="E24" s="417"/>
      <c r="F24" s="417"/>
    </row>
    <row r="25" spans="1:6" ht="16.5">
      <c r="A25" s="205" t="s">
        <v>426</v>
      </c>
      <c r="C25" s="424">
        <f>((('Cálculos del Costo de Capital'!B547)+1)^365)-1</f>
        <v>0.614464331958708</v>
      </c>
      <c r="D25" s="424"/>
      <c r="E25" s="424">
        <f>C25</f>
        <v>0.614464331958708</v>
      </c>
      <c r="F25" s="424"/>
    </row>
    <row r="26" spans="1:6" s="200" customFormat="1" ht="16.5">
      <c r="A26" s="205" t="s">
        <v>427</v>
      </c>
      <c r="C26" s="423">
        <f>C27/C28</f>
        <v>0.1499330669774038</v>
      </c>
      <c r="D26" s="423"/>
      <c r="E26" s="423">
        <f>E27/E28</f>
        <v>0.6666666666666667</v>
      </c>
      <c r="F26" s="423"/>
    </row>
    <row r="27" spans="1:6" ht="16.5">
      <c r="A27" s="205" t="s">
        <v>428</v>
      </c>
      <c r="C27" s="423">
        <f>C23/(C23+C24)</f>
        <v>0.13038416868166292</v>
      </c>
      <c r="D27" s="423"/>
      <c r="E27" s="423">
        <v>0.4</v>
      </c>
      <c r="F27" s="423"/>
    </row>
    <row r="28" spans="1:6" ht="16.5">
      <c r="A28" s="205" t="s">
        <v>429</v>
      </c>
      <c r="C28" s="423">
        <f>C24/(C23+C24)</f>
        <v>0.8696158313183371</v>
      </c>
      <c r="D28" s="423"/>
      <c r="E28" s="423">
        <f>1-E27</f>
        <v>0.6</v>
      </c>
      <c r="F28" s="423"/>
    </row>
    <row r="30" spans="1:6" ht="16.5">
      <c r="A30" s="200" t="s">
        <v>430</v>
      </c>
      <c r="C30" s="423">
        <f>C32/(1+(C26*(1-C22)))</f>
        <v>1.3995124917615018</v>
      </c>
      <c r="D30" s="423"/>
      <c r="E30" s="425"/>
      <c r="F30" s="425"/>
    </row>
    <row r="32" spans="1:6" ht="16.5">
      <c r="A32" s="205" t="s">
        <v>431</v>
      </c>
      <c r="C32" s="426">
        <f>'Cálculos del Costo de Capital'!C551</f>
        <v>1.5380024038690756</v>
      </c>
      <c r="D32" s="426"/>
      <c r="E32" s="426">
        <f>C30*(1+(E26*(1-E22)))</f>
        <v>2.0992687376422525</v>
      </c>
      <c r="F32" s="426"/>
    </row>
    <row r="34" spans="1:6" ht="16.5">
      <c r="A34" s="205" t="s">
        <v>432</v>
      </c>
      <c r="C34" s="206"/>
      <c r="D34" s="206"/>
      <c r="E34" s="427">
        <f>E21+((E25-E21)*E32)</f>
        <v>1.185495232401133</v>
      </c>
      <c r="F34" s="427"/>
    </row>
    <row r="36" spans="1:6" ht="16.5">
      <c r="A36" s="205" t="s">
        <v>434</v>
      </c>
      <c r="C36" s="423">
        <f>C14+(SUM(C11:C13)*C22)</f>
        <v>1018269780</v>
      </c>
      <c r="D36" s="423"/>
      <c r="E36" s="428"/>
      <c r="F36" s="428"/>
    </row>
    <row r="37" ht="16.5">
      <c r="C37" s="207"/>
    </row>
    <row r="38" ht="17.25" thickBot="1">
      <c r="C38" s="208"/>
    </row>
    <row r="39" spans="5:6" ht="21" thickBot="1">
      <c r="E39" s="429" t="s">
        <v>433</v>
      </c>
      <c r="F39" s="430"/>
    </row>
    <row r="40" spans="3:6" ht="21" thickBot="1">
      <c r="C40" s="209"/>
      <c r="E40" s="213">
        <f>((1-E22)*E20*E27)+(E28*E34)</f>
        <v>0.7622971394406798</v>
      </c>
      <c r="F40" s="214" t="s">
        <v>436</v>
      </c>
    </row>
    <row r="41" spans="3:6" ht="54.75" thickBot="1">
      <c r="C41" s="208"/>
      <c r="E41" s="215">
        <f>(((1+E40)^(1/12))-1)*12</f>
        <v>0.5802085499062137</v>
      </c>
      <c r="F41" s="216" t="s">
        <v>437</v>
      </c>
    </row>
    <row r="42" ht="16.5">
      <c r="C42" s="208"/>
    </row>
    <row r="43" ht="16.5">
      <c r="C43" s="208"/>
    </row>
  </sheetData>
  <mergeCells count="39">
    <mergeCell ref="E34:F34"/>
    <mergeCell ref="C36:D36"/>
    <mergeCell ref="E36:F36"/>
    <mergeCell ref="E39:F39"/>
    <mergeCell ref="C30:D30"/>
    <mergeCell ref="E30:F30"/>
    <mergeCell ref="C32:D32"/>
    <mergeCell ref="E32:F32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E20:F20"/>
    <mergeCell ref="C21:D21"/>
    <mergeCell ref="E21:F21"/>
    <mergeCell ref="C22:D22"/>
    <mergeCell ref="E22:F22"/>
    <mergeCell ref="C13:D13"/>
    <mergeCell ref="C14:D14"/>
    <mergeCell ref="C16:D16"/>
    <mergeCell ref="C20:D20"/>
    <mergeCell ref="A1:F1"/>
    <mergeCell ref="C4:D4"/>
    <mergeCell ref="E4:F16"/>
    <mergeCell ref="C5:D5"/>
    <mergeCell ref="C6:D6"/>
    <mergeCell ref="C7:D7"/>
    <mergeCell ref="C8:D8"/>
    <mergeCell ref="C9:D9"/>
    <mergeCell ref="C11:D11"/>
    <mergeCell ref="C12:D12"/>
  </mergeCells>
  <printOptions/>
  <pageMargins left="0.75" right="0.75" top="1" bottom="1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U44"/>
  <sheetViews>
    <sheetView workbookViewId="0" topLeftCell="A10">
      <selection activeCell="H15" sqref="H15:H17"/>
    </sheetView>
  </sheetViews>
  <sheetFormatPr defaultColWidth="11.421875" defaultRowHeight="12.75"/>
  <cols>
    <col min="6" max="6" width="12.421875" style="0" bestFit="1" customWidth="1"/>
    <col min="8" max="8" width="12.7109375" style="0" customWidth="1"/>
    <col min="9" max="9" width="12.140625" style="0" customWidth="1"/>
  </cols>
  <sheetData>
    <row r="1" spans="8:9" ht="12.75">
      <c r="H1" t="s">
        <v>391</v>
      </c>
      <c r="I1" s="189">
        <f>PMT(I2,36,C3,,0)</f>
        <v>-620.0704212808245</v>
      </c>
    </row>
    <row r="2" spans="2:9" ht="12.75">
      <c r="B2" t="s">
        <v>389</v>
      </c>
      <c r="C2" s="22">
        <f>'Costo de Capital'!E20</f>
        <v>0.17</v>
      </c>
      <c r="H2" t="s">
        <v>395</v>
      </c>
      <c r="I2" s="210">
        <f>15.8/12/100</f>
        <v>0.013166666666666667</v>
      </c>
    </row>
    <row r="3" spans="2:47" ht="12.75">
      <c r="B3" t="s">
        <v>390</v>
      </c>
      <c r="C3" s="26">
        <f>'Flujo de Caja'!D66*0.4</f>
        <v>17686.8</v>
      </c>
      <c r="AU3" s="3" t="s">
        <v>53</v>
      </c>
    </row>
    <row r="4" spans="9:45" ht="12.75">
      <c r="I4">
        <v>0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  <c r="V4">
        <v>13</v>
      </c>
      <c r="W4">
        <v>14</v>
      </c>
      <c r="X4">
        <v>15</v>
      </c>
      <c r="Y4">
        <v>16</v>
      </c>
      <c r="Z4">
        <v>17</v>
      </c>
      <c r="AA4">
        <v>18</v>
      </c>
      <c r="AB4">
        <v>19</v>
      </c>
      <c r="AC4">
        <v>20</v>
      </c>
      <c r="AD4">
        <v>21</v>
      </c>
      <c r="AE4">
        <v>22</v>
      </c>
      <c r="AF4">
        <v>23</v>
      </c>
      <c r="AG4">
        <v>24</v>
      </c>
      <c r="AH4">
        <v>25</v>
      </c>
      <c r="AI4">
        <v>26</v>
      </c>
      <c r="AJ4">
        <v>27</v>
      </c>
      <c r="AK4">
        <v>28</v>
      </c>
      <c r="AL4">
        <v>29</v>
      </c>
      <c r="AM4">
        <v>30</v>
      </c>
      <c r="AN4">
        <v>31</v>
      </c>
      <c r="AO4">
        <v>32</v>
      </c>
      <c r="AP4">
        <v>33</v>
      </c>
      <c r="AQ4">
        <v>34</v>
      </c>
      <c r="AR4">
        <v>35</v>
      </c>
      <c r="AS4">
        <v>36</v>
      </c>
    </row>
    <row r="5" spans="2:47" ht="12.75">
      <c r="B5" s="1" t="s">
        <v>14</v>
      </c>
      <c r="C5" s="1" t="s">
        <v>391</v>
      </c>
      <c r="D5" s="1" t="s">
        <v>393</v>
      </c>
      <c r="E5" s="1" t="s">
        <v>392</v>
      </c>
      <c r="F5" s="1" t="s">
        <v>394</v>
      </c>
      <c r="H5" t="s">
        <v>318</v>
      </c>
      <c r="I5">
        <f>$D$6</f>
        <v>0</v>
      </c>
      <c r="J5" s="9">
        <f>$D$7</f>
        <v>232.87619999999998</v>
      </c>
      <c r="K5" s="9">
        <f>$D$8</f>
        <v>227.7781427531358</v>
      </c>
      <c r="L5" s="9">
        <f>$D$9</f>
        <v>222.61296108585455</v>
      </c>
      <c r="M5" s="9">
        <f>$D$10</f>
        <v>217.37977119328744</v>
      </c>
      <c r="N5" s="9">
        <f>$D$11</f>
        <v>212.07767763380153</v>
      </c>
      <c r="O5" s="9">
        <f>$D$12</f>
        <v>206.70577317578238</v>
      </c>
      <c r="P5" s="9">
        <f>$D$13</f>
        <v>201.26313864239933</v>
      </c>
      <c r="Q5" s="9">
        <f>$D$14</f>
        <v>195.74884275432674</v>
      </c>
      <c r="R5" s="9">
        <f>$D$15</f>
        <v>190.1619419703945</v>
      </c>
      <c r="S5" s="9">
        <f>$D$16</f>
        <v>184.50148032614052</v>
      </c>
      <c r="T5" s="9">
        <f>$D$17</f>
        <v>178.7664892702372</v>
      </c>
      <c r="U5" s="9">
        <f>$D$18</f>
        <v>172.95598749876444</v>
      </c>
      <c r="V5" s="9">
        <f>$D$19</f>
        <v>167.06898078730066</v>
      </c>
      <c r="W5" s="9">
        <f>$D$20</f>
        <v>161.10446182080258</v>
      </c>
      <c r="X5" s="9">
        <f>$D$21</f>
        <v>155.06141002124562</v>
      </c>
      <c r="Y5" s="9">
        <f>$D$22</f>
        <v>148.9387913729945</v>
      </c>
      <c r="Z5" s="9">
        <f>$D$23</f>
        <v>142.73555824587476</v>
      </c>
      <c r="AA5" s="9">
        <f>$D$24</f>
        <v>136.45064921591458</v>
      </c>
      <c r="AB5" s="9">
        <f>$D$25</f>
        <v>130.08298888372659</v>
      </c>
      <c r="AC5" s="9">
        <f>$D$26</f>
        <v>123.63148769049813</v>
      </c>
      <c r="AD5" s="9">
        <f>$D$27</f>
        <v>117.09504173155882</v>
      </c>
      <c r="AE5" s="9">
        <f>$D$28</f>
        <v>110.4725325674935</v>
      </c>
      <c r="AF5" s="9">
        <f>$D$29</f>
        <v>103.76282703276797</v>
      </c>
      <c r="AG5" s="9">
        <f>$D$30</f>
        <v>96.96477704183523</v>
      </c>
      <c r="AH5" s="9">
        <f>$D$31</f>
        <v>90.07721939268855</v>
      </c>
      <c r="AI5" s="9">
        <f>$D$32</f>
        <v>83.09897556782809</v>
      </c>
      <c r="AJ5" s="9">
        <f>$D$33</f>
        <v>76.02885153260698</v>
      </c>
      <c r="AK5" s="9">
        <f>$D$34</f>
        <v>68.86563753092211</v>
      </c>
      <c r="AL5" s="9">
        <f>$D$35</f>
        <v>61.608107878215066</v>
      </c>
      <c r="AM5" s="9">
        <f>$D$36</f>
        <v>54.25502075174737</v>
      </c>
      <c r="AN5" s="9">
        <f>$D$37</f>
        <v>46.80511797811452</v>
      </c>
      <c r="AO5" s="9">
        <f>$D$38</f>
        <v>39.25712481796217</v>
      </c>
      <c r="AP5" s="9">
        <f>$D$39</f>
        <v>31.60974974786782</v>
      </c>
      <c r="AQ5" s="9">
        <f>$D$40</f>
        <v>23.861684239350556</v>
      </c>
      <c r="AR5" s="9">
        <f>$D$41</f>
        <v>16.01160253497115</v>
      </c>
      <c r="AS5" s="9">
        <f>$D$42</f>
        <v>8.058161421484082</v>
      </c>
      <c r="AU5" s="9">
        <f>SUM(I5:AS5)</f>
        <v>4635.7351661098955</v>
      </c>
    </row>
    <row r="6" spans="2:47" ht="12.75">
      <c r="B6">
        <v>0</v>
      </c>
      <c r="C6">
        <v>0</v>
      </c>
      <c r="D6">
        <v>0</v>
      </c>
      <c r="E6">
        <v>0</v>
      </c>
      <c r="F6" s="26">
        <f>C3</f>
        <v>17686.8</v>
      </c>
      <c r="AU6" s="9"/>
    </row>
    <row r="7" spans="2:47" ht="12.75">
      <c r="B7">
        <v>1</v>
      </c>
      <c r="C7" s="10">
        <f>$I$1*-1</f>
        <v>620.0704212808245</v>
      </c>
      <c r="D7" s="9">
        <f aca="true" t="shared" si="0" ref="D7:D42">F6*$I$2</f>
        <v>232.87619999999998</v>
      </c>
      <c r="E7" s="9">
        <f>C7-D7</f>
        <v>387.1942212808245</v>
      </c>
      <c r="F7" s="9">
        <f>F6-E7</f>
        <v>17299.605778719175</v>
      </c>
      <c r="G7">
        <v>0.8</v>
      </c>
      <c r="I7">
        <f>$D$6</f>
        <v>0</v>
      </c>
      <c r="J7">
        <v>1</v>
      </c>
      <c r="K7">
        <v>2</v>
      </c>
      <c r="L7">
        <v>3</v>
      </c>
      <c r="M7">
        <v>4</v>
      </c>
      <c r="N7">
        <v>5</v>
      </c>
      <c r="O7">
        <v>6</v>
      </c>
      <c r="P7">
        <v>7</v>
      </c>
      <c r="Q7">
        <v>8</v>
      </c>
      <c r="R7">
        <v>9</v>
      </c>
      <c r="S7">
        <v>10</v>
      </c>
      <c r="T7">
        <v>11</v>
      </c>
      <c r="U7">
        <v>12</v>
      </c>
      <c r="V7">
        <v>13</v>
      </c>
      <c r="W7">
        <v>14</v>
      </c>
      <c r="X7">
        <v>15</v>
      </c>
      <c r="Y7">
        <v>16</v>
      </c>
      <c r="Z7">
        <v>17</v>
      </c>
      <c r="AA7">
        <v>18</v>
      </c>
      <c r="AB7">
        <v>19</v>
      </c>
      <c r="AC7">
        <v>20</v>
      </c>
      <c r="AD7">
        <v>21</v>
      </c>
      <c r="AE7">
        <v>22</v>
      </c>
      <c r="AF7">
        <v>23</v>
      </c>
      <c r="AG7">
        <v>24</v>
      </c>
      <c r="AH7">
        <v>25</v>
      </c>
      <c r="AI7">
        <v>26</v>
      </c>
      <c r="AJ7">
        <v>27</v>
      </c>
      <c r="AK7">
        <v>28</v>
      </c>
      <c r="AL7">
        <v>29</v>
      </c>
      <c r="AM7">
        <v>30</v>
      </c>
      <c r="AN7">
        <v>31</v>
      </c>
      <c r="AO7">
        <v>32</v>
      </c>
      <c r="AP7">
        <v>33</v>
      </c>
      <c r="AQ7">
        <v>34</v>
      </c>
      <c r="AR7">
        <v>35</v>
      </c>
      <c r="AS7">
        <v>36</v>
      </c>
      <c r="AU7" s="9"/>
    </row>
    <row r="8" spans="2:47" ht="12.75">
      <c r="B8">
        <v>2</v>
      </c>
      <c r="C8" s="10">
        <f aca="true" t="shared" si="1" ref="C8:C42">$I$1*-1</f>
        <v>620.0704212808245</v>
      </c>
      <c r="D8" s="9">
        <f t="shared" si="0"/>
        <v>227.7781427531358</v>
      </c>
      <c r="E8" s="9">
        <f aca="true" t="shared" si="2" ref="E8:E42">C8-D8</f>
        <v>392.29227852768867</v>
      </c>
      <c r="F8" s="9">
        <f aca="true" t="shared" si="3" ref="F8:F42">F7-E8</f>
        <v>16907.313500191485</v>
      </c>
      <c r="H8" t="s">
        <v>435</v>
      </c>
      <c r="I8">
        <f>$E$6</f>
        <v>0</v>
      </c>
      <c r="J8" s="9">
        <f>$E$7</f>
        <v>387.1942212808245</v>
      </c>
      <c r="K8" s="9">
        <f>$E$8</f>
        <v>392.29227852768867</v>
      </c>
      <c r="L8" s="9">
        <f>$E$9</f>
        <v>397.45746019496994</v>
      </c>
      <c r="M8" s="9">
        <f>$E$10</f>
        <v>402.69065008753705</v>
      </c>
      <c r="N8" s="9">
        <f>$E$11</f>
        <v>407.99274364702296</v>
      </c>
      <c r="O8" s="9">
        <f>$E$12</f>
        <v>413.3646481050421</v>
      </c>
      <c r="P8" s="9">
        <f>$E$13</f>
        <v>418.80728263842514</v>
      </c>
      <c r="Q8" s="9">
        <f>$E$14</f>
        <v>424.3215785264977</v>
      </c>
      <c r="R8" s="9">
        <f>$E$15</f>
        <v>429.9084793104299</v>
      </c>
      <c r="S8" s="9">
        <f>$E$16</f>
        <v>435.56894095468397</v>
      </c>
      <c r="T8" s="9">
        <f>$E$17</f>
        <v>441.30393201058723</v>
      </c>
      <c r="U8" s="9">
        <f>$E$18</f>
        <v>447.11443378206</v>
      </c>
      <c r="V8" s="9">
        <f>$E$19</f>
        <v>453.0014404935238</v>
      </c>
      <c r="W8" s="9">
        <f>$E$20</f>
        <v>458.96595946002185</v>
      </c>
      <c r="X8" s="9">
        <f>$E$21</f>
        <v>465.00901125957887</v>
      </c>
      <c r="Y8" s="9">
        <f>$E$22</f>
        <v>471.13162990782996</v>
      </c>
      <c r="Z8" s="9">
        <f>$E$23</f>
        <v>477.3348630349497</v>
      </c>
      <c r="AA8" s="9">
        <f>$E$24</f>
        <v>483.61977206490985</v>
      </c>
      <c r="AB8" s="9">
        <f>$E$25</f>
        <v>489.9874323970979</v>
      </c>
      <c r="AC8" s="9">
        <f>$E$26</f>
        <v>496.4389335903263</v>
      </c>
      <c r="AD8" s="9">
        <f>$E$27</f>
        <v>502.97537954926565</v>
      </c>
      <c r="AE8" s="9">
        <f>$E$28</f>
        <v>509.597888713331</v>
      </c>
      <c r="AF8" s="9">
        <f>$E$29</f>
        <v>516.3075942480565</v>
      </c>
      <c r="AG8" s="9">
        <f>$E$30</f>
        <v>523.1056442389893</v>
      </c>
      <c r="AH8" s="9">
        <f>$E$31</f>
        <v>529.9932018881359</v>
      </c>
      <c r="AI8" s="9">
        <f>$E$32</f>
        <v>536.9714457129963</v>
      </c>
      <c r="AJ8" s="9">
        <f>$E$33</f>
        <v>544.0415697482175</v>
      </c>
      <c r="AK8" s="9">
        <f>$E$34</f>
        <v>551.2047837499024</v>
      </c>
      <c r="AL8" s="9">
        <f>$E$35</f>
        <v>558.4623134026094</v>
      </c>
      <c r="AM8" s="9">
        <f>$E$36</f>
        <v>565.8154005290771</v>
      </c>
      <c r="AN8" s="9">
        <f>$E$37</f>
        <v>573.26530330271</v>
      </c>
      <c r="AO8" s="9">
        <f>$E$38</f>
        <v>580.8132964628622</v>
      </c>
      <c r="AP8" s="9">
        <f>$E$39</f>
        <v>588.4606715329567</v>
      </c>
      <c r="AQ8" s="9">
        <f>$E$40</f>
        <v>596.2087370414739</v>
      </c>
      <c r="AR8" s="9">
        <f>$E$41</f>
        <v>604.0588187458533</v>
      </c>
      <c r="AS8" s="9">
        <f>$E$42</f>
        <v>612.0122598593404</v>
      </c>
      <c r="AU8" s="9">
        <f>SUM(I8:AS8)</f>
        <v>17686.799999999785</v>
      </c>
    </row>
    <row r="9" spans="2:6" ht="12.75">
      <c r="B9">
        <v>3</v>
      </c>
      <c r="C9" s="10">
        <f t="shared" si="1"/>
        <v>620.0704212808245</v>
      </c>
      <c r="D9" s="9">
        <f t="shared" si="0"/>
        <v>222.61296108585455</v>
      </c>
      <c r="E9" s="9">
        <f t="shared" si="2"/>
        <v>397.45746019496994</v>
      </c>
      <c r="F9" s="9">
        <f t="shared" si="3"/>
        <v>16509.856039996514</v>
      </c>
    </row>
    <row r="10" spans="2:6" ht="12.75">
      <c r="B10">
        <v>4</v>
      </c>
      <c r="C10" s="10">
        <f t="shared" si="1"/>
        <v>620.0704212808245</v>
      </c>
      <c r="D10" s="9">
        <f t="shared" si="0"/>
        <v>217.37977119328744</v>
      </c>
      <c r="E10" s="9">
        <f t="shared" si="2"/>
        <v>402.69065008753705</v>
      </c>
      <c r="F10" s="9">
        <f t="shared" si="3"/>
        <v>16107.165389908976</v>
      </c>
    </row>
    <row r="11" spans="2:6" ht="12.75">
      <c r="B11">
        <v>5</v>
      </c>
      <c r="C11" s="10">
        <f t="shared" si="1"/>
        <v>620.0704212808245</v>
      </c>
      <c r="D11" s="9">
        <f t="shared" si="0"/>
        <v>212.07767763380153</v>
      </c>
      <c r="E11" s="9">
        <f t="shared" si="2"/>
        <v>407.99274364702296</v>
      </c>
      <c r="F11" s="9">
        <f t="shared" si="3"/>
        <v>15699.172646261954</v>
      </c>
    </row>
    <row r="12" spans="2:6" ht="12.75">
      <c r="B12">
        <v>6</v>
      </c>
      <c r="C12" s="10">
        <f t="shared" si="1"/>
        <v>620.0704212808245</v>
      </c>
      <c r="D12" s="9">
        <f t="shared" si="0"/>
        <v>206.70577317578238</v>
      </c>
      <c r="E12" s="9">
        <f t="shared" si="2"/>
        <v>413.3646481050421</v>
      </c>
      <c r="F12" s="9">
        <f t="shared" si="3"/>
        <v>15285.807998156912</v>
      </c>
    </row>
    <row r="13" spans="2:6" ht="12.75">
      <c r="B13">
        <v>7</v>
      </c>
      <c r="C13" s="10">
        <f t="shared" si="1"/>
        <v>620.0704212808245</v>
      </c>
      <c r="D13" s="9">
        <f t="shared" si="0"/>
        <v>201.26313864239933</v>
      </c>
      <c r="E13" s="9">
        <f t="shared" si="2"/>
        <v>418.80728263842514</v>
      </c>
      <c r="F13" s="9">
        <f t="shared" si="3"/>
        <v>14867.000715518487</v>
      </c>
    </row>
    <row r="14" spans="2:6" ht="12.75">
      <c r="B14">
        <v>8</v>
      </c>
      <c r="C14" s="10">
        <f t="shared" si="1"/>
        <v>620.0704212808245</v>
      </c>
      <c r="D14" s="9">
        <f t="shared" si="0"/>
        <v>195.74884275432674</v>
      </c>
      <c r="E14" s="9">
        <f t="shared" si="2"/>
        <v>424.3215785264977</v>
      </c>
      <c r="F14" s="9">
        <f t="shared" si="3"/>
        <v>14442.679136991988</v>
      </c>
    </row>
    <row r="15" spans="2:6" ht="12.75">
      <c r="B15">
        <v>9</v>
      </c>
      <c r="C15" s="10">
        <f t="shared" si="1"/>
        <v>620.0704212808245</v>
      </c>
      <c r="D15" s="9">
        <f t="shared" si="0"/>
        <v>190.1619419703945</v>
      </c>
      <c r="E15" s="9">
        <f t="shared" si="2"/>
        <v>429.9084793104299</v>
      </c>
      <c r="F15" s="9">
        <f t="shared" si="3"/>
        <v>14012.770657681558</v>
      </c>
    </row>
    <row r="16" spans="2:6" ht="12.75">
      <c r="B16">
        <v>10</v>
      </c>
      <c r="C16" s="10">
        <f t="shared" si="1"/>
        <v>620.0704212808245</v>
      </c>
      <c r="D16" s="9">
        <f t="shared" si="0"/>
        <v>184.50148032614052</v>
      </c>
      <c r="E16" s="9">
        <f t="shared" si="2"/>
        <v>435.56894095468397</v>
      </c>
      <c r="F16" s="9">
        <f t="shared" si="3"/>
        <v>13577.201716726875</v>
      </c>
    </row>
    <row r="17" spans="2:6" ht="12.75">
      <c r="B17">
        <v>11</v>
      </c>
      <c r="C17" s="10">
        <f t="shared" si="1"/>
        <v>620.0704212808245</v>
      </c>
      <c r="D17" s="9">
        <f t="shared" si="0"/>
        <v>178.7664892702372</v>
      </c>
      <c r="E17" s="9">
        <f t="shared" si="2"/>
        <v>441.30393201058723</v>
      </c>
      <c r="F17" s="9">
        <f t="shared" si="3"/>
        <v>13135.897784716288</v>
      </c>
    </row>
    <row r="18" spans="2:6" ht="12.75">
      <c r="B18">
        <v>12</v>
      </c>
      <c r="C18" s="10">
        <f t="shared" si="1"/>
        <v>620.0704212808245</v>
      </c>
      <c r="D18" s="9">
        <f t="shared" si="0"/>
        <v>172.95598749876444</v>
      </c>
      <c r="E18" s="9">
        <f t="shared" si="2"/>
        <v>447.11443378206</v>
      </c>
      <c r="F18" s="9">
        <f t="shared" si="3"/>
        <v>12688.783350934227</v>
      </c>
    </row>
    <row r="19" spans="2:6" ht="12.75">
      <c r="B19">
        <v>13</v>
      </c>
      <c r="C19" s="10">
        <f t="shared" si="1"/>
        <v>620.0704212808245</v>
      </c>
      <c r="D19" s="9">
        <f t="shared" si="0"/>
        <v>167.06898078730066</v>
      </c>
      <c r="E19" s="9">
        <f t="shared" si="2"/>
        <v>453.0014404935238</v>
      </c>
      <c r="F19" s="9">
        <f t="shared" si="3"/>
        <v>12235.781910440703</v>
      </c>
    </row>
    <row r="20" spans="2:6" ht="12.75">
      <c r="B20">
        <v>14</v>
      </c>
      <c r="C20" s="10">
        <f t="shared" si="1"/>
        <v>620.0704212808245</v>
      </c>
      <c r="D20" s="9">
        <f t="shared" si="0"/>
        <v>161.10446182080258</v>
      </c>
      <c r="E20" s="9">
        <f t="shared" si="2"/>
        <v>458.96595946002185</v>
      </c>
      <c r="F20" s="9">
        <f t="shared" si="3"/>
        <v>11776.815950980681</v>
      </c>
    </row>
    <row r="21" spans="2:6" ht="12.75">
      <c r="B21">
        <v>15</v>
      </c>
      <c r="C21" s="10">
        <f t="shared" si="1"/>
        <v>620.0704212808245</v>
      </c>
      <c r="D21" s="9">
        <f t="shared" si="0"/>
        <v>155.06141002124562</v>
      </c>
      <c r="E21" s="9">
        <f t="shared" si="2"/>
        <v>465.00901125957887</v>
      </c>
      <c r="F21" s="9">
        <f t="shared" si="3"/>
        <v>11311.806939721102</v>
      </c>
    </row>
    <row r="22" spans="2:6" ht="12.75">
      <c r="B22">
        <v>16</v>
      </c>
      <c r="C22" s="10">
        <f t="shared" si="1"/>
        <v>620.0704212808245</v>
      </c>
      <c r="D22" s="9">
        <f t="shared" si="0"/>
        <v>148.9387913729945</v>
      </c>
      <c r="E22" s="9">
        <f t="shared" si="2"/>
        <v>471.13162990782996</v>
      </c>
      <c r="F22" s="9">
        <f t="shared" si="3"/>
        <v>10840.675309813272</v>
      </c>
    </row>
    <row r="23" spans="2:6" ht="12.75">
      <c r="B23">
        <v>17</v>
      </c>
      <c r="C23" s="10">
        <f t="shared" si="1"/>
        <v>620.0704212808245</v>
      </c>
      <c r="D23" s="9">
        <f t="shared" si="0"/>
        <v>142.73555824587476</v>
      </c>
      <c r="E23" s="9">
        <f t="shared" si="2"/>
        <v>477.3348630349497</v>
      </c>
      <c r="F23" s="9">
        <f t="shared" si="3"/>
        <v>10363.340446778322</v>
      </c>
    </row>
    <row r="24" spans="2:6" ht="12.75">
      <c r="B24">
        <v>18</v>
      </c>
      <c r="C24" s="10">
        <f t="shared" si="1"/>
        <v>620.0704212808245</v>
      </c>
      <c r="D24" s="9">
        <f t="shared" si="0"/>
        <v>136.45064921591458</v>
      </c>
      <c r="E24" s="9">
        <f t="shared" si="2"/>
        <v>483.61977206490985</v>
      </c>
      <c r="F24" s="9">
        <f t="shared" si="3"/>
        <v>9879.720674713411</v>
      </c>
    </row>
    <row r="25" spans="2:6" ht="12.75">
      <c r="B25">
        <v>19</v>
      </c>
      <c r="C25" s="10">
        <f t="shared" si="1"/>
        <v>620.0704212808245</v>
      </c>
      <c r="D25" s="9">
        <f t="shared" si="0"/>
        <v>130.08298888372659</v>
      </c>
      <c r="E25" s="9">
        <f t="shared" si="2"/>
        <v>489.9874323970979</v>
      </c>
      <c r="F25" s="9">
        <f t="shared" si="3"/>
        <v>9389.733242316313</v>
      </c>
    </row>
    <row r="26" spans="2:6" ht="12.75">
      <c r="B26">
        <v>20</v>
      </c>
      <c r="C26" s="10">
        <f t="shared" si="1"/>
        <v>620.0704212808245</v>
      </c>
      <c r="D26" s="9">
        <f t="shared" si="0"/>
        <v>123.63148769049813</v>
      </c>
      <c r="E26" s="9">
        <f t="shared" si="2"/>
        <v>496.4389335903263</v>
      </c>
      <c r="F26" s="9">
        <f t="shared" si="3"/>
        <v>8893.294308725986</v>
      </c>
    </row>
    <row r="27" spans="2:6" ht="12.75">
      <c r="B27">
        <v>21</v>
      </c>
      <c r="C27" s="10">
        <f t="shared" si="1"/>
        <v>620.0704212808245</v>
      </c>
      <c r="D27" s="9">
        <f t="shared" si="0"/>
        <v>117.09504173155882</v>
      </c>
      <c r="E27" s="9">
        <f t="shared" si="2"/>
        <v>502.97537954926565</v>
      </c>
      <c r="F27" s="9">
        <f t="shared" si="3"/>
        <v>8390.318929176721</v>
      </c>
    </row>
    <row r="28" spans="2:6" ht="12.75">
      <c r="B28">
        <v>22</v>
      </c>
      <c r="C28" s="10">
        <f t="shared" si="1"/>
        <v>620.0704212808245</v>
      </c>
      <c r="D28" s="9">
        <f t="shared" si="0"/>
        <v>110.4725325674935</v>
      </c>
      <c r="E28" s="9">
        <f t="shared" si="2"/>
        <v>509.597888713331</v>
      </c>
      <c r="F28" s="9">
        <f t="shared" si="3"/>
        <v>7880.721040463391</v>
      </c>
    </row>
    <row r="29" spans="2:6" ht="12.75">
      <c r="B29">
        <v>23</v>
      </c>
      <c r="C29" s="10">
        <f t="shared" si="1"/>
        <v>620.0704212808245</v>
      </c>
      <c r="D29" s="9">
        <f t="shared" si="0"/>
        <v>103.76282703276797</v>
      </c>
      <c r="E29" s="9">
        <f t="shared" si="2"/>
        <v>516.3075942480565</v>
      </c>
      <c r="F29" s="9">
        <f t="shared" si="3"/>
        <v>7364.413446215334</v>
      </c>
    </row>
    <row r="30" spans="2:6" ht="12.75">
      <c r="B30">
        <v>24</v>
      </c>
      <c r="C30" s="10">
        <f t="shared" si="1"/>
        <v>620.0704212808245</v>
      </c>
      <c r="D30" s="9">
        <f t="shared" si="0"/>
        <v>96.96477704183523</v>
      </c>
      <c r="E30" s="9">
        <f t="shared" si="2"/>
        <v>523.1056442389893</v>
      </c>
      <c r="F30" s="9">
        <f t="shared" si="3"/>
        <v>6841.307801976345</v>
      </c>
    </row>
    <row r="31" spans="2:6" ht="12.75">
      <c r="B31">
        <v>25</v>
      </c>
      <c r="C31" s="10">
        <f t="shared" si="1"/>
        <v>620.0704212808245</v>
      </c>
      <c r="D31" s="9">
        <f t="shared" si="0"/>
        <v>90.07721939268855</v>
      </c>
      <c r="E31" s="9">
        <f t="shared" si="2"/>
        <v>529.9932018881359</v>
      </c>
      <c r="F31" s="9">
        <f t="shared" si="3"/>
        <v>6311.31460008821</v>
      </c>
    </row>
    <row r="32" spans="2:6" ht="12.75">
      <c r="B32">
        <v>26</v>
      </c>
      <c r="C32" s="10">
        <f t="shared" si="1"/>
        <v>620.0704212808245</v>
      </c>
      <c r="D32" s="9">
        <f t="shared" si="0"/>
        <v>83.09897556782809</v>
      </c>
      <c r="E32" s="9">
        <f t="shared" si="2"/>
        <v>536.9714457129963</v>
      </c>
      <c r="F32" s="9">
        <f t="shared" si="3"/>
        <v>5774.343154375213</v>
      </c>
    </row>
    <row r="33" spans="2:6" ht="12.75">
      <c r="B33">
        <v>27</v>
      </c>
      <c r="C33" s="10">
        <f t="shared" si="1"/>
        <v>620.0704212808245</v>
      </c>
      <c r="D33" s="9">
        <f t="shared" si="0"/>
        <v>76.02885153260698</v>
      </c>
      <c r="E33" s="9">
        <f t="shared" si="2"/>
        <v>544.0415697482175</v>
      </c>
      <c r="F33" s="9">
        <f t="shared" si="3"/>
        <v>5230.3015846269955</v>
      </c>
    </row>
    <row r="34" spans="2:6" ht="12.75">
      <c r="B34">
        <v>28</v>
      </c>
      <c r="C34" s="10">
        <f t="shared" si="1"/>
        <v>620.0704212808245</v>
      </c>
      <c r="D34" s="9">
        <f t="shared" si="0"/>
        <v>68.86563753092211</v>
      </c>
      <c r="E34" s="9">
        <f t="shared" si="2"/>
        <v>551.2047837499024</v>
      </c>
      <c r="F34" s="9">
        <f t="shared" si="3"/>
        <v>4679.096800877093</v>
      </c>
    </row>
    <row r="35" spans="2:6" ht="12.75">
      <c r="B35">
        <v>29</v>
      </c>
      <c r="C35" s="10">
        <f t="shared" si="1"/>
        <v>620.0704212808245</v>
      </c>
      <c r="D35" s="9">
        <f t="shared" si="0"/>
        <v>61.608107878215066</v>
      </c>
      <c r="E35" s="9">
        <f t="shared" si="2"/>
        <v>558.4623134026094</v>
      </c>
      <c r="F35" s="9">
        <f t="shared" si="3"/>
        <v>4120.634487474484</v>
      </c>
    </row>
    <row r="36" spans="2:6" ht="12.75">
      <c r="B36">
        <v>30</v>
      </c>
      <c r="C36" s="10">
        <f t="shared" si="1"/>
        <v>620.0704212808245</v>
      </c>
      <c r="D36" s="9">
        <f t="shared" si="0"/>
        <v>54.25502075174737</v>
      </c>
      <c r="E36" s="9">
        <f t="shared" si="2"/>
        <v>565.8154005290771</v>
      </c>
      <c r="F36" s="9">
        <f t="shared" si="3"/>
        <v>3554.8190869454065</v>
      </c>
    </row>
    <row r="37" spans="2:6" ht="12.75">
      <c r="B37">
        <v>31</v>
      </c>
      <c r="C37" s="10">
        <f t="shared" si="1"/>
        <v>620.0704212808245</v>
      </c>
      <c r="D37" s="9">
        <f t="shared" si="0"/>
        <v>46.80511797811452</v>
      </c>
      <c r="E37" s="9">
        <f t="shared" si="2"/>
        <v>573.26530330271</v>
      </c>
      <c r="F37" s="9">
        <f t="shared" si="3"/>
        <v>2981.5537836426965</v>
      </c>
    </row>
    <row r="38" spans="2:6" ht="12.75">
      <c r="B38">
        <v>32</v>
      </c>
      <c r="C38" s="10">
        <f t="shared" si="1"/>
        <v>620.0704212808245</v>
      </c>
      <c r="D38" s="9">
        <f t="shared" si="0"/>
        <v>39.25712481796217</v>
      </c>
      <c r="E38" s="9">
        <f t="shared" si="2"/>
        <v>580.8132964628622</v>
      </c>
      <c r="F38" s="9">
        <f t="shared" si="3"/>
        <v>2400.7404871798344</v>
      </c>
    </row>
    <row r="39" spans="2:6" ht="12.75">
      <c r="B39">
        <v>33</v>
      </c>
      <c r="C39" s="10">
        <f t="shared" si="1"/>
        <v>620.0704212808245</v>
      </c>
      <c r="D39" s="9">
        <f t="shared" si="0"/>
        <v>31.60974974786782</v>
      </c>
      <c r="E39" s="9">
        <f t="shared" si="2"/>
        <v>588.4606715329567</v>
      </c>
      <c r="F39" s="9">
        <f t="shared" si="3"/>
        <v>1812.2798156468778</v>
      </c>
    </row>
    <row r="40" spans="2:6" ht="12.75">
      <c r="B40">
        <v>34</v>
      </c>
      <c r="C40" s="10">
        <f t="shared" si="1"/>
        <v>620.0704212808245</v>
      </c>
      <c r="D40" s="9">
        <f t="shared" si="0"/>
        <v>23.861684239350556</v>
      </c>
      <c r="E40" s="9">
        <f t="shared" si="2"/>
        <v>596.2087370414739</v>
      </c>
      <c r="F40" s="9">
        <f t="shared" si="3"/>
        <v>1216.0710786054037</v>
      </c>
    </row>
    <row r="41" spans="2:6" ht="12.75">
      <c r="B41">
        <v>35</v>
      </c>
      <c r="C41" s="10">
        <f t="shared" si="1"/>
        <v>620.0704212808245</v>
      </c>
      <c r="D41" s="9">
        <f t="shared" si="0"/>
        <v>16.01160253497115</v>
      </c>
      <c r="E41" s="9">
        <f t="shared" si="2"/>
        <v>604.0588187458533</v>
      </c>
      <c r="F41" s="9">
        <f t="shared" si="3"/>
        <v>612.0122598595505</v>
      </c>
    </row>
    <row r="42" spans="2:6" ht="12.75">
      <c r="B42">
        <v>36</v>
      </c>
      <c r="C42" s="10">
        <f t="shared" si="1"/>
        <v>620.0704212808245</v>
      </c>
      <c r="D42" s="9">
        <f t="shared" si="0"/>
        <v>8.058161421484082</v>
      </c>
      <c r="E42" s="9">
        <f t="shared" si="2"/>
        <v>612.0122598593404</v>
      </c>
      <c r="F42" s="9">
        <f t="shared" si="3"/>
        <v>2.1009327610954642E-10</v>
      </c>
    </row>
    <row r="43" ht="12.75">
      <c r="C43" s="211"/>
    </row>
    <row r="44" spans="4:5" ht="12.75">
      <c r="D44" s="9">
        <f>SUM(D6:D43)</f>
        <v>4635.7351661098955</v>
      </c>
      <c r="E44" s="9">
        <f>SUM(E6:E43)</f>
        <v>17686.799999999785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2" sqref="C22"/>
    </sheetView>
  </sheetViews>
  <sheetFormatPr defaultColWidth="11.421875" defaultRowHeight="12.75"/>
  <cols>
    <col min="3" max="3" width="12.28125" style="0" bestFit="1" customWidth="1"/>
    <col min="5" max="5" width="30.00390625" style="0" customWidth="1"/>
  </cols>
  <sheetData>
    <row r="1" spans="1:5" ht="12.75">
      <c r="A1" t="s">
        <v>358</v>
      </c>
      <c r="B1" t="s">
        <v>0</v>
      </c>
      <c r="C1" t="s">
        <v>359</v>
      </c>
      <c r="D1" t="s">
        <v>360</v>
      </c>
      <c r="E1" s="3" t="s">
        <v>342</v>
      </c>
    </row>
    <row r="2" spans="1:5" ht="12.75">
      <c r="A2">
        <v>98</v>
      </c>
      <c r="B2" t="s">
        <v>42</v>
      </c>
      <c r="C2">
        <v>0.8</v>
      </c>
      <c r="D2">
        <v>43.4</v>
      </c>
      <c r="E2" s="162" t="s">
        <v>343</v>
      </c>
    </row>
    <row r="3" spans="1:5" ht="12.75">
      <c r="A3">
        <v>99</v>
      </c>
      <c r="B3" t="s">
        <v>42</v>
      </c>
      <c r="C3">
        <v>5.58</v>
      </c>
      <c r="D3">
        <v>60.71</v>
      </c>
      <c r="E3" s="1"/>
    </row>
    <row r="4" spans="1:6" ht="15">
      <c r="A4">
        <v>2000</v>
      </c>
      <c r="B4" t="s">
        <v>20</v>
      </c>
      <c r="C4">
        <v>14.3</v>
      </c>
      <c r="E4" s="156" t="s">
        <v>337</v>
      </c>
      <c r="F4" s="157" t="s">
        <v>338</v>
      </c>
    </row>
    <row r="5" spans="2:6" ht="15">
      <c r="B5" t="s">
        <v>22</v>
      </c>
      <c r="C5">
        <v>10</v>
      </c>
      <c r="E5" s="158" t="s">
        <v>339</v>
      </c>
      <c r="F5" s="159" t="s">
        <v>340</v>
      </c>
    </row>
    <row r="6" spans="2:6" ht="15">
      <c r="B6" t="s">
        <v>24</v>
      </c>
      <c r="C6">
        <v>7.6</v>
      </c>
      <c r="E6" s="160" t="s">
        <v>341</v>
      </c>
      <c r="F6" s="161" t="s">
        <v>340</v>
      </c>
    </row>
    <row r="7" spans="2:3" ht="12.75">
      <c r="B7" t="s">
        <v>26</v>
      </c>
      <c r="C7">
        <v>10.2</v>
      </c>
    </row>
    <row r="8" spans="2:3" ht="12.75">
      <c r="B8" t="s">
        <v>28</v>
      </c>
      <c r="C8">
        <v>5.1</v>
      </c>
    </row>
    <row r="9" spans="2:3" ht="12.75">
      <c r="B9" t="s">
        <v>30</v>
      </c>
      <c r="C9">
        <v>5.3</v>
      </c>
    </row>
    <row r="10" spans="2:5" ht="12.75">
      <c r="B10" t="s">
        <v>32</v>
      </c>
      <c r="C10">
        <v>2.4</v>
      </c>
      <c r="D10">
        <f>(C10-C9)/C9</f>
        <v>-0.5471698113207547</v>
      </c>
      <c r="E10" s="163" t="s">
        <v>344</v>
      </c>
    </row>
    <row r="11" spans="2:5" ht="12.75">
      <c r="B11" t="s">
        <v>34</v>
      </c>
      <c r="C11">
        <v>1.4</v>
      </c>
      <c r="D11">
        <f>(C11-C10)/C10</f>
        <v>-0.4166666666666667</v>
      </c>
      <c r="E11" t="s">
        <v>345</v>
      </c>
    </row>
    <row r="12" spans="2:5" ht="12.75">
      <c r="B12" t="s">
        <v>36</v>
      </c>
      <c r="C12">
        <v>3.7</v>
      </c>
      <c r="E12" t="s">
        <v>346</v>
      </c>
    </row>
    <row r="13" spans="2:5" ht="12.75">
      <c r="B13" t="s">
        <v>38</v>
      </c>
      <c r="C13">
        <v>2.7</v>
      </c>
      <c r="E13" t="s">
        <v>347</v>
      </c>
    </row>
    <row r="14" ht="12.75">
      <c r="B14" t="s">
        <v>10</v>
      </c>
    </row>
    <row r="15" spans="3:5" ht="12.75">
      <c r="C15" s="168"/>
      <c r="E15" s="164" t="s">
        <v>348</v>
      </c>
    </row>
    <row r="16" ht="12.75">
      <c r="C16" s="37">
        <f>AVERAGE(C8:C13)</f>
        <v>3.433333333333333</v>
      </c>
    </row>
    <row r="17" spans="2:5" ht="12.75">
      <c r="B17" t="s">
        <v>358</v>
      </c>
      <c r="C17" t="s">
        <v>361</v>
      </c>
      <c r="E17" s="163" t="s">
        <v>349</v>
      </c>
    </row>
    <row r="18" spans="2:3" ht="12.75">
      <c r="B18">
        <v>1</v>
      </c>
      <c r="C18" s="170">
        <v>30</v>
      </c>
    </row>
    <row r="19" spans="2:5" ht="12.75">
      <c r="B19">
        <v>2</v>
      </c>
      <c r="C19" s="170">
        <v>15</v>
      </c>
      <c r="E19" s="163" t="s">
        <v>350</v>
      </c>
    </row>
    <row r="20" spans="2:3" ht="12.75">
      <c r="B20">
        <v>3</v>
      </c>
      <c r="C20" s="170">
        <v>10</v>
      </c>
    </row>
    <row r="21" ht="12.75">
      <c r="E21" s="163" t="s">
        <v>351</v>
      </c>
    </row>
    <row r="23" ht="101.25">
      <c r="E23" s="95" t="s">
        <v>352</v>
      </c>
    </row>
    <row r="25" ht="120">
      <c r="E25" s="166" t="s">
        <v>353</v>
      </c>
    </row>
    <row r="27" ht="120">
      <c r="E27" s="167" t="s">
        <v>354</v>
      </c>
    </row>
    <row r="29" ht="101.25">
      <c r="E29" s="95" t="s">
        <v>355</v>
      </c>
    </row>
    <row r="30" ht="12.75">
      <c r="E30" s="165"/>
    </row>
    <row r="31" ht="12.75">
      <c r="E31" s="164" t="s">
        <v>356</v>
      </c>
    </row>
    <row r="33" ht="12.75">
      <c r="E33" s="163" t="s">
        <v>357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N76"/>
  <sheetViews>
    <sheetView tabSelected="1" workbookViewId="0" topLeftCell="A1">
      <pane xSplit="3" ySplit="11" topLeftCell="D6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80" sqref="C80"/>
    </sheetView>
  </sheetViews>
  <sheetFormatPr defaultColWidth="11.421875" defaultRowHeight="12.75"/>
  <cols>
    <col min="1" max="1" width="11.421875" style="37" customWidth="1"/>
    <col min="2" max="2" width="13.57421875" style="37" customWidth="1"/>
    <col min="3" max="3" width="48.140625" style="37" customWidth="1"/>
    <col min="4" max="4" width="14.421875" style="37" bestFit="1" customWidth="1"/>
    <col min="5" max="5" width="11.28125" style="37" bestFit="1" customWidth="1"/>
    <col min="6" max="16384" width="11.421875" style="37" customWidth="1"/>
  </cols>
  <sheetData>
    <row r="2" spans="5:40" s="140" customFormat="1" ht="12.75">
      <c r="E2" s="169">
        <v>1</v>
      </c>
      <c r="F2" s="169">
        <v>2</v>
      </c>
      <c r="G2" s="169">
        <v>3</v>
      </c>
      <c r="H2" s="169">
        <v>4</v>
      </c>
      <c r="I2" s="169">
        <v>5</v>
      </c>
      <c r="J2" s="169">
        <v>6</v>
      </c>
      <c r="K2" s="169">
        <v>7</v>
      </c>
      <c r="L2" s="169">
        <v>8</v>
      </c>
      <c r="M2" s="169">
        <v>9</v>
      </c>
      <c r="N2" s="169">
        <v>10</v>
      </c>
      <c r="O2" s="169">
        <v>11</v>
      </c>
      <c r="P2" s="169">
        <v>12</v>
      </c>
      <c r="Q2" s="169">
        <v>13</v>
      </c>
      <c r="R2" s="169">
        <v>14</v>
      </c>
      <c r="S2" s="169">
        <v>15</v>
      </c>
      <c r="T2" s="169">
        <v>16</v>
      </c>
      <c r="U2" s="169">
        <v>17</v>
      </c>
      <c r="V2" s="169">
        <v>18</v>
      </c>
      <c r="W2" s="169">
        <v>19</v>
      </c>
      <c r="X2" s="169">
        <v>20</v>
      </c>
      <c r="Y2" s="169">
        <v>21</v>
      </c>
      <c r="Z2" s="169">
        <v>22</v>
      </c>
      <c r="AA2" s="169">
        <v>23</v>
      </c>
      <c r="AB2" s="169">
        <v>24</v>
      </c>
      <c r="AC2" s="169">
        <v>25</v>
      </c>
      <c r="AD2" s="169">
        <v>26</v>
      </c>
      <c r="AE2" s="169">
        <v>27</v>
      </c>
      <c r="AF2" s="169">
        <v>28</v>
      </c>
      <c r="AG2" s="169">
        <v>29</v>
      </c>
      <c r="AH2" s="169">
        <v>30</v>
      </c>
      <c r="AI2" s="169">
        <v>31</v>
      </c>
      <c r="AJ2" s="169">
        <v>32</v>
      </c>
      <c r="AK2" s="169">
        <v>33</v>
      </c>
      <c r="AL2" s="169">
        <v>34</v>
      </c>
      <c r="AM2" s="169">
        <v>35</v>
      </c>
      <c r="AN2" s="169">
        <v>36</v>
      </c>
    </row>
    <row r="3" spans="3:40" ht="12.75">
      <c r="C3" s="140" t="s">
        <v>329</v>
      </c>
      <c r="E3" s="37">
        <v>0</v>
      </c>
      <c r="F3" s="170">
        <v>10</v>
      </c>
      <c r="G3" s="37">
        <f>$F$3</f>
        <v>10</v>
      </c>
      <c r="H3" s="37">
        <f aca="true" t="shared" si="0" ref="H3:P3">$F$3</f>
        <v>10</v>
      </c>
      <c r="I3" s="37">
        <f t="shared" si="0"/>
        <v>10</v>
      </c>
      <c r="J3" s="37">
        <f t="shared" si="0"/>
        <v>10</v>
      </c>
      <c r="K3" s="37">
        <f t="shared" si="0"/>
        <v>10</v>
      </c>
      <c r="L3" s="37">
        <f t="shared" si="0"/>
        <v>10</v>
      </c>
      <c r="M3" s="37">
        <f t="shared" si="0"/>
        <v>10</v>
      </c>
      <c r="N3" s="37">
        <f t="shared" si="0"/>
        <v>10</v>
      </c>
      <c r="O3" s="37">
        <f t="shared" si="0"/>
        <v>10</v>
      </c>
      <c r="P3" s="37">
        <f t="shared" si="0"/>
        <v>10</v>
      </c>
      <c r="Q3" s="170">
        <v>15</v>
      </c>
      <c r="R3" s="37">
        <f>$Q$3</f>
        <v>15</v>
      </c>
      <c r="S3" s="37">
        <f aca="true" t="shared" si="1" ref="S3:AB3">$Q$3</f>
        <v>15</v>
      </c>
      <c r="T3" s="37">
        <f t="shared" si="1"/>
        <v>15</v>
      </c>
      <c r="U3" s="37">
        <f t="shared" si="1"/>
        <v>15</v>
      </c>
      <c r="V3" s="37">
        <f t="shared" si="1"/>
        <v>15</v>
      </c>
      <c r="W3" s="37">
        <f t="shared" si="1"/>
        <v>15</v>
      </c>
      <c r="X3" s="37">
        <f t="shared" si="1"/>
        <v>15</v>
      </c>
      <c r="Y3" s="37">
        <f t="shared" si="1"/>
        <v>15</v>
      </c>
      <c r="Z3" s="37">
        <f t="shared" si="1"/>
        <v>15</v>
      </c>
      <c r="AA3" s="37">
        <f t="shared" si="1"/>
        <v>15</v>
      </c>
      <c r="AB3" s="37">
        <f t="shared" si="1"/>
        <v>15</v>
      </c>
      <c r="AC3" s="170">
        <v>12</v>
      </c>
      <c r="AD3" s="37">
        <f>$AC$3</f>
        <v>12</v>
      </c>
      <c r="AE3" s="37">
        <f aca="true" t="shared" si="2" ref="AE3:AN3">$AC$3</f>
        <v>12</v>
      </c>
      <c r="AF3" s="37">
        <f t="shared" si="2"/>
        <v>12</v>
      </c>
      <c r="AG3" s="37">
        <f t="shared" si="2"/>
        <v>12</v>
      </c>
      <c r="AH3" s="37">
        <f t="shared" si="2"/>
        <v>12</v>
      </c>
      <c r="AI3" s="37">
        <f t="shared" si="2"/>
        <v>12</v>
      </c>
      <c r="AJ3" s="37">
        <f t="shared" si="2"/>
        <v>12</v>
      </c>
      <c r="AK3" s="37">
        <f t="shared" si="2"/>
        <v>12</v>
      </c>
      <c r="AL3" s="37">
        <f t="shared" si="2"/>
        <v>12</v>
      </c>
      <c r="AM3" s="37">
        <f t="shared" si="2"/>
        <v>12</v>
      </c>
      <c r="AN3" s="37">
        <f t="shared" si="2"/>
        <v>12</v>
      </c>
    </row>
    <row r="4" spans="3:40" ht="12.75">
      <c r="C4" s="140" t="s">
        <v>316</v>
      </c>
      <c r="E4" s="37">
        <f>Inflacion!$C$18/12</f>
        <v>2.5</v>
      </c>
      <c r="F4" s="37">
        <f>Inflacion!$C$18/12</f>
        <v>2.5</v>
      </c>
      <c r="G4" s="37">
        <f>Inflacion!$C$18/12</f>
        <v>2.5</v>
      </c>
      <c r="H4" s="37">
        <f>Inflacion!$C$18/12</f>
        <v>2.5</v>
      </c>
      <c r="I4" s="37">
        <f>Inflacion!$C$18/12</f>
        <v>2.5</v>
      </c>
      <c r="J4" s="37">
        <f>Inflacion!$C$18/12</f>
        <v>2.5</v>
      </c>
      <c r="K4" s="37">
        <f>Inflacion!$C$18/12</f>
        <v>2.5</v>
      </c>
      <c r="L4" s="37">
        <f>Inflacion!$C$18/12</f>
        <v>2.5</v>
      </c>
      <c r="M4" s="37">
        <f>Inflacion!$C$18/12</f>
        <v>2.5</v>
      </c>
      <c r="N4" s="37">
        <f>Inflacion!$C$18/12</f>
        <v>2.5</v>
      </c>
      <c r="O4" s="37">
        <f>Inflacion!$C$18/12</f>
        <v>2.5</v>
      </c>
      <c r="P4" s="37">
        <f>Inflacion!$C$18/12</f>
        <v>2.5</v>
      </c>
      <c r="Q4" s="37">
        <f>Inflacion!$C$19/12</f>
        <v>1.25</v>
      </c>
      <c r="R4" s="37">
        <f>Inflacion!$C$19/12</f>
        <v>1.25</v>
      </c>
      <c r="S4" s="37">
        <f>Inflacion!$C$19/12</f>
        <v>1.25</v>
      </c>
      <c r="T4" s="37">
        <f>Inflacion!$C$19/12</f>
        <v>1.25</v>
      </c>
      <c r="U4" s="37">
        <f>Inflacion!$C$19/12</f>
        <v>1.25</v>
      </c>
      <c r="V4" s="37">
        <f>Inflacion!$C$19/12</f>
        <v>1.25</v>
      </c>
      <c r="W4" s="37">
        <f>Inflacion!$C$19/12</f>
        <v>1.25</v>
      </c>
      <c r="X4" s="37">
        <f>Inflacion!$C$19/12</f>
        <v>1.25</v>
      </c>
      <c r="Y4" s="37">
        <f>Inflacion!$C$19/12</f>
        <v>1.25</v>
      </c>
      <c r="Z4" s="37">
        <f>Inflacion!$C$19/12</f>
        <v>1.25</v>
      </c>
      <c r="AA4" s="37">
        <f>Inflacion!$C$19/12</f>
        <v>1.25</v>
      </c>
      <c r="AB4" s="37">
        <f>Inflacion!$C$19/12</f>
        <v>1.25</v>
      </c>
      <c r="AC4" s="37">
        <f>Inflacion!$C$20/12</f>
        <v>0.8333333333333334</v>
      </c>
      <c r="AD4" s="37">
        <f>Inflacion!$C$20/12</f>
        <v>0.8333333333333334</v>
      </c>
      <c r="AE4" s="37">
        <f>Inflacion!$C$20/12</f>
        <v>0.8333333333333334</v>
      </c>
      <c r="AF4" s="37">
        <f>Inflacion!$C$20/12</f>
        <v>0.8333333333333334</v>
      </c>
      <c r="AG4" s="37">
        <f>Inflacion!$C$20/12</f>
        <v>0.8333333333333334</v>
      </c>
      <c r="AH4" s="37">
        <f>Inflacion!$C$20/12</f>
        <v>0.8333333333333334</v>
      </c>
      <c r="AI4" s="37">
        <f>Inflacion!$C$20/12</f>
        <v>0.8333333333333334</v>
      </c>
      <c r="AJ4" s="37">
        <f>Inflacion!$C$20/12</f>
        <v>0.8333333333333334</v>
      </c>
      <c r="AK4" s="37">
        <f>Inflacion!$C$20/12</f>
        <v>0.8333333333333334</v>
      </c>
      <c r="AL4" s="37">
        <f>Inflacion!$C$20/12</f>
        <v>0.8333333333333334</v>
      </c>
      <c r="AM4" s="37">
        <f>Inflacion!$C$20/12</f>
        <v>0.8333333333333334</v>
      </c>
      <c r="AN4" s="37">
        <f>Inflacion!$C$20/12</f>
        <v>0.8333333333333334</v>
      </c>
    </row>
    <row r="8" ht="15.75">
      <c r="C8" s="138" t="s">
        <v>277</v>
      </c>
    </row>
    <row r="10" ht="12.75">
      <c r="B10" s="139" t="s">
        <v>153</v>
      </c>
    </row>
    <row r="11" spans="4:40" ht="12.75">
      <c r="D11" s="141" t="s">
        <v>281</v>
      </c>
      <c r="E11" s="141" t="s">
        <v>85</v>
      </c>
      <c r="F11" s="141" t="s">
        <v>108</v>
      </c>
      <c r="G11" s="141" t="s">
        <v>282</v>
      </c>
      <c r="H11" s="141" t="s">
        <v>283</v>
      </c>
      <c r="I11" s="141" t="s">
        <v>284</v>
      </c>
      <c r="J11" s="141" t="s">
        <v>285</v>
      </c>
      <c r="K11" s="141" t="s">
        <v>286</v>
      </c>
      <c r="L11" s="141" t="s">
        <v>287</v>
      </c>
      <c r="M11" s="141" t="s">
        <v>117</v>
      </c>
      <c r="N11" s="141" t="s">
        <v>288</v>
      </c>
      <c r="O11" s="141" t="s">
        <v>119</v>
      </c>
      <c r="P11" s="141" t="s">
        <v>120</v>
      </c>
      <c r="Q11" s="141" t="s">
        <v>122</v>
      </c>
      <c r="R11" s="141" t="s">
        <v>123</v>
      </c>
      <c r="S11" s="141" t="s">
        <v>124</v>
      </c>
      <c r="T11" s="141" t="s">
        <v>125</v>
      </c>
      <c r="U11" s="141" t="s">
        <v>126</v>
      </c>
      <c r="V11" s="141" t="s">
        <v>127</v>
      </c>
      <c r="W11" s="141" t="s">
        <v>128</v>
      </c>
      <c r="X11" s="141" t="s">
        <v>129</v>
      </c>
      <c r="Y11" s="141" t="s">
        <v>130</v>
      </c>
      <c r="Z11" s="141" t="s">
        <v>131</v>
      </c>
      <c r="AA11" s="141" t="s">
        <v>132</v>
      </c>
      <c r="AB11" s="141" t="s">
        <v>133</v>
      </c>
      <c r="AC11" s="141" t="s">
        <v>135</v>
      </c>
      <c r="AD11" s="141" t="s">
        <v>136</v>
      </c>
      <c r="AE11" s="141" t="s">
        <v>137</v>
      </c>
      <c r="AF11" s="141" t="s">
        <v>138</v>
      </c>
      <c r="AG11" s="141" t="s">
        <v>139</v>
      </c>
      <c r="AH11" s="141" t="s">
        <v>140</v>
      </c>
      <c r="AI11" s="141" t="s">
        <v>141</v>
      </c>
      <c r="AJ11" s="141" t="s">
        <v>142</v>
      </c>
      <c r="AK11" s="141" t="s">
        <v>143</v>
      </c>
      <c r="AL11" s="141" t="s">
        <v>289</v>
      </c>
      <c r="AM11" s="141" t="s">
        <v>145</v>
      </c>
      <c r="AN11" s="141" t="s">
        <v>146</v>
      </c>
    </row>
    <row r="12" spans="2:3" ht="12.75">
      <c r="B12" s="142" t="s">
        <v>276</v>
      </c>
      <c r="C12" s="142"/>
    </row>
    <row r="13" spans="3:40" ht="12.75">
      <c r="C13" s="140" t="s">
        <v>278</v>
      </c>
      <c r="E13" s="140">
        <f>'Ing Subasta'!U3*(1+'Flujo de Caja'!E3%)</f>
        <v>1626</v>
      </c>
      <c r="F13" s="140">
        <f>'Ing Subasta'!V3*(1+'Flujo de Caja'!F3%)</f>
        <v>4107.400000000001</v>
      </c>
      <c r="G13" s="140">
        <f>'Ing Subasta'!W3*(1+'Flujo de Caja'!G3%)</f>
        <v>1537.8000000000002</v>
      </c>
      <c r="H13" s="140">
        <f>'Ing Subasta'!X3*(1+'Flujo de Caja'!H3%)</f>
        <v>1619.2</v>
      </c>
      <c r="I13" s="140">
        <f>'Ing Subasta'!Y3*(1+'Flujo de Caja'!I3%)</f>
        <v>3326.4</v>
      </c>
      <c r="J13" s="140">
        <f>'Ing Subasta'!Z3*(1+'Flujo de Caja'!J3%)</f>
        <v>5315.200000000001</v>
      </c>
      <c r="K13" s="140">
        <f>'Ing Subasta'!AA3*(1+'Flujo de Caja'!K3%)</f>
        <v>6010.400000000001</v>
      </c>
      <c r="L13" s="140">
        <f>'Ing Subasta'!AB3*(1+'Flujo de Caja'!L3%)</f>
        <v>1788.6000000000001</v>
      </c>
      <c r="M13" s="140">
        <f>'Ing Subasta'!AC3*(1+'Flujo de Caja'!M3%)</f>
        <v>1449.8000000000002</v>
      </c>
      <c r="N13" s="140">
        <f>'Ing Subasta'!AD3*(1+'Flujo de Caja'!N3%)</f>
        <v>2318.8</v>
      </c>
      <c r="O13" s="140">
        <f>'Ing Subasta'!AE3*(1+'Flujo de Caja'!O3%)</f>
        <v>754.6</v>
      </c>
      <c r="P13" s="140">
        <f>'Ing Subasta'!AF3*(1+'Flujo de Caja'!P3%)</f>
        <v>4076.6000000000004</v>
      </c>
      <c r="Q13" s="140">
        <f>'Ing Subasta'!AG3*(1+'Flujo de Caja'!Q3%)</f>
        <v>1248.4399999999998</v>
      </c>
      <c r="R13" s="140">
        <f>'Ing Subasta'!AH3*(1+'Flujo de Caja'!R3%)</f>
        <v>7297.554999999999</v>
      </c>
      <c r="S13" s="140">
        <f>'Ing Subasta'!AI3*(1+'Flujo de Caja'!S3%)</f>
        <v>3189.87</v>
      </c>
      <c r="T13" s="140">
        <f>'Ing Subasta'!AJ3*(1+'Flujo de Caja'!T3%)</f>
        <v>6181.365</v>
      </c>
      <c r="U13" s="140">
        <f>'Ing Subasta'!AK3*(1+'Flujo de Caja'!U3%)</f>
        <v>648.025</v>
      </c>
      <c r="V13" s="140">
        <f>'Ing Subasta'!AL3*(1+'Flujo de Caja'!V3%)</f>
        <v>2787.8299999999995</v>
      </c>
      <c r="W13" s="140">
        <f>'Ing Subasta'!AM3*(1+'Flujo de Caja'!W3%)</f>
        <v>4943.504999999999</v>
      </c>
      <c r="X13" s="140">
        <f>'Ing Subasta'!AN3*(1+'Flujo de Caja'!X3%)</f>
        <v>7297.554999999999</v>
      </c>
      <c r="Y13" s="140">
        <f>'Ing Subasta'!AO3*(1+'Flujo de Caja'!Y3%)</f>
        <v>1243.1499999999999</v>
      </c>
      <c r="Z13" s="140">
        <f>'Ing Subasta'!AP3*(1+'Flujo de Caja'!Z3%)</f>
        <v>5345.545</v>
      </c>
      <c r="AA13" s="140">
        <f>'Ing Subasta'!AQ3*(1+'Flujo de Caja'!AA3%)</f>
        <v>6390.32</v>
      </c>
      <c r="AB13" s="140">
        <f>'Ing Subasta'!AR3*(1+'Flujo de Caja'!AB3%)</f>
        <v>2150.3849999999998</v>
      </c>
      <c r="AC13" s="140">
        <f>'Ing Subasta'!AS3*(1+'Flujo de Caja'!AC3%)</f>
        <v>5771.2704</v>
      </c>
      <c r="AD13" s="140">
        <f>'Ing Subasta'!AT3*(1+'Flujo de Caja'!AD3%)</f>
        <v>4710.9888</v>
      </c>
      <c r="AE13" s="140">
        <f>'Ing Subasta'!AU3*(1+'Flujo de Caja'!AE3%)</f>
        <v>5771.2704</v>
      </c>
      <c r="AF13" s="140">
        <f>'Ing Subasta'!AV3*(1+'Flujo de Caja'!AF3%)</f>
        <v>7938.201600000001</v>
      </c>
      <c r="AG13" s="140">
        <f>'Ing Subasta'!AW3*(1+'Flujo de Caja'!AG3%)</f>
        <v>1221.0240000000001</v>
      </c>
      <c r="AH13" s="140">
        <f>'Ing Subasta'!AX3*(1+'Flujo de Caja'!AH3%)</f>
        <v>9391.0656</v>
      </c>
      <c r="AI13" s="140">
        <f>'Ing Subasta'!AY3*(1+'Flujo de Caja'!AI3%)</f>
        <v>7468.3392</v>
      </c>
      <c r="AJ13" s="140">
        <f>'Ing Subasta'!AZ3*(1+'Flujo de Caja'!AJ3%)</f>
        <v>2550.2400000000002</v>
      </c>
      <c r="AK13" s="140">
        <f>'Ing Subasta'!BA3*(1+'Flujo de Caja'!AK3%)</f>
        <v>8445.1584</v>
      </c>
      <c r="AL13" s="140">
        <f>'Ing Subasta'!BB3*(1+'Flujo de Caja'!AL3%)</f>
        <v>1452.8640000000003</v>
      </c>
      <c r="AM13" s="140">
        <f>'Ing Subasta'!BC3*(1+'Flujo de Caja'!AM3%)</f>
        <v>1109.7408</v>
      </c>
      <c r="AN13" s="140">
        <f>'Ing Subasta'!BD3*(1+'Flujo de Caja'!AN3%)</f>
        <v>8445.1584</v>
      </c>
    </row>
    <row r="14" spans="3:40" ht="12.75">
      <c r="C14" s="140" t="s">
        <v>279</v>
      </c>
      <c r="E14" s="140">
        <f>'Ing. Consultoria'!M32</f>
        <v>4440</v>
      </c>
      <c r="F14" s="140">
        <f>'Ing. Consultoria'!M33</f>
        <v>6480</v>
      </c>
      <c r="G14" s="140">
        <f>'Ing. Consultoria'!M34</f>
        <v>5640</v>
      </c>
      <c r="H14" s="140">
        <f>'Ing. Consultoria'!M35</f>
        <v>5640</v>
      </c>
      <c r="I14" s="140">
        <f>'Ing. Consultoria'!M36</f>
        <v>6840</v>
      </c>
      <c r="J14" s="140">
        <f>'Ing. Consultoria'!M37</f>
        <v>9280</v>
      </c>
      <c r="K14" s="140">
        <f>'Ing. Consultoria'!M38</f>
        <v>7320</v>
      </c>
      <c r="L14" s="140">
        <f>'Ing. Consultoria'!M39</f>
        <v>9280</v>
      </c>
      <c r="M14" s="140">
        <f>'Ing. Consultoria'!M40</f>
        <v>9680</v>
      </c>
      <c r="N14" s="140">
        <f>'Ing. Consultoria'!M41</f>
        <v>10080</v>
      </c>
      <c r="O14" s="140">
        <f>'Ing. Consultoria'!M42</f>
        <v>8440</v>
      </c>
      <c r="P14" s="140">
        <f>'Ing. Consultoria'!M43</f>
        <v>8560</v>
      </c>
      <c r="Q14" s="140">
        <f>'Ing. Consultoria'!M44</f>
        <v>5640</v>
      </c>
      <c r="R14" s="140">
        <f>'Ing. Consultoria'!M45</f>
        <v>6840</v>
      </c>
      <c r="S14" s="140">
        <f>'Ing. Consultoria'!M46</f>
        <v>5640</v>
      </c>
      <c r="T14" s="140">
        <f>'Ing. Consultoria'!M47</f>
        <v>6840</v>
      </c>
      <c r="U14" s="140">
        <f>'Ing. Consultoria'!M48</f>
        <v>6480</v>
      </c>
      <c r="V14" s="140">
        <f>'Ing. Consultoria'!M49</f>
        <v>5640</v>
      </c>
      <c r="W14" s="140">
        <f>'Ing. Consultoria'!M50</f>
        <v>8480</v>
      </c>
      <c r="X14" s="140">
        <f>'Ing. Consultoria'!M51</f>
        <v>9640</v>
      </c>
      <c r="Y14" s="140">
        <f>'Ing. Consultoria'!M52</f>
        <v>8480</v>
      </c>
      <c r="Z14" s="140">
        <f>'Ing. Consultoria'!M53</f>
        <v>9320</v>
      </c>
      <c r="AA14" s="140">
        <f>'Ing. Consultoria'!M54</f>
        <v>12920</v>
      </c>
      <c r="AB14" s="140">
        <f>'Ing. Consultoria'!M55</f>
        <v>9680</v>
      </c>
      <c r="AC14" s="140">
        <f>'Ing. Consultoria'!M56</f>
        <v>6880</v>
      </c>
      <c r="AD14" s="140">
        <f>'Ing. Consultoria'!M57</f>
        <v>6080</v>
      </c>
      <c r="AE14" s="140">
        <f>'Ing. Consultoria'!M58</f>
        <v>8480</v>
      </c>
      <c r="AF14" s="140">
        <f>'Ing. Consultoria'!M59</f>
        <v>8520</v>
      </c>
      <c r="AG14" s="140">
        <f>'Ing. Consultoria'!M60</f>
        <v>9240</v>
      </c>
      <c r="AH14" s="140">
        <f>'Ing. Consultoria'!M61</f>
        <v>8120</v>
      </c>
      <c r="AI14" s="140">
        <f>'Ing. Consultoria'!M62</f>
        <v>8480</v>
      </c>
      <c r="AJ14" s="140">
        <f>'Ing. Consultoria'!M63</f>
        <v>5680</v>
      </c>
      <c r="AK14" s="140">
        <f>'Ing. Consultoria'!M64</f>
        <v>7240</v>
      </c>
      <c r="AL14" s="140">
        <f>'Ing. Consultoria'!M65</f>
        <v>8440</v>
      </c>
      <c r="AM14" s="140">
        <f>'Ing. Consultoria'!M66</f>
        <v>9640</v>
      </c>
      <c r="AN14" s="140">
        <f>'Ing. Consultoria'!M67</f>
        <v>6840</v>
      </c>
    </row>
    <row r="15" spans="3:40" ht="12.75">
      <c r="C15" s="140" t="s">
        <v>280</v>
      </c>
      <c r="E15" s="140">
        <f>SUM(E17:E18)</f>
        <v>4376.226447096296</v>
      </c>
      <c r="F15" s="140">
        <f aca="true" t="shared" si="3" ref="F15:AN15">SUM(F17:F18)</f>
        <v>4544.346523295723</v>
      </c>
      <c r="G15" s="140">
        <f t="shared" si="3"/>
        <v>5920.837074833467</v>
      </c>
      <c r="H15" s="140">
        <f t="shared" si="3"/>
        <v>5048.812068153337</v>
      </c>
      <c r="I15" s="140">
        <f t="shared" si="3"/>
        <v>5179.650045795798</v>
      </c>
      <c r="J15" s="140">
        <f t="shared" si="3"/>
        <v>5032.585864867837</v>
      </c>
      <c r="K15" s="140">
        <f t="shared" si="3"/>
        <v>5567.965919269871</v>
      </c>
      <c r="L15" s="140">
        <f t="shared" si="3"/>
        <v>4746.837776560544</v>
      </c>
      <c r="M15" s="140">
        <f t="shared" si="3"/>
        <v>5474.529585801693</v>
      </c>
      <c r="N15" s="140">
        <f t="shared" si="3"/>
        <v>4907.935839474804</v>
      </c>
      <c r="O15" s="140">
        <f t="shared" si="3"/>
        <v>5352.460945399664</v>
      </c>
      <c r="P15" s="140">
        <f t="shared" si="3"/>
        <v>4984.157571881441</v>
      </c>
      <c r="Q15" s="140">
        <f t="shared" si="3"/>
        <v>12984.608656734392</v>
      </c>
      <c r="R15" s="140">
        <f t="shared" si="3"/>
        <v>12068.775397528725</v>
      </c>
      <c r="S15" s="140">
        <f t="shared" si="3"/>
        <v>10988.97015198417</v>
      </c>
      <c r="T15" s="140">
        <f t="shared" si="3"/>
        <v>12530.458194248615</v>
      </c>
      <c r="U15" s="140">
        <f t="shared" si="3"/>
        <v>12368.112362251979</v>
      </c>
      <c r="V15" s="140">
        <f t="shared" si="3"/>
        <v>12026.759724805468</v>
      </c>
      <c r="W15" s="140">
        <f t="shared" si="3"/>
        <v>12813.189788736845</v>
      </c>
      <c r="X15" s="140">
        <f t="shared" si="3"/>
        <v>12658.56273820699</v>
      </c>
      <c r="Y15" s="140">
        <f t="shared" si="3"/>
        <v>12549.481894449033</v>
      </c>
      <c r="Z15" s="140">
        <f t="shared" si="3"/>
        <v>13566.115640211247</v>
      </c>
      <c r="AA15" s="140">
        <f t="shared" si="3"/>
        <v>12611.18119599156</v>
      </c>
      <c r="AB15" s="140">
        <f t="shared" si="3"/>
        <v>12602.093310079836</v>
      </c>
      <c r="AC15" s="140">
        <f t="shared" si="3"/>
        <v>16109.037288832946</v>
      </c>
      <c r="AD15" s="140">
        <f t="shared" si="3"/>
        <v>15015.421589927595</v>
      </c>
      <c r="AE15" s="140">
        <f t="shared" si="3"/>
        <v>13729.23284784162</v>
      </c>
      <c r="AF15" s="140">
        <f t="shared" si="3"/>
        <v>15453.286167173543</v>
      </c>
      <c r="AG15" s="140">
        <f t="shared" si="3"/>
        <v>15213.432558883105</v>
      </c>
      <c r="AH15" s="140">
        <f t="shared" si="3"/>
        <v>14762.956951976928</v>
      </c>
      <c r="AI15" s="140">
        <f t="shared" si="3"/>
        <v>15604.386943144036</v>
      </c>
      <c r="AJ15" s="140">
        <f t="shared" si="3"/>
        <v>15358.2615486475</v>
      </c>
      <c r="AK15" s="140">
        <f t="shared" si="3"/>
        <v>15158.863773205447</v>
      </c>
      <c r="AL15" s="140">
        <f t="shared" si="3"/>
        <v>16248.060024953453</v>
      </c>
      <c r="AM15" s="140">
        <f t="shared" si="3"/>
        <v>15063.630619716185</v>
      </c>
      <c r="AN15" s="140">
        <f t="shared" si="3"/>
        <v>14960.239893887441</v>
      </c>
    </row>
    <row r="16" spans="3:40" ht="12.75">
      <c r="C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3:40" ht="12.75">
      <c r="C17" s="143" t="s">
        <v>292</v>
      </c>
      <c r="E17" s="144">
        <f>'Venta de Banners'!E18</f>
        <v>370.5</v>
      </c>
      <c r="F17" s="144">
        <f>'Venta de Banners'!E19</f>
        <v>741</v>
      </c>
      <c r="G17" s="144">
        <f>'Venta de Banners'!E20</f>
        <v>1111.5</v>
      </c>
      <c r="H17" s="144">
        <f>'Venta de Banners'!E21</f>
        <v>1167.0749999999998</v>
      </c>
      <c r="I17" s="144">
        <f>'Venta de Banners'!E22</f>
        <v>1225.42875</v>
      </c>
      <c r="J17" s="144">
        <f>'Venta de Banners'!E23</f>
        <v>1286.7001875</v>
      </c>
      <c r="K17" s="144">
        <f>'Venta de Banners'!E24</f>
        <v>1351.0351968750003</v>
      </c>
      <c r="L17" s="144">
        <f>'Venta de Banners'!E25</f>
        <v>1418.5869567187503</v>
      </c>
      <c r="M17" s="144">
        <f>'Venta de Banners'!E26</f>
        <v>1489.5163045546878</v>
      </c>
      <c r="N17" s="144">
        <f>'Venta de Banners'!E27</f>
        <v>1563.9921197824224</v>
      </c>
      <c r="O17" s="144">
        <f>'Venta de Banners'!E28</f>
        <v>1642.1917257715436</v>
      </c>
      <c r="P17" s="144">
        <f>'Venta de Banners'!E29</f>
        <v>1724.3013120601208</v>
      </c>
      <c r="Q17" s="144">
        <f>'Venta de Banners'!E30</f>
        <v>1853.3970287130433</v>
      </c>
      <c r="R17" s="144">
        <f>'Venta de Banners'!E31</f>
        <v>1946.0668801486954</v>
      </c>
      <c r="S17" s="144">
        <f>'Venta de Banners'!E32</f>
        <v>2043.3702241561305</v>
      </c>
      <c r="T17" s="144">
        <f>'Venta de Banners'!E33</f>
        <v>2145.5387353639367</v>
      </c>
      <c r="U17" s="144">
        <f>'Venta de Banners'!E34</f>
        <v>2252.815672132134</v>
      </c>
      <c r="V17" s="144">
        <f>'Venta de Banners'!E35</f>
        <v>2365.4564557387403</v>
      </c>
      <c r="W17" s="144">
        <f>'Venta de Banners'!E36</f>
        <v>2483.7292785256777</v>
      </c>
      <c r="X17" s="144">
        <f>'Venta de Banners'!E37</f>
        <v>2607.9157424519613</v>
      </c>
      <c r="Y17" s="144">
        <f>'Venta de Banners'!E38</f>
        <v>2738.31152957456</v>
      </c>
      <c r="Z17" s="144">
        <f>'Venta de Banners'!E39</f>
        <v>2875.2271060532876</v>
      </c>
      <c r="AA17" s="144">
        <f>'Venta de Banners'!E40</f>
        <v>3018.988461355953</v>
      </c>
      <c r="AB17" s="144">
        <f>'Venta de Banners'!E41</f>
        <v>3169.937884423751</v>
      </c>
      <c r="AC17" s="144">
        <f>'Venta de Banners'!E42</f>
        <v>3308.143916608396</v>
      </c>
      <c r="AD17" s="144">
        <f>'Venta de Banners'!E43</f>
        <v>3374.306794940563</v>
      </c>
      <c r="AE17" s="144">
        <f>'Venta de Banners'!E44</f>
        <v>3441.792930839375</v>
      </c>
      <c r="AF17" s="144">
        <f>'Venta de Banners'!E45</f>
        <v>3510.628789456163</v>
      </c>
      <c r="AG17" s="144">
        <f>'Venta de Banners'!E46</f>
        <v>3580.8413652452864</v>
      </c>
      <c r="AH17" s="144">
        <f>'Venta de Banners'!E47</f>
        <v>3652.458192550192</v>
      </c>
      <c r="AI17" s="144">
        <f>'Venta de Banners'!E48</f>
        <v>3725.5073564011955</v>
      </c>
      <c r="AJ17" s="144">
        <f>'Venta de Banners'!E49</f>
        <v>3800.0175035292195</v>
      </c>
      <c r="AK17" s="144">
        <f>'Venta de Banners'!E50</f>
        <v>3876.0178535998057</v>
      </c>
      <c r="AL17" s="144">
        <f>'Venta de Banners'!E51</f>
        <v>3953.5382106718002</v>
      </c>
      <c r="AM17" s="144">
        <f>'Venta de Banners'!E52</f>
        <v>4032.6089748852373</v>
      </c>
      <c r="AN17" s="144">
        <f>'Venta de Banners'!E53</f>
        <v>4113.261154382943</v>
      </c>
    </row>
    <row r="18" spans="3:40" ht="12.75">
      <c r="C18" s="140" t="s">
        <v>293</v>
      </c>
      <c r="E18" s="144">
        <f>'Publicaciones 1er año'!H37</f>
        <v>4005.7264470962964</v>
      </c>
      <c r="F18" s="144">
        <f>'Publicaciones 1er año'!H38</f>
        <v>3803.3465232957233</v>
      </c>
      <c r="G18" s="144">
        <f>'Publicaciones 1er año'!H39</f>
        <v>4809.337074833467</v>
      </c>
      <c r="H18" s="144">
        <f>'Publicaciones 1er año'!H40</f>
        <v>3881.7370681533375</v>
      </c>
      <c r="I18" s="144">
        <f>'Publicaciones 1er año'!H41</f>
        <v>3954.221295795798</v>
      </c>
      <c r="J18" s="144">
        <f>'Publicaciones 1er año'!H42</f>
        <v>3745.8856773678367</v>
      </c>
      <c r="K18" s="144">
        <f>'Publicaciones 1er año'!H43</f>
        <v>4216.930722394871</v>
      </c>
      <c r="L18" s="144">
        <f>'Publicaciones 1er año'!H44</f>
        <v>3328.2508198417936</v>
      </c>
      <c r="M18" s="144">
        <f>'Publicaciones 1er año'!H45</f>
        <v>3985.0132812470056</v>
      </c>
      <c r="N18" s="144">
        <f>'Publicaciones 1er año'!H46</f>
        <v>3343.943719692382</v>
      </c>
      <c r="O18" s="144">
        <f>'Publicaciones 1er año'!H47</f>
        <v>3710.2692196281196</v>
      </c>
      <c r="P18" s="144">
        <f>'Publicaciones 1er año'!H48</f>
        <v>3259.8562598213202</v>
      </c>
      <c r="Q18" s="144">
        <f>'Publicaciones 2do año'!H7</f>
        <v>11131.211628021349</v>
      </c>
      <c r="R18" s="144">
        <f>'Publicaciones 2do año'!H8</f>
        <v>10122.70851738003</v>
      </c>
      <c r="S18" s="144">
        <f>'Publicaciones 2do año'!H9</f>
        <v>8945.59992782804</v>
      </c>
      <c r="T18" s="144">
        <f>'Publicaciones 2do año'!H10</f>
        <v>10384.919458884679</v>
      </c>
      <c r="U18" s="144">
        <f>'Publicaciones 2do año'!H11</f>
        <v>10115.296690119845</v>
      </c>
      <c r="V18" s="144">
        <f>'Publicaciones 2do año'!H12</f>
        <v>9661.303269066728</v>
      </c>
      <c r="W18" s="144">
        <f>'Publicaciones 2do año'!H13</f>
        <v>10329.460510211167</v>
      </c>
      <c r="X18" s="144">
        <f>'Publicaciones 2do año'!H14</f>
        <v>10050.646995755029</v>
      </c>
      <c r="Y18" s="144">
        <f>'Publicaciones 2do año'!H15</f>
        <v>9811.170364874471</v>
      </c>
      <c r="Z18" s="144">
        <f>'Publicaciones 2do año'!H16</f>
        <v>10690.888534157959</v>
      </c>
      <c r="AA18" s="144">
        <f>'Publicaciones 2do año'!H17</f>
        <v>9592.192734635606</v>
      </c>
      <c r="AB18" s="144">
        <f>'Publicaciones 2do año'!H18</f>
        <v>9432.155425656085</v>
      </c>
      <c r="AC18" s="144">
        <f>'Publicaciones 2do año'!I7</f>
        <v>12800.89337222455</v>
      </c>
      <c r="AD18" s="144">
        <f>'Publicaciones 2do año'!I8</f>
        <v>11641.114794987032</v>
      </c>
      <c r="AE18" s="144">
        <f>'Publicaciones 2do año'!I9</f>
        <v>10287.439917002244</v>
      </c>
      <c r="AF18" s="144">
        <f>'Publicaciones 2do año'!I10</f>
        <v>11942.65737771738</v>
      </c>
      <c r="AG18" s="144">
        <f>'Publicaciones 2do año'!I11</f>
        <v>11632.59119363782</v>
      </c>
      <c r="AH18" s="144">
        <f>'Publicaciones 2do año'!I12</f>
        <v>11110.498759426737</v>
      </c>
      <c r="AI18" s="144">
        <f>'Publicaciones 2do año'!I13</f>
        <v>11878.879586742842</v>
      </c>
      <c r="AJ18" s="144">
        <f>'Publicaciones 2do año'!I14</f>
        <v>11558.244045118281</v>
      </c>
      <c r="AK18" s="144">
        <f>'Publicaciones 2do año'!I15</f>
        <v>11282.845919605641</v>
      </c>
      <c r="AL18" s="144">
        <f>'Publicaciones 2do año'!I16</f>
        <v>12294.521814281652</v>
      </c>
      <c r="AM18" s="144">
        <f>'Publicaciones 2do año'!I17</f>
        <v>11031.021644830947</v>
      </c>
      <c r="AN18" s="144">
        <f>'Publicaciones 2do año'!I18</f>
        <v>10846.978739504499</v>
      </c>
    </row>
    <row r="19" ht="12.75">
      <c r="C19" s="140"/>
    </row>
    <row r="20" ht="12.75">
      <c r="C20" s="140"/>
    </row>
    <row r="21" ht="12.75">
      <c r="C21" s="140"/>
    </row>
    <row r="22" spans="3:40" ht="12.75">
      <c r="C22" s="145" t="s">
        <v>290</v>
      </c>
      <c r="E22" s="140">
        <f>SUM(E13:E15)*(1+E4%)</f>
        <v>10703.282108273703</v>
      </c>
      <c r="F22" s="140">
        <f>SUM(F13:F15)*(1+F4%)</f>
        <v>15510.040186378117</v>
      </c>
      <c r="G22" s="140">
        <f aca="true" t="shared" si="4" ref="G22:AN22">SUM(G13:G15)*(1+G4%)</f>
        <v>13426.103001704301</v>
      </c>
      <c r="H22" s="140">
        <f t="shared" si="4"/>
        <v>12615.712369857169</v>
      </c>
      <c r="I22" s="140">
        <f t="shared" si="4"/>
        <v>15729.70129694069</v>
      </c>
      <c r="J22" s="140">
        <f t="shared" si="4"/>
        <v>20118.48051148953</v>
      </c>
      <c r="K22" s="140">
        <f t="shared" si="4"/>
        <v>19370.82506725162</v>
      </c>
      <c r="L22" s="140">
        <f t="shared" si="4"/>
        <v>16210.823720974557</v>
      </c>
      <c r="M22" s="140">
        <f t="shared" si="4"/>
        <v>17019.437825446734</v>
      </c>
      <c r="N22" s="140">
        <f t="shared" si="4"/>
        <v>17739.404235461672</v>
      </c>
      <c r="O22" s="140">
        <f t="shared" si="4"/>
        <v>14910.737469034655</v>
      </c>
      <c r="P22" s="140">
        <f t="shared" si="4"/>
        <v>18061.276511178476</v>
      </c>
      <c r="Q22" s="140">
        <f t="shared" si="4"/>
        <v>20121.46176494357</v>
      </c>
      <c r="R22" s="140">
        <f t="shared" si="4"/>
        <v>26533.909527497835</v>
      </c>
      <c r="S22" s="140">
        <f t="shared" si="4"/>
        <v>20066.57565388397</v>
      </c>
      <c r="T22" s="140">
        <f t="shared" si="4"/>
        <v>25871.22098417672</v>
      </c>
      <c r="U22" s="140">
        <f t="shared" si="4"/>
        <v>19739.83907928013</v>
      </c>
      <c r="V22" s="140">
        <f t="shared" si="4"/>
        <v>20710.272096365534</v>
      </c>
      <c r="W22" s="140">
        <f t="shared" si="4"/>
        <v>26564.653473596052</v>
      </c>
      <c r="X22" s="140">
        <f t="shared" si="4"/>
        <v>29966.069209934576</v>
      </c>
      <c r="Y22" s="140">
        <f t="shared" si="4"/>
        <v>22551.039793129647</v>
      </c>
      <c r="Z22" s="140">
        <f t="shared" si="4"/>
        <v>28584.556398213885</v>
      </c>
      <c r="AA22" s="140">
        <f t="shared" si="4"/>
        <v>32320.519960941452</v>
      </c>
      <c r="AB22" s="140">
        <f t="shared" si="4"/>
        <v>24737.884288955836</v>
      </c>
      <c r="AC22" s="140">
        <f t="shared" si="4"/>
        <v>28999.97691957322</v>
      </c>
      <c r="AD22" s="140">
        <f t="shared" si="4"/>
        <v>26021.463809843655</v>
      </c>
      <c r="AE22" s="140">
        <f t="shared" si="4"/>
        <v>28213.674108240302</v>
      </c>
      <c r="AF22" s="140">
        <f t="shared" si="4"/>
        <v>32177.41683189999</v>
      </c>
      <c r="AG22" s="140">
        <f t="shared" si="4"/>
        <v>25888.41036354046</v>
      </c>
      <c r="AH22" s="140">
        <f t="shared" si="4"/>
        <v>32542.97273991007</v>
      </c>
      <c r="AI22" s="140">
        <f t="shared" si="4"/>
        <v>31815.665527670233</v>
      </c>
      <c r="AJ22" s="140">
        <f t="shared" si="4"/>
        <v>23785.072394886232</v>
      </c>
      <c r="AK22" s="140">
        <f t="shared" si="4"/>
        <v>31101.055691315494</v>
      </c>
      <c r="AL22" s="140">
        <f t="shared" si="4"/>
        <v>26358.76505849473</v>
      </c>
      <c r="AM22" s="140">
        <f t="shared" si="4"/>
        <v>26028.48284821382</v>
      </c>
      <c r="AN22" s="140">
        <f t="shared" si="4"/>
        <v>30497.443279669835</v>
      </c>
    </row>
    <row r="23" spans="3:40" ht="12.75">
      <c r="C23" s="147" t="s">
        <v>397</v>
      </c>
      <c r="E23" s="37">
        <f>E22/((1+E4%)*((1+$D$75)^E2))</f>
        <v>9941.145575326495</v>
      </c>
      <c r="F23" s="37">
        <f aca="true" t="shared" si="5" ref="F23:AN23">F22/((1+F4%)*((1+$D$75)^F2))</f>
        <v>13714.365222018778</v>
      </c>
      <c r="G23" s="37">
        <f t="shared" si="5"/>
        <v>11302.020455064656</v>
      </c>
      <c r="H23" s="37">
        <f t="shared" si="5"/>
        <v>10110.234286028475</v>
      </c>
      <c r="I23" s="37">
        <f t="shared" si="5"/>
        <v>12000.884141319975</v>
      </c>
      <c r="J23" s="37">
        <f t="shared" si="5"/>
        <v>14612.726998462773</v>
      </c>
      <c r="K23" s="37">
        <f t="shared" si="5"/>
        <v>13394.531864718716</v>
      </c>
      <c r="L23" s="37">
        <f t="shared" si="5"/>
        <v>10671.55803111776</v>
      </c>
      <c r="M23" s="37">
        <f t="shared" si="5"/>
        <v>10666.238352430131</v>
      </c>
      <c r="N23" s="37">
        <f t="shared" si="5"/>
        <v>10583.965866704668</v>
      </c>
      <c r="O23" s="37">
        <f t="shared" si="5"/>
        <v>8469.384515935706</v>
      </c>
      <c r="P23" s="37">
        <f t="shared" si="5"/>
        <v>9766.62459859225</v>
      </c>
      <c r="Q23" s="37">
        <f t="shared" si="5"/>
        <v>10486.431909925199</v>
      </c>
      <c r="R23" s="37">
        <f t="shared" si="5"/>
        <v>13164.755087905553</v>
      </c>
      <c r="S23" s="37">
        <f t="shared" si="5"/>
        <v>9478.249429989673</v>
      </c>
      <c r="T23" s="37">
        <f t="shared" si="5"/>
        <v>11633.626559792952</v>
      </c>
      <c r="U23" s="37">
        <f t="shared" si="5"/>
        <v>8450.552957772876</v>
      </c>
      <c r="V23" s="37">
        <f t="shared" si="5"/>
        <v>8440.54813922526</v>
      </c>
      <c r="W23" s="37">
        <f t="shared" si="5"/>
        <v>10307.00123262129</v>
      </c>
      <c r="X23" s="37">
        <f t="shared" si="5"/>
        <v>11068.818793660996</v>
      </c>
      <c r="Y23" s="37">
        <f t="shared" si="5"/>
        <v>7930.149912837819</v>
      </c>
      <c r="Z23" s="37">
        <f t="shared" si="5"/>
        <v>9569.507991215192</v>
      </c>
      <c r="AA23" s="37">
        <f t="shared" si="5"/>
        <v>10301.010221748222</v>
      </c>
      <c r="AB23" s="37">
        <f t="shared" si="5"/>
        <v>7505.979250982779</v>
      </c>
      <c r="AC23" s="37">
        <f t="shared" si="5"/>
        <v>8411.562810096415</v>
      </c>
      <c r="AD23" s="37">
        <f t="shared" si="5"/>
        <v>7185.451960810805</v>
      </c>
      <c r="AE23" s="37">
        <f t="shared" si="5"/>
        <v>7416.949783901557</v>
      </c>
      <c r="AF23" s="37">
        <f t="shared" si="5"/>
        <v>8053.046301908132</v>
      </c>
      <c r="AG23" s="37">
        <f t="shared" si="5"/>
        <v>6168.189821141374</v>
      </c>
      <c r="AH23" s="37">
        <f t="shared" si="5"/>
        <v>7381.640581429355</v>
      </c>
      <c r="AI23" s="37">
        <f t="shared" si="5"/>
        <v>6870.36818582453</v>
      </c>
      <c r="AJ23" s="37">
        <f t="shared" si="5"/>
        <v>4889.751668483005</v>
      </c>
      <c r="AK23" s="37">
        <f t="shared" si="5"/>
        <v>6086.964703614464</v>
      </c>
      <c r="AL23" s="37">
        <f t="shared" si="5"/>
        <v>4911.272576447175</v>
      </c>
      <c r="AM23" s="37">
        <f t="shared" si="5"/>
        <v>4617.013668472416</v>
      </c>
      <c r="AN23" s="37">
        <f t="shared" si="5"/>
        <v>5150.140350062117</v>
      </c>
    </row>
    <row r="24" ht="12.75">
      <c r="B24" s="146" t="s">
        <v>291</v>
      </c>
    </row>
    <row r="25" spans="3:40" ht="12.75">
      <c r="C25" s="147" t="s">
        <v>336</v>
      </c>
      <c r="E25" s="37">
        <f>Costos!B34</f>
        <v>4543</v>
      </c>
      <c r="F25" s="37">
        <f>E25</f>
        <v>4543</v>
      </c>
      <c r="G25" s="37">
        <f>$F$25</f>
        <v>4543</v>
      </c>
      <c r="H25" s="37">
        <f aca="true" t="shared" si="6" ref="H25:P25">$F$25</f>
        <v>4543</v>
      </c>
      <c r="I25" s="37">
        <f t="shared" si="6"/>
        <v>4543</v>
      </c>
      <c r="J25" s="37">
        <f t="shared" si="6"/>
        <v>4543</v>
      </c>
      <c r="K25" s="37">
        <f t="shared" si="6"/>
        <v>4543</v>
      </c>
      <c r="L25" s="37">
        <f t="shared" si="6"/>
        <v>4543</v>
      </c>
      <c r="M25" s="37">
        <f t="shared" si="6"/>
        <v>4543</v>
      </c>
      <c r="N25" s="37">
        <f t="shared" si="6"/>
        <v>4543</v>
      </c>
      <c r="O25" s="37">
        <f t="shared" si="6"/>
        <v>4543</v>
      </c>
      <c r="P25" s="37">
        <f t="shared" si="6"/>
        <v>4543</v>
      </c>
      <c r="Q25" s="37">
        <f>$P$25*(1+(SUM(E4:P4)%))</f>
        <v>5905.900000000001</v>
      </c>
      <c r="R25" s="37">
        <f>$Q$25</f>
        <v>5905.900000000001</v>
      </c>
      <c r="S25" s="37">
        <f aca="true" t="shared" si="7" ref="S25:AB25">$Q$25</f>
        <v>5905.900000000001</v>
      </c>
      <c r="T25" s="37">
        <f t="shared" si="7"/>
        <v>5905.900000000001</v>
      </c>
      <c r="U25" s="37">
        <f t="shared" si="7"/>
        <v>5905.900000000001</v>
      </c>
      <c r="V25" s="37">
        <f t="shared" si="7"/>
        <v>5905.900000000001</v>
      </c>
      <c r="W25" s="37">
        <f t="shared" si="7"/>
        <v>5905.900000000001</v>
      </c>
      <c r="X25" s="37">
        <f t="shared" si="7"/>
        <v>5905.900000000001</v>
      </c>
      <c r="Y25" s="37">
        <f t="shared" si="7"/>
        <v>5905.900000000001</v>
      </c>
      <c r="Z25" s="37">
        <f t="shared" si="7"/>
        <v>5905.900000000001</v>
      </c>
      <c r="AA25" s="37">
        <f t="shared" si="7"/>
        <v>5905.900000000001</v>
      </c>
      <c r="AB25" s="37">
        <f t="shared" si="7"/>
        <v>5905.900000000001</v>
      </c>
      <c r="AC25" s="37">
        <f>AB25*(1+(SUM(Q4:AB4)%))</f>
        <v>6791.785</v>
      </c>
      <c r="AD25" s="37">
        <f>$AC$25</f>
        <v>6791.785</v>
      </c>
      <c r="AE25" s="37">
        <f aca="true" t="shared" si="8" ref="AE25:AN25">$AC$25</f>
        <v>6791.785</v>
      </c>
      <c r="AF25" s="37">
        <f t="shared" si="8"/>
        <v>6791.785</v>
      </c>
      <c r="AG25" s="37">
        <f t="shared" si="8"/>
        <v>6791.785</v>
      </c>
      <c r="AH25" s="37">
        <f t="shared" si="8"/>
        <v>6791.785</v>
      </c>
      <c r="AI25" s="37">
        <f t="shared" si="8"/>
        <v>6791.785</v>
      </c>
      <c r="AJ25" s="37">
        <f t="shared" si="8"/>
        <v>6791.785</v>
      </c>
      <c r="AK25" s="37">
        <f t="shared" si="8"/>
        <v>6791.785</v>
      </c>
      <c r="AL25" s="37">
        <f t="shared" si="8"/>
        <v>6791.785</v>
      </c>
      <c r="AM25" s="37">
        <f t="shared" si="8"/>
        <v>6791.785</v>
      </c>
      <c r="AN25" s="37">
        <f t="shared" si="8"/>
        <v>6791.785</v>
      </c>
    </row>
    <row r="26" spans="3:40" ht="12.75">
      <c r="C26" s="147" t="s">
        <v>304</v>
      </c>
      <c r="E26" s="37">
        <v>0</v>
      </c>
      <c r="F26" s="37">
        <f>30</f>
        <v>30</v>
      </c>
      <c r="G26" s="37">
        <f>$F$26</f>
        <v>30</v>
      </c>
      <c r="H26" s="37">
        <f aca="true" t="shared" si="9" ref="H26:P26">$F$26</f>
        <v>30</v>
      </c>
      <c r="I26" s="37">
        <f t="shared" si="9"/>
        <v>30</v>
      </c>
      <c r="J26" s="37">
        <f t="shared" si="9"/>
        <v>30</v>
      </c>
      <c r="K26" s="37">
        <f t="shared" si="9"/>
        <v>30</v>
      </c>
      <c r="L26" s="37">
        <f t="shared" si="9"/>
        <v>30</v>
      </c>
      <c r="M26" s="37">
        <f t="shared" si="9"/>
        <v>30</v>
      </c>
      <c r="N26" s="37">
        <f t="shared" si="9"/>
        <v>30</v>
      </c>
      <c r="O26" s="37">
        <f t="shared" si="9"/>
        <v>30</v>
      </c>
      <c r="P26" s="37">
        <f t="shared" si="9"/>
        <v>30</v>
      </c>
      <c r="Q26" s="37">
        <f>Costos!$F$84</f>
        <v>30</v>
      </c>
      <c r="R26" s="37">
        <f>Costos!$F$84</f>
        <v>30</v>
      </c>
      <c r="S26" s="37">
        <f>Costos!$F$84</f>
        <v>30</v>
      </c>
      <c r="T26" s="37">
        <f>Costos!$F$84</f>
        <v>30</v>
      </c>
      <c r="U26" s="37">
        <f>Costos!$F$84</f>
        <v>30</v>
      </c>
      <c r="V26" s="37">
        <f>Costos!$F$84</f>
        <v>30</v>
      </c>
      <c r="W26" s="37">
        <f>Costos!$F$84</f>
        <v>30</v>
      </c>
      <c r="X26" s="37">
        <f>Costos!$F$84</f>
        <v>30</v>
      </c>
      <c r="Y26" s="37">
        <f>Costos!$F$84</f>
        <v>30</v>
      </c>
      <c r="Z26" s="37">
        <f>Costos!$F$84</f>
        <v>30</v>
      </c>
      <c r="AA26" s="37">
        <f>Costos!$F$84</f>
        <v>30</v>
      </c>
      <c r="AB26" s="37">
        <f>Costos!$F$84</f>
        <v>30</v>
      </c>
      <c r="AC26" s="37">
        <f>Costos!$F$84</f>
        <v>30</v>
      </c>
      <c r="AD26" s="37">
        <f>Costos!$F$84</f>
        <v>30</v>
      </c>
      <c r="AE26" s="37">
        <f>Costos!$F$84</f>
        <v>30</v>
      </c>
      <c r="AF26" s="37">
        <f>Costos!$F$84</f>
        <v>30</v>
      </c>
      <c r="AG26" s="37">
        <f>Costos!$F$84</f>
        <v>30</v>
      </c>
      <c r="AH26" s="37">
        <f>Costos!$F$84</f>
        <v>30</v>
      </c>
      <c r="AI26" s="37">
        <f>Costos!$F$84</f>
        <v>30</v>
      </c>
      <c r="AJ26" s="37">
        <f>Costos!$F$84</f>
        <v>30</v>
      </c>
      <c r="AK26" s="37">
        <f>Costos!$F$84</f>
        <v>30</v>
      </c>
      <c r="AL26" s="37">
        <f>Costos!$F$84</f>
        <v>30</v>
      </c>
      <c r="AM26" s="37">
        <f>Costos!$F$84</f>
        <v>30</v>
      </c>
      <c r="AN26" s="37">
        <f>Costos!$F$84</f>
        <v>30</v>
      </c>
    </row>
    <row r="27" spans="3:40" ht="12.75">
      <c r="C27" s="147" t="s">
        <v>305</v>
      </c>
      <c r="E27" s="37">
        <v>0</v>
      </c>
      <c r="F27" s="37">
        <f>280</f>
        <v>280</v>
      </c>
      <c r="G27" s="37">
        <f>$F$27</f>
        <v>280</v>
      </c>
      <c r="H27" s="37">
        <f aca="true" t="shared" si="10" ref="H27:P27">$F$27</f>
        <v>280</v>
      </c>
      <c r="I27" s="37">
        <f t="shared" si="10"/>
        <v>280</v>
      </c>
      <c r="J27" s="37">
        <f t="shared" si="10"/>
        <v>280</v>
      </c>
      <c r="K27" s="37">
        <f t="shared" si="10"/>
        <v>280</v>
      </c>
      <c r="L27" s="37">
        <f t="shared" si="10"/>
        <v>280</v>
      </c>
      <c r="M27" s="37">
        <f t="shared" si="10"/>
        <v>280</v>
      </c>
      <c r="N27" s="37">
        <f t="shared" si="10"/>
        <v>280</v>
      </c>
      <c r="O27" s="37">
        <f t="shared" si="10"/>
        <v>280</v>
      </c>
      <c r="P27" s="37">
        <f t="shared" si="10"/>
        <v>280</v>
      </c>
      <c r="Q27" s="37">
        <f>Costos!$E$85</f>
        <v>280</v>
      </c>
      <c r="R27" s="37">
        <f>Costos!$E$85</f>
        <v>280</v>
      </c>
      <c r="S27" s="37">
        <f>Costos!$E$85</f>
        <v>280</v>
      </c>
      <c r="T27" s="37">
        <f>Costos!$E$85</f>
        <v>280</v>
      </c>
      <c r="U27" s="37">
        <f>Costos!$E$85</f>
        <v>280</v>
      </c>
      <c r="V27" s="37">
        <f>Costos!$E$85</f>
        <v>280</v>
      </c>
      <c r="W27" s="37">
        <f>Costos!$E$85</f>
        <v>280</v>
      </c>
      <c r="X27" s="37">
        <f>Costos!$E$85</f>
        <v>280</v>
      </c>
      <c r="Y27" s="37">
        <f>Costos!$E$85</f>
        <v>280</v>
      </c>
      <c r="Z27" s="37">
        <f>Costos!$E$85</f>
        <v>280</v>
      </c>
      <c r="AA27" s="37">
        <f>Costos!$E$85</f>
        <v>280</v>
      </c>
      <c r="AB27" s="37">
        <f>Costos!$E$85</f>
        <v>280</v>
      </c>
      <c r="AC27" s="37">
        <f>Costos!$E$85</f>
        <v>280</v>
      </c>
      <c r="AD27" s="37">
        <f>Costos!$E$85</f>
        <v>280</v>
      </c>
      <c r="AE27" s="37">
        <f>Costos!$E$85</f>
        <v>280</v>
      </c>
      <c r="AF27" s="37">
        <f>Costos!$E$85</f>
        <v>280</v>
      </c>
      <c r="AG27" s="37">
        <f>Costos!$E$85</f>
        <v>280</v>
      </c>
      <c r="AH27" s="37">
        <f>Costos!$E$85</f>
        <v>280</v>
      </c>
      <c r="AI27" s="37">
        <f>Costos!$E$85</f>
        <v>280</v>
      </c>
      <c r="AJ27" s="37">
        <f>Costos!$E$85</f>
        <v>280</v>
      </c>
      <c r="AK27" s="37">
        <f>Costos!$E$85</f>
        <v>280</v>
      </c>
      <c r="AL27" s="37">
        <f>Costos!$E$85</f>
        <v>280</v>
      </c>
      <c r="AM27" s="37">
        <f>Costos!$E$85</f>
        <v>280</v>
      </c>
      <c r="AN27" s="37">
        <f>Costos!$E$85</f>
        <v>280</v>
      </c>
    </row>
    <row r="28" spans="3:40" ht="12.75">
      <c r="C28" s="147" t="s">
        <v>327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f>Costos!B6</f>
        <v>150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</row>
    <row r="29" spans="3:40" ht="12.75">
      <c r="C29" s="147" t="s">
        <v>302</v>
      </c>
      <c r="E29" s="37">
        <f>Costos!$E$44</f>
        <v>250</v>
      </c>
      <c r="F29" s="37">
        <f>Costos!$E$44</f>
        <v>250</v>
      </c>
      <c r="G29" s="37">
        <f>Costos!$E$44</f>
        <v>250</v>
      </c>
      <c r="H29" s="37">
        <f>Costos!$E$44</f>
        <v>250</v>
      </c>
      <c r="I29" s="37">
        <f>Costos!$E$44</f>
        <v>250</v>
      </c>
      <c r="J29" s="37">
        <f>Costos!$E$44</f>
        <v>250</v>
      </c>
      <c r="K29" s="37">
        <f>Costos!$E$44</f>
        <v>250</v>
      </c>
      <c r="L29" s="37">
        <f>Costos!$E$44</f>
        <v>250</v>
      </c>
      <c r="M29" s="37">
        <f>Costos!$E$44</f>
        <v>250</v>
      </c>
      <c r="N29" s="37">
        <f>Costos!$E$44</f>
        <v>250</v>
      </c>
      <c r="O29" s="37">
        <f>Costos!$E$44</f>
        <v>250</v>
      </c>
      <c r="P29" s="37">
        <f>Costos!$E$44</f>
        <v>250</v>
      </c>
      <c r="Q29" s="37">
        <f>Costos!$E$44</f>
        <v>250</v>
      </c>
      <c r="R29" s="37">
        <f>Costos!$E$44</f>
        <v>250</v>
      </c>
      <c r="S29" s="37">
        <f>Costos!$E$44</f>
        <v>250</v>
      </c>
      <c r="T29" s="37">
        <f>Costos!$E$44</f>
        <v>250</v>
      </c>
      <c r="U29" s="37">
        <f>Costos!$E$44</f>
        <v>250</v>
      </c>
      <c r="V29" s="37">
        <f>Costos!$E$44</f>
        <v>250</v>
      </c>
      <c r="W29" s="37">
        <f>Costos!$E$44</f>
        <v>250</v>
      </c>
      <c r="X29" s="37">
        <f>Costos!$E$44</f>
        <v>250</v>
      </c>
      <c r="Y29" s="37">
        <f>Costos!$E$44</f>
        <v>250</v>
      </c>
      <c r="Z29" s="37">
        <f>Costos!$E$44</f>
        <v>250</v>
      </c>
      <c r="AA29" s="37">
        <f>Costos!$E$44</f>
        <v>250</v>
      </c>
      <c r="AB29" s="37">
        <f>Costos!$E$44</f>
        <v>250</v>
      </c>
      <c r="AC29" s="37">
        <f>Costos!$E$44</f>
        <v>250</v>
      </c>
      <c r="AD29" s="37">
        <f>Costos!$E$44</f>
        <v>250</v>
      </c>
      <c r="AE29" s="37">
        <f>Costos!$E$44</f>
        <v>250</v>
      </c>
      <c r="AF29" s="37">
        <f>Costos!$E$44</f>
        <v>250</v>
      </c>
      <c r="AG29" s="37">
        <f>Costos!$E$44</f>
        <v>250</v>
      </c>
      <c r="AH29" s="37">
        <f>Costos!$E$44</f>
        <v>250</v>
      </c>
      <c r="AI29" s="37">
        <f>Costos!$E$44</f>
        <v>250</v>
      </c>
      <c r="AJ29" s="37">
        <f>Costos!$E$44</f>
        <v>250</v>
      </c>
      <c r="AK29" s="37">
        <f>Costos!$E$44</f>
        <v>250</v>
      </c>
      <c r="AL29" s="37">
        <v>0</v>
      </c>
      <c r="AM29" s="37">
        <v>0</v>
      </c>
      <c r="AN29" s="37">
        <v>0</v>
      </c>
    </row>
    <row r="30" spans="3:40" ht="12.75">
      <c r="C30" s="147" t="s">
        <v>320</v>
      </c>
      <c r="E30" s="37">
        <v>0</v>
      </c>
      <c r="F30" s="37">
        <v>0</v>
      </c>
      <c r="G30" s="37">
        <v>0</v>
      </c>
      <c r="H30" s="37">
        <v>5000</v>
      </c>
      <c r="I30" s="37">
        <v>0</v>
      </c>
      <c r="J30" s="37">
        <v>0</v>
      </c>
      <c r="K30" s="37">
        <v>0</v>
      </c>
      <c r="L30" s="37">
        <v>5000</v>
      </c>
      <c r="M30" s="37">
        <v>0</v>
      </c>
      <c r="N30" s="37">
        <v>0</v>
      </c>
      <c r="O30" s="37">
        <v>0</v>
      </c>
      <c r="P30" s="37">
        <v>5000</v>
      </c>
      <c r="Q30" s="37">
        <v>0</v>
      </c>
      <c r="R30" s="37">
        <v>0</v>
      </c>
      <c r="S30" s="37">
        <v>0</v>
      </c>
      <c r="T30" s="37">
        <v>10000</v>
      </c>
      <c r="U30" s="37">
        <v>0</v>
      </c>
      <c r="V30" s="37">
        <v>0</v>
      </c>
      <c r="W30" s="37">
        <v>0</v>
      </c>
      <c r="X30" s="37">
        <v>5000</v>
      </c>
      <c r="Y30" s="37">
        <v>0</v>
      </c>
      <c r="Z30" s="37">
        <v>0</v>
      </c>
      <c r="AA30" s="37">
        <v>0</v>
      </c>
      <c r="AB30" s="37">
        <v>10000</v>
      </c>
      <c r="AC30" s="37">
        <v>0</v>
      </c>
      <c r="AD30" s="37">
        <v>0</v>
      </c>
      <c r="AE30" s="37">
        <v>0</v>
      </c>
      <c r="AF30" s="37">
        <v>5000</v>
      </c>
      <c r="AG30" s="37">
        <v>0</v>
      </c>
      <c r="AH30" s="37">
        <v>0</v>
      </c>
      <c r="AI30" s="37">
        <v>0</v>
      </c>
      <c r="AJ30" s="37">
        <v>10000</v>
      </c>
      <c r="AK30" s="37">
        <v>0</v>
      </c>
      <c r="AL30" s="37">
        <v>0</v>
      </c>
      <c r="AM30" s="37">
        <v>0</v>
      </c>
      <c r="AN30" s="37">
        <v>0</v>
      </c>
    </row>
    <row r="31" spans="3:40" ht="12.75">
      <c r="C31" s="147" t="s">
        <v>307</v>
      </c>
      <c r="E31" s="37">
        <f>(E17*Costos!$D$26)+(E22*Costos!$D$27)</f>
        <v>328.5084632482111</v>
      </c>
      <c r="F31" s="37">
        <f>(F17*Costos!$D$26)+(F22*Costos!$D$27)</f>
        <v>480.1212055913435</v>
      </c>
      <c r="G31" s="37">
        <f>(G17*Costos!$D$26)+(G22*Costos!$D$27)</f>
        <v>425.01309005112904</v>
      </c>
      <c r="H31" s="37">
        <f>(H17*Costos!$D$26)+(H22*Costos!$D$27)</f>
        <v>401.812871095715</v>
      </c>
      <c r="I31" s="37">
        <f>(I17*Costos!$D$26)+(I22*Costos!$D$27)</f>
        <v>496.39961390822066</v>
      </c>
      <c r="J31" s="37">
        <f>(J17*Costos!$D$26)+(J22*Costos!$D$27)</f>
        <v>629.288419094686</v>
      </c>
      <c r="K31" s="37">
        <f>(K17*Costos!$D$26)+(K22*Costos!$D$27)</f>
        <v>608.1454559550485</v>
      </c>
      <c r="L31" s="37">
        <f>(L17*Costos!$D$26)+(L22*Costos!$D$27)</f>
        <v>514.6964507636117</v>
      </c>
      <c r="M31" s="37">
        <f>(M17*Costos!$D$26)+(M22*Costos!$D$27)</f>
        <v>540.3734608544958</v>
      </c>
      <c r="N31" s="37">
        <f>(N17*Costos!$D$26)+(N22*Costos!$D$27)</f>
        <v>563.4619694594986</v>
      </c>
      <c r="O31" s="37">
        <f>(O17*Costos!$D$26)+(O22*Costos!$D$27)</f>
        <v>480.16595858647054</v>
      </c>
      <c r="P31" s="37">
        <f>(P17*Costos!$D$26)+(P22*Costos!$D$27)</f>
        <v>576.3243215765567</v>
      </c>
      <c r="Q31" s="37">
        <f>(Q17*Costos!$D$26)+(Q22*Costos!$D$27)</f>
        <v>640.711793522568</v>
      </c>
      <c r="R31" s="37">
        <f>(R17*Costos!$D$26)+(R22*Costos!$D$27)</f>
        <v>834.938623427909</v>
      </c>
      <c r="S31" s="37">
        <f>(S17*Costos!$D$26)+(S22*Costos!$D$27)</f>
        <v>642.8646740996418</v>
      </c>
      <c r="T31" s="37">
        <f>(T17*Costos!$D$26)+(T22*Costos!$D$27)</f>
        <v>819.0474042325803</v>
      </c>
      <c r="U31" s="37">
        <f>(U17*Costos!$D$26)+(U22*Costos!$D$27)</f>
        <v>637.2514858210466</v>
      </c>
      <c r="V31" s="37">
        <f>(V17*Costos!$D$26)+(V22*Costos!$D$27)</f>
        <v>668.6172920057408</v>
      </c>
      <c r="W31" s="37">
        <f>(W17*Costos!$D$26)+(W22*Costos!$D$27)</f>
        <v>846.614189778395</v>
      </c>
      <c r="X31" s="37">
        <f>(X17*Costos!$D$26)+(X22*Costos!$D$27)</f>
        <v>951.1403911470765</v>
      </c>
      <c r="Y31" s="37">
        <f>(Y17*Costos!$D$26)+(Y22*Costos!$D$27)</f>
        <v>731.2974243853805</v>
      </c>
      <c r="Z31" s="37">
        <f>(Z17*Costos!$D$26)+(Z22*Costos!$D$27)</f>
        <v>915.0412340674823</v>
      </c>
      <c r="AA31" s="37">
        <f>(AA17*Costos!$D$26)+(AA22*Costos!$D$27)</f>
        <v>1029.9953680553626</v>
      </c>
      <c r="AB31" s="37">
        <f>(AB17*Costos!$D$26)+(AB22*Costos!$D$27)</f>
        <v>805.5352863571501</v>
      </c>
      <c r="AC31" s="37">
        <f>(AC17*Costos!$D$26)+(AC22*Costos!$D$27)</f>
        <v>936.1621859193644</v>
      </c>
      <c r="AD31" s="37">
        <f>(AD17*Costos!$D$26)+(AD22*Costos!$D$27)</f>
        <v>848.1300501941209</v>
      </c>
      <c r="AE31" s="37">
        <f>(AE17*Costos!$D$26)+(AE22*Costos!$D$27)</f>
        <v>915.2460818639966</v>
      </c>
      <c r="AF31" s="37">
        <f>(AF17*Costos!$D$26)+(AF22*Costos!$D$27)</f>
        <v>1035.535080746123</v>
      </c>
      <c r="AG31" s="37">
        <f>(AG17*Costos!$D$26)+(AG22*Costos!$D$27)</f>
        <v>848.2691382111195</v>
      </c>
      <c r="AH31" s="37">
        <f>(AH17*Costos!$D$26)+(AH22*Costos!$D$27)</f>
        <v>1049.338346048306</v>
      </c>
      <c r="AI31" s="37">
        <f>(AI17*Costos!$D$26)+(AI22*Costos!$D$27)</f>
        <v>1028.9801129581308</v>
      </c>
      <c r="AJ31" s="37">
        <f>(AJ17*Costos!$D$26)+(AJ22*Costos!$D$27)</f>
        <v>789.5525219171714</v>
      </c>
      <c r="AK31" s="37">
        <f>(AK17*Costos!$D$26)+(AK22*Costos!$D$27)</f>
        <v>1010.5520278114609</v>
      </c>
      <c r="AL31" s="37">
        <f>(AL17*Costos!$D$26)+(AL22*Costos!$D$27)</f>
        <v>869.8337159682778</v>
      </c>
      <c r="AM31" s="37">
        <f>(AM17*Costos!$D$26)+(AM22*Costos!$D$27)</f>
        <v>861.5066649441193</v>
      </c>
      <c r="AN31" s="37">
        <f>(AN17*Costos!$D$26)+(AN22*Costos!$D$27)</f>
        <v>997.188521477754</v>
      </c>
    </row>
    <row r="32" spans="3:40" ht="12.75">
      <c r="C32" s="147" t="s">
        <v>312</v>
      </c>
      <c r="E32" s="37">
        <f>Costos!$D$17*E18</f>
        <v>40.05726447096296</v>
      </c>
      <c r="F32" s="37">
        <f>Costos!$D$17*F18</f>
        <v>38.033465232957234</v>
      </c>
      <c r="G32" s="37">
        <f>Costos!$D$17*G18</f>
        <v>48.09337074833468</v>
      </c>
      <c r="H32" s="37">
        <f>Costos!$D$17*H18</f>
        <v>38.817370681533376</v>
      </c>
      <c r="I32" s="37">
        <f>Costos!$D$17*I18</f>
        <v>39.54221295795798</v>
      </c>
      <c r="J32" s="37">
        <f>Costos!$D$17*J18</f>
        <v>37.45885677367837</v>
      </c>
      <c r="K32" s="37">
        <f>Costos!$D$17*K18</f>
        <v>42.16930722394871</v>
      </c>
      <c r="L32" s="37">
        <f>Costos!$D$17*L18</f>
        <v>33.282508198417936</v>
      </c>
      <c r="M32" s="37">
        <f>Costos!$D$17*M18</f>
        <v>39.85013281247006</v>
      </c>
      <c r="N32" s="37">
        <f>Costos!$D$17*N18</f>
        <v>33.43943719692382</v>
      </c>
      <c r="O32" s="37">
        <f>Costos!$D$17*O18</f>
        <v>37.1026921962812</v>
      </c>
      <c r="P32" s="37">
        <f>Costos!$D$17*P18</f>
        <v>32.598562598213206</v>
      </c>
      <c r="Q32" s="37">
        <f>Costos!$D$17*Q18</f>
        <v>111.31211628021349</v>
      </c>
      <c r="R32" s="37">
        <f>Costos!$D$17*R18</f>
        <v>101.2270851738003</v>
      </c>
      <c r="S32" s="37">
        <f>Costos!$D$17*S18</f>
        <v>89.4559992782804</v>
      </c>
      <c r="T32" s="37">
        <f>Costos!$D$17*T18</f>
        <v>103.84919458884679</v>
      </c>
      <c r="U32" s="37">
        <f>Costos!$D$17*U18</f>
        <v>101.15296690119845</v>
      </c>
      <c r="V32" s="37">
        <f>Costos!$D$17*V18</f>
        <v>96.61303269066728</v>
      </c>
      <c r="W32" s="37">
        <f>Costos!$D$17*W18</f>
        <v>103.29460510211167</v>
      </c>
      <c r="X32" s="37">
        <f>Costos!$D$17*X18</f>
        <v>100.5064699575503</v>
      </c>
      <c r="Y32" s="37">
        <f>Costos!$D$17*Y18</f>
        <v>98.11170364874472</v>
      </c>
      <c r="Z32" s="37">
        <f>Costos!$D$17*Z18</f>
        <v>106.90888534157959</v>
      </c>
      <c r="AA32" s="37">
        <f>Costos!$D$17*AA18</f>
        <v>95.92192734635606</v>
      </c>
      <c r="AB32" s="37">
        <f>Costos!$D$17*AB18</f>
        <v>94.32155425656084</v>
      </c>
      <c r="AC32" s="37">
        <f>Costos!$D$17*AC18</f>
        <v>128.0089337222455</v>
      </c>
      <c r="AD32" s="37">
        <f>Costos!$D$17*AD18</f>
        <v>116.41114794987033</v>
      </c>
      <c r="AE32" s="37">
        <f>Costos!$D$17*AE18</f>
        <v>102.87439917002244</v>
      </c>
      <c r="AF32" s="37">
        <f>Costos!$D$17*AF18</f>
        <v>119.4265737771738</v>
      </c>
      <c r="AG32" s="37">
        <f>Costos!$D$17*AG18</f>
        <v>116.3259119363782</v>
      </c>
      <c r="AH32" s="37">
        <f>Costos!$D$17*AH18</f>
        <v>111.10498759426737</v>
      </c>
      <c r="AI32" s="37">
        <f>Costos!$D$17*AI18</f>
        <v>118.78879586742842</v>
      </c>
      <c r="AJ32" s="37">
        <f>Costos!$D$17*AJ18</f>
        <v>115.58244045118282</v>
      </c>
      <c r="AK32" s="37">
        <f>Costos!$D$17*AK18</f>
        <v>112.82845919605641</v>
      </c>
      <c r="AL32" s="37">
        <f>Costos!$D$17*AL18</f>
        <v>122.94521814281653</v>
      </c>
      <c r="AM32" s="37">
        <f>Costos!$D$17*AM18</f>
        <v>110.31021644830948</v>
      </c>
      <c r="AN32" s="37">
        <f>Costos!$D$17*AN18</f>
        <v>108.46978739504499</v>
      </c>
    </row>
    <row r="33" spans="3:40" s="148" customFormat="1" ht="12.75">
      <c r="C33" s="148" t="s">
        <v>308</v>
      </c>
      <c r="E33" s="148">
        <f>SUM(E34:E36)</f>
        <v>270</v>
      </c>
      <c r="F33" s="148">
        <f aca="true" t="shared" si="11" ref="F33:AN33">SUM(F34:F36)</f>
        <v>270</v>
      </c>
      <c r="G33" s="148">
        <f t="shared" si="11"/>
        <v>270</v>
      </c>
      <c r="H33" s="148">
        <f t="shared" si="11"/>
        <v>270</v>
      </c>
      <c r="I33" s="148">
        <f t="shared" si="11"/>
        <v>270</v>
      </c>
      <c r="J33" s="148">
        <f t="shared" si="11"/>
        <v>270</v>
      </c>
      <c r="K33" s="148">
        <f t="shared" si="11"/>
        <v>270</v>
      </c>
      <c r="L33" s="148">
        <f t="shared" si="11"/>
        <v>270</v>
      </c>
      <c r="M33" s="148">
        <f t="shared" si="11"/>
        <v>270</v>
      </c>
      <c r="N33" s="148">
        <f t="shared" si="11"/>
        <v>270</v>
      </c>
      <c r="O33" s="148">
        <f t="shared" si="11"/>
        <v>270</v>
      </c>
      <c r="P33" s="148">
        <f t="shared" si="11"/>
        <v>270</v>
      </c>
      <c r="Q33" s="148">
        <f t="shared" si="11"/>
        <v>270</v>
      </c>
      <c r="R33" s="148">
        <f t="shared" si="11"/>
        <v>270</v>
      </c>
      <c r="S33" s="148">
        <f t="shared" si="11"/>
        <v>270</v>
      </c>
      <c r="T33" s="148">
        <f t="shared" si="11"/>
        <v>270</v>
      </c>
      <c r="U33" s="148">
        <f t="shared" si="11"/>
        <v>270</v>
      </c>
      <c r="V33" s="148">
        <f t="shared" si="11"/>
        <v>270</v>
      </c>
      <c r="W33" s="148">
        <f t="shared" si="11"/>
        <v>270</v>
      </c>
      <c r="X33" s="148">
        <f t="shared" si="11"/>
        <v>270</v>
      </c>
      <c r="Y33" s="148">
        <f t="shared" si="11"/>
        <v>270</v>
      </c>
      <c r="Z33" s="148">
        <f t="shared" si="11"/>
        <v>270</v>
      </c>
      <c r="AA33" s="148">
        <f t="shared" si="11"/>
        <v>270</v>
      </c>
      <c r="AB33" s="148">
        <f t="shared" si="11"/>
        <v>270</v>
      </c>
      <c r="AC33" s="148">
        <f t="shared" si="11"/>
        <v>270</v>
      </c>
      <c r="AD33" s="148">
        <f t="shared" si="11"/>
        <v>270</v>
      </c>
      <c r="AE33" s="148">
        <f t="shared" si="11"/>
        <v>270</v>
      </c>
      <c r="AF33" s="148">
        <f t="shared" si="11"/>
        <v>270</v>
      </c>
      <c r="AG33" s="148">
        <f t="shared" si="11"/>
        <v>270</v>
      </c>
      <c r="AH33" s="148">
        <f t="shared" si="11"/>
        <v>270</v>
      </c>
      <c r="AI33" s="148">
        <f t="shared" si="11"/>
        <v>270</v>
      </c>
      <c r="AJ33" s="148">
        <f t="shared" si="11"/>
        <v>270</v>
      </c>
      <c r="AK33" s="148">
        <f t="shared" si="11"/>
        <v>270</v>
      </c>
      <c r="AL33" s="148">
        <f t="shared" si="11"/>
        <v>270</v>
      </c>
      <c r="AM33" s="148">
        <f t="shared" si="11"/>
        <v>270</v>
      </c>
      <c r="AN33" s="148">
        <f t="shared" si="11"/>
        <v>270</v>
      </c>
    </row>
    <row r="34" spans="3:40" ht="12.75">
      <c r="C34" s="149" t="s">
        <v>309</v>
      </c>
      <c r="E34" s="37">
        <v>100</v>
      </c>
      <c r="F34" s="37">
        <f aca="true" t="shared" si="12" ref="F34:AN34">$E$34</f>
        <v>100</v>
      </c>
      <c r="G34" s="37">
        <f t="shared" si="12"/>
        <v>100</v>
      </c>
      <c r="H34" s="37">
        <f t="shared" si="12"/>
        <v>100</v>
      </c>
      <c r="I34" s="37">
        <f t="shared" si="12"/>
        <v>100</v>
      </c>
      <c r="J34" s="37">
        <f t="shared" si="12"/>
        <v>100</v>
      </c>
      <c r="K34" s="37">
        <f t="shared" si="12"/>
        <v>100</v>
      </c>
      <c r="L34" s="37">
        <f t="shared" si="12"/>
        <v>100</v>
      </c>
      <c r="M34" s="37">
        <f t="shared" si="12"/>
        <v>100</v>
      </c>
      <c r="N34" s="37">
        <f t="shared" si="12"/>
        <v>100</v>
      </c>
      <c r="O34" s="37">
        <f t="shared" si="12"/>
        <v>100</v>
      </c>
      <c r="P34" s="37">
        <f t="shared" si="12"/>
        <v>100</v>
      </c>
      <c r="Q34" s="37">
        <f t="shared" si="12"/>
        <v>100</v>
      </c>
      <c r="R34" s="37">
        <f t="shared" si="12"/>
        <v>100</v>
      </c>
      <c r="S34" s="37">
        <f t="shared" si="12"/>
        <v>100</v>
      </c>
      <c r="T34" s="37">
        <f t="shared" si="12"/>
        <v>100</v>
      </c>
      <c r="U34" s="37">
        <f t="shared" si="12"/>
        <v>100</v>
      </c>
      <c r="V34" s="37">
        <f t="shared" si="12"/>
        <v>100</v>
      </c>
      <c r="W34" s="37">
        <f t="shared" si="12"/>
        <v>100</v>
      </c>
      <c r="X34" s="37">
        <f t="shared" si="12"/>
        <v>100</v>
      </c>
      <c r="Y34" s="37">
        <f t="shared" si="12"/>
        <v>100</v>
      </c>
      <c r="Z34" s="37">
        <f t="shared" si="12"/>
        <v>100</v>
      </c>
      <c r="AA34" s="37">
        <f t="shared" si="12"/>
        <v>100</v>
      </c>
      <c r="AB34" s="37">
        <f t="shared" si="12"/>
        <v>100</v>
      </c>
      <c r="AC34" s="37">
        <f t="shared" si="12"/>
        <v>100</v>
      </c>
      <c r="AD34" s="37">
        <f t="shared" si="12"/>
        <v>100</v>
      </c>
      <c r="AE34" s="37">
        <f t="shared" si="12"/>
        <v>100</v>
      </c>
      <c r="AF34" s="37">
        <f t="shared" si="12"/>
        <v>100</v>
      </c>
      <c r="AG34" s="37">
        <f t="shared" si="12"/>
        <v>100</v>
      </c>
      <c r="AH34" s="37">
        <f t="shared" si="12"/>
        <v>100</v>
      </c>
      <c r="AI34" s="37">
        <f t="shared" si="12"/>
        <v>100</v>
      </c>
      <c r="AJ34" s="37">
        <f t="shared" si="12"/>
        <v>100</v>
      </c>
      <c r="AK34" s="37">
        <f t="shared" si="12"/>
        <v>100</v>
      </c>
      <c r="AL34" s="37">
        <f t="shared" si="12"/>
        <v>100</v>
      </c>
      <c r="AM34" s="37">
        <f t="shared" si="12"/>
        <v>100</v>
      </c>
      <c r="AN34" s="37">
        <f t="shared" si="12"/>
        <v>100</v>
      </c>
    </row>
    <row r="35" spans="3:40" ht="12.75">
      <c r="C35" s="149" t="s">
        <v>310</v>
      </c>
      <c r="E35" s="37">
        <v>20</v>
      </c>
      <c r="F35" s="37">
        <f aca="true" t="shared" si="13" ref="F35:AN35">$E$35</f>
        <v>20</v>
      </c>
      <c r="G35" s="37">
        <f t="shared" si="13"/>
        <v>20</v>
      </c>
      <c r="H35" s="37">
        <f t="shared" si="13"/>
        <v>20</v>
      </c>
      <c r="I35" s="37">
        <f t="shared" si="13"/>
        <v>20</v>
      </c>
      <c r="J35" s="37">
        <f t="shared" si="13"/>
        <v>20</v>
      </c>
      <c r="K35" s="37">
        <f t="shared" si="13"/>
        <v>20</v>
      </c>
      <c r="L35" s="37">
        <f t="shared" si="13"/>
        <v>20</v>
      </c>
      <c r="M35" s="37">
        <f t="shared" si="13"/>
        <v>20</v>
      </c>
      <c r="N35" s="37">
        <f t="shared" si="13"/>
        <v>20</v>
      </c>
      <c r="O35" s="37">
        <f t="shared" si="13"/>
        <v>20</v>
      </c>
      <c r="P35" s="37">
        <f t="shared" si="13"/>
        <v>20</v>
      </c>
      <c r="Q35" s="37">
        <f t="shared" si="13"/>
        <v>20</v>
      </c>
      <c r="R35" s="37">
        <f t="shared" si="13"/>
        <v>20</v>
      </c>
      <c r="S35" s="37">
        <f t="shared" si="13"/>
        <v>20</v>
      </c>
      <c r="T35" s="37">
        <f t="shared" si="13"/>
        <v>20</v>
      </c>
      <c r="U35" s="37">
        <f t="shared" si="13"/>
        <v>20</v>
      </c>
      <c r="V35" s="37">
        <f t="shared" si="13"/>
        <v>20</v>
      </c>
      <c r="W35" s="37">
        <f t="shared" si="13"/>
        <v>20</v>
      </c>
      <c r="X35" s="37">
        <f t="shared" si="13"/>
        <v>20</v>
      </c>
      <c r="Y35" s="37">
        <f t="shared" si="13"/>
        <v>20</v>
      </c>
      <c r="Z35" s="37">
        <f t="shared" si="13"/>
        <v>20</v>
      </c>
      <c r="AA35" s="37">
        <f t="shared" si="13"/>
        <v>20</v>
      </c>
      <c r="AB35" s="37">
        <f t="shared" si="13"/>
        <v>20</v>
      </c>
      <c r="AC35" s="37">
        <f t="shared" si="13"/>
        <v>20</v>
      </c>
      <c r="AD35" s="37">
        <f t="shared" si="13"/>
        <v>20</v>
      </c>
      <c r="AE35" s="37">
        <f t="shared" si="13"/>
        <v>20</v>
      </c>
      <c r="AF35" s="37">
        <f t="shared" si="13"/>
        <v>20</v>
      </c>
      <c r="AG35" s="37">
        <f t="shared" si="13"/>
        <v>20</v>
      </c>
      <c r="AH35" s="37">
        <f t="shared" si="13"/>
        <v>20</v>
      </c>
      <c r="AI35" s="37">
        <f t="shared" si="13"/>
        <v>20</v>
      </c>
      <c r="AJ35" s="37">
        <f t="shared" si="13"/>
        <v>20</v>
      </c>
      <c r="AK35" s="37">
        <f t="shared" si="13"/>
        <v>20</v>
      </c>
      <c r="AL35" s="37">
        <f t="shared" si="13"/>
        <v>20</v>
      </c>
      <c r="AM35" s="37">
        <f t="shared" si="13"/>
        <v>20</v>
      </c>
      <c r="AN35" s="37">
        <f t="shared" si="13"/>
        <v>20</v>
      </c>
    </row>
    <row r="36" spans="3:40" ht="12.75">
      <c r="C36" s="149" t="s">
        <v>311</v>
      </c>
      <c r="E36" s="37">
        <v>150</v>
      </c>
      <c r="F36" s="37">
        <f aca="true" t="shared" si="14" ref="F36:AN36">$E$36</f>
        <v>150</v>
      </c>
      <c r="G36" s="37">
        <f t="shared" si="14"/>
        <v>150</v>
      </c>
      <c r="H36" s="37">
        <f t="shared" si="14"/>
        <v>150</v>
      </c>
      <c r="I36" s="37">
        <f t="shared" si="14"/>
        <v>150</v>
      </c>
      <c r="J36" s="37">
        <f t="shared" si="14"/>
        <v>150</v>
      </c>
      <c r="K36" s="37">
        <f t="shared" si="14"/>
        <v>150</v>
      </c>
      <c r="L36" s="37">
        <f t="shared" si="14"/>
        <v>150</v>
      </c>
      <c r="M36" s="37">
        <f t="shared" si="14"/>
        <v>150</v>
      </c>
      <c r="N36" s="37">
        <f t="shared" si="14"/>
        <v>150</v>
      </c>
      <c r="O36" s="37">
        <f t="shared" si="14"/>
        <v>150</v>
      </c>
      <c r="P36" s="37">
        <f t="shared" si="14"/>
        <v>150</v>
      </c>
      <c r="Q36" s="37">
        <f t="shared" si="14"/>
        <v>150</v>
      </c>
      <c r="R36" s="37">
        <f t="shared" si="14"/>
        <v>150</v>
      </c>
      <c r="S36" s="37">
        <f t="shared" si="14"/>
        <v>150</v>
      </c>
      <c r="T36" s="37">
        <f t="shared" si="14"/>
        <v>150</v>
      </c>
      <c r="U36" s="37">
        <f t="shared" si="14"/>
        <v>150</v>
      </c>
      <c r="V36" s="37">
        <f t="shared" si="14"/>
        <v>150</v>
      </c>
      <c r="W36" s="37">
        <f t="shared" si="14"/>
        <v>150</v>
      </c>
      <c r="X36" s="37">
        <f t="shared" si="14"/>
        <v>150</v>
      </c>
      <c r="Y36" s="37">
        <f t="shared" si="14"/>
        <v>150</v>
      </c>
      <c r="Z36" s="37">
        <f t="shared" si="14"/>
        <v>150</v>
      </c>
      <c r="AA36" s="37">
        <f t="shared" si="14"/>
        <v>150</v>
      </c>
      <c r="AB36" s="37">
        <f t="shared" si="14"/>
        <v>150</v>
      </c>
      <c r="AC36" s="37">
        <f t="shared" si="14"/>
        <v>150</v>
      </c>
      <c r="AD36" s="37">
        <f t="shared" si="14"/>
        <v>150</v>
      </c>
      <c r="AE36" s="37">
        <f t="shared" si="14"/>
        <v>150</v>
      </c>
      <c r="AF36" s="37">
        <f t="shared" si="14"/>
        <v>150</v>
      </c>
      <c r="AG36" s="37">
        <f t="shared" si="14"/>
        <v>150</v>
      </c>
      <c r="AH36" s="37">
        <f t="shared" si="14"/>
        <v>150</v>
      </c>
      <c r="AI36" s="37">
        <f t="shared" si="14"/>
        <v>150</v>
      </c>
      <c r="AJ36" s="37">
        <f t="shared" si="14"/>
        <v>150</v>
      </c>
      <c r="AK36" s="37">
        <f t="shared" si="14"/>
        <v>150</v>
      </c>
      <c r="AL36" s="37">
        <f t="shared" si="14"/>
        <v>150</v>
      </c>
      <c r="AM36" s="37">
        <f t="shared" si="14"/>
        <v>150</v>
      </c>
      <c r="AN36" s="37">
        <f t="shared" si="14"/>
        <v>150</v>
      </c>
    </row>
    <row r="37" spans="3:40" ht="12.75">
      <c r="C37" s="147" t="s">
        <v>313</v>
      </c>
      <c r="E37" s="37">
        <v>80</v>
      </c>
      <c r="F37" s="37">
        <v>80</v>
      </c>
      <c r="G37" s="37">
        <v>80</v>
      </c>
      <c r="H37" s="37">
        <v>80</v>
      </c>
      <c r="I37" s="37">
        <v>80</v>
      </c>
      <c r="J37" s="37">
        <v>80</v>
      </c>
      <c r="K37" s="37">
        <v>80</v>
      </c>
      <c r="L37" s="37">
        <v>80</v>
      </c>
      <c r="M37" s="37">
        <v>80</v>
      </c>
      <c r="N37" s="37">
        <v>80</v>
      </c>
      <c r="O37" s="37">
        <v>80</v>
      </c>
      <c r="P37" s="37">
        <v>80</v>
      </c>
      <c r="Q37" s="37">
        <v>80</v>
      </c>
      <c r="R37" s="37">
        <v>80</v>
      </c>
      <c r="S37" s="37">
        <v>80</v>
      </c>
      <c r="T37" s="37">
        <v>80</v>
      </c>
      <c r="U37" s="37">
        <v>80</v>
      </c>
      <c r="V37" s="37">
        <v>80</v>
      </c>
      <c r="W37" s="37">
        <v>80</v>
      </c>
      <c r="X37" s="37">
        <v>80</v>
      </c>
      <c r="Y37" s="37">
        <v>80</v>
      </c>
      <c r="Z37" s="37">
        <v>80</v>
      </c>
      <c r="AA37" s="37">
        <v>80</v>
      </c>
      <c r="AB37" s="37">
        <v>80</v>
      </c>
      <c r="AC37" s="37">
        <v>80</v>
      </c>
      <c r="AD37" s="37">
        <v>80</v>
      </c>
      <c r="AE37" s="37">
        <v>80</v>
      </c>
      <c r="AF37" s="37">
        <v>80</v>
      </c>
      <c r="AG37" s="37">
        <v>80</v>
      </c>
      <c r="AH37" s="37">
        <v>80</v>
      </c>
      <c r="AI37" s="37">
        <v>80</v>
      </c>
      <c r="AJ37" s="37">
        <v>80</v>
      </c>
      <c r="AK37" s="37">
        <v>80</v>
      </c>
      <c r="AL37" s="37">
        <v>80</v>
      </c>
      <c r="AM37" s="37">
        <v>80</v>
      </c>
      <c r="AN37" s="37">
        <v>80</v>
      </c>
    </row>
    <row r="38" spans="3:40" ht="12.75">
      <c r="C38" s="147" t="s">
        <v>257</v>
      </c>
      <c r="E38" s="37">
        <v>100</v>
      </c>
      <c r="F38" s="37">
        <v>100</v>
      </c>
      <c r="G38" s="37">
        <v>100</v>
      </c>
      <c r="H38" s="37">
        <v>100</v>
      </c>
      <c r="I38" s="37">
        <v>100</v>
      </c>
      <c r="J38" s="37">
        <v>100</v>
      </c>
      <c r="K38" s="37">
        <v>100</v>
      </c>
      <c r="L38" s="37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  <c r="T38" s="37">
        <v>100</v>
      </c>
      <c r="U38" s="37">
        <v>100</v>
      </c>
      <c r="V38" s="37">
        <v>100</v>
      </c>
      <c r="W38" s="37">
        <v>100</v>
      </c>
      <c r="X38" s="37">
        <v>100</v>
      </c>
      <c r="Y38" s="37">
        <v>100</v>
      </c>
      <c r="Z38" s="37">
        <v>100</v>
      </c>
      <c r="AA38" s="37">
        <v>100</v>
      </c>
      <c r="AB38" s="37">
        <v>100</v>
      </c>
      <c r="AC38" s="37">
        <v>100</v>
      </c>
      <c r="AD38" s="37">
        <v>100</v>
      </c>
      <c r="AE38" s="37">
        <v>100</v>
      </c>
      <c r="AF38" s="37">
        <v>100</v>
      </c>
      <c r="AG38" s="37">
        <v>100</v>
      </c>
      <c r="AH38" s="37">
        <v>100</v>
      </c>
      <c r="AI38" s="37">
        <v>100</v>
      </c>
      <c r="AJ38" s="37">
        <v>100</v>
      </c>
      <c r="AK38" s="37">
        <v>100</v>
      </c>
      <c r="AL38" s="37">
        <v>100</v>
      </c>
      <c r="AM38" s="37">
        <v>100</v>
      </c>
      <c r="AN38" s="37">
        <v>100</v>
      </c>
    </row>
    <row r="39" spans="3:40" ht="12.75">
      <c r="C39" s="147" t="s">
        <v>314</v>
      </c>
      <c r="E39" s="37">
        <v>40</v>
      </c>
      <c r="F39" s="37">
        <v>40</v>
      </c>
      <c r="G39" s="37">
        <v>40</v>
      </c>
      <c r="H39" s="37">
        <v>40</v>
      </c>
      <c r="I39" s="37">
        <v>40</v>
      </c>
      <c r="J39" s="37">
        <v>40</v>
      </c>
      <c r="K39" s="37">
        <v>40</v>
      </c>
      <c r="L39" s="37">
        <v>40</v>
      </c>
      <c r="M39" s="37">
        <v>40</v>
      </c>
      <c r="N39" s="37">
        <v>40</v>
      </c>
      <c r="O39" s="37">
        <v>40</v>
      </c>
      <c r="P39" s="37">
        <v>40</v>
      </c>
      <c r="Q39" s="37">
        <v>40</v>
      </c>
      <c r="R39" s="37">
        <v>40</v>
      </c>
      <c r="S39" s="37">
        <v>40</v>
      </c>
      <c r="T39" s="37">
        <v>40</v>
      </c>
      <c r="U39" s="37">
        <v>40</v>
      </c>
      <c r="V39" s="37">
        <v>40</v>
      </c>
      <c r="W39" s="37">
        <v>40</v>
      </c>
      <c r="X39" s="37">
        <v>40</v>
      </c>
      <c r="Y39" s="37">
        <v>40</v>
      </c>
      <c r="Z39" s="37">
        <v>40</v>
      </c>
      <c r="AA39" s="37">
        <v>40</v>
      </c>
      <c r="AB39" s="37">
        <v>40</v>
      </c>
      <c r="AC39" s="37">
        <v>40</v>
      </c>
      <c r="AD39" s="37">
        <v>40</v>
      </c>
      <c r="AE39" s="37">
        <v>40</v>
      </c>
      <c r="AF39" s="37">
        <v>40</v>
      </c>
      <c r="AG39" s="37">
        <v>40</v>
      </c>
      <c r="AH39" s="37">
        <v>40</v>
      </c>
      <c r="AI39" s="37">
        <v>40</v>
      </c>
      <c r="AJ39" s="37">
        <v>40</v>
      </c>
      <c r="AK39" s="37">
        <v>40</v>
      </c>
      <c r="AL39" s="37">
        <v>40</v>
      </c>
      <c r="AM39" s="37">
        <v>40</v>
      </c>
      <c r="AN39" s="37">
        <v>40</v>
      </c>
    </row>
    <row r="40" spans="3:40" ht="12.75">
      <c r="C40" s="147" t="s">
        <v>323</v>
      </c>
      <c r="E40" s="37">
        <v>568.5</v>
      </c>
      <c r="F40" s="37">
        <v>568.5</v>
      </c>
      <c r="G40" s="37">
        <v>568.5</v>
      </c>
      <c r="H40" s="37">
        <v>568.5</v>
      </c>
      <c r="I40" s="37">
        <v>568.5</v>
      </c>
      <c r="J40" s="37">
        <v>568.5</v>
      </c>
      <c r="K40" s="37">
        <v>568.5</v>
      </c>
      <c r="L40" s="37">
        <v>568.5</v>
      </c>
      <c r="M40" s="37">
        <v>568.5</v>
      </c>
      <c r="N40" s="37">
        <v>568.5</v>
      </c>
      <c r="O40" s="37">
        <v>568.5</v>
      </c>
      <c r="P40" s="37">
        <v>568.5</v>
      </c>
      <c r="Q40" s="37">
        <v>568.5</v>
      </c>
      <c r="R40" s="37">
        <v>568.5</v>
      </c>
      <c r="S40" s="37">
        <v>568.5</v>
      </c>
      <c r="T40" s="37">
        <v>568.5</v>
      </c>
      <c r="U40" s="37">
        <v>568.5</v>
      </c>
      <c r="V40" s="37">
        <v>568.5</v>
      </c>
      <c r="W40" s="37">
        <v>568.5</v>
      </c>
      <c r="X40" s="37">
        <v>568.5</v>
      </c>
      <c r="Y40" s="37">
        <v>568.5</v>
      </c>
      <c r="Z40" s="37">
        <v>568.5</v>
      </c>
      <c r="AA40" s="37">
        <v>568.5</v>
      </c>
      <c r="AB40" s="37">
        <v>568.5</v>
      </c>
      <c r="AC40" s="37">
        <v>568.5</v>
      </c>
      <c r="AD40" s="37">
        <v>568.5</v>
      </c>
      <c r="AE40" s="37">
        <v>568.5</v>
      </c>
      <c r="AF40" s="37">
        <v>568.5</v>
      </c>
      <c r="AG40" s="37">
        <v>568.5</v>
      </c>
      <c r="AH40" s="37">
        <v>568.5</v>
      </c>
      <c r="AI40" s="37">
        <v>568.5</v>
      </c>
      <c r="AJ40" s="37">
        <v>568.5</v>
      </c>
      <c r="AK40" s="37">
        <v>568.5</v>
      </c>
      <c r="AL40" s="37">
        <v>568.5</v>
      </c>
      <c r="AM40" s="37">
        <v>568.5</v>
      </c>
      <c r="AN40" s="37">
        <v>568.5</v>
      </c>
    </row>
    <row r="42" ht="12.75">
      <c r="C42" s="147"/>
    </row>
    <row r="43" spans="3:40" ht="12.75">
      <c r="C43" s="140" t="s">
        <v>315</v>
      </c>
      <c r="E43" s="37">
        <f aca="true" t="shared" si="15" ref="E43:AN43">SUM(E25:E40)</f>
        <v>6490.065727719174</v>
      </c>
      <c r="F43" s="37">
        <f t="shared" si="15"/>
        <v>6949.654670824301</v>
      </c>
      <c r="G43" s="37">
        <f t="shared" si="15"/>
        <v>6904.606460799464</v>
      </c>
      <c r="H43" s="37">
        <f t="shared" si="15"/>
        <v>11872.13024177725</v>
      </c>
      <c r="I43" s="37">
        <f t="shared" si="15"/>
        <v>6967.441826866179</v>
      </c>
      <c r="J43" s="37">
        <f t="shared" si="15"/>
        <v>7098.247275868364</v>
      </c>
      <c r="K43" s="37">
        <f t="shared" si="15"/>
        <v>7081.814763178997</v>
      </c>
      <c r="L43" s="37">
        <f t="shared" si="15"/>
        <v>11979.478958962029</v>
      </c>
      <c r="M43" s="37">
        <f t="shared" si="15"/>
        <v>7011.723593666966</v>
      </c>
      <c r="N43" s="37">
        <f t="shared" si="15"/>
        <v>7028.401406656422</v>
      </c>
      <c r="O43" s="37">
        <f t="shared" si="15"/>
        <v>6948.768650782752</v>
      </c>
      <c r="P43" s="37">
        <f t="shared" si="15"/>
        <v>12040.42288417477</v>
      </c>
      <c r="Q43" s="37">
        <f t="shared" si="15"/>
        <v>8546.423909802783</v>
      </c>
      <c r="R43" s="37">
        <f t="shared" si="15"/>
        <v>8730.565708601709</v>
      </c>
      <c r="S43" s="37">
        <f t="shared" si="15"/>
        <v>8526.720673377924</v>
      </c>
      <c r="T43" s="37">
        <f t="shared" si="15"/>
        <v>18717.296598821427</v>
      </c>
      <c r="U43" s="37">
        <f t="shared" si="15"/>
        <v>8532.804452722245</v>
      </c>
      <c r="V43" s="37">
        <f t="shared" si="15"/>
        <v>8559.630324696409</v>
      </c>
      <c r="W43" s="37">
        <f t="shared" si="15"/>
        <v>8744.308794880508</v>
      </c>
      <c r="X43" s="37">
        <f t="shared" si="15"/>
        <v>13846.046861104629</v>
      </c>
      <c r="Y43" s="37">
        <f t="shared" si="15"/>
        <v>8623.809128034125</v>
      </c>
      <c r="Z43" s="37">
        <f t="shared" si="15"/>
        <v>8816.350119409062</v>
      </c>
      <c r="AA43" s="37">
        <f t="shared" si="15"/>
        <v>8920.31729540172</v>
      </c>
      <c r="AB43" s="37">
        <f t="shared" si="15"/>
        <v>18844.25684061371</v>
      </c>
      <c r="AC43" s="37">
        <f t="shared" si="15"/>
        <v>9744.456119641609</v>
      </c>
      <c r="AD43" s="37">
        <f t="shared" si="15"/>
        <v>9644.82619814399</v>
      </c>
      <c r="AE43" s="37">
        <f t="shared" si="15"/>
        <v>9698.405481034019</v>
      </c>
      <c r="AF43" s="37">
        <f t="shared" si="15"/>
        <v>14835.246654523296</v>
      </c>
      <c r="AG43" s="37">
        <f t="shared" si="15"/>
        <v>9644.880050147496</v>
      </c>
      <c r="AH43" s="37">
        <f t="shared" si="15"/>
        <v>9840.728333642573</v>
      </c>
      <c r="AI43" s="37">
        <f t="shared" si="15"/>
        <v>9828.05390882556</v>
      </c>
      <c r="AJ43" s="37">
        <f t="shared" si="15"/>
        <v>19585.419962368356</v>
      </c>
      <c r="AK43" s="37">
        <f t="shared" si="15"/>
        <v>9803.665487007516</v>
      </c>
      <c r="AL43" s="37">
        <f t="shared" si="15"/>
        <v>9423.063934111095</v>
      </c>
      <c r="AM43" s="37">
        <f t="shared" si="15"/>
        <v>9402.10188139243</v>
      </c>
      <c r="AN43" s="37">
        <f t="shared" si="15"/>
        <v>9535.943308872798</v>
      </c>
    </row>
    <row r="44" spans="3:40" ht="12.75">
      <c r="C44" s="147" t="s">
        <v>398</v>
      </c>
      <c r="E44" s="37">
        <f>(E43)/((1+E4%)*((1+$D$75)^E2))</f>
        <v>6027.9349399583</v>
      </c>
      <c r="F44" s="37">
        <f aca="true" t="shared" si="16" ref="F44:AN44">(F43)/((1+F4%)*((1+$D$75)^F2))</f>
        <v>6145.058373626937</v>
      </c>
      <c r="G44" s="37">
        <f t="shared" si="16"/>
        <v>5812.260150560537</v>
      </c>
      <c r="H44" s="37">
        <f t="shared" si="16"/>
        <v>9514.327427549842</v>
      </c>
      <c r="I44" s="37">
        <f t="shared" si="16"/>
        <v>5315.7692283622955</v>
      </c>
      <c r="J44" s="37">
        <f t="shared" si="16"/>
        <v>5155.695011390644</v>
      </c>
      <c r="K44" s="37">
        <f t="shared" si="16"/>
        <v>4896.93098647631</v>
      </c>
      <c r="L44" s="37">
        <f t="shared" si="16"/>
        <v>7886.07088039028</v>
      </c>
      <c r="M44" s="37">
        <f t="shared" si="16"/>
        <v>4394.311720425274</v>
      </c>
      <c r="N44" s="37">
        <f t="shared" si="16"/>
        <v>4193.39677917964</v>
      </c>
      <c r="O44" s="37">
        <f t="shared" si="16"/>
        <v>3946.940500962965</v>
      </c>
      <c r="P44" s="37">
        <f t="shared" si="16"/>
        <v>6510.851558318869</v>
      </c>
      <c r="Q44" s="37">
        <f t="shared" si="16"/>
        <v>4454.024933697699</v>
      </c>
      <c r="R44" s="37">
        <f t="shared" si="16"/>
        <v>4331.6556579608805</v>
      </c>
      <c r="S44" s="37">
        <f t="shared" si="16"/>
        <v>4027.5125540157983</v>
      </c>
      <c r="T44" s="37">
        <f t="shared" si="16"/>
        <v>8416.689686688962</v>
      </c>
      <c r="U44" s="37">
        <f t="shared" si="16"/>
        <v>3652.862397532732</v>
      </c>
      <c r="V44" s="37">
        <f t="shared" si="16"/>
        <v>3488.5090583745273</v>
      </c>
      <c r="W44" s="37">
        <f t="shared" si="16"/>
        <v>3392.764058331758</v>
      </c>
      <c r="X44" s="37">
        <f t="shared" si="16"/>
        <v>5114.430679593306</v>
      </c>
      <c r="Y44" s="37">
        <f t="shared" si="16"/>
        <v>3032.5918375544165</v>
      </c>
      <c r="Z44" s="37">
        <f t="shared" si="16"/>
        <v>2951.5285018139307</v>
      </c>
      <c r="AA44" s="37">
        <f t="shared" si="16"/>
        <v>2843.0322207753857</v>
      </c>
      <c r="AB44" s="37">
        <f t="shared" si="16"/>
        <v>5717.732332873122</v>
      </c>
      <c r="AC44" s="37">
        <f t="shared" si="16"/>
        <v>2826.4196529505393</v>
      </c>
      <c r="AD44" s="37">
        <f t="shared" si="16"/>
        <v>2663.27966111256</v>
      </c>
      <c r="AE44" s="37">
        <f t="shared" si="16"/>
        <v>2549.564660057364</v>
      </c>
      <c r="AF44" s="37">
        <f t="shared" si="16"/>
        <v>3712.819112647505</v>
      </c>
      <c r="AG44" s="37">
        <f t="shared" si="16"/>
        <v>2297.995516759621</v>
      </c>
      <c r="AH44" s="37">
        <f t="shared" si="16"/>
        <v>2232.147634421625</v>
      </c>
      <c r="AI44" s="37">
        <f t="shared" si="16"/>
        <v>2122.298804186228</v>
      </c>
      <c r="AJ44" s="37">
        <f t="shared" si="16"/>
        <v>4026.384210607701</v>
      </c>
      <c r="AK44" s="37">
        <f t="shared" si="16"/>
        <v>1918.7311960642317</v>
      </c>
      <c r="AL44" s="37">
        <f t="shared" si="16"/>
        <v>1755.7436922028212</v>
      </c>
      <c r="AM44" s="37">
        <f t="shared" si="16"/>
        <v>1667.7742284060175</v>
      </c>
      <c r="AN44" s="37">
        <f t="shared" si="16"/>
        <v>1610.3463480713897</v>
      </c>
    </row>
    <row r="45" spans="3:40" ht="12.75">
      <c r="C45" s="147" t="s">
        <v>317</v>
      </c>
      <c r="E45" s="37">
        <f aca="true" t="shared" si="17" ref="E45:AN45">E22-(SUM(E25:E40))</f>
        <v>4213.216380554529</v>
      </c>
      <c r="F45" s="37">
        <f t="shared" si="17"/>
        <v>8560.385515553815</v>
      </c>
      <c r="G45" s="37">
        <f t="shared" si="17"/>
        <v>6521.496540904837</v>
      </c>
      <c r="H45" s="37">
        <f t="shared" si="17"/>
        <v>743.5821280799191</v>
      </c>
      <c r="I45" s="37">
        <f t="shared" si="17"/>
        <v>8762.25947007451</v>
      </c>
      <c r="J45" s="37">
        <f t="shared" si="17"/>
        <v>13020.233235621166</v>
      </c>
      <c r="K45" s="37">
        <f t="shared" si="17"/>
        <v>12289.01030407262</v>
      </c>
      <c r="L45" s="37">
        <f t="shared" si="17"/>
        <v>4231.344762012528</v>
      </c>
      <c r="M45" s="37">
        <f t="shared" si="17"/>
        <v>10007.714231779768</v>
      </c>
      <c r="N45" s="37">
        <f t="shared" si="17"/>
        <v>10711.002828805249</v>
      </c>
      <c r="O45" s="37">
        <f t="shared" si="17"/>
        <v>7961.968818251903</v>
      </c>
      <c r="P45" s="37">
        <f t="shared" si="17"/>
        <v>6020.853627003706</v>
      </c>
      <c r="Q45" s="37">
        <f t="shared" si="17"/>
        <v>11575.037855140788</v>
      </c>
      <c r="R45" s="37">
        <f t="shared" si="17"/>
        <v>17803.343818896126</v>
      </c>
      <c r="S45" s="37">
        <f t="shared" si="17"/>
        <v>11539.854980506047</v>
      </c>
      <c r="T45" s="37">
        <f t="shared" si="17"/>
        <v>7153.924385355294</v>
      </c>
      <c r="U45" s="37">
        <f t="shared" si="17"/>
        <v>11207.034626557885</v>
      </c>
      <c r="V45" s="37">
        <f t="shared" si="17"/>
        <v>12150.641771669125</v>
      </c>
      <c r="W45" s="37">
        <f t="shared" si="17"/>
        <v>17820.344678715544</v>
      </c>
      <c r="X45" s="37">
        <f t="shared" si="17"/>
        <v>16120.022348829947</v>
      </c>
      <c r="Y45" s="37">
        <f t="shared" si="17"/>
        <v>13927.230665095522</v>
      </c>
      <c r="Z45" s="37">
        <f t="shared" si="17"/>
        <v>19768.20627880482</v>
      </c>
      <c r="AA45" s="37">
        <f t="shared" si="17"/>
        <v>23400.202665539735</v>
      </c>
      <c r="AB45" s="37">
        <f t="shared" si="17"/>
        <v>5893.627448342126</v>
      </c>
      <c r="AC45" s="37">
        <f t="shared" si="17"/>
        <v>19255.52079993161</v>
      </c>
      <c r="AD45" s="37">
        <f t="shared" si="17"/>
        <v>16376.637611699665</v>
      </c>
      <c r="AE45" s="37">
        <f t="shared" si="17"/>
        <v>18515.268627206286</v>
      </c>
      <c r="AF45" s="37">
        <f t="shared" si="17"/>
        <v>17342.170177376694</v>
      </c>
      <c r="AG45" s="37">
        <f t="shared" si="17"/>
        <v>16243.530313392965</v>
      </c>
      <c r="AH45" s="37">
        <f t="shared" si="17"/>
        <v>22702.2444062675</v>
      </c>
      <c r="AI45" s="37">
        <f t="shared" si="17"/>
        <v>21987.611618844676</v>
      </c>
      <c r="AJ45" s="37">
        <f t="shared" si="17"/>
        <v>4199.652432517876</v>
      </c>
      <c r="AK45" s="37">
        <f t="shared" si="17"/>
        <v>21297.39020430798</v>
      </c>
      <c r="AL45" s="37">
        <f t="shared" si="17"/>
        <v>16935.701124383635</v>
      </c>
      <c r="AM45" s="37">
        <f t="shared" si="17"/>
        <v>16626.380966821387</v>
      </c>
      <c r="AN45" s="37">
        <f t="shared" si="17"/>
        <v>20961.499970797035</v>
      </c>
    </row>
    <row r="46" ht="12.75">
      <c r="C46" s="147"/>
    </row>
    <row r="47" spans="3:40" ht="12.75">
      <c r="C47" s="147" t="s">
        <v>318</v>
      </c>
      <c r="E47" s="37">
        <f>'T.Amortizacion'!J5</f>
        <v>232.87619999999998</v>
      </c>
      <c r="F47" s="37">
        <f>'T.Amortizacion'!K5</f>
        <v>227.7781427531358</v>
      </c>
      <c r="G47" s="37">
        <f>'T.Amortizacion'!L5</f>
        <v>222.61296108585455</v>
      </c>
      <c r="H47" s="37">
        <f>'T.Amortizacion'!M5</f>
        <v>217.37977119328744</v>
      </c>
      <c r="I47" s="37">
        <f>'T.Amortizacion'!N5</f>
        <v>212.07767763380153</v>
      </c>
      <c r="J47" s="37">
        <f>'T.Amortizacion'!O5</f>
        <v>206.70577317578238</v>
      </c>
      <c r="K47" s="37">
        <f>'T.Amortizacion'!P5</f>
        <v>201.26313864239933</v>
      </c>
      <c r="L47" s="37">
        <f>'T.Amortizacion'!Q5</f>
        <v>195.74884275432674</v>
      </c>
      <c r="M47" s="37">
        <f>'T.Amortizacion'!R5</f>
        <v>190.1619419703945</v>
      </c>
      <c r="N47" s="37">
        <f>'T.Amortizacion'!S5</f>
        <v>184.50148032614052</v>
      </c>
      <c r="O47" s="37">
        <f>'T.Amortizacion'!T5</f>
        <v>178.7664892702372</v>
      </c>
      <c r="P47" s="37">
        <f>'T.Amortizacion'!U5</f>
        <v>172.95598749876444</v>
      </c>
      <c r="Q47" s="37">
        <f>'T.Amortizacion'!V5</f>
        <v>167.06898078730066</v>
      </c>
      <c r="R47" s="37">
        <f>'T.Amortizacion'!W5</f>
        <v>161.10446182080258</v>
      </c>
      <c r="S47" s="37">
        <f>'T.Amortizacion'!X5</f>
        <v>155.06141002124562</v>
      </c>
      <c r="T47" s="37">
        <f>'T.Amortizacion'!Y5</f>
        <v>148.9387913729945</v>
      </c>
      <c r="U47" s="37">
        <f>'T.Amortizacion'!Z5</f>
        <v>142.73555824587476</v>
      </c>
      <c r="V47" s="37">
        <f>'T.Amortizacion'!AA5</f>
        <v>136.45064921591458</v>
      </c>
      <c r="W47" s="37">
        <f>'T.Amortizacion'!AB5</f>
        <v>130.08298888372659</v>
      </c>
      <c r="X47" s="37">
        <f>'T.Amortizacion'!AC5</f>
        <v>123.63148769049813</v>
      </c>
      <c r="Y47" s="37">
        <f>'T.Amortizacion'!AD5</f>
        <v>117.09504173155882</v>
      </c>
      <c r="Z47" s="37">
        <f>'T.Amortizacion'!AE5</f>
        <v>110.4725325674935</v>
      </c>
      <c r="AA47" s="37">
        <f>'T.Amortizacion'!AF5</f>
        <v>103.76282703276797</v>
      </c>
      <c r="AB47" s="37">
        <f>'T.Amortizacion'!AG5</f>
        <v>96.96477704183523</v>
      </c>
      <c r="AC47" s="37">
        <f>'T.Amortizacion'!AH5</f>
        <v>90.07721939268855</v>
      </c>
      <c r="AD47" s="37">
        <f>'T.Amortizacion'!AI5</f>
        <v>83.09897556782809</v>
      </c>
      <c r="AE47" s="37">
        <f>'T.Amortizacion'!AJ5</f>
        <v>76.02885153260698</v>
      </c>
      <c r="AF47" s="37">
        <f>'T.Amortizacion'!AK5</f>
        <v>68.86563753092211</v>
      </c>
      <c r="AG47" s="37">
        <f>'T.Amortizacion'!AL5</f>
        <v>61.608107878215066</v>
      </c>
      <c r="AH47" s="37">
        <f>'T.Amortizacion'!AM5</f>
        <v>54.25502075174737</v>
      </c>
      <c r="AI47" s="37">
        <f>'T.Amortizacion'!AN5</f>
        <v>46.80511797811452</v>
      </c>
      <c r="AJ47" s="37">
        <f>'T.Amortizacion'!AO5</f>
        <v>39.25712481796217</v>
      </c>
      <c r="AK47" s="37">
        <f>'T.Amortizacion'!AP5</f>
        <v>31.60974974786782</v>
      </c>
      <c r="AL47" s="37">
        <f>'T.Amortizacion'!AQ5</f>
        <v>23.861684239350556</v>
      </c>
      <c r="AM47" s="37">
        <f>'T.Amortizacion'!AR5</f>
        <v>16.01160253497115</v>
      </c>
      <c r="AN47" s="37">
        <f>'T.Amortizacion'!AS5</f>
        <v>8.058161421484082</v>
      </c>
    </row>
    <row r="48" ht="12.75">
      <c r="C48" s="147"/>
    </row>
    <row r="49" spans="3:40" ht="12.75">
      <c r="C49" s="147" t="s">
        <v>319</v>
      </c>
      <c r="E49" s="37">
        <f>E45-E47</f>
        <v>3980.3401805545286</v>
      </c>
      <c r="F49" s="37">
        <f aca="true" t="shared" si="18" ref="F49:AN49">F45-F47</f>
        <v>8332.60737280068</v>
      </c>
      <c r="G49" s="37">
        <f t="shared" si="18"/>
        <v>6298.883579818983</v>
      </c>
      <c r="H49" s="37">
        <f t="shared" si="18"/>
        <v>526.2023568866317</v>
      </c>
      <c r="I49" s="37">
        <f t="shared" si="18"/>
        <v>8550.18179244071</v>
      </c>
      <c r="J49" s="37">
        <f t="shared" si="18"/>
        <v>12813.527462445383</v>
      </c>
      <c r="K49" s="37">
        <f t="shared" si="18"/>
        <v>12087.74716543022</v>
      </c>
      <c r="L49" s="37">
        <f t="shared" si="18"/>
        <v>4035.5959192582013</v>
      </c>
      <c r="M49" s="37">
        <f t="shared" si="18"/>
        <v>9817.552289809373</v>
      </c>
      <c r="N49" s="37">
        <f t="shared" si="18"/>
        <v>10526.501348479109</v>
      </c>
      <c r="O49" s="37">
        <f t="shared" si="18"/>
        <v>7783.202328981666</v>
      </c>
      <c r="P49" s="37">
        <f t="shared" si="18"/>
        <v>5847.897639504941</v>
      </c>
      <c r="Q49" s="37">
        <f t="shared" si="18"/>
        <v>11407.968874353488</v>
      </c>
      <c r="R49" s="37">
        <f t="shared" si="18"/>
        <v>17642.239357075323</v>
      </c>
      <c r="S49" s="37">
        <f t="shared" si="18"/>
        <v>11384.7935704848</v>
      </c>
      <c r="T49" s="37">
        <f t="shared" si="18"/>
        <v>7004.9855939823</v>
      </c>
      <c r="U49" s="37">
        <f t="shared" si="18"/>
        <v>11064.29906831201</v>
      </c>
      <c r="V49" s="37">
        <f t="shared" si="18"/>
        <v>12014.19112245321</v>
      </c>
      <c r="W49" s="37">
        <f t="shared" si="18"/>
        <v>17690.26168983182</v>
      </c>
      <c r="X49" s="37">
        <f t="shared" si="18"/>
        <v>15996.390861139449</v>
      </c>
      <c r="Y49" s="37">
        <f t="shared" si="18"/>
        <v>13810.135623363964</v>
      </c>
      <c r="Z49" s="37">
        <f t="shared" si="18"/>
        <v>19657.73374623733</v>
      </c>
      <c r="AA49" s="37">
        <f t="shared" si="18"/>
        <v>23296.439838506965</v>
      </c>
      <c r="AB49" s="37">
        <f t="shared" si="18"/>
        <v>5796.662671300291</v>
      </c>
      <c r="AC49" s="37">
        <f t="shared" si="18"/>
        <v>19165.443580538922</v>
      </c>
      <c r="AD49" s="37">
        <f t="shared" si="18"/>
        <v>16293.538636131838</v>
      </c>
      <c r="AE49" s="37">
        <f t="shared" si="18"/>
        <v>18439.23977567368</v>
      </c>
      <c r="AF49" s="37">
        <f t="shared" si="18"/>
        <v>17273.304539845773</v>
      </c>
      <c r="AG49" s="37">
        <f t="shared" si="18"/>
        <v>16181.92220551475</v>
      </c>
      <c r="AH49" s="37">
        <f t="shared" si="18"/>
        <v>22647.98938551575</v>
      </c>
      <c r="AI49" s="37">
        <f t="shared" si="18"/>
        <v>21940.80650086656</v>
      </c>
      <c r="AJ49" s="37">
        <f t="shared" si="18"/>
        <v>4160.395307699914</v>
      </c>
      <c r="AK49" s="37">
        <f t="shared" si="18"/>
        <v>21265.78045456011</v>
      </c>
      <c r="AL49" s="37">
        <f t="shared" si="18"/>
        <v>16911.839440144286</v>
      </c>
      <c r="AM49" s="37">
        <f t="shared" si="18"/>
        <v>16610.369364286416</v>
      </c>
      <c r="AN49" s="37">
        <f t="shared" si="18"/>
        <v>20953.441809375552</v>
      </c>
    </row>
    <row r="50" ht="12.75">
      <c r="C50" s="147"/>
    </row>
    <row r="51" spans="3:40" ht="12.75">
      <c r="C51" s="147" t="s">
        <v>321</v>
      </c>
      <c r="E51" s="37">
        <f>E49*36.25%</f>
        <v>1442.8733154510167</v>
      </c>
      <c r="F51" s="37">
        <f aca="true" t="shared" si="19" ref="F51:AN51">F49*36.25%</f>
        <v>3020.5701726402463</v>
      </c>
      <c r="G51" s="37">
        <f t="shared" si="19"/>
        <v>2283.3452976843814</v>
      </c>
      <c r="H51" s="37">
        <f t="shared" si="19"/>
        <v>190.748354371404</v>
      </c>
      <c r="I51" s="37">
        <f t="shared" si="19"/>
        <v>3099.440899759757</v>
      </c>
      <c r="J51" s="37">
        <f t="shared" si="19"/>
        <v>4644.903705136451</v>
      </c>
      <c r="K51" s="37">
        <f t="shared" si="19"/>
        <v>4381.8083474684545</v>
      </c>
      <c r="L51" s="37">
        <f t="shared" si="19"/>
        <v>1462.9035207310978</v>
      </c>
      <c r="M51" s="37">
        <f t="shared" si="19"/>
        <v>3558.8627050558975</v>
      </c>
      <c r="N51" s="37">
        <f t="shared" si="19"/>
        <v>3815.856738823677</v>
      </c>
      <c r="O51" s="37">
        <f t="shared" si="19"/>
        <v>2821.410844255854</v>
      </c>
      <c r="P51" s="37">
        <f t="shared" si="19"/>
        <v>2119.8628943205413</v>
      </c>
      <c r="Q51" s="37">
        <f t="shared" si="19"/>
        <v>4135.388716953139</v>
      </c>
      <c r="R51" s="37">
        <f t="shared" si="19"/>
        <v>6395.311766939804</v>
      </c>
      <c r="S51" s="37">
        <f t="shared" si="19"/>
        <v>4126.98766930074</v>
      </c>
      <c r="T51" s="37">
        <f t="shared" si="19"/>
        <v>2539.3072778185838</v>
      </c>
      <c r="U51" s="37">
        <f t="shared" si="19"/>
        <v>4010.8084122631035</v>
      </c>
      <c r="V51" s="37">
        <f t="shared" si="19"/>
        <v>4355.144281889288</v>
      </c>
      <c r="W51" s="37">
        <f t="shared" si="19"/>
        <v>6412.719862564034</v>
      </c>
      <c r="X51" s="37">
        <f t="shared" si="19"/>
        <v>5798.69168716305</v>
      </c>
      <c r="Y51" s="37">
        <f t="shared" si="19"/>
        <v>5006.174163469436</v>
      </c>
      <c r="Z51" s="37">
        <f t="shared" si="19"/>
        <v>7125.928483011032</v>
      </c>
      <c r="AA51" s="37">
        <f t="shared" si="19"/>
        <v>8444.959441458775</v>
      </c>
      <c r="AB51" s="37">
        <f t="shared" si="19"/>
        <v>2101.2902183463552</v>
      </c>
      <c r="AC51" s="37">
        <f t="shared" si="19"/>
        <v>6947.473297945359</v>
      </c>
      <c r="AD51" s="37">
        <f t="shared" si="19"/>
        <v>5906.407755597791</v>
      </c>
      <c r="AE51" s="37">
        <f t="shared" si="19"/>
        <v>6684.224418681709</v>
      </c>
      <c r="AF51" s="37">
        <f t="shared" si="19"/>
        <v>6261.572895694092</v>
      </c>
      <c r="AG51" s="37">
        <f t="shared" si="19"/>
        <v>5865.946799499096</v>
      </c>
      <c r="AH51" s="37">
        <f t="shared" si="19"/>
        <v>8209.89615224946</v>
      </c>
      <c r="AI51" s="37">
        <f t="shared" si="19"/>
        <v>7953.542356564129</v>
      </c>
      <c r="AJ51" s="37">
        <f t="shared" si="19"/>
        <v>1508.1432990412188</v>
      </c>
      <c r="AK51" s="37">
        <f t="shared" si="19"/>
        <v>7708.845414778039</v>
      </c>
      <c r="AL51" s="37">
        <f t="shared" si="19"/>
        <v>6130.541797052303</v>
      </c>
      <c r="AM51" s="37">
        <f t="shared" si="19"/>
        <v>6021.2588945538255</v>
      </c>
      <c r="AN51" s="37">
        <f t="shared" si="19"/>
        <v>7595.622655898637</v>
      </c>
    </row>
    <row r="52" ht="12.75">
      <c r="C52" s="147"/>
    </row>
    <row r="53" ht="12.75">
      <c r="C53" s="147"/>
    </row>
    <row r="54" spans="3:40" ht="12.75">
      <c r="C54" s="147" t="s">
        <v>322</v>
      </c>
      <c r="E54" s="37">
        <f>E49-E51</f>
        <v>2537.4668651035117</v>
      </c>
      <c r="F54" s="37">
        <f aca="true" t="shared" si="20" ref="F54:AN54">F49-F51</f>
        <v>5312.037200160434</v>
      </c>
      <c r="G54" s="37">
        <f t="shared" si="20"/>
        <v>4015.5382821346016</v>
      </c>
      <c r="H54" s="37">
        <f t="shared" si="20"/>
        <v>335.4540025152277</v>
      </c>
      <c r="I54" s="37">
        <f t="shared" si="20"/>
        <v>5450.740892680953</v>
      </c>
      <c r="J54" s="37">
        <f t="shared" si="20"/>
        <v>8168.623757308932</v>
      </c>
      <c r="K54" s="37">
        <f t="shared" si="20"/>
        <v>7705.938817961766</v>
      </c>
      <c r="L54" s="37">
        <f t="shared" si="20"/>
        <v>2572.6923985271033</v>
      </c>
      <c r="M54" s="37">
        <f t="shared" si="20"/>
        <v>6258.689584753476</v>
      </c>
      <c r="N54" s="37">
        <f t="shared" si="20"/>
        <v>6710.644609655432</v>
      </c>
      <c r="O54" s="37">
        <f t="shared" si="20"/>
        <v>4961.791484725813</v>
      </c>
      <c r="P54" s="37">
        <f t="shared" si="20"/>
        <v>3728.0347451844</v>
      </c>
      <c r="Q54" s="37">
        <f t="shared" si="20"/>
        <v>7272.580157400349</v>
      </c>
      <c r="R54" s="37">
        <f t="shared" si="20"/>
        <v>11246.927590135518</v>
      </c>
      <c r="S54" s="37">
        <f t="shared" si="20"/>
        <v>7257.8059011840605</v>
      </c>
      <c r="T54" s="37">
        <f t="shared" si="20"/>
        <v>4465.678316163716</v>
      </c>
      <c r="U54" s="37">
        <f t="shared" si="20"/>
        <v>7053.490656048906</v>
      </c>
      <c r="V54" s="37">
        <f t="shared" si="20"/>
        <v>7659.046840563922</v>
      </c>
      <c r="W54" s="37">
        <f t="shared" si="20"/>
        <v>11277.541827267785</v>
      </c>
      <c r="X54" s="37">
        <f t="shared" si="20"/>
        <v>10197.699173976398</v>
      </c>
      <c r="Y54" s="37">
        <f t="shared" si="20"/>
        <v>8803.961459894526</v>
      </c>
      <c r="Z54" s="37">
        <f t="shared" si="20"/>
        <v>12531.805263226297</v>
      </c>
      <c r="AA54" s="37">
        <f t="shared" si="20"/>
        <v>14851.48039704819</v>
      </c>
      <c r="AB54" s="37">
        <f t="shared" si="20"/>
        <v>3695.3724529539354</v>
      </c>
      <c r="AC54" s="37">
        <f t="shared" si="20"/>
        <v>12217.970282593564</v>
      </c>
      <c r="AD54" s="37">
        <f t="shared" si="20"/>
        <v>10387.130880534047</v>
      </c>
      <c r="AE54" s="37">
        <f t="shared" si="20"/>
        <v>11755.015356991971</v>
      </c>
      <c r="AF54" s="37">
        <f t="shared" si="20"/>
        <v>11011.731644151681</v>
      </c>
      <c r="AG54" s="37">
        <f t="shared" si="20"/>
        <v>10315.975406015652</v>
      </c>
      <c r="AH54" s="37">
        <f t="shared" si="20"/>
        <v>14438.09323326629</v>
      </c>
      <c r="AI54" s="37">
        <f t="shared" si="20"/>
        <v>13987.264144302433</v>
      </c>
      <c r="AJ54" s="37">
        <f t="shared" si="20"/>
        <v>2652.2520086586956</v>
      </c>
      <c r="AK54" s="37">
        <f t="shared" si="20"/>
        <v>13556.93503978207</v>
      </c>
      <c r="AL54" s="37">
        <f t="shared" si="20"/>
        <v>10781.297643091983</v>
      </c>
      <c r="AM54" s="37">
        <f t="shared" si="20"/>
        <v>10589.11046973259</v>
      </c>
      <c r="AN54" s="37">
        <f t="shared" si="20"/>
        <v>13357.819153476914</v>
      </c>
    </row>
    <row r="55" ht="12.75">
      <c r="C55" s="147"/>
    </row>
    <row r="56" spans="3:40" ht="12.75">
      <c r="C56" s="147" t="s">
        <v>323</v>
      </c>
      <c r="E56" s="37">
        <f>E40</f>
        <v>568.5</v>
      </c>
      <c r="F56" s="37">
        <f aca="true" t="shared" si="21" ref="F56:AN56">F40</f>
        <v>568.5</v>
      </c>
      <c r="G56" s="37">
        <f t="shared" si="21"/>
        <v>568.5</v>
      </c>
      <c r="H56" s="37">
        <f t="shared" si="21"/>
        <v>568.5</v>
      </c>
      <c r="I56" s="37">
        <f t="shared" si="21"/>
        <v>568.5</v>
      </c>
      <c r="J56" s="37">
        <f t="shared" si="21"/>
        <v>568.5</v>
      </c>
      <c r="K56" s="37">
        <f t="shared" si="21"/>
        <v>568.5</v>
      </c>
      <c r="L56" s="37">
        <f t="shared" si="21"/>
        <v>568.5</v>
      </c>
      <c r="M56" s="37">
        <f t="shared" si="21"/>
        <v>568.5</v>
      </c>
      <c r="N56" s="37">
        <f t="shared" si="21"/>
        <v>568.5</v>
      </c>
      <c r="O56" s="37">
        <f t="shared" si="21"/>
        <v>568.5</v>
      </c>
      <c r="P56" s="37">
        <f t="shared" si="21"/>
        <v>568.5</v>
      </c>
      <c r="Q56" s="37">
        <f t="shared" si="21"/>
        <v>568.5</v>
      </c>
      <c r="R56" s="37">
        <f t="shared" si="21"/>
        <v>568.5</v>
      </c>
      <c r="S56" s="37">
        <f t="shared" si="21"/>
        <v>568.5</v>
      </c>
      <c r="T56" s="37">
        <f t="shared" si="21"/>
        <v>568.5</v>
      </c>
      <c r="U56" s="37">
        <f t="shared" si="21"/>
        <v>568.5</v>
      </c>
      <c r="V56" s="37">
        <f t="shared" si="21"/>
        <v>568.5</v>
      </c>
      <c r="W56" s="37">
        <f t="shared" si="21"/>
        <v>568.5</v>
      </c>
      <c r="X56" s="37">
        <f t="shared" si="21"/>
        <v>568.5</v>
      </c>
      <c r="Y56" s="37">
        <f t="shared" si="21"/>
        <v>568.5</v>
      </c>
      <c r="Z56" s="37">
        <f t="shared" si="21"/>
        <v>568.5</v>
      </c>
      <c r="AA56" s="37">
        <f t="shared" si="21"/>
        <v>568.5</v>
      </c>
      <c r="AB56" s="37">
        <f t="shared" si="21"/>
        <v>568.5</v>
      </c>
      <c r="AC56" s="37">
        <f t="shared" si="21"/>
        <v>568.5</v>
      </c>
      <c r="AD56" s="37">
        <f t="shared" si="21"/>
        <v>568.5</v>
      </c>
      <c r="AE56" s="37">
        <f t="shared" si="21"/>
        <v>568.5</v>
      </c>
      <c r="AF56" s="37">
        <f t="shared" si="21"/>
        <v>568.5</v>
      </c>
      <c r="AG56" s="37">
        <f t="shared" si="21"/>
        <v>568.5</v>
      </c>
      <c r="AH56" s="37">
        <f t="shared" si="21"/>
        <v>568.5</v>
      </c>
      <c r="AI56" s="37">
        <f t="shared" si="21"/>
        <v>568.5</v>
      </c>
      <c r="AJ56" s="37">
        <f t="shared" si="21"/>
        <v>568.5</v>
      </c>
      <c r="AK56" s="37">
        <f t="shared" si="21"/>
        <v>568.5</v>
      </c>
      <c r="AL56" s="37">
        <f t="shared" si="21"/>
        <v>568.5</v>
      </c>
      <c r="AM56" s="37">
        <f t="shared" si="21"/>
        <v>568.5</v>
      </c>
      <c r="AN56" s="37">
        <f t="shared" si="21"/>
        <v>568.5</v>
      </c>
    </row>
    <row r="57" spans="3:40" ht="12.75">
      <c r="C57" s="147" t="s">
        <v>325</v>
      </c>
      <c r="E57" s="37">
        <f>(E26+E27+E29+E33)</f>
        <v>520</v>
      </c>
      <c r="F57" s="37">
        <f aca="true" t="shared" si="22" ref="F57:AN57">(F26+F27+F29+F33)-E57</f>
        <v>310</v>
      </c>
      <c r="G57" s="37">
        <f t="shared" si="22"/>
        <v>520</v>
      </c>
      <c r="H57" s="37">
        <f t="shared" si="22"/>
        <v>310</v>
      </c>
      <c r="I57" s="37">
        <f t="shared" si="22"/>
        <v>520</v>
      </c>
      <c r="J57" s="37">
        <f t="shared" si="22"/>
        <v>310</v>
      </c>
      <c r="K57" s="37">
        <f t="shared" si="22"/>
        <v>520</v>
      </c>
      <c r="L57" s="37">
        <f t="shared" si="22"/>
        <v>310</v>
      </c>
      <c r="M57" s="37">
        <f t="shared" si="22"/>
        <v>520</v>
      </c>
      <c r="N57" s="37">
        <f t="shared" si="22"/>
        <v>310</v>
      </c>
      <c r="O57" s="37">
        <f t="shared" si="22"/>
        <v>520</v>
      </c>
      <c r="P57" s="37">
        <f t="shared" si="22"/>
        <v>310</v>
      </c>
      <c r="Q57" s="37">
        <f t="shared" si="22"/>
        <v>520</v>
      </c>
      <c r="R57" s="37">
        <f t="shared" si="22"/>
        <v>310</v>
      </c>
      <c r="S57" s="37">
        <f t="shared" si="22"/>
        <v>520</v>
      </c>
      <c r="T57" s="37">
        <f t="shared" si="22"/>
        <v>310</v>
      </c>
      <c r="U57" s="37">
        <f t="shared" si="22"/>
        <v>520</v>
      </c>
      <c r="V57" s="37">
        <f t="shared" si="22"/>
        <v>310</v>
      </c>
      <c r="W57" s="37">
        <f t="shared" si="22"/>
        <v>520</v>
      </c>
      <c r="X57" s="37">
        <f t="shared" si="22"/>
        <v>310</v>
      </c>
      <c r="Y57" s="37">
        <f t="shared" si="22"/>
        <v>520</v>
      </c>
      <c r="Z57" s="37">
        <f t="shared" si="22"/>
        <v>310</v>
      </c>
      <c r="AA57" s="37">
        <f t="shared" si="22"/>
        <v>520</v>
      </c>
      <c r="AB57" s="37">
        <f t="shared" si="22"/>
        <v>310</v>
      </c>
      <c r="AC57" s="37">
        <f t="shared" si="22"/>
        <v>520</v>
      </c>
      <c r="AD57" s="37">
        <f t="shared" si="22"/>
        <v>310</v>
      </c>
      <c r="AE57" s="37">
        <f t="shared" si="22"/>
        <v>520</v>
      </c>
      <c r="AF57" s="37">
        <f t="shared" si="22"/>
        <v>310</v>
      </c>
      <c r="AG57" s="37">
        <f t="shared" si="22"/>
        <v>520</v>
      </c>
      <c r="AH57" s="37">
        <f t="shared" si="22"/>
        <v>310</v>
      </c>
      <c r="AI57" s="37">
        <f t="shared" si="22"/>
        <v>520</v>
      </c>
      <c r="AJ57" s="37">
        <f t="shared" si="22"/>
        <v>310</v>
      </c>
      <c r="AK57" s="37">
        <f t="shared" si="22"/>
        <v>520</v>
      </c>
      <c r="AL57" s="37">
        <f t="shared" si="22"/>
        <v>60</v>
      </c>
      <c r="AM57" s="37">
        <f t="shared" si="22"/>
        <v>520</v>
      </c>
      <c r="AN57" s="37">
        <f t="shared" si="22"/>
        <v>60</v>
      </c>
    </row>
    <row r="58" spans="3:40" ht="12.75">
      <c r="C58" s="147" t="s">
        <v>396</v>
      </c>
      <c r="E58" s="37">
        <f>'T.Amortizacion'!J8</f>
        <v>387.1942212808245</v>
      </c>
      <c r="F58" s="37">
        <f>'T.Amortizacion'!K8</f>
        <v>392.29227852768867</v>
      </c>
      <c r="G58" s="37">
        <f>'T.Amortizacion'!L8</f>
        <v>397.45746019496994</v>
      </c>
      <c r="H58" s="37">
        <f>'T.Amortizacion'!M8</f>
        <v>402.69065008753705</v>
      </c>
      <c r="I58" s="37">
        <f>'T.Amortizacion'!N8</f>
        <v>407.99274364702296</v>
      </c>
      <c r="J58" s="37">
        <f>'T.Amortizacion'!O8</f>
        <v>413.3646481050421</v>
      </c>
      <c r="K58" s="37">
        <f>'T.Amortizacion'!P8</f>
        <v>418.80728263842514</v>
      </c>
      <c r="L58" s="37">
        <f>'T.Amortizacion'!Q8</f>
        <v>424.3215785264977</v>
      </c>
      <c r="M58" s="37">
        <f>'T.Amortizacion'!R8</f>
        <v>429.9084793104299</v>
      </c>
      <c r="N58" s="37">
        <f>'T.Amortizacion'!S8</f>
        <v>435.56894095468397</v>
      </c>
      <c r="O58" s="37">
        <f>'T.Amortizacion'!T8</f>
        <v>441.30393201058723</v>
      </c>
      <c r="P58" s="37">
        <f>'T.Amortizacion'!U8</f>
        <v>447.11443378206</v>
      </c>
      <c r="Q58" s="37">
        <f>'T.Amortizacion'!V8</f>
        <v>453.0014404935238</v>
      </c>
      <c r="R58" s="37">
        <f>'T.Amortizacion'!W8</f>
        <v>458.96595946002185</v>
      </c>
      <c r="S58" s="37">
        <f>'T.Amortizacion'!X8</f>
        <v>465.00901125957887</v>
      </c>
      <c r="T58" s="37">
        <f>'T.Amortizacion'!Y8</f>
        <v>471.13162990782996</v>
      </c>
      <c r="U58" s="37">
        <f>'T.Amortizacion'!Z8</f>
        <v>477.3348630349497</v>
      </c>
      <c r="V58" s="37">
        <f>'T.Amortizacion'!AA8</f>
        <v>483.61977206490985</v>
      </c>
      <c r="W58" s="37">
        <f>'T.Amortizacion'!AB8</f>
        <v>489.9874323970979</v>
      </c>
      <c r="X58" s="37">
        <f>'T.Amortizacion'!AC8</f>
        <v>496.4389335903263</v>
      </c>
      <c r="Y58" s="37">
        <f>'T.Amortizacion'!AD8</f>
        <v>502.97537954926565</v>
      </c>
      <c r="Z58" s="37">
        <f>'T.Amortizacion'!AE8</f>
        <v>509.597888713331</v>
      </c>
      <c r="AA58" s="37">
        <f>'T.Amortizacion'!AF8</f>
        <v>516.3075942480565</v>
      </c>
      <c r="AB58" s="37">
        <f>'T.Amortizacion'!AG8</f>
        <v>523.1056442389893</v>
      </c>
      <c r="AC58" s="37">
        <f>'T.Amortizacion'!AH8</f>
        <v>529.9932018881359</v>
      </c>
      <c r="AD58" s="37">
        <f>'T.Amortizacion'!AI8</f>
        <v>536.9714457129963</v>
      </c>
      <c r="AE58" s="37">
        <f>'T.Amortizacion'!AJ8</f>
        <v>544.0415697482175</v>
      </c>
      <c r="AF58" s="37">
        <f>'T.Amortizacion'!AK8</f>
        <v>551.2047837499024</v>
      </c>
      <c r="AG58" s="37">
        <f>'T.Amortizacion'!AL8</f>
        <v>558.4623134026094</v>
      </c>
      <c r="AH58" s="37">
        <f>'T.Amortizacion'!AM8</f>
        <v>565.8154005290771</v>
      </c>
      <c r="AI58" s="37">
        <f>'T.Amortizacion'!AN8</f>
        <v>573.26530330271</v>
      </c>
      <c r="AJ58" s="37">
        <f>'T.Amortizacion'!AO8</f>
        <v>580.8132964628622</v>
      </c>
      <c r="AK58" s="37">
        <f>'T.Amortizacion'!AP8</f>
        <v>588.4606715329567</v>
      </c>
      <c r="AL58" s="37">
        <f>'T.Amortizacion'!AQ8</f>
        <v>596.2087370414739</v>
      </c>
      <c r="AM58" s="37">
        <f>'T.Amortizacion'!AR8</f>
        <v>604.0588187458533</v>
      </c>
      <c r="AN58" s="37">
        <f>'T.Amortizacion'!AS8</f>
        <v>612.0122598593404</v>
      </c>
    </row>
    <row r="59" spans="3:40" ht="12.75">
      <c r="C59" s="147" t="s">
        <v>326</v>
      </c>
      <c r="E59" s="37">
        <f>29+17</f>
        <v>46</v>
      </c>
      <c r="F59" s="37">
        <f aca="true" t="shared" si="23" ref="F59:AN59">29+17</f>
        <v>46</v>
      </c>
      <c r="G59" s="37">
        <f t="shared" si="23"/>
        <v>46</v>
      </c>
      <c r="H59" s="37">
        <f t="shared" si="23"/>
        <v>46</v>
      </c>
      <c r="I59" s="37">
        <f t="shared" si="23"/>
        <v>46</v>
      </c>
      <c r="J59" s="37">
        <f t="shared" si="23"/>
        <v>46</v>
      </c>
      <c r="K59" s="37">
        <f t="shared" si="23"/>
        <v>46</v>
      </c>
      <c r="L59" s="37">
        <f t="shared" si="23"/>
        <v>46</v>
      </c>
      <c r="M59" s="37">
        <f t="shared" si="23"/>
        <v>46</v>
      </c>
      <c r="N59" s="37">
        <f t="shared" si="23"/>
        <v>46</v>
      </c>
      <c r="O59" s="37">
        <f t="shared" si="23"/>
        <v>46</v>
      </c>
      <c r="P59" s="37">
        <v>46</v>
      </c>
      <c r="Q59" s="37">
        <v>2740</v>
      </c>
      <c r="R59" s="37">
        <f t="shared" si="23"/>
        <v>46</v>
      </c>
      <c r="S59" s="37">
        <f t="shared" si="23"/>
        <v>46</v>
      </c>
      <c r="T59" s="37">
        <f t="shared" si="23"/>
        <v>46</v>
      </c>
      <c r="U59" s="37">
        <f t="shared" si="23"/>
        <v>46</v>
      </c>
      <c r="V59" s="37">
        <f t="shared" si="23"/>
        <v>46</v>
      </c>
      <c r="W59" s="37">
        <f t="shared" si="23"/>
        <v>46</v>
      </c>
      <c r="X59" s="37">
        <f t="shared" si="23"/>
        <v>46</v>
      </c>
      <c r="Y59" s="37">
        <f t="shared" si="23"/>
        <v>46</v>
      </c>
      <c r="Z59" s="37">
        <f t="shared" si="23"/>
        <v>46</v>
      </c>
      <c r="AA59" s="37">
        <f t="shared" si="23"/>
        <v>46</v>
      </c>
      <c r="AB59" s="37">
        <v>2740</v>
      </c>
      <c r="AC59" s="37">
        <f t="shared" si="23"/>
        <v>46</v>
      </c>
      <c r="AD59" s="37">
        <f t="shared" si="23"/>
        <v>46</v>
      </c>
      <c r="AE59" s="37">
        <f t="shared" si="23"/>
        <v>46</v>
      </c>
      <c r="AF59" s="37">
        <f t="shared" si="23"/>
        <v>46</v>
      </c>
      <c r="AG59" s="37">
        <f t="shared" si="23"/>
        <v>46</v>
      </c>
      <c r="AH59" s="37">
        <f t="shared" si="23"/>
        <v>46</v>
      </c>
      <c r="AI59" s="37">
        <f t="shared" si="23"/>
        <v>46</v>
      </c>
      <c r="AJ59" s="37">
        <f t="shared" si="23"/>
        <v>46</v>
      </c>
      <c r="AK59" s="37">
        <f t="shared" si="23"/>
        <v>46</v>
      </c>
      <c r="AL59" s="37">
        <f t="shared" si="23"/>
        <v>46</v>
      </c>
      <c r="AM59" s="37">
        <f t="shared" si="23"/>
        <v>46</v>
      </c>
      <c r="AN59" s="37">
        <f t="shared" si="23"/>
        <v>46</v>
      </c>
    </row>
    <row r="60" spans="3:40" ht="12.75">
      <c r="C60" s="147" t="s">
        <v>328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9610</v>
      </c>
    </row>
    <row r="61" ht="12.75">
      <c r="C61" s="147"/>
    </row>
    <row r="62" spans="3:40" ht="12.75">
      <c r="C62" s="147" t="s">
        <v>324</v>
      </c>
      <c r="E62" s="37">
        <f>E54+E56-E57-E59+E60-E58</f>
        <v>2152.7726438226873</v>
      </c>
      <c r="F62" s="37">
        <f aca="true" t="shared" si="24" ref="F62:AN62">F54+F56-F57-F59+F60-F58</f>
        <v>5132.244921632745</v>
      </c>
      <c r="G62" s="37">
        <f t="shared" si="24"/>
        <v>3620.5808219396313</v>
      </c>
      <c r="H62" s="37">
        <f t="shared" si="24"/>
        <v>145.26335242769073</v>
      </c>
      <c r="I62" s="37">
        <f t="shared" si="24"/>
        <v>5045.2481490339305</v>
      </c>
      <c r="J62" s="37">
        <f t="shared" si="24"/>
        <v>7967.759109203889</v>
      </c>
      <c r="K62" s="37">
        <f t="shared" si="24"/>
        <v>7289.631535323342</v>
      </c>
      <c r="L62" s="37">
        <f t="shared" si="24"/>
        <v>2360.8708200006054</v>
      </c>
      <c r="M62" s="37">
        <f t="shared" si="24"/>
        <v>5831.281105443046</v>
      </c>
      <c r="N62" s="37">
        <f t="shared" si="24"/>
        <v>6487.575668700748</v>
      </c>
      <c r="O62" s="37">
        <f t="shared" si="24"/>
        <v>4522.987552715225</v>
      </c>
      <c r="P62" s="37">
        <f t="shared" si="24"/>
        <v>3493.42031140234</v>
      </c>
      <c r="Q62" s="37">
        <f t="shared" si="24"/>
        <v>4128.078716906825</v>
      </c>
      <c r="R62" s="37">
        <f t="shared" si="24"/>
        <v>11000.461630675496</v>
      </c>
      <c r="S62" s="37">
        <f t="shared" si="24"/>
        <v>6795.296889924482</v>
      </c>
      <c r="T62" s="37">
        <f t="shared" si="24"/>
        <v>4207.046686255886</v>
      </c>
      <c r="U62" s="37">
        <f t="shared" si="24"/>
        <v>6578.655793013956</v>
      </c>
      <c r="V62" s="37">
        <f t="shared" si="24"/>
        <v>7387.927068499012</v>
      </c>
      <c r="W62" s="37">
        <f t="shared" si="24"/>
        <v>10790.054394870687</v>
      </c>
      <c r="X62" s="37">
        <f t="shared" si="24"/>
        <v>9913.760240386071</v>
      </c>
      <c r="Y62" s="37">
        <f t="shared" si="24"/>
        <v>8303.486080345261</v>
      </c>
      <c r="Z62" s="37">
        <f t="shared" si="24"/>
        <v>12234.707374512966</v>
      </c>
      <c r="AA62" s="37">
        <f t="shared" si="24"/>
        <v>14337.672802800133</v>
      </c>
      <c r="AB62" s="37">
        <f t="shared" si="24"/>
        <v>690.7668087149466</v>
      </c>
      <c r="AC62" s="37">
        <f t="shared" si="24"/>
        <v>11690.477080705428</v>
      </c>
      <c r="AD62" s="37">
        <f t="shared" si="24"/>
        <v>10062.659434821051</v>
      </c>
      <c r="AE62" s="37">
        <f t="shared" si="24"/>
        <v>11213.473787243754</v>
      </c>
      <c r="AF62" s="37">
        <f t="shared" si="24"/>
        <v>10673.026860401778</v>
      </c>
      <c r="AG62" s="37">
        <f t="shared" si="24"/>
        <v>9760.013092613042</v>
      </c>
      <c r="AH62" s="37">
        <f t="shared" si="24"/>
        <v>14084.777832737214</v>
      </c>
      <c r="AI62" s="37">
        <f t="shared" si="24"/>
        <v>13416.498840999724</v>
      </c>
      <c r="AJ62" s="37">
        <f t="shared" si="24"/>
        <v>2283.9387121958334</v>
      </c>
      <c r="AK62" s="37">
        <f t="shared" si="24"/>
        <v>12970.974368249113</v>
      </c>
      <c r="AL62" s="37">
        <f t="shared" si="24"/>
        <v>10647.588906050509</v>
      </c>
      <c r="AM62" s="37">
        <f t="shared" si="24"/>
        <v>9987.551650986738</v>
      </c>
      <c r="AN62" s="37">
        <f t="shared" si="24"/>
        <v>22818.306893617573</v>
      </c>
    </row>
    <row r="63" spans="3:40" ht="12.75">
      <c r="C63" s="147" t="s">
        <v>330</v>
      </c>
      <c r="D63" s="37">
        <f>-D66</f>
        <v>-44217</v>
      </c>
      <c r="E63" s="37">
        <f aca="true" t="shared" si="25" ref="E63:AN63">E62/((1+E4%)^E2)</f>
        <v>2100.2659939733535</v>
      </c>
      <c r="F63" s="37">
        <f t="shared" si="25"/>
        <v>4884.94460119714</v>
      </c>
      <c r="G63" s="37">
        <f t="shared" si="25"/>
        <v>3362.0692184404816</v>
      </c>
      <c r="H63" s="37">
        <f t="shared" si="25"/>
        <v>131.60142779764047</v>
      </c>
      <c r="I63" s="37">
        <f t="shared" si="25"/>
        <v>4459.26420857762</v>
      </c>
      <c r="J63" s="37">
        <f t="shared" si="25"/>
        <v>6870.573708594776</v>
      </c>
      <c r="K63" s="37">
        <f t="shared" si="25"/>
        <v>6132.513587235297</v>
      </c>
      <c r="L63" s="37">
        <f t="shared" si="25"/>
        <v>1937.6766296481892</v>
      </c>
      <c r="M63" s="37">
        <f t="shared" si="25"/>
        <v>4669.272166575177</v>
      </c>
      <c r="N63" s="37">
        <f t="shared" si="25"/>
        <v>5068.08374346374</v>
      </c>
      <c r="O63" s="37">
        <f t="shared" si="25"/>
        <v>3447.1713631282846</v>
      </c>
      <c r="P63" s="37">
        <f t="shared" si="25"/>
        <v>2597.553231480024</v>
      </c>
      <c r="Q63" s="37">
        <f t="shared" si="25"/>
        <v>3512.469449723182</v>
      </c>
      <c r="R63" s="37">
        <f t="shared" si="25"/>
        <v>9244.4369367763</v>
      </c>
      <c r="S63" s="37">
        <f t="shared" si="25"/>
        <v>5640.050047157305</v>
      </c>
      <c r="T63" s="37">
        <f t="shared" si="25"/>
        <v>3448.7111510856557</v>
      </c>
      <c r="U63" s="37">
        <f t="shared" si="25"/>
        <v>5326.250915499309</v>
      </c>
      <c r="V63" s="37">
        <f t="shared" si="25"/>
        <v>5907.6128379846505</v>
      </c>
      <c r="W63" s="37">
        <f t="shared" si="25"/>
        <v>8521.5388481712</v>
      </c>
      <c r="X63" s="37">
        <f t="shared" si="25"/>
        <v>7732.817733517687</v>
      </c>
      <c r="Y63" s="37">
        <f t="shared" si="25"/>
        <v>6396.829751647939</v>
      </c>
      <c r="Z63" s="37">
        <f t="shared" si="25"/>
        <v>9308.996885441153</v>
      </c>
      <c r="AA63" s="37">
        <f t="shared" si="25"/>
        <v>10774.39595892307</v>
      </c>
      <c r="AB63" s="37">
        <f t="shared" si="25"/>
        <v>512.6851005181724</v>
      </c>
      <c r="AC63" s="37">
        <f t="shared" si="25"/>
        <v>9500.120809296859</v>
      </c>
      <c r="AD63" s="37">
        <f t="shared" si="25"/>
        <v>8109.714093186048</v>
      </c>
      <c r="AE63" s="37">
        <f t="shared" si="25"/>
        <v>8962.492740843592</v>
      </c>
      <c r="AF63" s="37">
        <f t="shared" si="25"/>
        <v>8460.034281406188</v>
      </c>
      <c r="AG63" s="37">
        <f t="shared" si="25"/>
        <v>7672.392223173396</v>
      </c>
      <c r="AH63" s="37">
        <f t="shared" si="25"/>
        <v>10980.605095464478</v>
      </c>
      <c r="AI63" s="37">
        <f t="shared" si="25"/>
        <v>10373.166411926146</v>
      </c>
      <c r="AJ63" s="37">
        <f t="shared" si="25"/>
        <v>1751.2674235442614</v>
      </c>
      <c r="AK63" s="37">
        <f t="shared" si="25"/>
        <v>9863.62380928864</v>
      </c>
      <c r="AL63" s="37">
        <f t="shared" si="25"/>
        <v>8029.916882447121</v>
      </c>
      <c r="AM63" s="37">
        <f t="shared" si="25"/>
        <v>7469.898296516072</v>
      </c>
      <c r="AN63" s="37">
        <f t="shared" si="25"/>
        <v>16925.244188631365</v>
      </c>
    </row>
    <row r="64" spans="3:40" s="155" customFormat="1" ht="15">
      <c r="C64" s="155" t="s">
        <v>332</v>
      </c>
      <c r="D64" s="155">
        <f>D63</f>
        <v>-44217</v>
      </c>
      <c r="E64" s="155">
        <f aca="true" t="shared" si="26" ref="E64:AN64">E63/((1+$D$73)^E2)</f>
        <v>2003.4001684231328</v>
      </c>
      <c r="F64" s="155">
        <f t="shared" si="26"/>
        <v>4444.740941341786</v>
      </c>
      <c r="G64" s="155">
        <f t="shared" si="26"/>
        <v>2918.0106081824515</v>
      </c>
      <c r="H64" s="155">
        <f t="shared" si="26"/>
        <v>108.95175302008714</v>
      </c>
      <c r="I64" s="155">
        <f t="shared" si="26"/>
        <v>3521.5205844923453</v>
      </c>
      <c r="J64" s="155">
        <f t="shared" si="26"/>
        <v>5175.513372047815</v>
      </c>
      <c r="K64" s="155">
        <f t="shared" si="26"/>
        <v>4406.485610666509</v>
      </c>
      <c r="L64" s="155">
        <f t="shared" si="26"/>
        <v>1328.0931714966637</v>
      </c>
      <c r="M64" s="155">
        <f t="shared" si="26"/>
        <v>3052.740138577148</v>
      </c>
      <c r="N64" s="155">
        <f t="shared" si="26"/>
        <v>3160.660402448918</v>
      </c>
      <c r="O64" s="155">
        <f t="shared" si="26"/>
        <v>2050.644283384106</v>
      </c>
      <c r="P64" s="155">
        <f t="shared" si="26"/>
        <v>1473.9587174864505</v>
      </c>
      <c r="Q64" s="155">
        <f t="shared" si="26"/>
        <v>1901.195705470603</v>
      </c>
      <c r="R64" s="155">
        <f t="shared" si="26"/>
        <v>4772.963777684265</v>
      </c>
      <c r="S64" s="155">
        <f t="shared" si="26"/>
        <v>2777.6916761544467</v>
      </c>
      <c r="T64" s="155">
        <f t="shared" si="26"/>
        <v>1620.1353805540653</v>
      </c>
      <c r="U64" s="155">
        <f t="shared" si="26"/>
        <v>2386.7641838429067</v>
      </c>
      <c r="V64" s="155">
        <f t="shared" si="26"/>
        <v>2525.185699457129</v>
      </c>
      <c r="W64" s="155">
        <f t="shared" si="26"/>
        <v>3474.5033048282185</v>
      </c>
      <c r="X64" s="155">
        <f t="shared" si="26"/>
        <v>3007.501689336203</v>
      </c>
      <c r="Y64" s="155">
        <f t="shared" si="26"/>
        <v>2373.1560887858673</v>
      </c>
      <c r="Z64" s="155">
        <f t="shared" si="26"/>
        <v>3294.2594604973206</v>
      </c>
      <c r="AA64" s="155">
        <f t="shared" si="26"/>
        <v>3636.98285659404</v>
      </c>
      <c r="AB64" s="155">
        <f t="shared" si="26"/>
        <v>165.07922592247152</v>
      </c>
      <c r="AC64" s="155">
        <f t="shared" si="26"/>
        <v>2917.858726032949</v>
      </c>
      <c r="AD64" s="155">
        <f t="shared" si="26"/>
        <v>2375.932408819083</v>
      </c>
      <c r="AE64" s="155">
        <f t="shared" si="26"/>
        <v>2504.6714205056196</v>
      </c>
      <c r="AF64" s="155">
        <f t="shared" si="26"/>
        <v>2255.2125078786084</v>
      </c>
      <c r="AG64" s="155">
        <f t="shared" si="26"/>
        <v>1950.9204020496804</v>
      </c>
      <c r="AH64" s="155">
        <f t="shared" si="26"/>
        <v>2663.351164685821</v>
      </c>
      <c r="AI64" s="155">
        <f t="shared" si="26"/>
        <v>2399.976060831762</v>
      </c>
      <c r="AJ64" s="155">
        <f t="shared" si="26"/>
        <v>386.4928278135746</v>
      </c>
      <c r="AK64" s="155">
        <f t="shared" si="26"/>
        <v>2076.4375571645833</v>
      </c>
      <c r="AL64" s="155">
        <f t="shared" si="26"/>
        <v>1612.4521306646338</v>
      </c>
      <c r="AM64" s="155">
        <f t="shared" si="26"/>
        <v>1430.8162858804644</v>
      </c>
      <c r="AN64" s="155">
        <f t="shared" si="26"/>
        <v>3092.4133135772536</v>
      </c>
    </row>
    <row r="65" ht="12.75">
      <c r="C65" s="147"/>
    </row>
    <row r="66" spans="3:4" ht="15.75">
      <c r="C66" s="138" t="s">
        <v>296</v>
      </c>
      <c r="D66" s="138">
        <f>SUM(D67:D71)</f>
        <v>44217</v>
      </c>
    </row>
    <row r="67" spans="3:4" ht="15">
      <c r="C67" s="154" t="s">
        <v>297</v>
      </c>
      <c r="D67" s="154">
        <f>Costos!E88</f>
        <v>32750</v>
      </c>
    </row>
    <row r="68" spans="3:4" ht="15">
      <c r="C68" s="154" t="s">
        <v>298</v>
      </c>
      <c r="D68" s="154">
        <f>Costos!B7-Costos!B6+150</f>
        <v>317</v>
      </c>
    </row>
    <row r="69" spans="3:4" ht="15">
      <c r="C69" s="154" t="s">
        <v>301</v>
      </c>
      <c r="D69" s="154">
        <v>400</v>
      </c>
    </row>
    <row r="70" spans="3:4" ht="15">
      <c r="C70" s="154" t="s">
        <v>303</v>
      </c>
      <c r="D70" s="154">
        <f>3*Costos!E44</f>
        <v>750</v>
      </c>
    </row>
    <row r="71" spans="3:4" ht="15">
      <c r="C71" s="154" t="s">
        <v>306</v>
      </c>
      <c r="D71" s="154">
        <f>5000+5000</f>
        <v>10000</v>
      </c>
    </row>
    <row r="73" spans="3:4" ht="18">
      <c r="C73" s="152" t="s">
        <v>334</v>
      </c>
      <c r="D73" s="153">
        <f>'Costo de Capital'!E41/12</f>
        <v>0.04835071249218448</v>
      </c>
    </row>
    <row r="74" spans="3:5" ht="18">
      <c r="C74" s="152" t="s">
        <v>331</v>
      </c>
      <c r="D74" s="171">
        <f>D64+(SUM(E64:AN64))</f>
        <v>47029.67360659897</v>
      </c>
      <c r="E74" s="150"/>
    </row>
    <row r="75" spans="3:4" ht="18">
      <c r="C75" s="152" t="s">
        <v>335</v>
      </c>
      <c r="D75" s="172">
        <f>IRR(D64:AN64,0.05)</f>
        <v>0.05040474138246833</v>
      </c>
    </row>
    <row r="76" spans="3:4" ht="18">
      <c r="C76" s="384" t="s">
        <v>492</v>
      </c>
      <c r="D76" s="385">
        <f>((1+D75)^12)-1</f>
        <v>0.8041809013956853</v>
      </c>
    </row>
  </sheetData>
  <printOptions/>
  <pageMargins left="0.75" right="0.75" top="1" bottom="1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88"/>
  <sheetViews>
    <sheetView zoomScale="75" zoomScaleNormal="75" workbookViewId="0" topLeftCell="A60">
      <selection activeCell="G73" sqref="G73"/>
    </sheetView>
  </sheetViews>
  <sheetFormatPr defaultColWidth="11.421875" defaultRowHeight="12.75"/>
  <cols>
    <col min="1" max="1" width="30.00390625" style="0" customWidth="1"/>
    <col min="2" max="2" width="29.421875" style="0" customWidth="1"/>
    <col min="3" max="3" width="31.28125" style="0" customWidth="1"/>
    <col min="5" max="5" width="13.57421875" style="0" customWidth="1"/>
  </cols>
  <sheetData>
    <row r="1" ht="0.75" customHeight="1"/>
    <row r="2" ht="29.25" customHeight="1">
      <c r="A2" s="95" t="s">
        <v>187</v>
      </c>
    </row>
    <row r="3" ht="45.75" customHeight="1">
      <c r="A3" s="95" t="s">
        <v>188</v>
      </c>
    </row>
    <row r="4" spans="1:2" ht="15">
      <c r="A4" s="96" t="s">
        <v>189</v>
      </c>
      <c r="B4" s="173">
        <v>77</v>
      </c>
    </row>
    <row r="5" spans="1:2" ht="15">
      <c r="A5" s="97" t="s">
        <v>190</v>
      </c>
      <c r="B5" s="90">
        <v>90</v>
      </c>
    </row>
    <row r="6" spans="1:2" ht="15">
      <c r="A6" s="97" t="s">
        <v>239</v>
      </c>
      <c r="B6" s="174">
        <v>150</v>
      </c>
    </row>
    <row r="7" spans="1:2" ht="15.75">
      <c r="A7" s="91" t="s">
        <v>53</v>
      </c>
      <c r="B7" s="94">
        <f>SUM(B4:B6)</f>
        <v>317</v>
      </c>
    </row>
    <row r="8" ht="15.75">
      <c r="A8" s="92"/>
    </row>
    <row r="9" ht="15.75">
      <c r="A9" s="92"/>
    </row>
    <row r="10" ht="15.75">
      <c r="A10" s="93" t="s">
        <v>191</v>
      </c>
    </row>
    <row r="11" ht="15">
      <c r="A11" s="89"/>
    </row>
    <row r="12" spans="1:4" ht="12.75">
      <c r="A12" s="98" t="s">
        <v>192</v>
      </c>
      <c r="B12" s="99" t="s">
        <v>193</v>
      </c>
      <c r="C12" s="99" t="s">
        <v>194</v>
      </c>
      <c r="D12" s="109"/>
    </row>
    <row r="13" spans="1:4" ht="12.75">
      <c r="A13" s="100" t="s">
        <v>195</v>
      </c>
      <c r="B13" s="101" t="s">
        <v>196</v>
      </c>
      <c r="C13" s="101" t="s">
        <v>199</v>
      </c>
      <c r="D13" s="110"/>
    </row>
    <row r="14" spans="1:4" ht="12.75">
      <c r="A14" s="100" t="s">
        <v>197</v>
      </c>
      <c r="B14" s="101" t="s">
        <v>198</v>
      </c>
      <c r="C14" s="101" t="s">
        <v>199</v>
      </c>
      <c r="D14" s="109"/>
    </row>
    <row r="15" spans="1:4" ht="12.75">
      <c r="A15" s="100" t="s">
        <v>200</v>
      </c>
      <c r="B15" s="101" t="s">
        <v>201</v>
      </c>
      <c r="C15" s="101" t="s">
        <v>199</v>
      </c>
      <c r="D15" s="110"/>
    </row>
    <row r="16" spans="1:4" ht="12.75">
      <c r="A16" s="100" t="s">
        <v>202</v>
      </c>
      <c r="B16" s="101" t="s">
        <v>203</v>
      </c>
      <c r="C16" s="101" t="s">
        <v>199</v>
      </c>
      <c r="D16" s="109"/>
    </row>
    <row r="17" spans="1:4" ht="12.75">
      <c r="A17" s="100" t="s">
        <v>204</v>
      </c>
      <c r="B17" s="101" t="s">
        <v>199</v>
      </c>
      <c r="C17" s="101" t="s">
        <v>205</v>
      </c>
      <c r="D17" s="108">
        <v>0.01</v>
      </c>
    </row>
    <row r="18" spans="1:4" ht="12.75">
      <c r="A18" s="100" t="s">
        <v>206</v>
      </c>
      <c r="B18" s="101" t="s">
        <v>207</v>
      </c>
      <c r="C18" s="101" t="s">
        <v>199</v>
      </c>
      <c r="D18" s="109"/>
    </row>
    <row r="19" spans="1:4" ht="12.75">
      <c r="A19" s="100" t="s">
        <v>208</v>
      </c>
      <c r="B19" s="101" t="s">
        <v>201</v>
      </c>
      <c r="C19" s="101" t="s">
        <v>199</v>
      </c>
      <c r="D19" s="109"/>
    </row>
    <row r="20" spans="1:4" ht="12.75">
      <c r="A20" s="100" t="s">
        <v>209</v>
      </c>
      <c r="B20" s="101" t="s">
        <v>210</v>
      </c>
      <c r="C20" s="101" t="s">
        <v>199</v>
      </c>
      <c r="D20" s="109"/>
    </row>
    <row r="21" spans="1:4" ht="12.75">
      <c r="A21" s="100" t="s">
        <v>211</v>
      </c>
      <c r="B21" s="101" t="s">
        <v>198</v>
      </c>
      <c r="C21" s="101" t="s">
        <v>199</v>
      </c>
      <c r="D21" s="109"/>
    </row>
    <row r="22" spans="1:4" ht="12.75">
      <c r="A22" s="100" t="s">
        <v>212</v>
      </c>
      <c r="B22" s="101" t="s">
        <v>213</v>
      </c>
      <c r="C22" s="101" t="s">
        <v>199</v>
      </c>
      <c r="D22" s="109"/>
    </row>
    <row r="23" spans="1:4" ht="12.75">
      <c r="A23" s="100" t="s">
        <v>214</v>
      </c>
      <c r="B23" s="101" t="s">
        <v>210</v>
      </c>
      <c r="C23" s="101" t="s">
        <v>199</v>
      </c>
      <c r="D23" s="109"/>
    </row>
    <row r="24" spans="1:4" ht="12.75">
      <c r="A24" s="100" t="s">
        <v>215</v>
      </c>
      <c r="B24" s="101" t="s">
        <v>216</v>
      </c>
      <c r="C24" s="101" t="s">
        <v>199</v>
      </c>
      <c r="D24" s="109"/>
    </row>
    <row r="25" spans="1:4" ht="12.75">
      <c r="A25" s="100" t="s">
        <v>217</v>
      </c>
      <c r="B25" s="101" t="s">
        <v>218</v>
      </c>
      <c r="C25" s="101" t="s">
        <v>199</v>
      </c>
      <c r="D25" s="109"/>
    </row>
    <row r="26" spans="1:4" ht="12.75">
      <c r="A26" s="100" t="s">
        <v>219</v>
      </c>
      <c r="B26" s="101" t="s">
        <v>220</v>
      </c>
      <c r="C26" s="101" t="s">
        <v>221</v>
      </c>
      <c r="D26" s="108">
        <v>0.02</v>
      </c>
    </row>
    <row r="27" spans="1:4" ht="22.5">
      <c r="A27" s="100" t="s">
        <v>222</v>
      </c>
      <c r="B27" s="101" t="s">
        <v>223</v>
      </c>
      <c r="C27" s="101" t="s">
        <v>224</v>
      </c>
      <c r="D27" s="108">
        <v>0.03</v>
      </c>
    </row>
    <row r="28" spans="1:3" ht="12.75">
      <c r="A28" s="100" t="s">
        <v>225</v>
      </c>
      <c r="B28" s="101" t="s">
        <v>198</v>
      </c>
      <c r="C28" s="101" t="s">
        <v>199</v>
      </c>
    </row>
    <row r="29" spans="1:3" ht="12.75">
      <c r="A29" s="100" t="s">
        <v>226</v>
      </c>
      <c r="B29" s="101" t="s">
        <v>207</v>
      </c>
      <c r="C29" s="101" t="s">
        <v>199</v>
      </c>
    </row>
    <row r="30" spans="1:3" ht="12.75">
      <c r="A30" s="102" t="s">
        <v>227</v>
      </c>
      <c r="B30" s="101" t="s">
        <v>228</v>
      </c>
      <c r="C30" s="101" t="s">
        <v>199</v>
      </c>
    </row>
    <row r="31" spans="1:3" ht="12.75">
      <c r="A31" s="100" t="s">
        <v>229</v>
      </c>
      <c r="B31" s="101" t="s">
        <v>230</v>
      </c>
      <c r="C31" s="101" t="s">
        <v>199</v>
      </c>
    </row>
    <row r="32" spans="1:3" ht="12.75">
      <c r="A32" s="100" t="s">
        <v>231</v>
      </c>
      <c r="B32" s="101" t="s">
        <v>223</v>
      </c>
      <c r="C32" s="101" t="s">
        <v>199</v>
      </c>
    </row>
    <row r="33" spans="1:3" ht="12.75">
      <c r="A33" s="103" t="s">
        <v>1</v>
      </c>
      <c r="B33" s="136">
        <v>4543</v>
      </c>
      <c r="C33" s="104" t="s">
        <v>232</v>
      </c>
    </row>
    <row r="34" spans="1:3" ht="12.75">
      <c r="A34" s="105"/>
      <c r="B34" s="106">
        <v>4543</v>
      </c>
      <c r="C34" s="106"/>
    </row>
    <row r="35" spans="1:3" ht="12.75">
      <c r="A35" s="95" t="s">
        <v>191</v>
      </c>
      <c r="B35" s="106"/>
      <c r="C35" s="106"/>
    </row>
    <row r="36" spans="1:3" ht="12.75">
      <c r="A36" s="95"/>
      <c r="B36" s="106"/>
      <c r="C36" s="106"/>
    </row>
    <row r="37" spans="1:3" ht="12.75">
      <c r="A37" s="96" t="s">
        <v>233</v>
      </c>
      <c r="B37" s="107" t="s">
        <v>234</v>
      </c>
      <c r="C37" s="106"/>
    </row>
    <row r="38" spans="1:3" ht="12.75">
      <c r="A38" s="97" t="s">
        <v>235</v>
      </c>
      <c r="B38" s="137" t="s">
        <v>236</v>
      </c>
      <c r="C38" s="106"/>
    </row>
    <row r="39" spans="1:3" ht="12.75">
      <c r="A39" s="97" t="s">
        <v>237</v>
      </c>
      <c r="B39" s="137" t="s">
        <v>238</v>
      </c>
      <c r="C39" s="106"/>
    </row>
    <row r="42" spans="1:5" ht="12.75">
      <c r="A42" s="111" t="s">
        <v>240</v>
      </c>
      <c r="B42" s="98" t="s">
        <v>153</v>
      </c>
      <c r="C42" s="99" t="s">
        <v>241</v>
      </c>
      <c r="D42" s="99" t="s">
        <v>242</v>
      </c>
      <c r="E42" s="99" t="s">
        <v>243</v>
      </c>
    </row>
    <row r="43" spans="1:5" ht="12.75">
      <c r="A43" s="112"/>
      <c r="B43" s="113"/>
      <c r="C43" s="113"/>
      <c r="D43" s="113"/>
      <c r="E43" s="114"/>
    </row>
    <row r="44" spans="1:5" ht="12.75">
      <c r="A44" s="115">
        <v>1</v>
      </c>
      <c r="B44" s="116" t="s">
        <v>244</v>
      </c>
      <c r="C44" s="117"/>
      <c r="D44" s="118" t="s">
        <v>10</v>
      </c>
      <c r="E44" s="175">
        <v>250</v>
      </c>
    </row>
    <row r="45" spans="1:5" ht="12.75">
      <c r="A45" s="112"/>
      <c r="B45" s="113"/>
      <c r="C45" s="113"/>
      <c r="D45" s="113"/>
      <c r="E45" s="114"/>
    </row>
    <row r="46" spans="1:5" ht="12.75">
      <c r="A46" s="115">
        <v>2</v>
      </c>
      <c r="B46" s="116" t="s">
        <v>245</v>
      </c>
      <c r="C46" s="117"/>
      <c r="D46" s="116"/>
      <c r="E46" s="119">
        <f>SUM(E48:E55)</f>
        <v>16560</v>
      </c>
    </row>
    <row r="47" spans="1:5" ht="12.75">
      <c r="A47" s="112"/>
      <c r="B47" s="113"/>
      <c r="C47" s="113"/>
      <c r="D47" s="113"/>
      <c r="E47" s="120"/>
    </row>
    <row r="48" spans="1:5" ht="12.75">
      <c r="A48" s="112"/>
      <c r="B48" s="121" t="s">
        <v>246</v>
      </c>
      <c r="C48" s="113">
        <v>400</v>
      </c>
      <c r="D48" s="113">
        <v>1</v>
      </c>
      <c r="E48" s="114">
        <f aca="true" t="shared" si="0" ref="E48:E53">D48*C48</f>
        <v>400</v>
      </c>
    </row>
    <row r="49" spans="1:5" ht="12.75">
      <c r="A49" s="112"/>
      <c r="B49" s="121" t="s">
        <v>247</v>
      </c>
      <c r="C49" s="113">
        <v>30</v>
      </c>
      <c r="D49" s="113">
        <v>6</v>
      </c>
      <c r="E49" s="114">
        <f t="shared" si="0"/>
        <v>180</v>
      </c>
    </row>
    <row r="50" spans="1:5" ht="12.75">
      <c r="A50" s="112"/>
      <c r="B50" s="121" t="s">
        <v>248</v>
      </c>
      <c r="C50" s="113">
        <v>1200</v>
      </c>
      <c r="D50" s="113">
        <v>1</v>
      </c>
      <c r="E50" s="114">
        <f t="shared" si="0"/>
        <v>1200</v>
      </c>
    </row>
    <row r="51" spans="1:5" ht="12.75">
      <c r="A51" s="112"/>
      <c r="B51" s="121" t="s">
        <v>249</v>
      </c>
      <c r="C51" s="113">
        <v>400</v>
      </c>
      <c r="D51" s="113">
        <v>2</v>
      </c>
      <c r="E51" s="114">
        <f t="shared" si="0"/>
        <v>800</v>
      </c>
    </row>
    <row r="52" spans="1:5" ht="12.75">
      <c r="A52" s="112"/>
      <c r="B52" s="121" t="s">
        <v>491</v>
      </c>
      <c r="C52" s="113">
        <v>200</v>
      </c>
      <c r="D52" s="113">
        <v>1</v>
      </c>
      <c r="E52" s="114">
        <f t="shared" si="0"/>
        <v>200</v>
      </c>
    </row>
    <row r="53" spans="1:5" ht="12.75">
      <c r="A53" s="112"/>
      <c r="B53" s="121" t="s">
        <v>250</v>
      </c>
      <c r="C53" s="113">
        <v>180</v>
      </c>
      <c r="D53" s="113">
        <v>1</v>
      </c>
      <c r="E53" s="114">
        <f t="shared" si="0"/>
        <v>180</v>
      </c>
    </row>
    <row r="54" spans="1:5" ht="12.75">
      <c r="A54" s="112"/>
      <c r="B54" s="121" t="s">
        <v>251</v>
      </c>
      <c r="C54" s="113">
        <v>700</v>
      </c>
      <c r="D54" s="113">
        <v>1</v>
      </c>
      <c r="E54" s="114">
        <f aca="true" t="shared" si="1" ref="E54:E59">D54*C54</f>
        <v>700</v>
      </c>
    </row>
    <row r="55" spans="1:5" ht="12.75">
      <c r="A55" s="112"/>
      <c r="B55" s="122" t="s">
        <v>252</v>
      </c>
      <c r="C55" s="123"/>
      <c r="D55" s="123">
        <f>SUM(D56:D59)</f>
        <v>16</v>
      </c>
      <c r="E55" s="124">
        <f>SUM(E56:E59)</f>
        <v>12900</v>
      </c>
    </row>
    <row r="56" spans="1:5" ht="12.75">
      <c r="A56" s="112"/>
      <c r="B56" s="121" t="s">
        <v>253</v>
      </c>
      <c r="C56" s="113">
        <v>670</v>
      </c>
      <c r="D56" s="113">
        <v>11</v>
      </c>
      <c r="E56" s="114">
        <f t="shared" si="1"/>
        <v>7370</v>
      </c>
    </row>
    <row r="57" spans="1:5" ht="12.75">
      <c r="A57" s="112"/>
      <c r="B57" s="121" t="s">
        <v>254</v>
      </c>
      <c r="C57" s="113">
        <v>1070</v>
      </c>
      <c r="D57" s="113">
        <v>2</v>
      </c>
      <c r="E57" s="114">
        <f t="shared" si="1"/>
        <v>2140</v>
      </c>
    </row>
    <row r="58" spans="1:5" ht="12.75">
      <c r="A58" s="112"/>
      <c r="B58" s="121" t="s">
        <v>255</v>
      </c>
      <c r="C58" s="113">
        <v>1130</v>
      </c>
      <c r="D58" s="113">
        <v>1</v>
      </c>
      <c r="E58" s="114">
        <f t="shared" si="1"/>
        <v>1130</v>
      </c>
    </row>
    <row r="59" spans="1:5" ht="12.75">
      <c r="A59" s="112"/>
      <c r="B59" s="121" t="s">
        <v>256</v>
      </c>
      <c r="C59" s="113">
        <v>1130</v>
      </c>
      <c r="D59" s="113">
        <v>2</v>
      </c>
      <c r="E59" s="114">
        <f t="shared" si="1"/>
        <v>2260</v>
      </c>
    </row>
    <row r="60" spans="1:5" ht="12.75">
      <c r="A60" s="112"/>
      <c r="B60" s="113"/>
      <c r="C60" s="113"/>
      <c r="D60" s="113"/>
      <c r="E60" s="114"/>
    </row>
    <row r="61" spans="1:5" ht="12.75">
      <c r="A61" s="115">
        <v>3</v>
      </c>
      <c r="B61" s="125" t="s">
        <v>257</v>
      </c>
      <c r="C61" s="116"/>
      <c r="D61" s="118" t="s">
        <v>258</v>
      </c>
      <c r="E61" s="119">
        <v>150</v>
      </c>
    </row>
    <row r="62" spans="1:5" ht="12.75">
      <c r="A62" s="126"/>
      <c r="B62" s="127"/>
      <c r="C62" s="128"/>
      <c r="D62" s="128"/>
      <c r="E62" s="129"/>
    </row>
    <row r="63" spans="1:5" ht="12.75">
      <c r="A63" s="115">
        <v>4</v>
      </c>
      <c r="B63" s="125" t="s">
        <v>259</v>
      </c>
      <c r="C63" s="116"/>
      <c r="D63" s="116"/>
      <c r="E63" s="119">
        <f>SUM(E65:E67)</f>
        <v>2040</v>
      </c>
    </row>
    <row r="64" spans="1:5" ht="12.75">
      <c r="A64" s="112"/>
      <c r="B64" s="113"/>
      <c r="C64" s="113"/>
      <c r="D64" s="113"/>
      <c r="E64" s="114"/>
    </row>
    <row r="65" spans="1:5" ht="12.75">
      <c r="A65" s="112"/>
      <c r="B65" s="121" t="s">
        <v>260</v>
      </c>
      <c r="C65" s="113">
        <v>130</v>
      </c>
      <c r="D65" s="113">
        <v>4</v>
      </c>
      <c r="E65" s="114">
        <f>C65*D65</f>
        <v>520</v>
      </c>
    </row>
    <row r="66" spans="1:5" ht="12.75">
      <c r="A66" s="112"/>
      <c r="B66" s="121" t="s">
        <v>261</v>
      </c>
      <c r="C66" s="113"/>
      <c r="D66" s="130" t="s">
        <v>258</v>
      </c>
      <c r="E66" s="114">
        <v>1000</v>
      </c>
    </row>
    <row r="67" spans="1:5" ht="12.75">
      <c r="A67" s="112"/>
      <c r="B67" s="121" t="s">
        <v>262</v>
      </c>
      <c r="C67" s="113">
        <v>130</v>
      </c>
      <c r="D67" s="113">
        <v>4</v>
      </c>
      <c r="E67" s="114">
        <f>C67*D67</f>
        <v>520</v>
      </c>
    </row>
    <row r="68" spans="1:5" ht="12.75">
      <c r="A68" s="112"/>
      <c r="B68" s="121"/>
      <c r="C68" s="113"/>
      <c r="D68" s="113"/>
      <c r="E68" s="114"/>
    </row>
    <row r="69" spans="1:5" ht="12.75">
      <c r="A69" s="115">
        <v>5</v>
      </c>
      <c r="B69" s="125" t="s">
        <v>263</v>
      </c>
      <c r="C69" s="116"/>
      <c r="D69" s="116"/>
      <c r="E69" s="119">
        <f>SUM(E71:E75)</f>
        <v>7240</v>
      </c>
    </row>
    <row r="70" spans="1:5" ht="12.75">
      <c r="A70" s="112"/>
      <c r="B70" s="113"/>
      <c r="C70" s="113"/>
      <c r="D70" s="113"/>
      <c r="E70" s="114"/>
    </row>
    <row r="71" spans="1:5" ht="12.75">
      <c r="A71" s="112"/>
      <c r="B71" s="121" t="s">
        <v>264</v>
      </c>
      <c r="C71" s="113"/>
      <c r="D71" s="113">
        <v>3</v>
      </c>
      <c r="E71" s="114">
        <f>250+300</f>
        <v>550</v>
      </c>
    </row>
    <row r="72" spans="1:5" ht="12.75">
      <c r="A72" s="112"/>
      <c r="B72" s="121" t="s">
        <v>265</v>
      </c>
      <c r="C72" s="113"/>
      <c r="D72" s="113">
        <v>5</v>
      </c>
      <c r="E72" s="114">
        <f>200+140+200+200+250</f>
        <v>990</v>
      </c>
    </row>
    <row r="73" spans="1:5" ht="12.75">
      <c r="A73" s="112"/>
      <c r="B73" s="121" t="s">
        <v>266</v>
      </c>
      <c r="C73" s="113"/>
      <c r="D73" s="113">
        <v>1</v>
      </c>
      <c r="E73" s="114">
        <v>1200</v>
      </c>
    </row>
    <row r="74" spans="1:5" ht="12.75">
      <c r="A74" s="112"/>
      <c r="B74" s="113" t="s">
        <v>267</v>
      </c>
      <c r="C74" s="113"/>
      <c r="D74" s="113">
        <v>2</v>
      </c>
      <c r="E74" s="114">
        <v>3000</v>
      </c>
    </row>
    <row r="75" spans="1:5" ht="12.75">
      <c r="A75" s="112"/>
      <c r="B75" s="121" t="s">
        <v>268</v>
      </c>
      <c r="C75" s="113"/>
      <c r="D75" s="113">
        <v>1</v>
      </c>
      <c r="E75" s="131">
        <v>1500</v>
      </c>
    </row>
    <row r="76" spans="1:5" ht="12.75">
      <c r="A76" s="112"/>
      <c r="B76" s="113"/>
      <c r="C76" s="113"/>
      <c r="D76" s="113"/>
      <c r="E76" s="131"/>
    </row>
    <row r="77" spans="1:5" ht="12.75">
      <c r="A77" s="115">
        <v>6</v>
      </c>
      <c r="B77" s="125" t="s">
        <v>269</v>
      </c>
      <c r="C77" s="116"/>
      <c r="D77" s="116"/>
      <c r="E77" s="119">
        <f>SUM(E79:E80)</f>
        <v>5500</v>
      </c>
    </row>
    <row r="78" spans="1:5" ht="12.75">
      <c r="A78" s="112"/>
      <c r="B78" s="113"/>
      <c r="C78" s="113"/>
      <c r="D78" s="113"/>
      <c r="E78" s="131"/>
    </row>
    <row r="79" spans="1:5" ht="12.75">
      <c r="A79" s="112"/>
      <c r="B79" s="121" t="s">
        <v>270</v>
      </c>
      <c r="C79" s="113">
        <v>1500</v>
      </c>
      <c r="D79" s="113">
        <v>1</v>
      </c>
      <c r="E79" s="114">
        <f>C79*D79</f>
        <v>1500</v>
      </c>
    </row>
    <row r="80" spans="1:5" ht="12.75">
      <c r="A80" s="112"/>
      <c r="B80" s="113" t="s">
        <v>271</v>
      </c>
      <c r="C80" s="113">
        <v>4000</v>
      </c>
      <c r="D80" s="130" t="s">
        <v>258</v>
      </c>
      <c r="E80" s="114">
        <f>C80</f>
        <v>4000</v>
      </c>
    </row>
    <row r="81" spans="1:5" ht="12.75">
      <c r="A81" s="112"/>
      <c r="B81" s="113"/>
      <c r="C81" s="113"/>
      <c r="D81" s="113"/>
      <c r="E81" s="114"/>
    </row>
    <row r="82" spans="1:5" ht="12.75">
      <c r="A82" s="115">
        <v>7</v>
      </c>
      <c r="B82" s="116" t="s">
        <v>272</v>
      </c>
      <c r="C82" s="116"/>
      <c r="D82" s="116"/>
      <c r="E82" s="119">
        <f>SUM(E84:E86)</f>
        <v>1260</v>
      </c>
    </row>
    <row r="83" spans="1:5" ht="12.75">
      <c r="A83" s="112"/>
      <c r="B83" s="113"/>
      <c r="C83" s="113"/>
      <c r="D83" s="113"/>
      <c r="E83" s="114"/>
    </row>
    <row r="84" spans="1:6" ht="12.75">
      <c r="A84" s="112"/>
      <c r="B84" s="113" t="s">
        <v>273</v>
      </c>
      <c r="C84" s="113">
        <v>230</v>
      </c>
      <c r="D84" s="113">
        <v>1</v>
      </c>
      <c r="E84" s="178">
        <f>C84*D84</f>
        <v>230</v>
      </c>
      <c r="F84" s="179">
        <v>30</v>
      </c>
    </row>
    <row r="85" spans="1:5" ht="12.75">
      <c r="A85" s="112"/>
      <c r="B85" s="113" t="s">
        <v>274</v>
      </c>
      <c r="C85" s="113">
        <f>80+200</f>
        <v>280</v>
      </c>
      <c r="D85" s="113">
        <v>1</v>
      </c>
      <c r="E85" s="177">
        <v>280</v>
      </c>
    </row>
    <row r="86" spans="1:5" ht="12.75">
      <c r="A86" s="112"/>
      <c r="B86" s="113" t="s">
        <v>299</v>
      </c>
      <c r="C86" s="113">
        <f>400+350</f>
        <v>750</v>
      </c>
      <c r="D86" s="130" t="s">
        <v>300</v>
      </c>
      <c r="E86" s="114">
        <f>C86</f>
        <v>750</v>
      </c>
    </row>
    <row r="87" spans="1:5" ht="12.75">
      <c r="A87" s="112"/>
      <c r="B87" s="113"/>
      <c r="C87" s="113"/>
      <c r="D87" s="113"/>
      <c r="E87" s="114"/>
    </row>
    <row r="88" spans="1:5" ht="12.75">
      <c r="A88" s="132"/>
      <c r="B88" s="133" t="s">
        <v>275</v>
      </c>
      <c r="C88" s="134"/>
      <c r="D88" s="134"/>
      <c r="E88" s="135">
        <f>SUM(E46,E61,E63,E69,E77,E82)</f>
        <v>32750</v>
      </c>
    </row>
  </sheetData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151"/>
  <sheetViews>
    <sheetView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22.8515625" style="0" customWidth="1"/>
    <col min="3" max="4" width="3.7109375" style="0" customWidth="1"/>
    <col min="5" max="5" width="3.421875" style="0" customWidth="1"/>
    <col min="6" max="6" width="3.7109375" style="0" customWidth="1"/>
    <col min="7" max="7" width="3.421875" style="0" customWidth="1"/>
    <col min="8" max="8" width="3.28125" style="0" customWidth="1"/>
    <col min="9" max="9" width="2.8515625" style="0" customWidth="1"/>
    <col min="10" max="10" width="3.421875" style="0" customWidth="1"/>
    <col min="11" max="11" width="5.421875" style="0" customWidth="1"/>
    <col min="12" max="12" width="3.8515625" style="0" customWidth="1"/>
  </cols>
  <sheetData>
    <row r="3" ht="12.75">
      <c r="B3" s="4" t="s">
        <v>55</v>
      </c>
    </row>
    <row r="5" ht="12.75">
      <c r="A5" t="s">
        <v>56</v>
      </c>
    </row>
    <row r="6" ht="12.75">
      <c r="A6" t="s">
        <v>57</v>
      </c>
    </row>
    <row r="8" ht="12.75">
      <c r="A8" t="s">
        <v>58</v>
      </c>
    </row>
    <row r="9" ht="12.75">
      <c r="A9" t="s">
        <v>59</v>
      </c>
    </row>
    <row r="11" spans="4:13" ht="12.75">
      <c r="D11" s="3" t="s">
        <v>60</v>
      </c>
      <c r="L11" s="2" t="s">
        <v>61</v>
      </c>
      <c r="M11" s="5" t="s">
        <v>60</v>
      </c>
    </row>
    <row r="13" spans="2:13" ht="12.75">
      <c r="B13" s="2" t="s">
        <v>62</v>
      </c>
      <c r="C13" s="431" t="s">
        <v>63</v>
      </c>
      <c r="D13" s="431"/>
      <c r="E13" s="431"/>
      <c r="H13" s="6" t="s">
        <v>64</v>
      </c>
      <c r="L13" s="3">
        <v>1</v>
      </c>
      <c r="M13" s="176">
        <v>40</v>
      </c>
    </row>
    <row r="14" spans="2:13" ht="12.75">
      <c r="B14" s="2" t="s">
        <v>65</v>
      </c>
      <c r="C14" s="431" t="s">
        <v>362</v>
      </c>
      <c r="D14" s="431"/>
      <c r="E14" s="431"/>
      <c r="H14" t="s">
        <v>66</v>
      </c>
      <c r="L14" s="3">
        <v>2</v>
      </c>
      <c r="M14" s="176">
        <v>800</v>
      </c>
    </row>
    <row r="15" spans="2:13" ht="12.75">
      <c r="B15" s="2" t="s">
        <v>67</v>
      </c>
      <c r="C15" s="431" t="s">
        <v>363</v>
      </c>
      <c r="D15" s="431"/>
      <c r="E15" s="431"/>
      <c r="L15" s="3">
        <v>3</v>
      </c>
      <c r="M15" s="176">
        <v>2000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1" ht="12.75">
      <c r="A21" t="s">
        <v>71</v>
      </c>
    </row>
    <row r="22" ht="12.75">
      <c r="A22" t="s">
        <v>72</v>
      </c>
    </row>
    <row r="24" ht="12.75">
      <c r="A24" s="2" t="s">
        <v>458</v>
      </c>
    </row>
    <row r="25" ht="12" customHeight="1">
      <c r="A25" s="2"/>
    </row>
    <row r="26" ht="12" customHeight="1">
      <c r="A26" s="2" t="s">
        <v>459</v>
      </c>
    </row>
    <row r="28" spans="1:13" ht="12.75">
      <c r="A28" s="3" t="s">
        <v>73</v>
      </c>
      <c r="B28" s="3" t="s">
        <v>74</v>
      </c>
      <c r="E28" s="2" t="s">
        <v>75</v>
      </c>
      <c r="G28" s="2"/>
      <c r="M28" s="3" t="s">
        <v>76</v>
      </c>
    </row>
    <row r="29" spans="2:13" ht="12.75">
      <c r="B29" s="3" t="s">
        <v>77</v>
      </c>
      <c r="D29" s="2" t="s">
        <v>78</v>
      </c>
      <c r="M29" s="3" t="s">
        <v>79</v>
      </c>
    </row>
    <row r="30" ht="6" customHeight="1"/>
    <row r="31" ht="24" customHeight="1"/>
    <row r="32" spans="1:13" ht="12.75">
      <c r="A32" s="1">
        <v>1</v>
      </c>
      <c r="B32" s="1">
        <v>5</v>
      </c>
      <c r="C32">
        <v>2</v>
      </c>
      <c r="D32">
        <v>3</v>
      </c>
      <c r="E32">
        <v>2</v>
      </c>
      <c r="F32">
        <v>1</v>
      </c>
      <c r="G32">
        <v>2</v>
      </c>
      <c r="M32" s="37">
        <f>(IF(C32=1,$M$13,IF(C32=2,$M$14,IF(C32=3,$M$15,0))))+(IF(D32=1,$M$13,IF(D32=2,$M$14,IF(D32=3,$M$15,0))))+(IF(E32=1,$M$13,IF(E32=2,$M$14,IF(E32=3,$M$15,0))))+(IF(F32=1,$M$13,IF(F32=2,$M$14,IF(F32=3,$M$15,0))))+(IF(G32=1,$M$13,IF(G32=2,$M$14,IF(G32=3,$M$15,0))))+(IF(H32=1,$M$13,IF(H32=2,$M$14,IF(H32=3,$M$15,0))))+(IF(I32=1,$M$13,IF(I32=2,$M$14,IF(I32=3,$M$15,0))))+(IF(J32=1,$M$13,IF(J32=2,$M$14,IF(J32=3,$M$15,0))))+(IF(K32=1,$M$13,IF(K32=2,$M$14,IF(K32=3,$M$15,0))))+(IF(L32=1,$M$13,IF(L32=2,$M$14,IF(L32=3,$M$15,0))))</f>
        <v>4440</v>
      </c>
    </row>
    <row r="33" spans="1:13" ht="12.75">
      <c r="A33" s="1">
        <v>2</v>
      </c>
      <c r="B33" s="1">
        <v>7</v>
      </c>
      <c r="C33">
        <v>3</v>
      </c>
      <c r="D33">
        <v>1</v>
      </c>
      <c r="E33">
        <v>2</v>
      </c>
      <c r="F33">
        <v>1</v>
      </c>
      <c r="G33">
        <v>2</v>
      </c>
      <c r="H33">
        <v>3</v>
      </c>
      <c r="I33">
        <v>2</v>
      </c>
      <c r="M33" s="37">
        <f>(IF(C33=1,$M$13,IF(C33=2,$M$14,IF(C33=3,$M$15,0))))+(IF(D33=1,$M$13,IF(D33=2,$M$14,IF(D33=3,$M$15,0))))+(IF(E33=1,$M$13,IF(E33=2,$M$14,IF(E33=3,$M$15,0))))+(IF(F33=1,$M$13,IF(F33=2,$M$14,IF(F33=3,$M$15,0))))+(IF(G33=1,$M$13,IF(G33=2,$M$14,IF(G33=3,$M$15,0))))+(IF(H33=1,$M$13,IF(H33=2,$M$14,IF(H33=3,$M$15,0))))+(IF(I33=1,$M$13,IF(I33=2,$M$14,IF(I33=3,$M$15,0))))+(IF(J33=1,$M$13,IF(J33=2,$M$14,IF(J33=3,$M$15,0))))+(IF(K33=1,$M$13,IF(K33=2,$M$14,IF(K33=3,$M$15,0))))+(IF(L33=1,$M$13,IF(L33=2,$M$14,IF(L33=3,$M$15,0))))</f>
        <v>6480</v>
      </c>
    </row>
    <row r="34" spans="1:13" ht="12.75">
      <c r="A34" s="1">
        <v>3</v>
      </c>
      <c r="B34" s="1">
        <v>5</v>
      </c>
      <c r="C34">
        <v>3</v>
      </c>
      <c r="D34">
        <v>2</v>
      </c>
      <c r="E34">
        <v>3</v>
      </c>
      <c r="F34">
        <v>1</v>
      </c>
      <c r="G34">
        <v>2</v>
      </c>
      <c r="M34" s="37">
        <f aca="true" t="shared" si="0" ref="M34:M67">(IF(C34=1,$M$13,IF(C34=2,$M$14,IF(C34=3,$M$15,0))))+(IF(D34=1,$M$13,IF(D34=2,$M$14,IF(D34=3,$M$15,0))))+(IF(E34=1,$M$13,IF(E34=2,$M$14,IF(E34=3,$M$15,0))))+(IF(F34=1,$M$13,IF(F34=2,$M$14,IF(F34=3,$M$15,0))))+(IF(G34=1,$M$13,IF(G34=2,$M$14,IF(G34=3,$M$15,0))))+(IF(H34=1,$M$13,IF(H34=2,$M$14,IF(H34=3,$M$15,0))))+(IF(I34=1,$M$13,IF(I34=2,$M$14,IF(I34=3,$M$15,0))))+(IF(J34=1,$M$13,IF(J34=2,$M$14,IF(J34=3,$M$15,0))))+(IF(K34=1,$M$13,IF(K34=2,$M$14,IF(K34=3,$M$15,0))))+(IF(L34=1,$M$13,IF(L34=2,$M$14,IF(L34=3,$M$15,0))))</f>
        <v>5640</v>
      </c>
    </row>
    <row r="35" spans="1:13" ht="12.75">
      <c r="A35" s="1">
        <v>4</v>
      </c>
      <c r="B35" s="1">
        <v>5</v>
      </c>
      <c r="C35">
        <v>3</v>
      </c>
      <c r="D35">
        <v>1</v>
      </c>
      <c r="E35">
        <v>2</v>
      </c>
      <c r="F35">
        <v>2</v>
      </c>
      <c r="G35">
        <v>3</v>
      </c>
      <c r="M35" s="37">
        <f t="shared" si="0"/>
        <v>5640</v>
      </c>
    </row>
    <row r="36" spans="1:13" ht="12.75">
      <c r="A36" s="1">
        <v>5</v>
      </c>
      <c r="B36" s="1">
        <v>5</v>
      </c>
      <c r="C36">
        <v>1</v>
      </c>
      <c r="D36">
        <v>2</v>
      </c>
      <c r="E36">
        <v>3</v>
      </c>
      <c r="F36">
        <v>3</v>
      </c>
      <c r="G36">
        <v>3</v>
      </c>
      <c r="M36" s="37">
        <f t="shared" si="0"/>
        <v>6840</v>
      </c>
    </row>
    <row r="37" spans="1:13" ht="12.75">
      <c r="A37" s="1">
        <v>6</v>
      </c>
      <c r="B37" s="1">
        <v>9</v>
      </c>
      <c r="C37">
        <v>1</v>
      </c>
      <c r="D37">
        <v>2</v>
      </c>
      <c r="E37">
        <v>3</v>
      </c>
      <c r="F37">
        <v>2</v>
      </c>
      <c r="G37">
        <v>3</v>
      </c>
      <c r="H37">
        <v>2</v>
      </c>
      <c r="I37">
        <v>1</v>
      </c>
      <c r="J37">
        <v>3</v>
      </c>
      <c r="K37">
        <v>2</v>
      </c>
      <c r="M37" s="37">
        <f t="shared" si="0"/>
        <v>9280</v>
      </c>
    </row>
    <row r="38" spans="1:13" ht="12.75">
      <c r="A38" s="1">
        <v>7</v>
      </c>
      <c r="B38" s="1">
        <v>9</v>
      </c>
      <c r="C38">
        <v>2</v>
      </c>
      <c r="D38">
        <v>3</v>
      </c>
      <c r="E38">
        <v>2</v>
      </c>
      <c r="F38">
        <v>3</v>
      </c>
      <c r="G38">
        <v>1</v>
      </c>
      <c r="H38">
        <v>1</v>
      </c>
      <c r="I38">
        <v>2</v>
      </c>
      <c r="J38">
        <v>2</v>
      </c>
      <c r="K38">
        <v>1</v>
      </c>
      <c r="M38" s="37">
        <f t="shared" si="0"/>
        <v>7320</v>
      </c>
    </row>
    <row r="39" spans="1:13" ht="12.75">
      <c r="A39" s="1">
        <v>8</v>
      </c>
      <c r="B39" s="1">
        <v>9</v>
      </c>
      <c r="C39">
        <v>2</v>
      </c>
      <c r="D39">
        <v>3</v>
      </c>
      <c r="E39">
        <v>2</v>
      </c>
      <c r="F39">
        <v>2</v>
      </c>
      <c r="G39">
        <v>3</v>
      </c>
      <c r="H39">
        <v>3</v>
      </c>
      <c r="I39">
        <v>1</v>
      </c>
      <c r="J39">
        <v>2</v>
      </c>
      <c r="K39">
        <v>1</v>
      </c>
      <c r="M39" s="37">
        <f t="shared" si="0"/>
        <v>9280</v>
      </c>
    </row>
    <row r="40" spans="1:13" ht="12.75">
      <c r="A40" s="1">
        <v>9</v>
      </c>
      <c r="B40" s="1">
        <v>8</v>
      </c>
      <c r="C40">
        <v>1</v>
      </c>
      <c r="D40">
        <v>3</v>
      </c>
      <c r="E40">
        <v>3</v>
      </c>
      <c r="F40">
        <v>1</v>
      </c>
      <c r="G40">
        <v>2</v>
      </c>
      <c r="H40">
        <v>2</v>
      </c>
      <c r="I40">
        <v>3</v>
      </c>
      <c r="J40">
        <v>3</v>
      </c>
      <c r="M40" s="37">
        <f t="shared" si="0"/>
        <v>9680</v>
      </c>
    </row>
    <row r="41" spans="1:13" ht="12.75">
      <c r="A41" s="1">
        <v>10</v>
      </c>
      <c r="B41" s="1">
        <v>10</v>
      </c>
      <c r="C41">
        <v>3</v>
      </c>
      <c r="D41">
        <v>2</v>
      </c>
      <c r="E41">
        <v>3</v>
      </c>
      <c r="F41">
        <v>2</v>
      </c>
      <c r="G41">
        <v>1</v>
      </c>
      <c r="H41">
        <v>2</v>
      </c>
      <c r="I41">
        <v>2</v>
      </c>
      <c r="J41">
        <v>1</v>
      </c>
      <c r="K41">
        <v>2</v>
      </c>
      <c r="L41">
        <v>3</v>
      </c>
      <c r="M41" s="37">
        <f t="shared" si="0"/>
        <v>10080</v>
      </c>
    </row>
    <row r="42" spans="1:13" ht="12.75">
      <c r="A42" s="1">
        <v>11</v>
      </c>
      <c r="B42" s="1">
        <v>7</v>
      </c>
      <c r="C42">
        <v>3</v>
      </c>
      <c r="D42">
        <v>2</v>
      </c>
      <c r="E42">
        <v>2</v>
      </c>
      <c r="F42">
        <v>3</v>
      </c>
      <c r="G42">
        <v>2</v>
      </c>
      <c r="H42">
        <v>3</v>
      </c>
      <c r="I42">
        <v>1</v>
      </c>
      <c r="M42" s="37">
        <f t="shared" si="0"/>
        <v>8440</v>
      </c>
    </row>
    <row r="43" spans="1:13" ht="12.75">
      <c r="A43" s="1">
        <v>12</v>
      </c>
      <c r="B43" s="1">
        <v>10</v>
      </c>
      <c r="C43">
        <v>2</v>
      </c>
      <c r="D43">
        <v>1</v>
      </c>
      <c r="E43">
        <v>1</v>
      </c>
      <c r="F43">
        <v>2</v>
      </c>
      <c r="G43">
        <v>3</v>
      </c>
      <c r="H43">
        <v>3</v>
      </c>
      <c r="I43">
        <v>1</v>
      </c>
      <c r="J43">
        <v>1</v>
      </c>
      <c r="K43">
        <v>2</v>
      </c>
      <c r="L43">
        <v>3</v>
      </c>
      <c r="M43" s="37">
        <f t="shared" si="0"/>
        <v>8560</v>
      </c>
    </row>
    <row r="44" spans="1:13" ht="12.75">
      <c r="A44" s="1">
        <v>13</v>
      </c>
      <c r="B44" s="1">
        <v>5</v>
      </c>
      <c r="C44">
        <v>3</v>
      </c>
      <c r="D44">
        <v>2</v>
      </c>
      <c r="E44">
        <v>3</v>
      </c>
      <c r="F44">
        <v>1</v>
      </c>
      <c r="G44">
        <v>2</v>
      </c>
      <c r="M44" s="37">
        <f t="shared" si="0"/>
        <v>5640</v>
      </c>
    </row>
    <row r="45" spans="1:13" ht="12.75">
      <c r="A45" s="1">
        <v>14</v>
      </c>
      <c r="B45" s="1">
        <v>5</v>
      </c>
      <c r="C45">
        <v>2</v>
      </c>
      <c r="D45">
        <v>1</v>
      </c>
      <c r="E45">
        <v>3</v>
      </c>
      <c r="F45">
        <v>3</v>
      </c>
      <c r="G45">
        <v>3</v>
      </c>
      <c r="M45" s="37">
        <f t="shared" si="0"/>
        <v>6840</v>
      </c>
    </row>
    <row r="46" spans="1:13" ht="12.75">
      <c r="A46" s="1">
        <v>15</v>
      </c>
      <c r="B46" s="1">
        <v>5</v>
      </c>
      <c r="C46">
        <v>3</v>
      </c>
      <c r="D46">
        <v>1</v>
      </c>
      <c r="E46">
        <v>2</v>
      </c>
      <c r="F46">
        <v>3</v>
      </c>
      <c r="G46">
        <v>2</v>
      </c>
      <c r="M46" s="37">
        <f t="shared" si="0"/>
        <v>5640</v>
      </c>
    </row>
    <row r="47" spans="1:13" ht="12.75">
      <c r="A47" s="1">
        <v>16</v>
      </c>
      <c r="B47" s="1">
        <v>5</v>
      </c>
      <c r="C47">
        <v>3</v>
      </c>
      <c r="D47">
        <v>1</v>
      </c>
      <c r="E47">
        <v>3</v>
      </c>
      <c r="F47">
        <v>2</v>
      </c>
      <c r="G47">
        <v>3</v>
      </c>
      <c r="M47" s="37">
        <f t="shared" si="0"/>
        <v>6840</v>
      </c>
    </row>
    <row r="48" spans="1:13" ht="12.75">
      <c r="A48" s="1">
        <v>17</v>
      </c>
      <c r="B48" s="1">
        <v>7</v>
      </c>
      <c r="C48">
        <v>3</v>
      </c>
      <c r="D48">
        <v>2</v>
      </c>
      <c r="E48">
        <v>3</v>
      </c>
      <c r="F48">
        <v>2</v>
      </c>
      <c r="G48">
        <v>1</v>
      </c>
      <c r="H48">
        <v>2</v>
      </c>
      <c r="I48">
        <v>1</v>
      </c>
      <c r="M48" s="37">
        <f t="shared" si="0"/>
        <v>6480</v>
      </c>
    </row>
    <row r="49" spans="1:13" ht="12.75">
      <c r="A49" s="1">
        <v>18</v>
      </c>
      <c r="B49" s="1">
        <v>5</v>
      </c>
      <c r="C49">
        <v>2</v>
      </c>
      <c r="D49">
        <v>1</v>
      </c>
      <c r="E49">
        <v>2</v>
      </c>
      <c r="F49">
        <v>3</v>
      </c>
      <c r="G49">
        <v>3</v>
      </c>
      <c r="M49" s="37">
        <f t="shared" si="0"/>
        <v>5640</v>
      </c>
    </row>
    <row r="50" spans="1:13" ht="12.75">
      <c r="A50" s="1">
        <v>19</v>
      </c>
      <c r="B50" s="1">
        <v>8</v>
      </c>
      <c r="C50">
        <v>2</v>
      </c>
      <c r="D50">
        <v>2</v>
      </c>
      <c r="E50">
        <v>3</v>
      </c>
      <c r="F50">
        <v>1</v>
      </c>
      <c r="G50">
        <v>3</v>
      </c>
      <c r="H50">
        <v>2</v>
      </c>
      <c r="I50">
        <v>1</v>
      </c>
      <c r="J50">
        <v>3</v>
      </c>
      <c r="M50" s="37">
        <f t="shared" si="0"/>
        <v>8480</v>
      </c>
    </row>
    <row r="51" spans="1:13" ht="12.75">
      <c r="A51" s="1">
        <v>20</v>
      </c>
      <c r="B51" s="1">
        <v>7</v>
      </c>
      <c r="C51">
        <v>2</v>
      </c>
      <c r="D51">
        <v>3</v>
      </c>
      <c r="E51">
        <v>1</v>
      </c>
      <c r="F51">
        <v>3</v>
      </c>
      <c r="G51">
        <v>2</v>
      </c>
      <c r="H51">
        <v>3</v>
      </c>
      <c r="I51">
        <v>3</v>
      </c>
      <c r="M51" s="37">
        <f t="shared" si="0"/>
        <v>9640</v>
      </c>
    </row>
    <row r="52" spans="1:13" ht="12.75">
      <c r="A52" s="1">
        <v>21</v>
      </c>
      <c r="B52" s="1">
        <v>8</v>
      </c>
      <c r="C52">
        <v>3</v>
      </c>
      <c r="D52">
        <v>2</v>
      </c>
      <c r="E52">
        <v>3</v>
      </c>
      <c r="F52">
        <v>2</v>
      </c>
      <c r="G52">
        <v>1</v>
      </c>
      <c r="H52">
        <v>2</v>
      </c>
      <c r="I52">
        <v>1</v>
      </c>
      <c r="J52">
        <v>3</v>
      </c>
      <c r="M52" s="37">
        <f t="shared" si="0"/>
        <v>8480</v>
      </c>
    </row>
    <row r="53" spans="1:13" ht="12.75">
      <c r="A53" s="1">
        <v>22</v>
      </c>
      <c r="B53" s="1">
        <v>10</v>
      </c>
      <c r="C53">
        <v>1</v>
      </c>
      <c r="D53">
        <v>2</v>
      </c>
      <c r="E53">
        <v>3</v>
      </c>
      <c r="F53">
        <v>1</v>
      </c>
      <c r="G53">
        <v>3</v>
      </c>
      <c r="H53">
        <v>2</v>
      </c>
      <c r="I53">
        <v>1</v>
      </c>
      <c r="J53">
        <v>3</v>
      </c>
      <c r="K53">
        <v>2</v>
      </c>
      <c r="L53">
        <v>2</v>
      </c>
      <c r="M53" s="37">
        <f t="shared" si="0"/>
        <v>9320</v>
      </c>
    </row>
    <row r="54" spans="1:13" ht="12.75">
      <c r="A54" s="1">
        <v>23</v>
      </c>
      <c r="B54" s="1">
        <v>10</v>
      </c>
      <c r="C54">
        <v>1</v>
      </c>
      <c r="D54">
        <v>3</v>
      </c>
      <c r="E54">
        <v>1</v>
      </c>
      <c r="F54">
        <v>1</v>
      </c>
      <c r="G54">
        <v>3</v>
      </c>
      <c r="H54">
        <v>2</v>
      </c>
      <c r="I54">
        <v>3</v>
      </c>
      <c r="J54">
        <v>3</v>
      </c>
      <c r="K54">
        <v>3</v>
      </c>
      <c r="L54">
        <v>3</v>
      </c>
      <c r="M54" s="37">
        <f t="shared" si="0"/>
        <v>12920</v>
      </c>
    </row>
    <row r="55" spans="1:13" ht="12.75">
      <c r="A55" s="1">
        <v>24</v>
      </c>
      <c r="B55" s="1">
        <v>8</v>
      </c>
      <c r="C55">
        <v>3</v>
      </c>
      <c r="D55">
        <v>1</v>
      </c>
      <c r="E55">
        <v>2</v>
      </c>
      <c r="F55">
        <v>3</v>
      </c>
      <c r="G55">
        <v>1</v>
      </c>
      <c r="H55">
        <v>3</v>
      </c>
      <c r="I55">
        <v>3</v>
      </c>
      <c r="J55">
        <v>2</v>
      </c>
      <c r="M55" s="37">
        <f t="shared" si="0"/>
        <v>9680</v>
      </c>
    </row>
    <row r="56" spans="1:13" ht="12.75">
      <c r="A56" s="1">
        <v>25</v>
      </c>
      <c r="B56" s="1">
        <v>6</v>
      </c>
      <c r="C56">
        <v>1</v>
      </c>
      <c r="D56">
        <v>3</v>
      </c>
      <c r="E56">
        <v>2</v>
      </c>
      <c r="F56">
        <v>1</v>
      </c>
      <c r="G56">
        <v>3</v>
      </c>
      <c r="H56">
        <v>3</v>
      </c>
      <c r="M56" s="37">
        <f t="shared" si="0"/>
        <v>6880</v>
      </c>
    </row>
    <row r="57" spans="1:13" ht="12.75">
      <c r="A57" s="1">
        <v>26</v>
      </c>
      <c r="B57" s="1">
        <v>5</v>
      </c>
      <c r="C57">
        <v>3</v>
      </c>
      <c r="D57">
        <v>3</v>
      </c>
      <c r="E57">
        <v>1</v>
      </c>
      <c r="F57">
        <v>1</v>
      </c>
      <c r="G57">
        <v>3</v>
      </c>
      <c r="M57" s="37">
        <f t="shared" si="0"/>
        <v>6080</v>
      </c>
    </row>
    <row r="58" spans="1:13" ht="12.75">
      <c r="A58" s="1">
        <v>27</v>
      </c>
      <c r="B58" s="1">
        <v>8</v>
      </c>
      <c r="C58">
        <v>2</v>
      </c>
      <c r="D58">
        <v>1</v>
      </c>
      <c r="E58">
        <v>2</v>
      </c>
      <c r="F58">
        <v>1</v>
      </c>
      <c r="G58">
        <v>3</v>
      </c>
      <c r="H58">
        <v>3</v>
      </c>
      <c r="I58">
        <v>2</v>
      </c>
      <c r="J58">
        <v>3</v>
      </c>
      <c r="M58" s="37">
        <f t="shared" si="0"/>
        <v>8480</v>
      </c>
    </row>
    <row r="59" spans="1:13" ht="12.75">
      <c r="A59" s="1">
        <v>28</v>
      </c>
      <c r="B59" s="1">
        <v>9</v>
      </c>
      <c r="C59">
        <v>3</v>
      </c>
      <c r="D59">
        <v>1</v>
      </c>
      <c r="E59">
        <v>2</v>
      </c>
      <c r="F59">
        <v>3</v>
      </c>
      <c r="G59">
        <v>2</v>
      </c>
      <c r="H59">
        <v>1</v>
      </c>
      <c r="I59">
        <v>3</v>
      </c>
      <c r="J59">
        <v>2</v>
      </c>
      <c r="K59">
        <v>1</v>
      </c>
      <c r="M59" s="37">
        <f t="shared" si="0"/>
        <v>8520</v>
      </c>
    </row>
    <row r="60" spans="1:13" ht="12.75">
      <c r="A60" s="1">
        <v>29</v>
      </c>
      <c r="B60" s="1">
        <v>8</v>
      </c>
      <c r="C60">
        <v>1</v>
      </c>
      <c r="D60">
        <v>3</v>
      </c>
      <c r="E60">
        <v>2</v>
      </c>
      <c r="F60">
        <v>3</v>
      </c>
      <c r="G60">
        <v>3</v>
      </c>
      <c r="H60">
        <v>2</v>
      </c>
      <c r="I60">
        <v>2</v>
      </c>
      <c r="J60">
        <v>2</v>
      </c>
      <c r="M60" s="37">
        <f t="shared" si="0"/>
        <v>9240</v>
      </c>
    </row>
    <row r="61" spans="1:13" ht="12.75">
      <c r="A61" s="1">
        <v>30</v>
      </c>
      <c r="B61" s="1">
        <v>10</v>
      </c>
      <c r="C61">
        <v>1</v>
      </c>
      <c r="D61">
        <v>1</v>
      </c>
      <c r="E61">
        <v>2</v>
      </c>
      <c r="F61">
        <v>2</v>
      </c>
      <c r="G61">
        <v>3</v>
      </c>
      <c r="H61">
        <v>2</v>
      </c>
      <c r="I61">
        <v>2</v>
      </c>
      <c r="J61">
        <v>1</v>
      </c>
      <c r="K61">
        <v>2</v>
      </c>
      <c r="L61">
        <v>3</v>
      </c>
      <c r="M61" s="37">
        <f t="shared" si="0"/>
        <v>8120</v>
      </c>
    </row>
    <row r="62" spans="1:13" ht="12.75">
      <c r="A62" s="1">
        <v>31</v>
      </c>
      <c r="B62" s="1">
        <v>8</v>
      </c>
      <c r="C62">
        <v>3</v>
      </c>
      <c r="D62">
        <v>1</v>
      </c>
      <c r="E62">
        <v>2</v>
      </c>
      <c r="F62">
        <v>2</v>
      </c>
      <c r="G62">
        <v>2</v>
      </c>
      <c r="H62">
        <v>3</v>
      </c>
      <c r="I62">
        <v>1</v>
      </c>
      <c r="J62">
        <v>3</v>
      </c>
      <c r="M62" s="37">
        <f t="shared" si="0"/>
        <v>8480</v>
      </c>
    </row>
    <row r="63" spans="1:13" ht="12.75">
      <c r="A63" s="1">
        <v>32</v>
      </c>
      <c r="B63" s="1">
        <v>6</v>
      </c>
      <c r="C63">
        <v>2</v>
      </c>
      <c r="D63">
        <v>3</v>
      </c>
      <c r="E63">
        <v>2</v>
      </c>
      <c r="F63">
        <v>3</v>
      </c>
      <c r="G63">
        <v>1</v>
      </c>
      <c r="H63">
        <v>1</v>
      </c>
      <c r="M63" s="37">
        <f t="shared" si="0"/>
        <v>5680</v>
      </c>
    </row>
    <row r="64" spans="1:13" ht="12.75">
      <c r="A64" s="1">
        <v>33</v>
      </c>
      <c r="B64" s="1">
        <v>8</v>
      </c>
      <c r="C64">
        <v>1</v>
      </c>
      <c r="D64">
        <v>2</v>
      </c>
      <c r="E64">
        <v>2</v>
      </c>
      <c r="F64">
        <v>2</v>
      </c>
      <c r="G64">
        <v>2</v>
      </c>
      <c r="H64">
        <v>3</v>
      </c>
      <c r="I64">
        <v>3</v>
      </c>
      <c r="M64" s="37">
        <f t="shared" si="0"/>
        <v>7240</v>
      </c>
    </row>
    <row r="65" spans="1:13" ht="12.75">
      <c r="A65" s="1">
        <v>34</v>
      </c>
      <c r="B65" s="1">
        <v>7</v>
      </c>
      <c r="C65">
        <v>2</v>
      </c>
      <c r="D65">
        <v>3</v>
      </c>
      <c r="E65">
        <v>1</v>
      </c>
      <c r="F65">
        <v>3</v>
      </c>
      <c r="G65">
        <v>2</v>
      </c>
      <c r="H65">
        <v>3</v>
      </c>
      <c r="I65">
        <v>2</v>
      </c>
      <c r="M65" s="37">
        <f t="shared" si="0"/>
        <v>8440</v>
      </c>
    </row>
    <row r="66" spans="1:13" ht="12.75">
      <c r="A66" s="1">
        <v>35</v>
      </c>
      <c r="B66" s="1">
        <v>7</v>
      </c>
      <c r="C66">
        <v>3</v>
      </c>
      <c r="D66">
        <v>2</v>
      </c>
      <c r="E66">
        <v>2</v>
      </c>
      <c r="F66">
        <v>1</v>
      </c>
      <c r="G66">
        <v>3</v>
      </c>
      <c r="H66">
        <v>3</v>
      </c>
      <c r="I66">
        <v>3</v>
      </c>
      <c r="M66" s="37">
        <f t="shared" si="0"/>
        <v>9640</v>
      </c>
    </row>
    <row r="67" spans="1:13" ht="12.75">
      <c r="A67" s="1">
        <v>36</v>
      </c>
      <c r="B67" s="1">
        <v>5</v>
      </c>
      <c r="C67">
        <v>3</v>
      </c>
      <c r="D67">
        <v>2</v>
      </c>
      <c r="E67">
        <v>1</v>
      </c>
      <c r="F67">
        <v>3</v>
      </c>
      <c r="G67">
        <v>3</v>
      </c>
      <c r="M67" s="37">
        <f t="shared" si="0"/>
        <v>6840</v>
      </c>
    </row>
    <row r="68" ht="12.75">
      <c r="M68" s="37"/>
    </row>
    <row r="69" ht="12.75">
      <c r="M69" s="37"/>
    </row>
    <row r="70" spans="1:13" ht="15.75">
      <c r="A70" s="20" t="s">
        <v>367</v>
      </c>
      <c r="B70" s="20">
        <f>SUM(B32:B67)</f>
        <v>259</v>
      </c>
      <c r="M70" s="37"/>
    </row>
    <row r="71" ht="12.75">
      <c r="M71" s="37"/>
    </row>
    <row r="72" ht="12.75">
      <c r="M72" s="37"/>
    </row>
    <row r="73" ht="12.75">
      <c r="M73" s="37"/>
    </row>
    <row r="74" ht="12.75">
      <c r="M74" s="37"/>
    </row>
    <row r="75" ht="12.75">
      <c r="M75" s="37"/>
    </row>
    <row r="76" ht="12.75">
      <c r="M76" s="37"/>
    </row>
    <row r="77" ht="12.75">
      <c r="M77" s="37"/>
    </row>
    <row r="78" ht="12.75">
      <c r="M78" s="37"/>
    </row>
    <row r="79" ht="12.75">
      <c r="M79" s="37"/>
    </row>
    <row r="80" ht="12.75">
      <c r="M80" s="37"/>
    </row>
    <row r="81" ht="12.75">
      <c r="M81" s="37"/>
    </row>
    <row r="82" ht="12.75">
      <c r="M82" s="37"/>
    </row>
    <row r="83" ht="12.75">
      <c r="M83" s="37"/>
    </row>
    <row r="84" ht="12.75">
      <c r="M84" s="37"/>
    </row>
    <row r="85" ht="12.75">
      <c r="M85" s="37"/>
    </row>
    <row r="86" ht="12.75">
      <c r="M86" s="37"/>
    </row>
    <row r="87" ht="12.75">
      <c r="M87" s="37"/>
    </row>
    <row r="88" ht="12.75">
      <c r="M88" s="37"/>
    </row>
    <row r="89" ht="12.75">
      <c r="M89" s="37"/>
    </row>
    <row r="90" ht="12.75">
      <c r="M90" s="37"/>
    </row>
    <row r="91" ht="12.75">
      <c r="M91" s="37"/>
    </row>
    <row r="92" ht="12.75">
      <c r="M92" s="37"/>
    </row>
    <row r="93" ht="12.75">
      <c r="M93" s="37"/>
    </row>
    <row r="94" ht="12.75">
      <c r="M94" s="37"/>
    </row>
    <row r="95" ht="12.75">
      <c r="M95" s="37"/>
    </row>
    <row r="96" ht="12.75">
      <c r="M96" s="37"/>
    </row>
    <row r="97" ht="12.75">
      <c r="M97" s="37"/>
    </row>
    <row r="98" ht="12.75">
      <c r="M98" s="37"/>
    </row>
    <row r="99" ht="12.75">
      <c r="M99" s="37"/>
    </row>
    <row r="100" ht="12.75">
      <c r="M100" s="37"/>
    </row>
    <row r="101" ht="12.75">
      <c r="M101" s="37"/>
    </row>
    <row r="102" ht="12.75">
      <c r="M102" s="37"/>
    </row>
    <row r="103" ht="12.75">
      <c r="M103" s="37"/>
    </row>
    <row r="104" ht="12.75">
      <c r="M104" s="37"/>
    </row>
    <row r="105" ht="12.75">
      <c r="M105" s="37"/>
    </row>
    <row r="106" ht="12.75">
      <c r="M106" s="37"/>
    </row>
    <row r="107" ht="12.75">
      <c r="M107" s="37"/>
    </row>
    <row r="108" ht="12.75">
      <c r="M108" s="37"/>
    </row>
    <row r="109" ht="12.75">
      <c r="M109" s="37"/>
    </row>
    <row r="110" ht="12.75">
      <c r="M110" s="37"/>
    </row>
    <row r="111" ht="12.75">
      <c r="M111" s="37"/>
    </row>
    <row r="112" ht="12.75">
      <c r="M112" s="37"/>
    </row>
    <row r="113" ht="12.75">
      <c r="M113" s="37"/>
    </row>
    <row r="114" ht="12.75">
      <c r="M114" s="37"/>
    </row>
    <row r="115" ht="12.75">
      <c r="M115" s="37"/>
    </row>
    <row r="116" ht="12.75">
      <c r="M116" s="37"/>
    </row>
    <row r="117" ht="12.75">
      <c r="M117" s="37"/>
    </row>
    <row r="118" ht="12.75">
      <c r="M118" s="37"/>
    </row>
    <row r="119" ht="12.75">
      <c r="M119" s="37"/>
    </row>
    <row r="120" ht="12.75">
      <c r="M120" s="37"/>
    </row>
    <row r="121" ht="12.75">
      <c r="M121" s="37"/>
    </row>
    <row r="122" ht="12.75">
      <c r="M122" s="37"/>
    </row>
    <row r="123" ht="12.75">
      <c r="M123" s="37"/>
    </row>
    <row r="124" ht="12.75">
      <c r="M124" s="37"/>
    </row>
    <row r="125" ht="12.75">
      <c r="M125" s="37"/>
    </row>
    <row r="126" ht="12.75">
      <c r="M126" s="37"/>
    </row>
    <row r="127" ht="12.75">
      <c r="M127" s="37"/>
    </row>
    <row r="128" ht="12.75">
      <c r="M128" s="37"/>
    </row>
    <row r="129" ht="12.75">
      <c r="M129" s="37"/>
    </row>
    <row r="130" ht="12.75">
      <c r="M130" s="37"/>
    </row>
    <row r="131" ht="12.75">
      <c r="M131" s="37"/>
    </row>
    <row r="132" ht="12.75">
      <c r="M132" s="37"/>
    </row>
    <row r="133" ht="12.75">
      <c r="M133" s="37"/>
    </row>
    <row r="134" ht="12.75">
      <c r="M134" s="37"/>
    </row>
    <row r="135" ht="12.75">
      <c r="M135" s="37"/>
    </row>
    <row r="136" ht="12.75">
      <c r="M136" s="37"/>
    </row>
    <row r="137" ht="12.75">
      <c r="M137" s="37"/>
    </row>
    <row r="138" ht="12.75">
      <c r="M138" s="37"/>
    </row>
    <row r="139" ht="12.75">
      <c r="M139" s="37"/>
    </row>
    <row r="140" ht="12.75">
      <c r="M140" s="37"/>
    </row>
    <row r="141" ht="12.75">
      <c r="M141" s="37"/>
    </row>
    <row r="142" ht="12.75">
      <c r="M142" s="37"/>
    </row>
    <row r="143" ht="12.75">
      <c r="M143" s="37"/>
    </row>
    <row r="144" ht="12.75">
      <c r="M144" s="37"/>
    </row>
    <row r="145" ht="12.75">
      <c r="M145" s="37"/>
    </row>
    <row r="146" ht="12.75">
      <c r="M146" s="37"/>
    </row>
    <row r="147" ht="12.75">
      <c r="M147" s="37"/>
    </row>
    <row r="148" ht="12.75">
      <c r="M148" s="37"/>
    </row>
    <row r="149" ht="12.75">
      <c r="M149" s="37"/>
    </row>
    <row r="150" ht="12.75">
      <c r="M150" s="37"/>
    </row>
    <row r="151" ht="12.75">
      <c r="M151" s="37"/>
    </row>
  </sheetData>
  <mergeCells count="3">
    <mergeCell ref="C13:E13"/>
    <mergeCell ref="C14:E14"/>
    <mergeCell ref="C15:E15"/>
  </mergeCells>
  <printOptions/>
  <pageMargins left="1.5748031496062993" right="0.9448818897637796" top="1.5748031496062993" bottom="1.5748031496062993" header="0" footer="0"/>
  <pageSetup horizontalDpi="360" verticalDpi="36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304"/>
  <sheetViews>
    <sheetView zoomScale="75" zoomScaleNormal="75" workbookViewId="0" topLeftCell="I1">
      <selection activeCell="J1" sqref="J1:Q16384"/>
    </sheetView>
  </sheetViews>
  <sheetFormatPr defaultColWidth="11.421875" defaultRowHeight="12.75"/>
  <cols>
    <col min="3" max="3" width="20.00390625" style="0" customWidth="1"/>
    <col min="4" max="4" width="14.8515625" style="0" customWidth="1"/>
    <col min="8" max="8" width="13.7109375" style="0" customWidth="1"/>
    <col min="11" max="11" width="14.28125" style="0" customWidth="1"/>
    <col min="12" max="12" width="22.7109375" style="0" customWidth="1"/>
    <col min="14" max="14" width="23.00390625" style="0" customWidth="1"/>
  </cols>
  <sheetData>
    <row r="1" spans="10:19" ht="12.75">
      <c r="J1" s="3" t="s">
        <v>80</v>
      </c>
      <c r="K1" s="3" t="s">
        <v>81</v>
      </c>
      <c r="L1" s="3" t="s">
        <v>82</v>
      </c>
      <c r="M1" s="3" t="s">
        <v>83</v>
      </c>
      <c r="N1" s="2" t="s">
        <v>82</v>
      </c>
      <c r="O1" s="2" t="s">
        <v>84</v>
      </c>
      <c r="P1" s="2"/>
      <c r="S1" t="s">
        <v>19</v>
      </c>
    </row>
    <row r="2" spans="10:18" ht="12.75">
      <c r="J2" s="7" t="s">
        <v>85</v>
      </c>
      <c r="K2" s="3" t="s">
        <v>86</v>
      </c>
      <c r="L2" s="3" t="s">
        <v>87</v>
      </c>
      <c r="M2" s="2"/>
      <c r="N2" s="2" t="s">
        <v>87</v>
      </c>
      <c r="O2" s="2"/>
      <c r="P2" s="3" t="s">
        <v>88</v>
      </c>
      <c r="R2" t="s">
        <v>14</v>
      </c>
    </row>
    <row r="3" spans="2:56" ht="12.75"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  <c r="G3" s="3" t="s">
        <v>94</v>
      </c>
      <c r="H3" s="3" t="s">
        <v>95</v>
      </c>
      <c r="J3" s="1"/>
      <c r="U3">
        <v>1626</v>
      </c>
      <c r="V3">
        <v>3734</v>
      </c>
      <c r="W3">
        <v>1398</v>
      </c>
      <c r="X3">
        <v>1472</v>
      </c>
      <c r="Y3">
        <v>3024</v>
      </c>
      <c r="Z3">
        <v>4832</v>
      </c>
      <c r="AA3">
        <v>5464</v>
      </c>
      <c r="AB3">
        <v>1626</v>
      </c>
      <c r="AC3">
        <v>1318</v>
      </c>
      <c r="AD3">
        <v>2108</v>
      </c>
      <c r="AE3">
        <v>686</v>
      </c>
      <c r="AF3">
        <v>3706</v>
      </c>
      <c r="AG3">
        <v>1085.6</v>
      </c>
      <c r="AH3">
        <v>6345.7</v>
      </c>
      <c r="AI3">
        <v>2773.8</v>
      </c>
      <c r="AJ3">
        <v>5375.1</v>
      </c>
      <c r="AK3">
        <v>563.5</v>
      </c>
      <c r="AL3">
        <v>2424.2</v>
      </c>
      <c r="AM3">
        <v>4298.7</v>
      </c>
      <c r="AN3">
        <v>6345.7</v>
      </c>
      <c r="AO3">
        <v>1081</v>
      </c>
      <c r="AP3">
        <v>4648.3</v>
      </c>
      <c r="AQ3">
        <v>5556.8</v>
      </c>
      <c r="AR3">
        <v>1869.9</v>
      </c>
      <c r="AS3">
        <v>5152.92</v>
      </c>
      <c r="AT3">
        <v>4206.24</v>
      </c>
      <c r="AU3">
        <v>5152.92</v>
      </c>
      <c r="AV3">
        <v>7087.68</v>
      </c>
      <c r="AW3">
        <v>1090.2</v>
      </c>
      <c r="AX3">
        <v>8384.88</v>
      </c>
      <c r="AY3">
        <v>6668.16</v>
      </c>
      <c r="AZ3">
        <v>2277</v>
      </c>
      <c r="BA3">
        <v>7540.32</v>
      </c>
      <c r="BB3">
        <v>1297.2</v>
      </c>
      <c r="BC3">
        <v>990.84</v>
      </c>
      <c r="BD3">
        <v>7540.32</v>
      </c>
    </row>
    <row r="4" spans="2:19" ht="12.75">
      <c r="B4" s="1"/>
      <c r="D4" s="3" t="s">
        <v>96</v>
      </c>
      <c r="E4" s="3" t="s">
        <v>97</v>
      </c>
      <c r="F4" s="3" t="s">
        <v>98</v>
      </c>
      <c r="G4" s="3" t="s">
        <v>99</v>
      </c>
      <c r="H4" s="3" t="s">
        <v>100</v>
      </c>
      <c r="J4" s="1" t="s">
        <v>101</v>
      </c>
      <c r="K4" s="1">
        <v>0.35</v>
      </c>
      <c r="L4" s="8">
        <f aca="true" t="shared" si="0" ref="L4:L9">K4*$D$6</f>
        <v>8.75</v>
      </c>
      <c r="M4">
        <v>4</v>
      </c>
      <c r="N4" s="9">
        <f>ROUND(L4,0)</f>
        <v>9</v>
      </c>
      <c r="O4">
        <f>M4*N4</f>
        <v>36</v>
      </c>
      <c r="R4" s="1">
        <v>1</v>
      </c>
      <c r="S4">
        <f>P6</f>
        <v>1626</v>
      </c>
    </row>
    <row r="5" spans="2:19" ht="12.75">
      <c r="B5" s="1"/>
      <c r="C5" s="10"/>
      <c r="D5" s="10"/>
      <c r="J5" s="1" t="s">
        <v>102</v>
      </c>
      <c r="K5" s="1">
        <v>0.2</v>
      </c>
      <c r="L5" s="8">
        <f t="shared" si="0"/>
        <v>5</v>
      </c>
      <c r="M5">
        <v>20</v>
      </c>
      <c r="N5" s="9">
        <f aca="true" t="shared" si="1" ref="N5:N68">ROUND(L5,0)</f>
        <v>5</v>
      </c>
      <c r="O5">
        <f aca="true" t="shared" si="2" ref="O5:O68">M5*N5</f>
        <v>100</v>
      </c>
      <c r="R5" s="1">
        <v>2</v>
      </c>
      <c r="S5">
        <f>P17</f>
        <v>3734</v>
      </c>
    </row>
    <row r="6" spans="1:19" ht="12.75">
      <c r="A6" s="2"/>
      <c r="B6" s="11">
        <v>1</v>
      </c>
      <c r="C6" s="10">
        <f>0.13*F7</f>
        <v>32521.242416</v>
      </c>
      <c r="D6" s="9">
        <v>25</v>
      </c>
      <c r="J6" s="1" t="s">
        <v>103</v>
      </c>
      <c r="K6" s="1">
        <v>0.15</v>
      </c>
      <c r="L6" s="8">
        <f t="shared" si="0"/>
        <v>3.75</v>
      </c>
      <c r="M6">
        <v>50</v>
      </c>
      <c r="N6" s="9">
        <f t="shared" si="1"/>
        <v>4</v>
      </c>
      <c r="O6">
        <f t="shared" si="2"/>
        <v>200</v>
      </c>
      <c r="P6" s="1">
        <f>SUM(O4:O9)</f>
        <v>1626</v>
      </c>
      <c r="R6" s="1">
        <v>3</v>
      </c>
      <c r="S6">
        <f>P25</f>
        <v>1398</v>
      </c>
    </row>
    <row r="7" spans="1:19" ht="12.75">
      <c r="A7" s="2"/>
      <c r="B7" s="11">
        <v>2</v>
      </c>
      <c r="C7" s="10">
        <f>0.42*F7</f>
        <v>105068.629344</v>
      </c>
      <c r="D7" s="9">
        <v>60</v>
      </c>
      <c r="E7" s="10">
        <f>SUM(C6:C8)</f>
        <v>250163.4032</v>
      </c>
      <c r="F7">
        <v>250163.4032</v>
      </c>
      <c r="J7" s="1" t="s">
        <v>104</v>
      </c>
      <c r="K7" s="1">
        <v>0.12</v>
      </c>
      <c r="L7" s="8">
        <f t="shared" si="0"/>
        <v>3</v>
      </c>
      <c r="M7">
        <v>80</v>
      </c>
      <c r="N7" s="9">
        <f t="shared" si="1"/>
        <v>3</v>
      </c>
      <c r="O7">
        <f t="shared" si="2"/>
        <v>240</v>
      </c>
      <c r="R7" s="1">
        <v>4</v>
      </c>
      <c r="S7">
        <f>P35</f>
        <v>1472</v>
      </c>
    </row>
    <row r="8" spans="1:19" ht="12.75">
      <c r="A8" s="2"/>
      <c r="B8" s="11">
        <v>3</v>
      </c>
      <c r="C8" s="10">
        <f>0.45*F7</f>
        <v>112573.53144</v>
      </c>
      <c r="D8" s="9">
        <v>21</v>
      </c>
      <c r="J8" s="1" t="s">
        <v>333</v>
      </c>
      <c r="K8" s="1">
        <v>0.1</v>
      </c>
      <c r="L8" s="8">
        <f t="shared" si="0"/>
        <v>2.5</v>
      </c>
      <c r="M8">
        <v>150</v>
      </c>
      <c r="N8" s="9">
        <f t="shared" si="1"/>
        <v>3</v>
      </c>
      <c r="O8">
        <f t="shared" si="2"/>
        <v>450</v>
      </c>
      <c r="R8" s="1">
        <v>5</v>
      </c>
      <c r="S8">
        <f>P43</f>
        <v>3024</v>
      </c>
    </row>
    <row r="9" spans="1:19" ht="12.75">
      <c r="A9" s="2"/>
      <c r="B9" s="11"/>
      <c r="C9" s="10"/>
      <c r="D9" s="10"/>
      <c r="J9" t="s">
        <v>106</v>
      </c>
      <c r="K9" s="1">
        <v>0.08</v>
      </c>
      <c r="L9" s="8">
        <f t="shared" si="0"/>
        <v>2</v>
      </c>
      <c r="M9">
        <v>300</v>
      </c>
      <c r="N9" s="9">
        <f t="shared" si="1"/>
        <v>2</v>
      </c>
      <c r="O9">
        <f t="shared" si="2"/>
        <v>600</v>
      </c>
      <c r="R9" s="1">
        <v>6</v>
      </c>
      <c r="S9">
        <f>P50</f>
        <v>4832</v>
      </c>
    </row>
    <row r="10" spans="1:19" ht="12.75">
      <c r="A10" s="2"/>
      <c r="B10" s="11">
        <v>4</v>
      </c>
      <c r="C10" s="10">
        <f aca="true" t="shared" si="3" ref="C10:C15">G10*$F$13</f>
        <v>75049.02096</v>
      </c>
      <c r="D10" s="9">
        <v>24</v>
      </c>
      <c r="G10">
        <v>0.1</v>
      </c>
      <c r="N10" s="9"/>
      <c r="R10" s="1">
        <v>7</v>
      </c>
      <c r="S10">
        <f>P59</f>
        <v>5464</v>
      </c>
    </row>
    <row r="11" spans="1:19" ht="12.75">
      <c r="A11" s="2"/>
      <c r="B11" s="11">
        <v>5</v>
      </c>
      <c r="C11" s="10">
        <f t="shared" si="3"/>
        <v>187622.5524</v>
      </c>
      <c r="D11" s="9">
        <v>47</v>
      </c>
      <c r="G11">
        <v>0.25</v>
      </c>
      <c r="L11" s="1"/>
      <c r="N11" s="9"/>
      <c r="R11" s="1">
        <v>8</v>
      </c>
      <c r="S11">
        <f>P68</f>
        <v>1626</v>
      </c>
    </row>
    <row r="12" spans="1:19" ht="12.75">
      <c r="A12" s="2"/>
      <c r="B12" s="11">
        <v>6</v>
      </c>
      <c r="C12" s="10">
        <f t="shared" si="3"/>
        <v>37524.51048</v>
      </c>
      <c r="D12" s="9">
        <v>81</v>
      </c>
      <c r="G12" s="10">
        <v>0.05</v>
      </c>
      <c r="H12" s="10">
        <f>SUM(C6:C19)</f>
        <v>1250817.0128000001</v>
      </c>
      <c r="J12" s="1"/>
      <c r="K12" s="1"/>
      <c r="L12" s="1"/>
      <c r="M12" s="1"/>
      <c r="N12" s="9"/>
      <c r="R12" s="1">
        <v>9</v>
      </c>
      <c r="S12">
        <f>P76</f>
        <v>1318</v>
      </c>
    </row>
    <row r="13" spans="1:19" ht="12.75">
      <c r="A13" s="12" t="s">
        <v>107</v>
      </c>
      <c r="B13" s="11">
        <v>7</v>
      </c>
      <c r="C13" s="10">
        <f t="shared" si="3"/>
        <v>75049.02096</v>
      </c>
      <c r="D13" s="9">
        <v>89</v>
      </c>
      <c r="E13" s="10">
        <f>SUM(C10:C15)</f>
        <v>750490.2096</v>
      </c>
      <c r="F13">
        <v>750490.2096</v>
      </c>
      <c r="G13" s="10">
        <v>0.1</v>
      </c>
      <c r="J13" s="13" t="s">
        <v>108</v>
      </c>
      <c r="K13" s="1"/>
      <c r="L13" s="1"/>
      <c r="N13" s="9"/>
      <c r="R13" s="1">
        <v>10</v>
      </c>
      <c r="S13">
        <f>P86</f>
        <v>2108</v>
      </c>
    </row>
    <row r="14" spans="1:19" ht="12.75">
      <c r="A14" s="2"/>
      <c r="B14" s="11">
        <v>8</v>
      </c>
      <c r="C14" s="10">
        <f t="shared" si="3"/>
        <v>225147.06287999998</v>
      </c>
      <c r="D14" s="9">
        <v>27</v>
      </c>
      <c r="G14" s="10">
        <v>0.3</v>
      </c>
      <c r="J14" s="1"/>
      <c r="N14" s="9"/>
      <c r="R14" s="1">
        <v>11</v>
      </c>
      <c r="S14">
        <f>P95</f>
        <v>686</v>
      </c>
    </row>
    <row r="15" spans="1:19" ht="12.75">
      <c r="A15" s="2"/>
      <c r="B15" s="11">
        <v>9</v>
      </c>
      <c r="C15" s="10">
        <f t="shared" si="3"/>
        <v>150098.04192</v>
      </c>
      <c r="D15" s="9">
        <v>20</v>
      </c>
      <c r="G15" s="10">
        <v>0.2</v>
      </c>
      <c r="J15" s="1" t="s">
        <v>101</v>
      </c>
      <c r="K15" s="1">
        <f>$K$4</f>
        <v>0.35</v>
      </c>
      <c r="L15" s="8">
        <f aca="true" t="shared" si="4" ref="L15:L20">K15*$D$7</f>
        <v>21</v>
      </c>
      <c r="M15">
        <f>$M$4</f>
        <v>4</v>
      </c>
      <c r="N15" s="9">
        <f t="shared" si="1"/>
        <v>21</v>
      </c>
      <c r="O15">
        <f t="shared" si="2"/>
        <v>84</v>
      </c>
      <c r="R15" s="1">
        <v>12</v>
      </c>
      <c r="S15">
        <f>P104</f>
        <v>3706</v>
      </c>
    </row>
    <row r="16" spans="1:19" ht="12.75">
      <c r="A16" s="2"/>
      <c r="B16" s="11"/>
      <c r="D16" s="9"/>
      <c r="G16" s="10"/>
      <c r="J16" s="1" t="s">
        <v>102</v>
      </c>
      <c r="K16" s="1">
        <f>$K$5</f>
        <v>0.2</v>
      </c>
      <c r="L16" s="8">
        <f t="shared" si="4"/>
        <v>12</v>
      </c>
      <c r="M16">
        <f>$M$5</f>
        <v>20</v>
      </c>
      <c r="N16" s="9">
        <f t="shared" si="1"/>
        <v>12</v>
      </c>
      <c r="O16">
        <f t="shared" si="2"/>
        <v>240</v>
      </c>
      <c r="R16" s="1">
        <v>13</v>
      </c>
      <c r="S16">
        <f>P111</f>
        <v>1085.6</v>
      </c>
    </row>
    <row r="17" spans="1:19" ht="12.75">
      <c r="A17" s="2"/>
      <c r="B17" s="11">
        <v>10</v>
      </c>
      <c r="C17" s="10">
        <f>G17*$F$18</f>
        <v>75049.01999999999</v>
      </c>
      <c r="D17" s="9">
        <v>33</v>
      </c>
      <c r="G17" s="10">
        <v>0.3</v>
      </c>
      <c r="J17" s="1" t="s">
        <v>103</v>
      </c>
      <c r="K17" s="1">
        <f>$K$6</f>
        <v>0.15</v>
      </c>
      <c r="L17" s="8">
        <f t="shared" si="4"/>
        <v>9</v>
      </c>
      <c r="M17">
        <f>$M$6</f>
        <v>50</v>
      </c>
      <c r="N17" s="9">
        <f t="shared" si="1"/>
        <v>9</v>
      </c>
      <c r="O17">
        <f t="shared" si="2"/>
        <v>450</v>
      </c>
      <c r="P17" s="1">
        <f>SUM(O15:O20)</f>
        <v>3734</v>
      </c>
      <c r="R17" s="1">
        <v>14</v>
      </c>
      <c r="S17">
        <f>P119</f>
        <v>6345.7</v>
      </c>
    </row>
    <row r="18" spans="1:19" ht="12.75">
      <c r="A18" s="2"/>
      <c r="B18" s="11">
        <v>11</v>
      </c>
      <c r="C18" s="10">
        <f>G18*$F$18</f>
        <v>100065.36</v>
      </c>
      <c r="D18" s="9">
        <v>11</v>
      </c>
      <c r="E18" s="10">
        <f>SUM(C17:C19)</f>
        <v>250163.4</v>
      </c>
      <c r="F18">
        <v>250163.4</v>
      </c>
      <c r="G18" s="10">
        <v>0.4</v>
      </c>
      <c r="J18" s="1" t="s">
        <v>104</v>
      </c>
      <c r="K18" s="1">
        <f>$K$7</f>
        <v>0.12</v>
      </c>
      <c r="L18" s="8">
        <f t="shared" si="4"/>
        <v>7.199999999999999</v>
      </c>
      <c r="M18">
        <f>$M$7</f>
        <v>80</v>
      </c>
      <c r="N18" s="9">
        <f t="shared" si="1"/>
        <v>7</v>
      </c>
      <c r="O18">
        <f t="shared" si="2"/>
        <v>560</v>
      </c>
      <c r="R18" s="1">
        <v>15</v>
      </c>
      <c r="S18">
        <f>P129</f>
        <v>2773.8</v>
      </c>
    </row>
    <row r="19" spans="1:19" ht="12.75">
      <c r="A19" s="2"/>
      <c r="B19" s="11">
        <v>12</v>
      </c>
      <c r="C19" s="10">
        <f>G19*$F$18</f>
        <v>75049.01999999999</v>
      </c>
      <c r="D19" s="9">
        <v>40</v>
      </c>
      <c r="G19" s="10">
        <v>0.3</v>
      </c>
      <c r="J19" s="1" t="s">
        <v>333</v>
      </c>
      <c r="K19" s="1">
        <f>$K$8</f>
        <v>0.1</v>
      </c>
      <c r="L19" s="8">
        <f t="shared" si="4"/>
        <v>6</v>
      </c>
      <c r="M19">
        <f>$M$8</f>
        <v>150</v>
      </c>
      <c r="N19" s="9">
        <f t="shared" si="1"/>
        <v>6</v>
      </c>
      <c r="O19">
        <f t="shared" si="2"/>
        <v>900</v>
      </c>
      <c r="R19" s="1">
        <v>16</v>
      </c>
      <c r="S19">
        <f>P138</f>
        <v>5375.1</v>
      </c>
    </row>
    <row r="20" spans="2:19" ht="12.75">
      <c r="B20" s="1"/>
      <c r="C20" s="10"/>
      <c r="D20" s="9"/>
      <c r="J20" t="s">
        <v>106</v>
      </c>
      <c r="K20" s="1">
        <f>$K$9</f>
        <v>0.08</v>
      </c>
      <c r="L20" s="8">
        <f t="shared" si="4"/>
        <v>4.8</v>
      </c>
      <c r="M20">
        <f>$M$9</f>
        <v>300</v>
      </c>
      <c r="N20" s="9">
        <f t="shared" si="1"/>
        <v>5</v>
      </c>
      <c r="O20">
        <f t="shared" si="2"/>
        <v>1500</v>
      </c>
      <c r="R20" s="1">
        <v>17</v>
      </c>
      <c r="S20">
        <f>P147</f>
        <v>563.5</v>
      </c>
    </row>
    <row r="21" spans="2:19" ht="12.75">
      <c r="B21" s="14">
        <v>13</v>
      </c>
      <c r="C21" s="10">
        <f>G21*$F$22</f>
        <v>108393.30086</v>
      </c>
      <c r="D21" s="9">
        <v>16</v>
      </c>
      <c r="G21">
        <v>0.26</v>
      </c>
      <c r="N21" s="9"/>
      <c r="R21" s="1">
        <v>18</v>
      </c>
      <c r="S21">
        <f>P155</f>
        <v>2424.2</v>
      </c>
    </row>
    <row r="22" spans="2:19" ht="12.75">
      <c r="B22" s="14">
        <v>14</v>
      </c>
      <c r="C22" s="10">
        <f>G22*$F$22</f>
        <v>75041.51598</v>
      </c>
      <c r="D22" s="9">
        <v>90</v>
      </c>
      <c r="E22" s="10">
        <f>SUM(C21:C23)</f>
        <v>416897.311</v>
      </c>
      <c r="F22">
        <v>416897.311</v>
      </c>
      <c r="G22">
        <v>0.18</v>
      </c>
      <c r="J22" s="13" t="s">
        <v>109</v>
      </c>
      <c r="L22" s="9"/>
      <c r="N22" s="9"/>
      <c r="R22" s="1">
        <v>19</v>
      </c>
      <c r="S22">
        <f>P164</f>
        <v>4298.7</v>
      </c>
    </row>
    <row r="23" spans="2:19" ht="12.75">
      <c r="B23" s="14">
        <v>15</v>
      </c>
      <c r="C23" s="10">
        <f>G23*$F$22</f>
        <v>233462.49416</v>
      </c>
      <c r="D23" s="9">
        <v>38</v>
      </c>
      <c r="G23">
        <v>0.56</v>
      </c>
      <c r="J23" s="1" t="s">
        <v>101</v>
      </c>
      <c r="K23" s="1">
        <f>$K$4</f>
        <v>0.35</v>
      </c>
      <c r="L23" s="8">
        <f aca="true" t="shared" si="5" ref="L23:L28">K23*$D$8</f>
        <v>7.35</v>
      </c>
      <c r="M23">
        <f>$M$4</f>
        <v>4</v>
      </c>
      <c r="N23" s="9">
        <f t="shared" si="1"/>
        <v>7</v>
      </c>
      <c r="O23">
        <f t="shared" si="2"/>
        <v>28</v>
      </c>
      <c r="R23" s="1">
        <v>20</v>
      </c>
      <c r="S23">
        <f>P172</f>
        <v>6345.7</v>
      </c>
    </row>
    <row r="24" spans="2:19" ht="12.75">
      <c r="B24" s="14"/>
      <c r="C24" s="10"/>
      <c r="D24" s="9"/>
      <c r="J24" s="1" t="s">
        <v>102</v>
      </c>
      <c r="K24" s="1">
        <f>$K$5</f>
        <v>0.2</v>
      </c>
      <c r="L24" s="8">
        <f t="shared" si="5"/>
        <v>4.2</v>
      </c>
      <c r="M24">
        <f>$M$5</f>
        <v>20</v>
      </c>
      <c r="N24" s="9">
        <f t="shared" si="1"/>
        <v>4</v>
      </c>
      <c r="O24">
        <f t="shared" si="2"/>
        <v>80</v>
      </c>
      <c r="R24" s="1">
        <v>21</v>
      </c>
      <c r="S24">
        <f>P179</f>
        <v>1081</v>
      </c>
    </row>
    <row r="25" spans="2:19" ht="12.75">
      <c r="B25" s="14">
        <v>16</v>
      </c>
      <c r="C25" s="10">
        <f aca="true" t="shared" si="6" ref="C25:C30">G25*$F$27</f>
        <v>400221.4176</v>
      </c>
      <c r="D25" s="9">
        <v>75</v>
      </c>
      <c r="G25">
        <v>0.32</v>
      </c>
      <c r="J25" s="1" t="s">
        <v>103</v>
      </c>
      <c r="K25" s="1">
        <f>$K$6</f>
        <v>0.15</v>
      </c>
      <c r="L25" s="8">
        <f t="shared" si="5"/>
        <v>3.15</v>
      </c>
      <c r="M25">
        <f>$M$6</f>
        <v>50</v>
      </c>
      <c r="N25" s="9">
        <f t="shared" si="1"/>
        <v>3</v>
      </c>
      <c r="O25">
        <f t="shared" si="2"/>
        <v>150</v>
      </c>
      <c r="P25" s="1">
        <f>SUM(O23:O28)</f>
        <v>1398</v>
      </c>
      <c r="R25" s="1">
        <v>22</v>
      </c>
      <c r="S25">
        <f>P189</f>
        <v>4648.3</v>
      </c>
    </row>
    <row r="26" spans="2:19" ht="12.75">
      <c r="B26" s="14">
        <v>17</v>
      </c>
      <c r="C26" s="10">
        <f t="shared" si="6"/>
        <v>175096.8702</v>
      </c>
      <c r="D26" s="9">
        <v>14</v>
      </c>
      <c r="G26">
        <v>0.14</v>
      </c>
      <c r="J26" s="1" t="s">
        <v>104</v>
      </c>
      <c r="K26" s="1">
        <f>$K$7</f>
        <v>0.12</v>
      </c>
      <c r="L26" s="8">
        <f t="shared" si="5"/>
        <v>2.52</v>
      </c>
      <c r="M26">
        <f>$M$7</f>
        <v>80</v>
      </c>
      <c r="N26" s="9">
        <f t="shared" si="1"/>
        <v>3</v>
      </c>
      <c r="O26">
        <f t="shared" si="2"/>
        <v>240</v>
      </c>
      <c r="P26" s="1"/>
      <c r="R26" s="1">
        <v>23</v>
      </c>
      <c r="S26">
        <f>P197</f>
        <v>5556.799999999999</v>
      </c>
    </row>
    <row r="27" spans="1:19" ht="12.75">
      <c r="A27" s="15" t="s">
        <v>110</v>
      </c>
      <c r="B27" s="14">
        <v>18</v>
      </c>
      <c r="C27" s="10">
        <f t="shared" si="6"/>
        <v>137576.1123</v>
      </c>
      <c r="D27" s="9">
        <v>34</v>
      </c>
      <c r="E27" s="10">
        <f>SUM(C25:C30)</f>
        <v>1250691.9300000002</v>
      </c>
      <c r="F27">
        <v>1250691.93</v>
      </c>
      <c r="G27">
        <v>0.11</v>
      </c>
      <c r="J27" s="1" t="s">
        <v>333</v>
      </c>
      <c r="K27" s="1">
        <f>$K$8</f>
        <v>0.1</v>
      </c>
      <c r="L27" s="8">
        <f t="shared" si="5"/>
        <v>2.1</v>
      </c>
      <c r="M27">
        <f>$M$8</f>
        <v>150</v>
      </c>
      <c r="N27" s="9">
        <f t="shared" si="1"/>
        <v>2</v>
      </c>
      <c r="O27">
        <f t="shared" si="2"/>
        <v>300</v>
      </c>
      <c r="R27" s="1">
        <v>24</v>
      </c>
      <c r="S27">
        <f>P204</f>
        <v>1869.9</v>
      </c>
    </row>
    <row r="28" spans="2:19" ht="12.75">
      <c r="B28" s="14">
        <v>19</v>
      </c>
      <c r="C28" s="10">
        <f t="shared" si="6"/>
        <v>350193.7404</v>
      </c>
      <c r="D28" s="9">
        <v>62</v>
      </c>
      <c r="G28">
        <v>0.28</v>
      </c>
      <c r="J28" t="s">
        <v>106</v>
      </c>
      <c r="K28" s="1">
        <f>$K$9</f>
        <v>0.08</v>
      </c>
      <c r="L28" s="8">
        <f t="shared" si="5"/>
        <v>1.68</v>
      </c>
      <c r="M28">
        <f>$M$9</f>
        <v>300</v>
      </c>
      <c r="N28" s="9">
        <f t="shared" si="1"/>
        <v>2</v>
      </c>
      <c r="O28">
        <f t="shared" si="2"/>
        <v>600</v>
      </c>
      <c r="R28" s="1">
        <v>25</v>
      </c>
      <c r="S28">
        <f>P213</f>
        <v>5152.92</v>
      </c>
    </row>
    <row r="29" spans="2:19" ht="12.75">
      <c r="B29" s="14">
        <v>20</v>
      </c>
      <c r="C29" s="10">
        <f t="shared" si="6"/>
        <v>137576.1123</v>
      </c>
      <c r="D29" s="9">
        <v>92</v>
      </c>
      <c r="G29">
        <v>0.11</v>
      </c>
      <c r="N29" s="9"/>
      <c r="R29" s="1">
        <v>26</v>
      </c>
      <c r="S29">
        <f>P222</f>
        <v>4206.24</v>
      </c>
    </row>
    <row r="30" spans="2:19" ht="12.75">
      <c r="B30" s="14">
        <v>21</v>
      </c>
      <c r="C30" s="10">
        <f t="shared" si="6"/>
        <v>50027.6772</v>
      </c>
      <c r="D30" s="9">
        <v>15</v>
      </c>
      <c r="G30">
        <v>0.04</v>
      </c>
      <c r="N30" s="9"/>
      <c r="R30" s="1">
        <v>27</v>
      </c>
      <c r="S30">
        <f>P229</f>
        <v>5152.92</v>
      </c>
    </row>
    <row r="31" spans="2:19" ht="12.75">
      <c r="B31" s="14"/>
      <c r="D31" s="9"/>
      <c r="J31" s="13" t="s">
        <v>111</v>
      </c>
      <c r="K31" s="1"/>
      <c r="L31" s="8"/>
      <c r="N31" s="9"/>
      <c r="R31" s="1">
        <v>28</v>
      </c>
      <c r="S31">
        <f>P238</f>
        <v>7087.68</v>
      </c>
    </row>
    <row r="32" spans="2:19" ht="12.75">
      <c r="B32" s="14">
        <v>22</v>
      </c>
      <c r="C32" s="10">
        <f>G32*$F$33</f>
        <v>137576.11263</v>
      </c>
      <c r="D32" s="9">
        <v>65</v>
      </c>
      <c r="G32">
        <v>0.33</v>
      </c>
      <c r="J32" s="1" t="s">
        <v>101</v>
      </c>
      <c r="K32" s="1">
        <f>$K$4</f>
        <v>0.35</v>
      </c>
      <c r="L32" s="8">
        <f aca="true" t="shared" si="7" ref="L32:L37">K32*$D$10</f>
        <v>8.399999999999999</v>
      </c>
      <c r="M32">
        <f>$M$4</f>
        <v>4</v>
      </c>
      <c r="N32" s="9">
        <f t="shared" si="1"/>
        <v>8</v>
      </c>
      <c r="O32">
        <f t="shared" si="2"/>
        <v>32</v>
      </c>
      <c r="R32" s="1">
        <v>29</v>
      </c>
      <c r="S32">
        <f>P245</f>
        <v>1090.1999999999998</v>
      </c>
    </row>
    <row r="33" spans="2:19" ht="12.75">
      <c r="B33" s="14">
        <v>23</v>
      </c>
      <c r="C33" s="10">
        <f>G33*$F$33</f>
        <v>233462.49416</v>
      </c>
      <c r="D33" s="9">
        <v>80</v>
      </c>
      <c r="E33" s="10">
        <f>SUM(C32:C34)</f>
        <v>416897.311</v>
      </c>
      <c r="F33">
        <v>416897.311</v>
      </c>
      <c r="G33">
        <v>0.56</v>
      </c>
      <c r="J33" s="1" t="s">
        <v>102</v>
      </c>
      <c r="K33" s="1">
        <f>$K$5</f>
        <v>0.2</v>
      </c>
      <c r="L33" s="8">
        <f t="shared" si="7"/>
        <v>4.800000000000001</v>
      </c>
      <c r="M33">
        <f>$M$5</f>
        <v>20</v>
      </c>
      <c r="N33" s="9">
        <f t="shared" si="1"/>
        <v>5</v>
      </c>
      <c r="O33">
        <f t="shared" si="2"/>
        <v>100</v>
      </c>
      <c r="R33" s="1">
        <v>30</v>
      </c>
      <c r="S33">
        <f>P253</f>
        <v>8384.88</v>
      </c>
    </row>
    <row r="34" spans="2:19" ht="12.75">
      <c r="B34" s="14">
        <v>24</v>
      </c>
      <c r="C34" s="10">
        <f>G34*$F$33</f>
        <v>45858.704209999996</v>
      </c>
      <c r="D34" s="9">
        <v>25</v>
      </c>
      <c r="G34">
        <v>0.11</v>
      </c>
      <c r="J34" s="1" t="s">
        <v>103</v>
      </c>
      <c r="K34" s="1">
        <f>$K$6</f>
        <v>0.15</v>
      </c>
      <c r="L34" s="8">
        <f t="shared" si="7"/>
        <v>3.5999999999999996</v>
      </c>
      <c r="M34">
        <f>$M$6</f>
        <v>50</v>
      </c>
      <c r="N34" s="9">
        <f t="shared" si="1"/>
        <v>4</v>
      </c>
      <c r="O34">
        <f t="shared" si="2"/>
        <v>200</v>
      </c>
      <c r="R34" s="1">
        <v>31</v>
      </c>
      <c r="S34">
        <f>P262</f>
        <v>6668.16</v>
      </c>
    </row>
    <row r="35" spans="2:19" ht="12.75">
      <c r="B35" s="1"/>
      <c r="D35" s="9"/>
      <c r="J35" s="1" t="s">
        <v>104</v>
      </c>
      <c r="K35" s="1">
        <f>$K$7</f>
        <v>0.12</v>
      </c>
      <c r="L35" s="8">
        <f t="shared" si="7"/>
        <v>2.88</v>
      </c>
      <c r="M35">
        <f>$M$7</f>
        <v>80</v>
      </c>
      <c r="N35" s="9">
        <f t="shared" si="1"/>
        <v>3</v>
      </c>
      <c r="O35">
        <f t="shared" si="2"/>
        <v>240</v>
      </c>
      <c r="P35" s="1">
        <f>SUM(O32:O37)</f>
        <v>1472</v>
      </c>
      <c r="R35" s="1">
        <v>32</v>
      </c>
      <c r="S35">
        <f>P269</f>
        <v>2277</v>
      </c>
    </row>
    <row r="36" spans="2:19" ht="12.75">
      <c r="B36" s="16">
        <v>25</v>
      </c>
      <c r="C36">
        <f>G36*$F$37</f>
        <v>244809.9066</v>
      </c>
      <c r="D36" s="9">
        <v>61</v>
      </c>
      <c r="G36">
        <v>0.42</v>
      </c>
      <c r="J36" s="1" t="s">
        <v>105</v>
      </c>
      <c r="K36" s="1">
        <f>$K$8</f>
        <v>0.1</v>
      </c>
      <c r="L36" s="8">
        <f t="shared" si="7"/>
        <v>2.4000000000000004</v>
      </c>
      <c r="M36">
        <f>$M$8</f>
        <v>150</v>
      </c>
      <c r="N36" s="9">
        <f t="shared" si="1"/>
        <v>2</v>
      </c>
      <c r="O36">
        <f t="shared" si="2"/>
        <v>300</v>
      </c>
      <c r="P36" s="1"/>
      <c r="R36" s="1">
        <v>33</v>
      </c>
      <c r="S36">
        <f>P278</f>
        <v>7540.32</v>
      </c>
    </row>
    <row r="37" spans="2:19" ht="12.75">
      <c r="B37" s="16">
        <v>26</v>
      </c>
      <c r="C37">
        <f>G37*$F$37</f>
        <v>198179.4482</v>
      </c>
      <c r="D37" s="9">
        <v>48</v>
      </c>
      <c r="E37">
        <f>SUM(C36:C38)</f>
        <v>582880.73</v>
      </c>
      <c r="F37">
        <v>582880.73</v>
      </c>
      <c r="G37">
        <v>0.34</v>
      </c>
      <c r="J37" t="s">
        <v>106</v>
      </c>
      <c r="K37" s="1">
        <f>$K$9</f>
        <v>0.08</v>
      </c>
      <c r="L37" s="8">
        <f t="shared" si="7"/>
        <v>1.92</v>
      </c>
      <c r="M37">
        <f>$M$9</f>
        <v>300</v>
      </c>
      <c r="N37" s="9">
        <f t="shared" si="1"/>
        <v>2</v>
      </c>
      <c r="O37">
        <f t="shared" si="2"/>
        <v>600</v>
      </c>
      <c r="R37" s="1">
        <v>34</v>
      </c>
      <c r="S37">
        <f>P285</f>
        <v>1297.1999999999998</v>
      </c>
    </row>
    <row r="38" spans="2:19" ht="12.75">
      <c r="B38" s="16">
        <v>27</v>
      </c>
      <c r="C38">
        <f>G38*$F$37</f>
        <v>139891.37519999998</v>
      </c>
      <c r="D38" s="9">
        <v>61</v>
      </c>
      <c r="G38">
        <v>0.24</v>
      </c>
      <c r="N38" s="9"/>
      <c r="R38" s="1">
        <v>35</v>
      </c>
      <c r="S38">
        <f>P293</f>
        <v>990.8399999999999</v>
      </c>
    </row>
    <row r="39" spans="2:19" ht="12.75">
      <c r="B39" s="16"/>
      <c r="D39" s="9"/>
      <c r="J39" s="13" t="s">
        <v>112</v>
      </c>
      <c r="N39" s="9"/>
      <c r="R39" s="1">
        <v>36</v>
      </c>
      <c r="S39">
        <f>P302</f>
        <v>7540.32</v>
      </c>
    </row>
    <row r="40" spans="2:15" ht="12.75">
      <c r="B40" s="16">
        <v>28</v>
      </c>
      <c r="C40">
        <f aca="true" t="shared" si="8" ref="C40:C45">G40*$F$42</f>
        <v>297269.17128</v>
      </c>
      <c r="D40" s="9">
        <v>82</v>
      </c>
      <c r="G40">
        <v>0.17</v>
      </c>
      <c r="J40" s="1" t="s">
        <v>101</v>
      </c>
      <c r="K40" s="1">
        <f>$K$4</f>
        <v>0.35</v>
      </c>
      <c r="L40" s="8">
        <f aca="true" t="shared" si="9" ref="L40:L45">K40*$D$11</f>
        <v>16.45</v>
      </c>
      <c r="M40">
        <f>$M$4</f>
        <v>4</v>
      </c>
      <c r="N40" s="9">
        <f t="shared" si="1"/>
        <v>16</v>
      </c>
      <c r="O40">
        <f t="shared" si="2"/>
        <v>64</v>
      </c>
    </row>
    <row r="41" spans="1:15" ht="12.75">
      <c r="A41" s="17" t="s">
        <v>113</v>
      </c>
      <c r="B41" s="16">
        <v>29</v>
      </c>
      <c r="C41">
        <f t="shared" si="8"/>
        <v>384701.28047999996</v>
      </c>
      <c r="D41" s="9">
        <v>13</v>
      </c>
      <c r="G41">
        <v>0.22</v>
      </c>
      <c r="J41" s="1" t="s">
        <v>102</v>
      </c>
      <c r="K41" s="1">
        <f>$K$5</f>
        <v>0.2</v>
      </c>
      <c r="L41" s="8">
        <f t="shared" si="9"/>
        <v>9.4</v>
      </c>
      <c r="M41">
        <f>$M$5</f>
        <v>20</v>
      </c>
      <c r="N41" s="9">
        <f t="shared" si="1"/>
        <v>9</v>
      </c>
      <c r="O41">
        <f t="shared" si="2"/>
        <v>180</v>
      </c>
    </row>
    <row r="42" spans="2:15" ht="12.75">
      <c r="B42" s="16">
        <v>30</v>
      </c>
      <c r="C42">
        <f t="shared" si="8"/>
        <v>524592.6551999999</v>
      </c>
      <c r="D42" s="9">
        <v>96</v>
      </c>
      <c r="E42">
        <f>SUM(C40:C45)</f>
        <v>1748642.184</v>
      </c>
      <c r="F42">
        <v>1748642.184</v>
      </c>
      <c r="G42">
        <v>0.3</v>
      </c>
      <c r="J42" s="1" t="s">
        <v>103</v>
      </c>
      <c r="K42" s="1">
        <f>$K$6</f>
        <v>0.15</v>
      </c>
      <c r="L42" s="8">
        <f t="shared" si="9"/>
        <v>7.05</v>
      </c>
      <c r="M42">
        <f>$M$6</f>
        <v>50</v>
      </c>
      <c r="N42" s="9">
        <f t="shared" si="1"/>
        <v>7</v>
      </c>
      <c r="O42">
        <f t="shared" si="2"/>
        <v>350</v>
      </c>
    </row>
    <row r="43" spans="2:16" ht="12.75">
      <c r="B43" s="16">
        <v>31</v>
      </c>
      <c r="C43">
        <f t="shared" si="8"/>
        <v>244809.90576</v>
      </c>
      <c r="D43" s="9">
        <v>80</v>
      </c>
      <c r="G43">
        <v>0.14</v>
      </c>
      <c r="J43" s="1" t="s">
        <v>104</v>
      </c>
      <c r="K43" s="1">
        <f>$K$7</f>
        <v>0.12</v>
      </c>
      <c r="L43" s="8">
        <f t="shared" si="9"/>
        <v>5.64</v>
      </c>
      <c r="M43">
        <f>$M$7</f>
        <v>80</v>
      </c>
      <c r="N43" s="9">
        <f t="shared" si="1"/>
        <v>6</v>
      </c>
      <c r="O43">
        <f t="shared" si="2"/>
        <v>480</v>
      </c>
      <c r="P43" s="1">
        <f>SUM(O40:O45)</f>
        <v>3024</v>
      </c>
    </row>
    <row r="44" spans="2:15" ht="12.75">
      <c r="B44" s="16">
        <v>32</v>
      </c>
      <c r="C44">
        <f t="shared" si="8"/>
        <v>104918.53103999999</v>
      </c>
      <c r="D44" s="9">
        <v>28</v>
      </c>
      <c r="G44">
        <v>0.06</v>
      </c>
      <c r="J44" s="1" t="s">
        <v>105</v>
      </c>
      <c r="K44" s="1">
        <f>$K$8</f>
        <v>0.1</v>
      </c>
      <c r="L44" s="8">
        <f t="shared" si="9"/>
        <v>4.7</v>
      </c>
      <c r="M44">
        <f>$M$8</f>
        <v>150</v>
      </c>
      <c r="N44" s="9">
        <f t="shared" si="1"/>
        <v>5</v>
      </c>
      <c r="O44">
        <f t="shared" si="2"/>
        <v>750</v>
      </c>
    </row>
    <row r="45" spans="2:15" ht="12.75">
      <c r="B45" s="16">
        <v>33</v>
      </c>
      <c r="C45">
        <f t="shared" si="8"/>
        <v>192350.64023999998</v>
      </c>
      <c r="D45" s="9">
        <v>89</v>
      </c>
      <c r="G45">
        <v>0.11</v>
      </c>
      <c r="J45" t="s">
        <v>106</v>
      </c>
      <c r="K45" s="1">
        <f>$K$9</f>
        <v>0.08</v>
      </c>
      <c r="L45" s="8">
        <f t="shared" si="9"/>
        <v>3.7600000000000002</v>
      </c>
      <c r="M45">
        <f>$M$9</f>
        <v>300</v>
      </c>
      <c r="N45" s="9">
        <f t="shared" si="1"/>
        <v>4</v>
      </c>
      <c r="O45">
        <f t="shared" si="2"/>
        <v>1200</v>
      </c>
    </row>
    <row r="46" spans="2:14" ht="12.75">
      <c r="B46" s="16"/>
      <c r="D46" s="9"/>
      <c r="N46" s="9"/>
    </row>
    <row r="47" spans="2:14" ht="12.75">
      <c r="B47" s="16">
        <v>34</v>
      </c>
      <c r="C47">
        <f>G47*$F$48</f>
        <v>262296.3285</v>
      </c>
      <c r="D47" s="9">
        <v>15</v>
      </c>
      <c r="G47">
        <v>0.45</v>
      </c>
      <c r="J47" s="13" t="s">
        <v>114</v>
      </c>
      <c r="N47" s="9"/>
    </row>
    <row r="48" spans="2:15" ht="12.75">
      <c r="B48" s="16">
        <v>35</v>
      </c>
      <c r="C48">
        <f>G48*$F$48</f>
        <v>116576.14600000001</v>
      </c>
      <c r="D48" s="9">
        <v>19</v>
      </c>
      <c r="E48">
        <f>SUM(C47:C49)</f>
        <v>582880.73</v>
      </c>
      <c r="F48">
        <v>582880.73</v>
      </c>
      <c r="G48">
        <v>0.2</v>
      </c>
      <c r="J48" s="1" t="s">
        <v>101</v>
      </c>
      <c r="K48" s="1">
        <f>$K$4</f>
        <v>0.35</v>
      </c>
      <c r="L48" s="8">
        <f aca="true" t="shared" si="10" ref="L48:L53">K48*$D$12</f>
        <v>28.349999999999998</v>
      </c>
      <c r="M48">
        <f>$M$4</f>
        <v>4</v>
      </c>
      <c r="N48" s="9">
        <f t="shared" si="1"/>
        <v>28</v>
      </c>
      <c r="O48">
        <f t="shared" si="2"/>
        <v>112</v>
      </c>
    </row>
    <row r="49" spans="2:15" ht="12.75">
      <c r="B49" s="16">
        <v>36</v>
      </c>
      <c r="C49">
        <f>G49*$F$48</f>
        <v>204008.25549999997</v>
      </c>
      <c r="D49" s="9">
        <v>89</v>
      </c>
      <c r="G49">
        <v>0.35</v>
      </c>
      <c r="J49" s="1" t="s">
        <v>102</v>
      </c>
      <c r="K49" s="1">
        <f>$K$5</f>
        <v>0.2</v>
      </c>
      <c r="L49" s="8">
        <f t="shared" si="10"/>
        <v>16.2</v>
      </c>
      <c r="M49">
        <f>$M$5</f>
        <v>20</v>
      </c>
      <c r="N49" s="9">
        <f t="shared" si="1"/>
        <v>16</v>
      </c>
      <c r="O49">
        <f t="shared" si="2"/>
        <v>320</v>
      </c>
    </row>
    <row r="50" spans="10:16" ht="12.75">
      <c r="J50" s="1" t="s">
        <v>103</v>
      </c>
      <c r="K50" s="1">
        <f>$K$6</f>
        <v>0.15</v>
      </c>
      <c r="L50" s="8">
        <f t="shared" si="10"/>
        <v>12.15</v>
      </c>
      <c r="M50">
        <f>$M$6</f>
        <v>50</v>
      </c>
      <c r="N50" s="9">
        <f t="shared" si="1"/>
        <v>12</v>
      </c>
      <c r="O50">
        <f t="shared" si="2"/>
        <v>600</v>
      </c>
      <c r="P50" s="1">
        <f>SUM(O48:O53)</f>
        <v>4832</v>
      </c>
    </row>
    <row r="51" spans="10:15" ht="12.75">
      <c r="J51" s="1" t="s">
        <v>104</v>
      </c>
      <c r="K51" s="1">
        <f>$K$7</f>
        <v>0.12</v>
      </c>
      <c r="L51" s="8">
        <f t="shared" si="10"/>
        <v>9.719999999999999</v>
      </c>
      <c r="M51">
        <f>$M$7</f>
        <v>80</v>
      </c>
      <c r="N51" s="9">
        <f t="shared" si="1"/>
        <v>10</v>
      </c>
      <c r="O51">
        <f t="shared" si="2"/>
        <v>800</v>
      </c>
    </row>
    <row r="52" spans="10:15" ht="12.75">
      <c r="J52" s="1" t="s">
        <v>105</v>
      </c>
      <c r="K52" s="1">
        <f>$K$8</f>
        <v>0.1</v>
      </c>
      <c r="L52" s="8">
        <f t="shared" si="10"/>
        <v>8.1</v>
      </c>
      <c r="M52">
        <f>$M$8</f>
        <v>150</v>
      </c>
      <c r="N52" s="9">
        <f t="shared" si="1"/>
        <v>8</v>
      </c>
      <c r="O52">
        <f t="shared" si="2"/>
        <v>1200</v>
      </c>
    </row>
    <row r="53" spans="3:15" ht="15.75">
      <c r="C53" s="93" t="s">
        <v>365</v>
      </c>
      <c r="D53" s="182">
        <f>SUM(D6:D49)</f>
        <v>1765</v>
      </c>
      <c r="J53" t="s">
        <v>106</v>
      </c>
      <c r="K53" s="1">
        <f>$K$9</f>
        <v>0.08</v>
      </c>
      <c r="L53" s="8">
        <f t="shared" si="10"/>
        <v>6.48</v>
      </c>
      <c r="M53">
        <f>$M$9</f>
        <v>300</v>
      </c>
      <c r="N53" s="9">
        <f t="shared" si="1"/>
        <v>6</v>
      </c>
      <c r="O53">
        <f t="shared" si="2"/>
        <v>1800</v>
      </c>
    </row>
    <row r="54" spans="3:14" ht="15.75">
      <c r="C54" s="93" t="s">
        <v>366</v>
      </c>
      <c r="N54" s="9"/>
    </row>
    <row r="55" ht="12.75">
      <c r="N55" s="9"/>
    </row>
    <row r="56" spans="10:14" ht="12.75">
      <c r="J56" s="13" t="s">
        <v>115</v>
      </c>
      <c r="N56" s="9"/>
    </row>
    <row r="57" spans="10:15" ht="12.75">
      <c r="J57" s="1" t="s">
        <v>101</v>
      </c>
      <c r="K57" s="1">
        <f>$K$4</f>
        <v>0.35</v>
      </c>
      <c r="L57" s="8">
        <f aca="true" t="shared" si="11" ref="L57:L62">K57*$D$13</f>
        <v>31.15</v>
      </c>
      <c r="M57">
        <f>$M$4</f>
        <v>4</v>
      </c>
      <c r="N57" s="9">
        <f t="shared" si="1"/>
        <v>31</v>
      </c>
      <c r="O57">
        <f t="shared" si="2"/>
        <v>124</v>
      </c>
    </row>
    <row r="58" spans="10:15" ht="12.75">
      <c r="J58" s="1" t="s">
        <v>102</v>
      </c>
      <c r="K58" s="1">
        <f>$K$5</f>
        <v>0.2</v>
      </c>
      <c r="L58" s="8">
        <f t="shared" si="11"/>
        <v>17.8</v>
      </c>
      <c r="M58">
        <f>$M$5</f>
        <v>20</v>
      </c>
      <c r="N58" s="9">
        <f t="shared" si="1"/>
        <v>18</v>
      </c>
      <c r="O58">
        <f t="shared" si="2"/>
        <v>360</v>
      </c>
    </row>
    <row r="59" spans="10:16" ht="12.75">
      <c r="J59" s="1" t="s">
        <v>103</v>
      </c>
      <c r="K59" s="1">
        <f>$K$6</f>
        <v>0.15</v>
      </c>
      <c r="L59" s="8">
        <f t="shared" si="11"/>
        <v>13.35</v>
      </c>
      <c r="M59">
        <f>$M$6</f>
        <v>50</v>
      </c>
      <c r="N59" s="9">
        <f t="shared" si="1"/>
        <v>13</v>
      </c>
      <c r="O59">
        <f t="shared" si="2"/>
        <v>650</v>
      </c>
      <c r="P59" s="1">
        <f>SUM(O57:O62)</f>
        <v>5464</v>
      </c>
    </row>
    <row r="60" spans="10:15" ht="12.75">
      <c r="J60" s="1" t="s">
        <v>104</v>
      </c>
      <c r="K60" s="1">
        <f>$K$7</f>
        <v>0.12</v>
      </c>
      <c r="L60" s="8">
        <f t="shared" si="11"/>
        <v>10.68</v>
      </c>
      <c r="M60">
        <f>$M$7</f>
        <v>80</v>
      </c>
      <c r="N60" s="9">
        <f t="shared" si="1"/>
        <v>11</v>
      </c>
      <c r="O60">
        <f t="shared" si="2"/>
        <v>880</v>
      </c>
    </row>
    <row r="61" spans="10:15" ht="12.75">
      <c r="J61" s="1" t="s">
        <v>105</v>
      </c>
      <c r="K61" s="1">
        <f>$K$8</f>
        <v>0.1</v>
      </c>
      <c r="L61" s="8">
        <f t="shared" si="11"/>
        <v>8.9</v>
      </c>
      <c r="M61">
        <f>$M$8</f>
        <v>150</v>
      </c>
      <c r="N61" s="9">
        <f t="shared" si="1"/>
        <v>9</v>
      </c>
      <c r="O61">
        <f t="shared" si="2"/>
        <v>1350</v>
      </c>
    </row>
    <row r="62" spans="10:15" ht="12.75">
      <c r="J62" t="s">
        <v>106</v>
      </c>
      <c r="K62" s="1">
        <f>$K$9</f>
        <v>0.08</v>
      </c>
      <c r="L62" s="8">
        <f t="shared" si="11"/>
        <v>7.12</v>
      </c>
      <c r="M62">
        <f>$M$9</f>
        <v>300</v>
      </c>
      <c r="N62" s="9">
        <f t="shared" si="1"/>
        <v>7</v>
      </c>
      <c r="O62">
        <f t="shared" si="2"/>
        <v>2100</v>
      </c>
    </row>
    <row r="63" ht="12.75">
      <c r="N63" s="9"/>
    </row>
    <row r="64" ht="12.75">
      <c r="N64" s="9"/>
    </row>
    <row r="65" spans="10:14" ht="12.75">
      <c r="J65" s="13" t="s">
        <v>116</v>
      </c>
      <c r="N65" s="9"/>
    </row>
    <row r="66" spans="10:15" ht="12.75">
      <c r="J66" s="1" t="s">
        <v>101</v>
      </c>
      <c r="K66" s="1">
        <f>$K$4</f>
        <v>0.35</v>
      </c>
      <c r="L66" s="8">
        <f aca="true" t="shared" si="12" ref="L66:L71">K66*$D$14</f>
        <v>9.45</v>
      </c>
      <c r="M66">
        <f>$M$4</f>
        <v>4</v>
      </c>
      <c r="N66" s="9">
        <f t="shared" si="1"/>
        <v>9</v>
      </c>
      <c r="O66">
        <f t="shared" si="2"/>
        <v>36</v>
      </c>
    </row>
    <row r="67" spans="10:15" ht="12.75">
      <c r="J67" s="1" t="s">
        <v>102</v>
      </c>
      <c r="K67" s="1">
        <f>$K$5</f>
        <v>0.2</v>
      </c>
      <c r="L67" s="8">
        <f t="shared" si="12"/>
        <v>5.4</v>
      </c>
      <c r="M67">
        <f>$M$5</f>
        <v>20</v>
      </c>
      <c r="N67" s="9">
        <f t="shared" si="1"/>
        <v>5</v>
      </c>
      <c r="O67">
        <f t="shared" si="2"/>
        <v>100</v>
      </c>
    </row>
    <row r="68" spans="10:16" ht="12.75">
      <c r="J68" s="1" t="s">
        <v>103</v>
      </c>
      <c r="K68" s="1">
        <f>$K$6</f>
        <v>0.15</v>
      </c>
      <c r="L68" s="8">
        <f t="shared" si="12"/>
        <v>4.05</v>
      </c>
      <c r="M68">
        <f>$M$6</f>
        <v>50</v>
      </c>
      <c r="N68" s="9">
        <f t="shared" si="1"/>
        <v>4</v>
      </c>
      <c r="O68">
        <f t="shared" si="2"/>
        <v>200</v>
      </c>
      <c r="P68" s="1">
        <f>SUM(O66:O71)</f>
        <v>1626</v>
      </c>
    </row>
    <row r="69" spans="10:15" ht="12.75">
      <c r="J69" s="1" t="s">
        <v>104</v>
      </c>
      <c r="K69" s="1">
        <f>$K$7</f>
        <v>0.12</v>
      </c>
      <c r="L69" s="8">
        <f t="shared" si="12"/>
        <v>3.2399999999999998</v>
      </c>
      <c r="M69">
        <f>$M$7</f>
        <v>80</v>
      </c>
      <c r="N69" s="9">
        <f aca="true" t="shared" si="13" ref="N69:N131">ROUND(L69,0)</f>
        <v>3</v>
      </c>
      <c r="O69">
        <f aca="true" t="shared" si="14" ref="O69:O131">M69*N69</f>
        <v>240</v>
      </c>
    </row>
    <row r="70" spans="10:15" ht="12.75">
      <c r="J70" s="1" t="s">
        <v>105</v>
      </c>
      <c r="K70" s="1">
        <f>$K$8</f>
        <v>0.1</v>
      </c>
      <c r="L70" s="8">
        <f t="shared" si="12"/>
        <v>2.7</v>
      </c>
      <c r="M70">
        <f>$M$8</f>
        <v>150</v>
      </c>
      <c r="N70" s="9">
        <f t="shared" si="13"/>
        <v>3</v>
      </c>
      <c r="O70">
        <f t="shared" si="14"/>
        <v>450</v>
      </c>
    </row>
    <row r="71" spans="10:15" ht="12.75">
      <c r="J71" t="s">
        <v>106</v>
      </c>
      <c r="K71" s="1">
        <f>$K$9</f>
        <v>0.08</v>
      </c>
      <c r="L71" s="8">
        <f t="shared" si="12"/>
        <v>2.16</v>
      </c>
      <c r="M71">
        <f>$M$9</f>
        <v>300</v>
      </c>
      <c r="N71" s="9">
        <f t="shared" si="13"/>
        <v>2</v>
      </c>
      <c r="O71">
        <f t="shared" si="14"/>
        <v>600</v>
      </c>
    </row>
    <row r="72" ht="12.75">
      <c r="N72" s="9"/>
    </row>
    <row r="73" spans="10:14" ht="12.75">
      <c r="J73" s="13" t="s">
        <v>117</v>
      </c>
      <c r="N73" s="9"/>
    </row>
    <row r="74" spans="10:15" ht="12.75">
      <c r="J74" s="1" t="s">
        <v>101</v>
      </c>
      <c r="K74" s="1">
        <f>$K$4</f>
        <v>0.35</v>
      </c>
      <c r="L74" s="8">
        <f aca="true" t="shared" si="15" ref="L74:L79">K74*$D$15</f>
        <v>7</v>
      </c>
      <c r="M74">
        <f>$M$4</f>
        <v>4</v>
      </c>
      <c r="N74" s="9">
        <f t="shared" si="13"/>
        <v>7</v>
      </c>
      <c r="O74">
        <f t="shared" si="14"/>
        <v>28</v>
      </c>
    </row>
    <row r="75" spans="10:15" ht="12.75">
      <c r="J75" s="1" t="s">
        <v>102</v>
      </c>
      <c r="K75" s="1">
        <f>$K$5</f>
        <v>0.2</v>
      </c>
      <c r="L75" s="8">
        <f t="shared" si="15"/>
        <v>4</v>
      </c>
      <c r="M75">
        <f>$M$5</f>
        <v>20</v>
      </c>
      <c r="N75" s="9">
        <f t="shared" si="13"/>
        <v>4</v>
      </c>
      <c r="O75">
        <f t="shared" si="14"/>
        <v>80</v>
      </c>
    </row>
    <row r="76" spans="10:16" ht="12.75">
      <c r="J76" s="1" t="s">
        <v>103</v>
      </c>
      <c r="K76" s="1">
        <f>$K$6</f>
        <v>0.15</v>
      </c>
      <c r="L76" s="8">
        <f t="shared" si="15"/>
        <v>3</v>
      </c>
      <c r="M76">
        <f>$M$6</f>
        <v>50</v>
      </c>
      <c r="N76" s="9">
        <f t="shared" si="13"/>
        <v>3</v>
      </c>
      <c r="O76">
        <f t="shared" si="14"/>
        <v>150</v>
      </c>
      <c r="P76" s="1">
        <f>SUM(O74:O79)</f>
        <v>1318</v>
      </c>
    </row>
    <row r="77" spans="10:15" ht="12.75">
      <c r="J77" s="1" t="s">
        <v>104</v>
      </c>
      <c r="K77" s="1">
        <f>$K$7</f>
        <v>0.12</v>
      </c>
      <c r="L77" s="8">
        <f t="shared" si="15"/>
        <v>2.4</v>
      </c>
      <c r="M77">
        <f>$M$7</f>
        <v>80</v>
      </c>
      <c r="N77" s="9">
        <f t="shared" si="13"/>
        <v>2</v>
      </c>
      <c r="O77">
        <f t="shared" si="14"/>
        <v>160</v>
      </c>
    </row>
    <row r="78" spans="10:15" ht="12.75">
      <c r="J78" s="1" t="s">
        <v>105</v>
      </c>
      <c r="K78" s="1">
        <f>$K$8</f>
        <v>0.1</v>
      </c>
      <c r="L78" s="8">
        <f t="shared" si="15"/>
        <v>2</v>
      </c>
      <c r="M78">
        <f>$M$8</f>
        <v>150</v>
      </c>
      <c r="N78" s="9">
        <f t="shared" si="13"/>
        <v>2</v>
      </c>
      <c r="O78">
        <f t="shared" si="14"/>
        <v>300</v>
      </c>
    </row>
    <row r="79" spans="10:15" ht="12.75">
      <c r="J79" t="s">
        <v>106</v>
      </c>
      <c r="K79" s="1">
        <f>$K$9</f>
        <v>0.08</v>
      </c>
      <c r="L79" s="8">
        <f t="shared" si="15"/>
        <v>1.6</v>
      </c>
      <c r="M79">
        <f>$M$9</f>
        <v>300</v>
      </c>
      <c r="N79" s="9">
        <f t="shared" si="13"/>
        <v>2</v>
      </c>
      <c r="O79">
        <f t="shared" si="14"/>
        <v>600</v>
      </c>
    </row>
    <row r="80" ht="12.75">
      <c r="N80" s="9"/>
    </row>
    <row r="81" ht="12.75">
      <c r="N81" s="9"/>
    </row>
    <row r="82" spans="10:14" ht="12.75">
      <c r="J82" s="13" t="s">
        <v>118</v>
      </c>
      <c r="L82" s="18"/>
      <c r="N82" s="9"/>
    </row>
    <row r="83" spans="10:15" ht="12.75">
      <c r="J83" s="1" t="s">
        <v>101</v>
      </c>
      <c r="K83" s="1">
        <f>$K$4</f>
        <v>0.35</v>
      </c>
      <c r="L83" s="8">
        <f aca="true" t="shared" si="16" ref="L83:L88">K83*$D$17</f>
        <v>11.549999999999999</v>
      </c>
      <c r="M83">
        <f>$M$4</f>
        <v>4</v>
      </c>
      <c r="N83" s="9">
        <f t="shared" si="13"/>
        <v>12</v>
      </c>
      <c r="O83">
        <f t="shared" si="14"/>
        <v>48</v>
      </c>
    </row>
    <row r="84" spans="10:15" ht="12.75">
      <c r="J84" s="1" t="s">
        <v>102</v>
      </c>
      <c r="K84" s="1">
        <f>$K$5</f>
        <v>0.2</v>
      </c>
      <c r="L84" s="8">
        <f t="shared" si="16"/>
        <v>6.6000000000000005</v>
      </c>
      <c r="M84">
        <f>$M$5</f>
        <v>20</v>
      </c>
      <c r="N84" s="9">
        <f t="shared" si="13"/>
        <v>7</v>
      </c>
      <c r="O84">
        <f t="shared" si="14"/>
        <v>140</v>
      </c>
    </row>
    <row r="85" spans="10:15" ht="12.75">
      <c r="J85" s="1" t="s">
        <v>103</v>
      </c>
      <c r="K85" s="1">
        <f>$K$6</f>
        <v>0.15</v>
      </c>
      <c r="L85" s="8">
        <f t="shared" si="16"/>
        <v>4.95</v>
      </c>
      <c r="M85">
        <f>$M$6</f>
        <v>50</v>
      </c>
      <c r="N85" s="9">
        <f t="shared" si="13"/>
        <v>5</v>
      </c>
      <c r="O85">
        <f t="shared" si="14"/>
        <v>250</v>
      </c>
    </row>
    <row r="86" spans="10:16" ht="12.75">
      <c r="J86" s="1" t="s">
        <v>104</v>
      </c>
      <c r="K86" s="1">
        <f>$K$7</f>
        <v>0.12</v>
      </c>
      <c r="L86" s="8">
        <f t="shared" si="16"/>
        <v>3.96</v>
      </c>
      <c r="M86">
        <f>$M$7</f>
        <v>80</v>
      </c>
      <c r="N86" s="9">
        <f t="shared" si="13"/>
        <v>4</v>
      </c>
      <c r="O86">
        <f t="shared" si="14"/>
        <v>320</v>
      </c>
      <c r="P86" s="1">
        <f>SUM(O83:O88)</f>
        <v>2108</v>
      </c>
    </row>
    <row r="87" spans="10:15" ht="12.75">
      <c r="J87" s="1" t="s">
        <v>105</v>
      </c>
      <c r="K87" s="1">
        <f>$K$8</f>
        <v>0.1</v>
      </c>
      <c r="L87" s="8">
        <f t="shared" si="16"/>
        <v>3.3000000000000003</v>
      </c>
      <c r="M87">
        <f>$M$8</f>
        <v>150</v>
      </c>
      <c r="N87" s="9">
        <f t="shared" si="13"/>
        <v>3</v>
      </c>
      <c r="O87">
        <f t="shared" si="14"/>
        <v>450</v>
      </c>
    </row>
    <row r="88" spans="10:15" ht="12.75">
      <c r="J88" t="s">
        <v>106</v>
      </c>
      <c r="K88" s="1">
        <f>$K$9</f>
        <v>0.08</v>
      </c>
      <c r="L88" s="8">
        <f t="shared" si="16"/>
        <v>2.64</v>
      </c>
      <c r="M88">
        <f>$M$9</f>
        <v>300</v>
      </c>
      <c r="N88" s="9">
        <f t="shared" si="13"/>
        <v>3</v>
      </c>
      <c r="O88">
        <f t="shared" si="14"/>
        <v>900</v>
      </c>
    </row>
    <row r="89" ht="12.75">
      <c r="N89" s="9"/>
    </row>
    <row r="90" ht="12.75">
      <c r="N90" s="9"/>
    </row>
    <row r="91" spans="10:14" ht="12.75">
      <c r="J91" s="13" t="s">
        <v>119</v>
      </c>
      <c r="N91" s="9"/>
    </row>
    <row r="92" spans="10:15" ht="12.75">
      <c r="J92" s="1" t="s">
        <v>101</v>
      </c>
      <c r="K92" s="1">
        <f>$K$4</f>
        <v>0.35</v>
      </c>
      <c r="L92" s="8">
        <f aca="true" t="shared" si="17" ref="L92:L97">K92*$D$18</f>
        <v>3.8499999999999996</v>
      </c>
      <c r="M92">
        <f>$M$4</f>
        <v>4</v>
      </c>
      <c r="N92" s="9">
        <f t="shared" si="13"/>
        <v>4</v>
      </c>
      <c r="O92">
        <f t="shared" si="14"/>
        <v>16</v>
      </c>
    </row>
    <row r="93" spans="10:15" ht="12.75">
      <c r="J93" s="1" t="s">
        <v>102</v>
      </c>
      <c r="K93" s="1">
        <f>$K$5</f>
        <v>0.2</v>
      </c>
      <c r="L93" s="8">
        <f t="shared" si="17"/>
        <v>2.2</v>
      </c>
      <c r="M93">
        <f>$M$5</f>
        <v>20</v>
      </c>
      <c r="N93" s="9">
        <f t="shared" si="13"/>
        <v>2</v>
      </c>
      <c r="O93">
        <f t="shared" si="14"/>
        <v>40</v>
      </c>
    </row>
    <row r="94" spans="10:15" ht="12.75">
      <c r="J94" s="1" t="s">
        <v>103</v>
      </c>
      <c r="K94" s="1">
        <f>$K$6</f>
        <v>0.15</v>
      </c>
      <c r="L94" s="8">
        <f t="shared" si="17"/>
        <v>1.65</v>
      </c>
      <c r="M94">
        <f>$M$6</f>
        <v>50</v>
      </c>
      <c r="N94" s="9">
        <f t="shared" si="13"/>
        <v>2</v>
      </c>
      <c r="O94">
        <f t="shared" si="14"/>
        <v>100</v>
      </c>
    </row>
    <row r="95" spans="10:16" ht="12.75">
      <c r="J95" s="1" t="s">
        <v>104</v>
      </c>
      <c r="K95" s="1">
        <f>$K$7</f>
        <v>0.12</v>
      </c>
      <c r="L95" s="8">
        <f t="shared" si="17"/>
        <v>1.3199999999999998</v>
      </c>
      <c r="M95">
        <f>$M$7</f>
        <v>80</v>
      </c>
      <c r="N95" s="9">
        <f t="shared" si="13"/>
        <v>1</v>
      </c>
      <c r="O95">
        <f t="shared" si="14"/>
        <v>80</v>
      </c>
      <c r="P95" s="1">
        <f>SUM(O92:O97)</f>
        <v>686</v>
      </c>
    </row>
    <row r="96" spans="10:15" ht="12.75">
      <c r="J96" s="1" t="s">
        <v>105</v>
      </c>
      <c r="K96" s="1">
        <f>$K$8</f>
        <v>0.1</v>
      </c>
      <c r="L96" s="8">
        <f t="shared" si="17"/>
        <v>1.1</v>
      </c>
      <c r="M96">
        <f>$M$8</f>
        <v>150</v>
      </c>
      <c r="N96" s="9">
        <f t="shared" si="13"/>
        <v>1</v>
      </c>
      <c r="O96">
        <f t="shared" si="14"/>
        <v>150</v>
      </c>
    </row>
    <row r="97" spans="10:15" ht="12.75">
      <c r="J97" t="s">
        <v>106</v>
      </c>
      <c r="K97" s="1">
        <f>$K$9</f>
        <v>0.08</v>
      </c>
      <c r="L97" s="8">
        <f t="shared" si="17"/>
        <v>0.88</v>
      </c>
      <c r="M97">
        <f>$M$9</f>
        <v>300</v>
      </c>
      <c r="N97" s="9">
        <f t="shared" si="13"/>
        <v>1</v>
      </c>
      <c r="O97">
        <f t="shared" si="14"/>
        <v>300</v>
      </c>
    </row>
    <row r="98" ht="12.75">
      <c r="N98" s="9"/>
    </row>
    <row r="99" ht="12.75">
      <c r="N99" s="9"/>
    </row>
    <row r="100" spans="10:14" ht="12.75">
      <c r="J100" s="13" t="s">
        <v>120</v>
      </c>
      <c r="N100" s="9"/>
    </row>
    <row r="101" spans="10:15" ht="12.75">
      <c r="J101" s="1" t="s">
        <v>101</v>
      </c>
      <c r="K101" s="1">
        <f>$K$4</f>
        <v>0.35</v>
      </c>
      <c r="L101" s="8">
        <f>K101*$D$19</f>
        <v>14</v>
      </c>
      <c r="M101">
        <f>$M$4</f>
        <v>4</v>
      </c>
      <c r="N101" s="9">
        <f t="shared" si="13"/>
        <v>14</v>
      </c>
      <c r="O101">
        <f t="shared" si="14"/>
        <v>56</v>
      </c>
    </row>
    <row r="102" spans="10:15" ht="12.75">
      <c r="J102" s="1" t="s">
        <v>102</v>
      </c>
      <c r="K102" s="1">
        <f>$K$5</f>
        <v>0.2</v>
      </c>
      <c r="L102" s="8">
        <f>K102*$D$7</f>
        <v>12</v>
      </c>
      <c r="M102">
        <f>$M$5</f>
        <v>20</v>
      </c>
      <c r="N102" s="9">
        <f t="shared" si="13"/>
        <v>12</v>
      </c>
      <c r="O102">
        <f t="shared" si="14"/>
        <v>240</v>
      </c>
    </row>
    <row r="103" spans="10:15" ht="12.75">
      <c r="J103" s="1" t="s">
        <v>103</v>
      </c>
      <c r="K103" s="1">
        <f>$K$6</f>
        <v>0.15</v>
      </c>
      <c r="L103" s="8">
        <f>K103*$D$7</f>
        <v>9</v>
      </c>
      <c r="M103">
        <f>$M$6</f>
        <v>50</v>
      </c>
      <c r="N103" s="9">
        <f t="shared" si="13"/>
        <v>9</v>
      </c>
      <c r="O103">
        <f t="shared" si="14"/>
        <v>450</v>
      </c>
    </row>
    <row r="104" spans="10:16" ht="12.75">
      <c r="J104" s="1" t="s">
        <v>104</v>
      </c>
      <c r="K104" s="1">
        <f>$K$7</f>
        <v>0.12</v>
      </c>
      <c r="L104" s="8">
        <f>K104*$D$7</f>
        <v>7.199999999999999</v>
      </c>
      <c r="M104">
        <f>$M$7</f>
        <v>80</v>
      </c>
      <c r="N104" s="9">
        <f t="shared" si="13"/>
        <v>7</v>
      </c>
      <c r="O104">
        <f t="shared" si="14"/>
        <v>560</v>
      </c>
      <c r="P104" s="1">
        <f>SUM(O101:O106)</f>
        <v>3706</v>
      </c>
    </row>
    <row r="105" spans="10:15" ht="12.75">
      <c r="J105" s="1" t="s">
        <v>105</v>
      </c>
      <c r="K105" s="1">
        <f>$K$8</f>
        <v>0.1</v>
      </c>
      <c r="L105" s="8">
        <f>K105*$D$7</f>
        <v>6</v>
      </c>
      <c r="M105">
        <f>$M$8</f>
        <v>150</v>
      </c>
      <c r="N105" s="9">
        <f t="shared" si="13"/>
        <v>6</v>
      </c>
      <c r="O105">
        <f t="shared" si="14"/>
        <v>900</v>
      </c>
    </row>
    <row r="106" spans="10:15" ht="12.75">
      <c r="J106" t="s">
        <v>106</v>
      </c>
      <c r="K106" s="1">
        <f>$K$9</f>
        <v>0.08</v>
      </c>
      <c r="L106" s="8">
        <f>K106*$D$7</f>
        <v>4.8</v>
      </c>
      <c r="M106">
        <f>$M$9</f>
        <v>300</v>
      </c>
      <c r="N106" s="9">
        <f t="shared" si="13"/>
        <v>5</v>
      </c>
      <c r="O106">
        <f t="shared" si="14"/>
        <v>1500</v>
      </c>
    </row>
    <row r="107" spans="9:14" ht="12.75">
      <c r="I107" s="19" t="s">
        <v>121</v>
      </c>
      <c r="N107" s="9"/>
    </row>
    <row r="108" spans="9:14" ht="12.75">
      <c r="I108">
        <v>1.15</v>
      </c>
      <c r="J108" s="13" t="s">
        <v>122</v>
      </c>
      <c r="N108" s="9"/>
    </row>
    <row r="109" spans="10:15" ht="12.75">
      <c r="J109" s="1" t="s">
        <v>101</v>
      </c>
      <c r="K109" s="1">
        <f>$K$4</f>
        <v>0.35</v>
      </c>
      <c r="L109" s="8">
        <f aca="true" t="shared" si="18" ref="L109:L114">K109*$D$21</f>
        <v>5.6</v>
      </c>
      <c r="M109">
        <f>$M$4*$I$108</f>
        <v>4.6</v>
      </c>
      <c r="N109" s="9">
        <f t="shared" si="13"/>
        <v>6</v>
      </c>
      <c r="O109">
        <f t="shared" si="14"/>
        <v>27.599999999999998</v>
      </c>
    </row>
    <row r="110" spans="10:15" ht="12.75">
      <c r="J110" s="1" t="s">
        <v>102</v>
      </c>
      <c r="K110" s="1">
        <f>$K$5</f>
        <v>0.2</v>
      </c>
      <c r="L110" s="8">
        <f t="shared" si="18"/>
        <v>3.2</v>
      </c>
      <c r="M110">
        <f>$M$5*$I$108</f>
        <v>23</v>
      </c>
      <c r="N110" s="9">
        <f t="shared" si="13"/>
        <v>3</v>
      </c>
      <c r="O110">
        <f t="shared" si="14"/>
        <v>69</v>
      </c>
    </row>
    <row r="111" spans="10:16" ht="12.75">
      <c r="J111" s="1" t="s">
        <v>103</v>
      </c>
      <c r="K111" s="1">
        <f>$K$6</f>
        <v>0.15</v>
      </c>
      <c r="L111" s="8">
        <f t="shared" si="18"/>
        <v>2.4</v>
      </c>
      <c r="M111">
        <f>$M$6*$I$108</f>
        <v>57.49999999999999</v>
      </c>
      <c r="N111" s="9">
        <f t="shared" si="13"/>
        <v>2</v>
      </c>
      <c r="O111">
        <f t="shared" si="14"/>
        <v>114.99999999999999</v>
      </c>
      <c r="P111" s="1">
        <f>SUM(O109:O114)</f>
        <v>1085.6</v>
      </c>
    </row>
    <row r="112" spans="10:15" ht="12.75">
      <c r="J112" s="1" t="s">
        <v>104</v>
      </c>
      <c r="K112" s="1">
        <f>$K$7</f>
        <v>0.12</v>
      </c>
      <c r="L112" s="8">
        <f t="shared" si="18"/>
        <v>1.92</v>
      </c>
      <c r="M112">
        <f>$M$7*$I$108</f>
        <v>92</v>
      </c>
      <c r="N112" s="9">
        <f t="shared" si="13"/>
        <v>2</v>
      </c>
      <c r="O112">
        <f t="shared" si="14"/>
        <v>184</v>
      </c>
    </row>
    <row r="113" spans="10:15" ht="12.75">
      <c r="J113" s="1" t="s">
        <v>105</v>
      </c>
      <c r="K113" s="1">
        <f>$K$8</f>
        <v>0.1</v>
      </c>
      <c r="L113" s="8">
        <f t="shared" si="18"/>
        <v>1.6</v>
      </c>
      <c r="M113">
        <f>$M$8*$I$108</f>
        <v>172.5</v>
      </c>
      <c r="N113" s="9">
        <f t="shared" si="13"/>
        <v>2</v>
      </c>
      <c r="O113">
        <f t="shared" si="14"/>
        <v>345</v>
      </c>
    </row>
    <row r="114" spans="10:15" ht="12.75">
      <c r="J114" t="s">
        <v>106</v>
      </c>
      <c r="K114" s="1">
        <f>$K$9</f>
        <v>0.08</v>
      </c>
      <c r="L114" s="8">
        <f t="shared" si="18"/>
        <v>1.28</v>
      </c>
      <c r="M114">
        <f>$M$9*$I$108</f>
        <v>345</v>
      </c>
      <c r="N114" s="9">
        <f t="shared" si="13"/>
        <v>1</v>
      </c>
      <c r="O114">
        <f t="shared" si="14"/>
        <v>345</v>
      </c>
    </row>
    <row r="115" ht="12.75">
      <c r="N115" s="9"/>
    </row>
    <row r="116" spans="10:14" ht="12.75">
      <c r="J116" s="13" t="s">
        <v>123</v>
      </c>
      <c r="N116" s="9"/>
    </row>
    <row r="117" spans="10:15" ht="12.75">
      <c r="J117" s="1" t="s">
        <v>101</v>
      </c>
      <c r="K117" s="1">
        <f>$K$4</f>
        <v>0.35</v>
      </c>
      <c r="L117" s="8">
        <f aca="true" t="shared" si="19" ref="L117:L122">K117*$D$22</f>
        <v>31.499999999999996</v>
      </c>
      <c r="M117">
        <f>$M$4*$I$108</f>
        <v>4.6</v>
      </c>
      <c r="N117" s="9">
        <f t="shared" si="13"/>
        <v>32</v>
      </c>
      <c r="O117">
        <f t="shared" si="14"/>
        <v>147.2</v>
      </c>
    </row>
    <row r="118" spans="10:15" ht="12.75">
      <c r="J118" s="1" t="s">
        <v>102</v>
      </c>
      <c r="K118" s="1">
        <f>$K$5</f>
        <v>0.2</v>
      </c>
      <c r="L118" s="8">
        <f t="shared" si="19"/>
        <v>18</v>
      </c>
      <c r="M118">
        <f>$M$5*$I$108</f>
        <v>23</v>
      </c>
      <c r="N118" s="9">
        <f t="shared" si="13"/>
        <v>18</v>
      </c>
      <c r="O118">
        <f t="shared" si="14"/>
        <v>414</v>
      </c>
    </row>
    <row r="119" spans="10:16" ht="12.75">
      <c r="J119" s="1" t="s">
        <v>103</v>
      </c>
      <c r="K119" s="1">
        <f>$K$6</f>
        <v>0.15</v>
      </c>
      <c r="L119" s="8">
        <f t="shared" si="19"/>
        <v>13.5</v>
      </c>
      <c r="M119">
        <f>$M$6*$I$108</f>
        <v>57.49999999999999</v>
      </c>
      <c r="N119" s="9">
        <f t="shared" si="13"/>
        <v>14</v>
      </c>
      <c r="O119">
        <f t="shared" si="14"/>
        <v>804.9999999999999</v>
      </c>
      <c r="P119" s="1">
        <f>SUM(O117:O122)</f>
        <v>6345.7</v>
      </c>
    </row>
    <row r="120" spans="10:15" ht="12.75">
      <c r="J120" s="1" t="s">
        <v>104</v>
      </c>
      <c r="K120" s="1">
        <f>$K$7</f>
        <v>0.12</v>
      </c>
      <c r="L120" s="8">
        <f t="shared" si="19"/>
        <v>10.799999999999999</v>
      </c>
      <c r="M120">
        <f>$M$7*$I$108</f>
        <v>92</v>
      </c>
      <c r="N120" s="9">
        <f t="shared" si="13"/>
        <v>11</v>
      </c>
      <c r="O120">
        <f t="shared" si="14"/>
        <v>1012</v>
      </c>
    </row>
    <row r="121" spans="10:15" ht="12.75">
      <c r="J121" s="1" t="s">
        <v>105</v>
      </c>
      <c r="K121" s="1">
        <f>$K$8</f>
        <v>0.1</v>
      </c>
      <c r="L121" s="8">
        <f t="shared" si="19"/>
        <v>9</v>
      </c>
      <c r="M121">
        <f>$M$8*$I$108</f>
        <v>172.5</v>
      </c>
      <c r="N121" s="9">
        <f t="shared" si="13"/>
        <v>9</v>
      </c>
      <c r="O121">
        <f t="shared" si="14"/>
        <v>1552.5</v>
      </c>
    </row>
    <row r="122" spans="10:15" ht="12.75">
      <c r="J122" t="s">
        <v>106</v>
      </c>
      <c r="K122" s="1">
        <f>$K$9</f>
        <v>0.08</v>
      </c>
      <c r="L122" s="8">
        <f t="shared" si="19"/>
        <v>7.2</v>
      </c>
      <c r="M122">
        <f>$M$9*$I$108</f>
        <v>345</v>
      </c>
      <c r="N122" s="9">
        <f t="shared" si="13"/>
        <v>7</v>
      </c>
      <c r="O122">
        <f t="shared" si="14"/>
        <v>2415</v>
      </c>
    </row>
    <row r="123" ht="12.75">
      <c r="N123" s="9"/>
    </row>
    <row r="124" ht="12.75">
      <c r="N124" s="9"/>
    </row>
    <row r="125" spans="10:14" ht="12.75">
      <c r="J125" s="13" t="s">
        <v>124</v>
      </c>
      <c r="N125" s="9"/>
    </row>
    <row r="126" spans="10:15" ht="12.75">
      <c r="J126" s="1" t="s">
        <v>101</v>
      </c>
      <c r="K126" s="1">
        <f>$K$4</f>
        <v>0.35</v>
      </c>
      <c r="L126" s="8">
        <f aca="true" t="shared" si="20" ref="L126:L131">K126*$D$23</f>
        <v>13.299999999999999</v>
      </c>
      <c r="M126">
        <f>$M$4*$I$108</f>
        <v>4.6</v>
      </c>
      <c r="N126" s="9">
        <f t="shared" si="13"/>
        <v>13</v>
      </c>
      <c r="O126">
        <f t="shared" si="14"/>
        <v>59.8</v>
      </c>
    </row>
    <row r="127" spans="10:15" ht="12.75">
      <c r="J127" s="1" t="s">
        <v>102</v>
      </c>
      <c r="K127" s="1">
        <f>$K$5</f>
        <v>0.2</v>
      </c>
      <c r="L127" s="8">
        <f t="shared" si="20"/>
        <v>7.6000000000000005</v>
      </c>
      <c r="M127">
        <f>$M$5*$I$108</f>
        <v>23</v>
      </c>
      <c r="N127" s="9">
        <f t="shared" si="13"/>
        <v>8</v>
      </c>
      <c r="O127">
        <f t="shared" si="14"/>
        <v>184</v>
      </c>
    </row>
    <row r="128" spans="10:15" ht="12.75">
      <c r="J128" s="1" t="s">
        <v>103</v>
      </c>
      <c r="K128" s="1">
        <f>$K$6</f>
        <v>0.15</v>
      </c>
      <c r="L128" s="8">
        <f t="shared" si="20"/>
        <v>5.7</v>
      </c>
      <c r="M128">
        <f>$M$6*$I$108</f>
        <v>57.49999999999999</v>
      </c>
      <c r="N128" s="9">
        <f t="shared" si="13"/>
        <v>6</v>
      </c>
      <c r="O128">
        <f t="shared" si="14"/>
        <v>344.99999999999994</v>
      </c>
    </row>
    <row r="129" spans="10:16" ht="12.75">
      <c r="J129" s="1" t="s">
        <v>104</v>
      </c>
      <c r="K129" s="1">
        <f>$K$7</f>
        <v>0.12</v>
      </c>
      <c r="L129" s="8">
        <f t="shared" si="20"/>
        <v>4.56</v>
      </c>
      <c r="M129">
        <f>$M$7*$I$108</f>
        <v>92</v>
      </c>
      <c r="N129" s="9">
        <f t="shared" si="13"/>
        <v>5</v>
      </c>
      <c r="O129">
        <f t="shared" si="14"/>
        <v>460</v>
      </c>
      <c r="P129" s="1">
        <f>SUM(O126:O131)</f>
        <v>2773.8</v>
      </c>
    </row>
    <row r="130" spans="10:15" ht="12.75">
      <c r="J130" s="1" t="s">
        <v>105</v>
      </c>
      <c r="K130" s="1">
        <f>$K$8</f>
        <v>0.1</v>
      </c>
      <c r="L130" s="8">
        <f t="shared" si="20"/>
        <v>3.8000000000000003</v>
      </c>
      <c r="M130">
        <f>$M$8*$I$108</f>
        <v>172.5</v>
      </c>
      <c r="N130" s="9">
        <f t="shared" si="13"/>
        <v>4</v>
      </c>
      <c r="O130">
        <f t="shared" si="14"/>
        <v>690</v>
      </c>
    </row>
    <row r="131" spans="10:15" ht="12.75">
      <c r="J131" t="s">
        <v>106</v>
      </c>
      <c r="K131" s="1">
        <f>$K$9</f>
        <v>0.08</v>
      </c>
      <c r="L131" s="8">
        <f t="shared" si="20"/>
        <v>3.04</v>
      </c>
      <c r="M131">
        <f>$M$9*$I$108</f>
        <v>345</v>
      </c>
      <c r="N131" s="9">
        <f t="shared" si="13"/>
        <v>3</v>
      </c>
      <c r="O131">
        <f t="shared" si="14"/>
        <v>1035</v>
      </c>
    </row>
    <row r="132" ht="12.75">
      <c r="N132" s="9"/>
    </row>
    <row r="133" ht="12.75">
      <c r="N133" s="9"/>
    </row>
    <row r="134" spans="10:14" ht="12.75">
      <c r="J134" s="13" t="s">
        <v>125</v>
      </c>
      <c r="N134" s="9"/>
    </row>
    <row r="135" spans="10:15" ht="12.75">
      <c r="J135" s="1" t="s">
        <v>101</v>
      </c>
      <c r="K135" s="1">
        <f>$K$4</f>
        <v>0.35</v>
      </c>
      <c r="L135" s="8">
        <f aca="true" t="shared" si="21" ref="L135:L140">K135*$D$25</f>
        <v>26.25</v>
      </c>
      <c r="M135">
        <f>$M$4*$I$108</f>
        <v>4.6</v>
      </c>
      <c r="N135" s="9">
        <f aca="true" t="shared" si="22" ref="N135:N198">ROUND(L135,0)</f>
        <v>26</v>
      </c>
      <c r="O135">
        <f aca="true" t="shared" si="23" ref="O135:O198">M135*N135</f>
        <v>119.6</v>
      </c>
    </row>
    <row r="136" spans="10:15" ht="12.75">
      <c r="J136" s="1" t="s">
        <v>102</v>
      </c>
      <c r="K136" s="1">
        <f>$K$5</f>
        <v>0.2</v>
      </c>
      <c r="L136" s="8">
        <f t="shared" si="21"/>
        <v>15</v>
      </c>
      <c r="M136">
        <f>$M$5*$I$108</f>
        <v>23</v>
      </c>
      <c r="N136" s="9">
        <f t="shared" si="22"/>
        <v>15</v>
      </c>
      <c r="O136">
        <f t="shared" si="23"/>
        <v>345</v>
      </c>
    </row>
    <row r="137" spans="10:15" ht="12.75">
      <c r="J137" s="1" t="s">
        <v>103</v>
      </c>
      <c r="K137" s="1">
        <f>$K$6</f>
        <v>0.15</v>
      </c>
      <c r="L137" s="8">
        <f t="shared" si="21"/>
        <v>11.25</v>
      </c>
      <c r="M137">
        <f>$M$6*$I$108</f>
        <v>57.49999999999999</v>
      </c>
      <c r="N137" s="9">
        <f t="shared" si="22"/>
        <v>11</v>
      </c>
      <c r="O137">
        <f t="shared" si="23"/>
        <v>632.4999999999999</v>
      </c>
    </row>
    <row r="138" spans="10:16" ht="12.75">
      <c r="J138" s="1" t="s">
        <v>104</v>
      </c>
      <c r="K138" s="1">
        <f>$K$7</f>
        <v>0.12</v>
      </c>
      <c r="L138" s="8">
        <f t="shared" si="21"/>
        <v>9</v>
      </c>
      <c r="M138">
        <f>$M$7*$I$108</f>
        <v>92</v>
      </c>
      <c r="N138" s="9">
        <f t="shared" si="22"/>
        <v>9</v>
      </c>
      <c r="O138">
        <f t="shared" si="23"/>
        <v>828</v>
      </c>
      <c r="P138" s="1">
        <f>SUM(O135:O140)</f>
        <v>5375.1</v>
      </c>
    </row>
    <row r="139" spans="10:15" ht="12.75">
      <c r="J139" s="1" t="s">
        <v>105</v>
      </c>
      <c r="K139" s="1">
        <f>$K$8</f>
        <v>0.1</v>
      </c>
      <c r="L139" s="8">
        <f t="shared" si="21"/>
        <v>7.5</v>
      </c>
      <c r="M139">
        <f>$M$8*$I$108</f>
        <v>172.5</v>
      </c>
      <c r="N139" s="9">
        <f t="shared" si="22"/>
        <v>8</v>
      </c>
      <c r="O139">
        <f t="shared" si="23"/>
        <v>1380</v>
      </c>
    </row>
    <row r="140" spans="10:15" ht="12.75">
      <c r="J140" t="s">
        <v>106</v>
      </c>
      <c r="K140" s="1">
        <f>$K$9</f>
        <v>0.08</v>
      </c>
      <c r="L140" s="8">
        <f t="shared" si="21"/>
        <v>6</v>
      </c>
      <c r="M140">
        <f>$M$9*$I$108</f>
        <v>345</v>
      </c>
      <c r="N140" s="9">
        <f t="shared" si="22"/>
        <v>6</v>
      </c>
      <c r="O140">
        <f t="shared" si="23"/>
        <v>2070</v>
      </c>
    </row>
    <row r="141" ht="12.75">
      <c r="N141" s="9"/>
    </row>
    <row r="142" ht="12.75">
      <c r="N142" s="9"/>
    </row>
    <row r="143" spans="10:14" ht="12.75">
      <c r="J143" s="13" t="s">
        <v>126</v>
      </c>
      <c r="N143" s="9"/>
    </row>
    <row r="144" spans="10:15" ht="12.75">
      <c r="J144" s="1" t="s">
        <v>101</v>
      </c>
      <c r="K144" s="1">
        <f>$K$4</f>
        <v>0.35</v>
      </c>
      <c r="L144" s="8">
        <f aca="true" t="shared" si="24" ref="L144:L149">K144*$D$26</f>
        <v>4.8999999999999995</v>
      </c>
      <c r="M144">
        <f>$M$4*$I$108</f>
        <v>4.6</v>
      </c>
      <c r="N144" s="9">
        <f t="shared" si="22"/>
        <v>5</v>
      </c>
      <c r="O144">
        <f t="shared" si="23"/>
        <v>23</v>
      </c>
    </row>
    <row r="145" spans="10:15" ht="12.75">
      <c r="J145" s="1" t="s">
        <v>102</v>
      </c>
      <c r="K145" s="1">
        <f>$K$5</f>
        <v>0.2</v>
      </c>
      <c r="L145" s="8">
        <f t="shared" si="24"/>
        <v>2.8000000000000003</v>
      </c>
      <c r="M145">
        <f>$M$5*$I$108</f>
        <v>23</v>
      </c>
      <c r="N145" s="9">
        <f t="shared" si="22"/>
        <v>3</v>
      </c>
      <c r="O145">
        <f t="shared" si="23"/>
        <v>69</v>
      </c>
    </row>
    <row r="146" spans="10:15" ht="12.75">
      <c r="J146" s="1" t="s">
        <v>103</v>
      </c>
      <c r="K146" s="1">
        <f>$K$6</f>
        <v>0.15</v>
      </c>
      <c r="L146" s="8">
        <f t="shared" si="24"/>
        <v>2.1</v>
      </c>
      <c r="M146">
        <f>$M$6*$I$108</f>
        <v>57.49999999999999</v>
      </c>
      <c r="N146" s="9">
        <f t="shared" si="22"/>
        <v>2</v>
      </c>
      <c r="O146">
        <f t="shared" si="23"/>
        <v>114.99999999999999</v>
      </c>
    </row>
    <row r="147" spans="10:16" ht="12.75">
      <c r="J147" s="1" t="s">
        <v>104</v>
      </c>
      <c r="K147" s="1">
        <f>$K$7</f>
        <v>0.12</v>
      </c>
      <c r="L147" s="8">
        <f t="shared" si="24"/>
        <v>1.68</v>
      </c>
      <c r="M147">
        <f>$M$7*$I$108</f>
        <v>92</v>
      </c>
      <c r="N147" s="9">
        <f t="shared" si="22"/>
        <v>2</v>
      </c>
      <c r="O147">
        <f t="shared" si="23"/>
        <v>184</v>
      </c>
      <c r="P147" s="1">
        <f>SUM(O144:O149)</f>
        <v>563.5</v>
      </c>
    </row>
    <row r="148" spans="10:15" ht="12.75">
      <c r="J148" s="1" t="s">
        <v>105</v>
      </c>
      <c r="K148" s="1">
        <f>$K$8</f>
        <v>0.1</v>
      </c>
      <c r="L148" s="8">
        <f t="shared" si="24"/>
        <v>1.4000000000000001</v>
      </c>
      <c r="M148">
        <f>$M$8*$I$108</f>
        <v>172.5</v>
      </c>
      <c r="N148" s="9">
        <f t="shared" si="22"/>
        <v>1</v>
      </c>
      <c r="O148">
        <f t="shared" si="23"/>
        <v>172.5</v>
      </c>
    </row>
    <row r="149" spans="10:15" ht="12.75">
      <c r="J149" t="s">
        <v>106</v>
      </c>
      <c r="K149" s="1">
        <f>$K$9</f>
        <v>0.08</v>
      </c>
      <c r="L149" s="8">
        <f t="shared" si="24"/>
        <v>1.12</v>
      </c>
      <c r="M149">
        <f>$M$9*$I$108</f>
        <v>345</v>
      </c>
      <c r="N149" s="9">
        <f t="shared" si="22"/>
        <v>1</v>
      </c>
      <c r="O149">
        <v>0</v>
      </c>
    </row>
    <row r="150" ht="12.75">
      <c r="N150" s="9"/>
    </row>
    <row r="151" spans="10:14" ht="12.75">
      <c r="J151" s="13" t="s">
        <v>127</v>
      </c>
      <c r="N151" s="9"/>
    </row>
    <row r="152" spans="10:15" ht="12.75">
      <c r="J152" s="1" t="s">
        <v>101</v>
      </c>
      <c r="K152" s="1">
        <f>$K$4</f>
        <v>0.35</v>
      </c>
      <c r="L152" s="8">
        <f aca="true" t="shared" si="25" ref="L152:L157">K152*$D$27</f>
        <v>11.899999999999999</v>
      </c>
      <c r="M152">
        <f>$M$4*$I$108</f>
        <v>4.6</v>
      </c>
      <c r="N152" s="9">
        <f t="shared" si="22"/>
        <v>12</v>
      </c>
      <c r="O152">
        <f t="shared" si="23"/>
        <v>55.199999999999996</v>
      </c>
    </row>
    <row r="153" spans="10:15" ht="12.75">
      <c r="J153" s="1" t="s">
        <v>102</v>
      </c>
      <c r="K153" s="1">
        <f>$K$5</f>
        <v>0.2</v>
      </c>
      <c r="L153" s="8">
        <f t="shared" si="25"/>
        <v>6.800000000000001</v>
      </c>
      <c r="M153">
        <f>$M$5*$I$108</f>
        <v>23</v>
      </c>
      <c r="N153" s="9">
        <f t="shared" si="22"/>
        <v>7</v>
      </c>
      <c r="O153">
        <f t="shared" si="23"/>
        <v>161</v>
      </c>
    </row>
    <row r="154" spans="10:15" ht="12.75">
      <c r="J154" s="1" t="s">
        <v>103</v>
      </c>
      <c r="K154" s="1">
        <f>$K$6</f>
        <v>0.15</v>
      </c>
      <c r="L154" s="8">
        <f t="shared" si="25"/>
        <v>5.1</v>
      </c>
      <c r="M154">
        <f>$M$6*$I$108</f>
        <v>57.49999999999999</v>
      </c>
      <c r="N154" s="9">
        <f t="shared" si="22"/>
        <v>5</v>
      </c>
      <c r="O154">
        <f t="shared" si="23"/>
        <v>287.49999999999994</v>
      </c>
    </row>
    <row r="155" spans="10:16" ht="12.75">
      <c r="J155" s="1" t="s">
        <v>104</v>
      </c>
      <c r="K155" s="1">
        <f>$K$7</f>
        <v>0.12</v>
      </c>
      <c r="L155" s="8">
        <f t="shared" si="25"/>
        <v>4.08</v>
      </c>
      <c r="M155">
        <f>$M$7*$I$108</f>
        <v>92</v>
      </c>
      <c r="N155" s="9">
        <f t="shared" si="22"/>
        <v>4</v>
      </c>
      <c r="O155">
        <f t="shared" si="23"/>
        <v>368</v>
      </c>
      <c r="P155" s="1">
        <f>SUM(O152:O157)</f>
        <v>2424.2</v>
      </c>
    </row>
    <row r="156" spans="10:15" ht="12.75">
      <c r="J156" s="1" t="s">
        <v>105</v>
      </c>
      <c r="K156" s="1">
        <f>$K$8</f>
        <v>0.1</v>
      </c>
      <c r="L156" s="8">
        <f t="shared" si="25"/>
        <v>3.4000000000000004</v>
      </c>
      <c r="M156">
        <f>$M$8*$I$108</f>
        <v>172.5</v>
      </c>
      <c r="N156" s="9">
        <f t="shared" si="22"/>
        <v>3</v>
      </c>
      <c r="O156">
        <f t="shared" si="23"/>
        <v>517.5</v>
      </c>
    </row>
    <row r="157" spans="10:15" ht="12.75">
      <c r="J157" t="s">
        <v>106</v>
      </c>
      <c r="K157" s="1">
        <f>$K$9</f>
        <v>0.08</v>
      </c>
      <c r="L157" s="8">
        <f t="shared" si="25"/>
        <v>2.72</v>
      </c>
      <c r="M157">
        <f>$M$9*$I$108</f>
        <v>345</v>
      </c>
      <c r="N157" s="9">
        <f t="shared" si="22"/>
        <v>3</v>
      </c>
      <c r="O157">
        <f t="shared" si="23"/>
        <v>1035</v>
      </c>
    </row>
    <row r="158" ht="12.75">
      <c r="N158" s="9"/>
    </row>
    <row r="159" ht="12.75">
      <c r="N159" s="9"/>
    </row>
    <row r="160" spans="10:14" ht="12.75">
      <c r="J160" s="13" t="s">
        <v>128</v>
      </c>
      <c r="N160" s="9"/>
    </row>
    <row r="161" spans="10:15" ht="12.75">
      <c r="J161" s="1" t="s">
        <v>101</v>
      </c>
      <c r="K161" s="1">
        <f>$K$4</f>
        <v>0.35</v>
      </c>
      <c r="L161" s="8">
        <f aca="true" t="shared" si="26" ref="L161:L166">K161*$D$28</f>
        <v>21.7</v>
      </c>
      <c r="M161">
        <f>$M$4*$I$108</f>
        <v>4.6</v>
      </c>
      <c r="N161" s="9">
        <f t="shared" si="22"/>
        <v>22</v>
      </c>
      <c r="O161">
        <f t="shared" si="23"/>
        <v>101.19999999999999</v>
      </c>
    </row>
    <row r="162" spans="10:15" ht="12.75">
      <c r="J162" s="1" t="s">
        <v>102</v>
      </c>
      <c r="K162" s="1">
        <f>$K$5</f>
        <v>0.2</v>
      </c>
      <c r="L162" s="8">
        <f t="shared" si="26"/>
        <v>12.4</v>
      </c>
      <c r="M162">
        <f>$M$5*$I$108</f>
        <v>23</v>
      </c>
      <c r="N162" s="9">
        <f t="shared" si="22"/>
        <v>12</v>
      </c>
      <c r="O162">
        <f t="shared" si="23"/>
        <v>276</v>
      </c>
    </row>
    <row r="163" spans="10:15" ht="12.75">
      <c r="J163" s="1" t="s">
        <v>103</v>
      </c>
      <c r="K163" s="1">
        <f>$K$6</f>
        <v>0.15</v>
      </c>
      <c r="L163" s="8">
        <f t="shared" si="26"/>
        <v>9.299999999999999</v>
      </c>
      <c r="M163">
        <f>$M$6*$I$108</f>
        <v>57.49999999999999</v>
      </c>
      <c r="N163" s="9">
        <f t="shared" si="22"/>
        <v>9</v>
      </c>
      <c r="O163">
        <f t="shared" si="23"/>
        <v>517.4999999999999</v>
      </c>
    </row>
    <row r="164" spans="10:16" ht="12.75">
      <c r="J164" s="1" t="s">
        <v>104</v>
      </c>
      <c r="K164" s="1">
        <f>$K$7</f>
        <v>0.12</v>
      </c>
      <c r="L164" s="8">
        <f t="shared" si="26"/>
        <v>7.4399999999999995</v>
      </c>
      <c r="M164">
        <f>$M$7*$I$108</f>
        <v>92</v>
      </c>
      <c r="N164" s="9">
        <f t="shared" si="22"/>
        <v>7</v>
      </c>
      <c r="O164">
        <f t="shared" si="23"/>
        <v>644</v>
      </c>
      <c r="P164" s="1">
        <f>SUM(O161:O166)</f>
        <v>4298.7</v>
      </c>
    </row>
    <row r="165" spans="10:15" ht="12.75">
      <c r="J165" s="1" t="s">
        <v>105</v>
      </c>
      <c r="K165" s="1">
        <f>$K$8</f>
        <v>0.1</v>
      </c>
      <c r="L165" s="8">
        <f t="shared" si="26"/>
        <v>6.2</v>
      </c>
      <c r="M165">
        <f>$M$8*$I$108</f>
        <v>172.5</v>
      </c>
      <c r="N165" s="9">
        <f t="shared" si="22"/>
        <v>6</v>
      </c>
      <c r="O165">
        <f t="shared" si="23"/>
        <v>1035</v>
      </c>
    </row>
    <row r="166" spans="10:15" ht="12.75">
      <c r="J166" t="s">
        <v>106</v>
      </c>
      <c r="K166" s="1">
        <f>$K$9</f>
        <v>0.08</v>
      </c>
      <c r="L166" s="8">
        <f t="shared" si="26"/>
        <v>4.96</v>
      </c>
      <c r="M166">
        <f>$M$9*$I$108</f>
        <v>345</v>
      </c>
      <c r="N166" s="9">
        <f t="shared" si="22"/>
        <v>5</v>
      </c>
      <c r="O166">
        <f t="shared" si="23"/>
        <v>1725</v>
      </c>
    </row>
    <row r="167" ht="12.75">
      <c r="N167" s="9"/>
    </row>
    <row r="168" spans="10:14" ht="12.75">
      <c r="J168" s="13" t="s">
        <v>129</v>
      </c>
      <c r="N168" s="9"/>
    </row>
    <row r="169" spans="10:15" ht="12.75">
      <c r="J169" s="1" t="s">
        <v>101</v>
      </c>
      <c r="K169" s="1">
        <f>$K$4</f>
        <v>0.35</v>
      </c>
      <c r="L169" s="8">
        <f aca="true" t="shared" si="27" ref="L169:L174">K169*$D$29</f>
        <v>32.199999999999996</v>
      </c>
      <c r="M169">
        <f>$M$4*$I$108</f>
        <v>4.6</v>
      </c>
      <c r="N169" s="9">
        <f t="shared" si="22"/>
        <v>32</v>
      </c>
      <c r="O169">
        <f t="shared" si="23"/>
        <v>147.2</v>
      </c>
    </row>
    <row r="170" spans="10:15" ht="12.75">
      <c r="J170" s="1" t="s">
        <v>102</v>
      </c>
      <c r="K170" s="1">
        <f>$K$5</f>
        <v>0.2</v>
      </c>
      <c r="L170" s="8">
        <f t="shared" si="27"/>
        <v>18.400000000000002</v>
      </c>
      <c r="M170">
        <f>$M$5*$I$108</f>
        <v>23</v>
      </c>
      <c r="N170" s="9">
        <f t="shared" si="22"/>
        <v>18</v>
      </c>
      <c r="O170">
        <f t="shared" si="23"/>
        <v>414</v>
      </c>
    </row>
    <row r="171" spans="10:15" ht="12.75">
      <c r="J171" s="1" t="s">
        <v>103</v>
      </c>
      <c r="K171" s="1">
        <f>$K$6</f>
        <v>0.15</v>
      </c>
      <c r="L171" s="8">
        <f t="shared" si="27"/>
        <v>13.799999999999999</v>
      </c>
      <c r="M171">
        <f>$M$6*$I$108</f>
        <v>57.49999999999999</v>
      </c>
      <c r="N171" s="9">
        <f t="shared" si="22"/>
        <v>14</v>
      </c>
      <c r="O171">
        <f t="shared" si="23"/>
        <v>804.9999999999999</v>
      </c>
    </row>
    <row r="172" spans="10:16" ht="12.75">
      <c r="J172" s="1" t="s">
        <v>104</v>
      </c>
      <c r="K172" s="1">
        <f>$K$7</f>
        <v>0.12</v>
      </c>
      <c r="L172" s="8">
        <f t="shared" si="27"/>
        <v>11.04</v>
      </c>
      <c r="M172">
        <f>$M$7*$I$108</f>
        <v>92</v>
      </c>
      <c r="N172" s="9">
        <f t="shared" si="22"/>
        <v>11</v>
      </c>
      <c r="O172">
        <f t="shared" si="23"/>
        <v>1012</v>
      </c>
      <c r="P172" s="1">
        <f>SUM(O169:O174)</f>
        <v>6345.7</v>
      </c>
    </row>
    <row r="173" spans="10:15" ht="12.75">
      <c r="J173" s="1" t="s">
        <v>105</v>
      </c>
      <c r="K173" s="1">
        <f>$K$8</f>
        <v>0.1</v>
      </c>
      <c r="L173" s="8">
        <f t="shared" si="27"/>
        <v>9.200000000000001</v>
      </c>
      <c r="M173">
        <f>$M$8*$I$108</f>
        <v>172.5</v>
      </c>
      <c r="N173" s="9">
        <f t="shared" si="22"/>
        <v>9</v>
      </c>
      <c r="O173">
        <f t="shared" si="23"/>
        <v>1552.5</v>
      </c>
    </row>
    <row r="174" spans="10:15" ht="12.75">
      <c r="J174" t="s">
        <v>106</v>
      </c>
      <c r="K174" s="1">
        <f>$K$9</f>
        <v>0.08</v>
      </c>
      <c r="L174" s="8">
        <f t="shared" si="27"/>
        <v>7.36</v>
      </c>
      <c r="M174">
        <f>$M$9*$I$108</f>
        <v>345</v>
      </c>
      <c r="N174" s="9">
        <f t="shared" si="22"/>
        <v>7</v>
      </c>
      <c r="O174">
        <f t="shared" si="23"/>
        <v>2415</v>
      </c>
    </row>
    <row r="175" ht="12.75">
      <c r="N175" s="9"/>
    </row>
    <row r="176" spans="10:14" ht="12.75">
      <c r="J176" s="13" t="s">
        <v>130</v>
      </c>
      <c r="N176" s="9"/>
    </row>
    <row r="177" spans="10:15" ht="12.75">
      <c r="J177" s="1" t="s">
        <v>101</v>
      </c>
      <c r="K177" s="1">
        <f>$K$4</f>
        <v>0.35</v>
      </c>
      <c r="L177" s="8">
        <f aca="true" t="shared" si="28" ref="L177:L182">K177*$D$30</f>
        <v>5.25</v>
      </c>
      <c r="M177">
        <f>$M$4*$I$108</f>
        <v>4.6</v>
      </c>
      <c r="N177" s="9">
        <f t="shared" si="22"/>
        <v>5</v>
      </c>
      <c r="O177">
        <f t="shared" si="23"/>
        <v>23</v>
      </c>
    </row>
    <row r="178" spans="10:15" ht="12.75">
      <c r="J178" s="1" t="s">
        <v>102</v>
      </c>
      <c r="K178" s="1">
        <f>$K$5</f>
        <v>0.2</v>
      </c>
      <c r="L178" s="8">
        <f t="shared" si="28"/>
        <v>3</v>
      </c>
      <c r="M178">
        <f>$M$5*$I$108</f>
        <v>23</v>
      </c>
      <c r="N178" s="9">
        <f t="shared" si="22"/>
        <v>3</v>
      </c>
      <c r="O178">
        <f t="shared" si="23"/>
        <v>69</v>
      </c>
    </row>
    <row r="179" spans="10:16" ht="12.75">
      <c r="J179" s="1" t="s">
        <v>103</v>
      </c>
      <c r="K179" s="1">
        <f>$K$6</f>
        <v>0.15</v>
      </c>
      <c r="L179" s="8">
        <f t="shared" si="28"/>
        <v>2.25</v>
      </c>
      <c r="M179">
        <f>$M$6*$I$108</f>
        <v>57.49999999999999</v>
      </c>
      <c r="N179" s="9">
        <f t="shared" si="22"/>
        <v>2</v>
      </c>
      <c r="O179">
        <f t="shared" si="23"/>
        <v>114.99999999999999</v>
      </c>
      <c r="P179" s="1">
        <f>SUM(O177:O182)</f>
        <v>1081</v>
      </c>
    </row>
    <row r="180" spans="10:15" ht="12.75">
      <c r="J180" s="1" t="s">
        <v>104</v>
      </c>
      <c r="K180" s="1">
        <f>$K$7</f>
        <v>0.12</v>
      </c>
      <c r="L180" s="8">
        <f t="shared" si="28"/>
        <v>1.7999999999999998</v>
      </c>
      <c r="M180">
        <f>$M$7*$I$108</f>
        <v>92</v>
      </c>
      <c r="N180" s="9">
        <f t="shared" si="22"/>
        <v>2</v>
      </c>
      <c r="O180">
        <f t="shared" si="23"/>
        <v>184</v>
      </c>
    </row>
    <row r="181" spans="10:15" ht="12.75">
      <c r="J181" s="1" t="s">
        <v>105</v>
      </c>
      <c r="K181" s="1">
        <f>$K$8</f>
        <v>0.1</v>
      </c>
      <c r="L181" s="8">
        <f t="shared" si="28"/>
        <v>1.5</v>
      </c>
      <c r="M181">
        <f>$M$8*$I$108</f>
        <v>172.5</v>
      </c>
      <c r="N181" s="9">
        <f t="shared" si="22"/>
        <v>2</v>
      </c>
      <c r="O181">
        <f t="shared" si="23"/>
        <v>345</v>
      </c>
    </row>
    <row r="182" spans="10:15" ht="12.75">
      <c r="J182" t="s">
        <v>106</v>
      </c>
      <c r="K182" s="1">
        <f>$K$9</f>
        <v>0.08</v>
      </c>
      <c r="L182" s="8">
        <f t="shared" si="28"/>
        <v>1.2</v>
      </c>
      <c r="M182">
        <f>$M$9*$I$108</f>
        <v>345</v>
      </c>
      <c r="N182" s="9">
        <f t="shared" si="22"/>
        <v>1</v>
      </c>
      <c r="O182">
        <f t="shared" si="23"/>
        <v>345</v>
      </c>
    </row>
    <row r="183" ht="12.75">
      <c r="N183" s="9"/>
    </row>
    <row r="184" ht="12.75">
      <c r="N184" s="9"/>
    </row>
    <row r="185" spans="10:14" ht="12.75">
      <c r="J185" s="13" t="s">
        <v>131</v>
      </c>
      <c r="N185" s="9"/>
    </row>
    <row r="186" spans="10:15" ht="12.75">
      <c r="J186" s="1" t="s">
        <v>101</v>
      </c>
      <c r="K186" s="1">
        <f>$K$4</f>
        <v>0.35</v>
      </c>
      <c r="L186" s="8">
        <f aca="true" t="shared" si="29" ref="L186:L191">K186*$D$32</f>
        <v>22.75</v>
      </c>
      <c r="M186">
        <f>$M$4*$I$108</f>
        <v>4.6</v>
      </c>
      <c r="N186" s="9">
        <f t="shared" si="22"/>
        <v>23</v>
      </c>
      <c r="O186">
        <f t="shared" si="23"/>
        <v>105.8</v>
      </c>
    </row>
    <row r="187" spans="10:15" ht="12.75">
      <c r="J187" s="1" t="s">
        <v>102</v>
      </c>
      <c r="K187" s="1">
        <f>$K$5</f>
        <v>0.2</v>
      </c>
      <c r="L187" s="8">
        <f t="shared" si="29"/>
        <v>13</v>
      </c>
      <c r="M187">
        <f>$M$5*$I$108</f>
        <v>23</v>
      </c>
      <c r="N187" s="9">
        <f t="shared" si="22"/>
        <v>13</v>
      </c>
      <c r="O187">
        <f t="shared" si="23"/>
        <v>299</v>
      </c>
    </row>
    <row r="188" spans="10:15" ht="12.75">
      <c r="J188" s="1" t="s">
        <v>103</v>
      </c>
      <c r="K188" s="1">
        <f>$K$6</f>
        <v>0.15</v>
      </c>
      <c r="L188" s="8">
        <f t="shared" si="29"/>
        <v>9.75</v>
      </c>
      <c r="M188">
        <f>$M$6*$I$108</f>
        <v>57.49999999999999</v>
      </c>
      <c r="N188" s="9">
        <f t="shared" si="22"/>
        <v>10</v>
      </c>
      <c r="O188">
        <f t="shared" si="23"/>
        <v>574.9999999999999</v>
      </c>
    </row>
    <row r="189" spans="10:16" ht="12.75">
      <c r="J189" s="1" t="s">
        <v>104</v>
      </c>
      <c r="K189" s="1">
        <f>$K$7</f>
        <v>0.12</v>
      </c>
      <c r="L189" s="8">
        <f t="shared" si="29"/>
        <v>7.8</v>
      </c>
      <c r="M189">
        <f>$M$7*$I$108</f>
        <v>92</v>
      </c>
      <c r="N189" s="9">
        <f t="shared" si="22"/>
        <v>8</v>
      </c>
      <c r="O189">
        <f t="shared" si="23"/>
        <v>736</v>
      </c>
      <c r="P189" s="1">
        <f>SUM(O186:O191)</f>
        <v>4648.3</v>
      </c>
    </row>
    <row r="190" spans="10:15" ht="12.75">
      <c r="J190" s="1" t="s">
        <v>105</v>
      </c>
      <c r="K190" s="1">
        <f>$K$8</f>
        <v>0.1</v>
      </c>
      <c r="L190" s="8">
        <f t="shared" si="29"/>
        <v>6.5</v>
      </c>
      <c r="M190">
        <f>$M$8*$I$108</f>
        <v>172.5</v>
      </c>
      <c r="N190" s="9">
        <f t="shared" si="22"/>
        <v>7</v>
      </c>
      <c r="O190">
        <f t="shared" si="23"/>
        <v>1207.5</v>
      </c>
    </row>
    <row r="191" spans="10:15" ht="12.75">
      <c r="J191" t="s">
        <v>106</v>
      </c>
      <c r="K191" s="1">
        <f>$K$9</f>
        <v>0.08</v>
      </c>
      <c r="L191" s="8">
        <f t="shared" si="29"/>
        <v>5.2</v>
      </c>
      <c r="M191">
        <f>$M$9*$I$108</f>
        <v>345</v>
      </c>
      <c r="N191" s="9">
        <f t="shared" si="22"/>
        <v>5</v>
      </c>
      <c r="O191">
        <f t="shared" si="23"/>
        <v>1725</v>
      </c>
    </row>
    <row r="192" ht="12.75">
      <c r="N192" s="9"/>
    </row>
    <row r="193" spans="10:14" ht="12.75">
      <c r="J193" s="13" t="s">
        <v>132</v>
      </c>
      <c r="N193" s="9"/>
    </row>
    <row r="194" spans="10:15" ht="12.75">
      <c r="J194" s="1" t="s">
        <v>101</v>
      </c>
      <c r="K194" s="1">
        <f>$K$4</f>
        <v>0.35</v>
      </c>
      <c r="L194" s="8">
        <f aca="true" t="shared" si="30" ref="L194:L199">K194*$D$33</f>
        <v>28</v>
      </c>
      <c r="M194">
        <f>$M$4*$I$108</f>
        <v>4.6</v>
      </c>
      <c r="N194" s="9">
        <f t="shared" si="22"/>
        <v>28</v>
      </c>
      <c r="O194">
        <f t="shared" si="23"/>
        <v>128.79999999999998</v>
      </c>
    </row>
    <row r="195" spans="10:15" ht="12.75">
      <c r="J195" s="1" t="s">
        <v>102</v>
      </c>
      <c r="K195" s="1">
        <f>$K$5</f>
        <v>0.2</v>
      </c>
      <c r="L195" s="8">
        <f t="shared" si="30"/>
        <v>16</v>
      </c>
      <c r="M195">
        <f>$M$5*$I$108</f>
        <v>23</v>
      </c>
      <c r="N195" s="9">
        <f t="shared" si="22"/>
        <v>16</v>
      </c>
      <c r="O195">
        <f t="shared" si="23"/>
        <v>368</v>
      </c>
    </row>
    <row r="196" spans="10:15" ht="12.75">
      <c r="J196" s="1" t="s">
        <v>103</v>
      </c>
      <c r="K196" s="1">
        <f>$K$6</f>
        <v>0.15</v>
      </c>
      <c r="L196" s="8">
        <f t="shared" si="30"/>
        <v>12</v>
      </c>
      <c r="M196">
        <f>$M$6*$I$108</f>
        <v>57.49999999999999</v>
      </c>
      <c r="N196" s="9">
        <f t="shared" si="22"/>
        <v>12</v>
      </c>
      <c r="O196">
        <f t="shared" si="23"/>
        <v>689.9999999999999</v>
      </c>
    </row>
    <row r="197" spans="10:16" ht="12.75">
      <c r="J197" s="1" t="s">
        <v>104</v>
      </c>
      <c r="K197" s="1">
        <f>$K$7</f>
        <v>0.12</v>
      </c>
      <c r="L197" s="8">
        <f t="shared" si="30"/>
        <v>9.6</v>
      </c>
      <c r="M197">
        <f>$M$7*$I$108</f>
        <v>92</v>
      </c>
      <c r="N197" s="9">
        <f t="shared" si="22"/>
        <v>10</v>
      </c>
      <c r="O197">
        <f t="shared" si="23"/>
        <v>920</v>
      </c>
      <c r="P197" s="1">
        <f>SUM(O194:O199)</f>
        <v>5556.799999999999</v>
      </c>
    </row>
    <row r="198" spans="10:15" ht="12.75">
      <c r="J198" s="1" t="s">
        <v>105</v>
      </c>
      <c r="K198" s="1">
        <f>$K$8</f>
        <v>0.1</v>
      </c>
      <c r="L198" s="8">
        <f t="shared" si="30"/>
        <v>8</v>
      </c>
      <c r="M198">
        <f>$M$8*$I$108</f>
        <v>172.5</v>
      </c>
      <c r="N198" s="9">
        <f t="shared" si="22"/>
        <v>8</v>
      </c>
      <c r="O198">
        <f t="shared" si="23"/>
        <v>1380</v>
      </c>
    </row>
    <row r="199" spans="10:15" ht="12.75">
      <c r="J199" t="s">
        <v>106</v>
      </c>
      <c r="K199" s="1">
        <f>$K$9</f>
        <v>0.08</v>
      </c>
      <c r="L199" s="8">
        <f t="shared" si="30"/>
        <v>6.4</v>
      </c>
      <c r="M199">
        <f>$M$9*$I$108</f>
        <v>345</v>
      </c>
      <c r="N199" s="9">
        <f aca="true" t="shared" si="31" ref="N199:N262">ROUND(L199,0)</f>
        <v>6</v>
      </c>
      <c r="O199">
        <f aca="true" t="shared" si="32" ref="O199:O262">M199*N199</f>
        <v>2070</v>
      </c>
    </row>
    <row r="200" ht="12.75">
      <c r="N200" s="9"/>
    </row>
    <row r="201" spans="10:14" ht="12.75">
      <c r="J201" s="13" t="s">
        <v>133</v>
      </c>
      <c r="N201" s="9"/>
    </row>
    <row r="202" spans="10:15" ht="12.75">
      <c r="J202" s="1" t="s">
        <v>101</v>
      </c>
      <c r="K202" s="1">
        <f>$K$4</f>
        <v>0.35</v>
      </c>
      <c r="L202" s="8">
        <f aca="true" t="shared" si="33" ref="L202:L207">K202*$D$34</f>
        <v>8.75</v>
      </c>
      <c r="M202">
        <f>$M$4*$I$108</f>
        <v>4.6</v>
      </c>
      <c r="N202" s="9">
        <f t="shared" si="31"/>
        <v>9</v>
      </c>
      <c r="O202">
        <f t="shared" si="32"/>
        <v>41.4</v>
      </c>
    </row>
    <row r="203" spans="10:15" ht="12.75">
      <c r="J203" s="1" t="s">
        <v>102</v>
      </c>
      <c r="K203" s="1">
        <f>$K$5</f>
        <v>0.2</v>
      </c>
      <c r="L203" s="8">
        <f t="shared" si="33"/>
        <v>5</v>
      </c>
      <c r="M203">
        <f>$M$5*$I$108</f>
        <v>23</v>
      </c>
      <c r="N203" s="9">
        <f t="shared" si="31"/>
        <v>5</v>
      </c>
      <c r="O203">
        <f t="shared" si="32"/>
        <v>115</v>
      </c>
    </row>
    <row r="204" spans="10:16" ht="12.75">
      <c r="J204" s="1" t="s">
        <v>103</v>
      </c>
      <c r="K204" s="1">
        <f>$K$6</f>
        <v>0.15</v>
      </c>
      <c r="L204" s="8">
        <f t="shared" si="33"/>
        <v>3.75</v>
      </c>
      <c r="M204">
        <f>$M$6*$I$108</f>
        <v>57.49999999999999</v>
      </c>
      <c r="N204" s="9">
        <f t="shared" si="31"/>
        <v>4</v>
      </c>
      <c r="O204">
        <f t="shared" si="32"/>
        <v>229.99999999999997</v>
      </c>
      <c r="P204" s="1">
        <f>SUM(O202:O207)</f>
        <v>1869.9</v>
      </c>
    </row>
    <row r="205" spans="10:15" ht="12.75">
      <c r="J205" s="1" t="s">
        <v>104</v>
      </c>
      <c r="K205" s="1">
        <f>$K$7</f>
        <v>0.12</v>
      </c>
      <c r="L205" s="8">
        <f t="shared" si="33"/>
        <v>3</v>
      </c>
      <c r="M205">
        <f>$M$7*$I$108</f>
        <v>92</v>
      </c>
      <c r="N205" s="9">
        <f t="shared" si="31"/>
        <v>3</v>
      </c>
      <c r="O205">
        <f t="shared" si="32"/>
        <v>276</v>
      </c>
    </row>
    <row r="206" spans="10:15" ht="12.75">
      <c r="J206" s="1" t="s">
        <v>105</v>
      </c>
      <c r="K206" s="1">
        <f>$K$8</f>
        <v>0.1</v>
      </c>
      <c r="L206" s="8">
        <f t="shared" si="33"/>
        <v>2.5</v>
      </c>
      <c r="M206">
        <f>$M$8*$I$108</f>
        <v>172.5</v>
      </c>
      <c r="N206" s="9">
        <f t="shared" si="31"/>
        <v>3</v>
      </c>
      <c r="O206">
        <f t="shared" si="32"/>
        <v>517.5</v>
      </c>
    </row>
    <row r="207" spans="10:15" ht="12.75">
      <c r="J207" t="s">
        <v>106</v>
      </c>
      <c r="K207" s="1">
        <f>$K$9</f>
        <v>0.08</v>
      </c>
      <c r="L207" s="8">
        <f t="shared" si="33"/>
        <v>2</v>
      </c>
      <c r="M207">
        <f>$M$9*$I$108</f>
        <v>345</v>
      </c>
      <c r="N207" s="9">
        <f t="shared" si="31"/>
        <v>2</v>
      </c>
      <c r="O207">
        <f t="shared" si="32"/>
        <v>690</v>
      </c>
    </row>
    <row r="208" spans="9:14" ht="12.75">
      <c r="I208" s="19" t="s">
        <v>134</v>
      </c>
      <c r="N208" s="9"/>
    </row>
    <row r="209" spans="9:14" ht="12.75">
      <c r="I209">
        <v>1.2</v>
      </c>
      <c r="J209" s="13" t="s">
        <v>135</v>
      </c>
      <c r="N209" s="9"/>
    </row>
    <row r="210" spans="10:15" ht="12.75">
      <c r="J210" s="1" t="s">
        <v>101</v>
      </c>
      <c r="K210" s="1">
        <f>$K$4</f>
        <v>0.35</v>
      </c>
      <c r="L210" s="8">
        <f aca="true" t="shared" si="34" ref="L210:L215">K210*$D$36</f>
        <v>21.349999999999998</v>
      </c>
      <c r="M210">
        <f>($M$4*$I$108)*$I$209</f>
        <v>5.52</v>
      </c>
      <c r="N210" s="9">
        <f t="shared" si="31"/>
        <v>21</v>
      </c>
      <c r="O210">
        <f t="shared" si="32"/>
        <v>115.91999999999999</v>
      </c>
    </row>
    <row r="211" spans="10:15" ht="12.75">
      <c r="J211" s="1" t="s">
        <v>102</v>
      </c>
      <c r="K211" s="1">
        <f>$K$5</f>
        <v>0.2</v>
      </c>
      <c r="L211" s="8">
        <f t="shared" si="34"/>
        <v>12.200000000000001</v>
      </c>
      <c r="M211">
        <f>($M$5*$I$108)*$I$209</f>
        <v>27.599999999999998</v>
      </c>
      <c r="N211" s="9">
        <f t="shared" si="31"/>
        <v>12</v>
      </c>
      <c r="O211">
        <f t="shared" si="32"/>
        <v>331.2</v>
      </c>
    </row>
    <row r="212" spans="10:15" ht="12.75">
      <c r="J212" s="1" t="s">
        <v>103</v>
      </c>
      <c r="K212" s="1">
        <f>$K$6</f>
        <v>0.15</v>
      </c>
      <c r="L212" s="8">
        <f t="shared" si="34"/>
        <v>9.15</v>
      </c>
      <c r="M212">
        <f>($M$6*$I$108)*$I$209</f>
        <v>68.99999999999999</v>
      </c>
      <c r="N212" s="9">
        <f t="shared" si="31"/>
        <v>9</v>
      </c>
      <c r="O212">
        <f t="shared" si="32"/>
        <v>620.9999999999999</v>
      </c>
    </row>
    <row r="213" spans="10:16" ht="12.75">
      <c r="J213" s="1" t="s">
        <v>104</v>
      </c>
      <c r="K213" s="1">
        <f>$K$7</f>
        <v>0.12</v>
      </c>
      <c r="L213" s="8">
        <f t="shared" si="34"/>
        <v>7.319999999999999</v>
      </c>
      <c r="M213">
        <f>($M$7*$I$108)*$I$209</f>
        <v>110.39999999999999</v>
      </c>
      <c r="N213" s="9">
        <f t="shared" si="31"/>
        <v>7</v>
      </c>
      <c r="O213">
        <f t="shared" si="32"/>
        <v>772.8</v>
      </c>
      <c r="P213" s="1">
        <f>SUM(O210:O215)</f>
        <v>5152.92</v>
      </c>
    </row>
    <row r="214" spans="10:15" ht="12.75">
      <c r="J214" s="1" t="s">
        <v>105</v>
      </c>
      <c r="K214" s="1">
        <f>$K$8</f>
        <v>0.1</v>
      </c>
      <c r="L214" s="8">
        <f t="shared" si="34"/>
        <v>6.1000000000000005</v>
      </c>
      <c r="M214">
        <f>($M$8*$I$108)*$I$209</f>
        <v>207</v>
      </c>
      <c r="N214" s="9">
        <f t="shared" si="31"/>
        <v>6</v>
      </c>
      <c r="O214">
        <f t="shared" si="32"/>
        <v>1242</v>
      </c>
    </row>
    <row r="215" spans="10:15" ht="12.75">
      <c r="J215" t="s">
        <v>106</v>
      </c>
      <c r="K215" s="1">
        <f>$K$9</f>
        <v>0.08</v>
      </c>
      <c r="L215" s="8">
        <f t="shared" si="34"/>
        <v>4.88</v>
      </c>
      <c r="M215">
        <f>($M$9*$I$108)*$I$209</f>
        <v>414</v>
      </c>
      <c r="N215" s="9">
        <f t="shared" si="31"/>
        <v>5</v>
      </c>
      <c r="O215">
        <f t="shared" si="32"/>
        <v>2070</v>
      </c>
    </row>
    <row r="216" ht="12.75">
      <c r="N216" s="9"/>
    </row>
    <row r="217" ht="12.75">
      <c r="N217" s="9"/>
    </row>
    <row r="218" spans="10:14" ht="12.75">
      <c r="J218" s="13" t="s">
        <v>136</v>
      </c>
      <c r="N218" s="9"/>
    </row>
    <row r="219" spans="10:15" ht="12.75">
      <c r="J219" s="1" t="s">
        <v>101</v>
      </c>
      <c r="K219" s="1">
        <f>$K$4</f>
        <v>0.35</v>
      </c>
      <c r="L219" s="8">
        <f aca="true" t="shared" si="35" ref="L219:L224">K219*$D$37</f>
        <v>16.799999999999997</v>
      </c>
      <c r="M219">
        <f>($M$4*$I$108)*$I$209</f>
        <v>5.52</v>
      </c>
      <c r="N219" s="9">
        <f t="shared" si="31"/>
        <v>17</v>
      </c>
      <c r="O219">
        <f t="shared" si="32"/>
        <v>93.83999999999999</v>
      </c>
    </row>
    <row r="220" spans="10:15" ht="12.75">
      <c r="J220" s="1" t="s">
        <v>102</v>
      </c>
      <c r="K220" s="1">
        <f>$K$5</f>
        <v>0.2</v>
      </c>
      <c r="L220" s="8">
        <f t="shared" si="35"/>
        <v>9.600000000000001</v>
      </c>
      <c r="M220">
        <f>($M$5*$I$108)*$I$209</f>
        <v>27.599999999999998</v>
      </c>
      <c r="N220" s="9">
        <f t="shared" si="31"/>
        <v>10</v>
      </c>
      <c r="O220">
        <f t="shared" si="32"/>
        <v>276</v>
      </c>
    </row>
    <row r="221" spans="10:15" ht="12.75">
      <c r="J221" s="1" t="s">
        <v>103</v>
      </c>
      <c r="K221" s="1">
        <f>$K$6</f>
        <v>0.15</v>
      </c>
      <c r="L221" s="8">
        <f t="shared" si="35"/>
        <v>7.199999999999999</v>
      </c>
      <c r="M221">
        <f>($M$6*$I$108)*$I$209</f>
        <v>68.99999999999999</v>
      </c>
      <c r="N221" s="9">
        <f t="shared" si="31"/>
        <v>7</v>
      </c>
      <c r="O221">
        <f t="shared" si="32"/>
        <v>482.9999999999999</v>
      </c>
    </row>
    <row r="222" spans="10:16" ht="12.75">
      <c r="J222" s="1" t="s">
        <v>104</v>
      </c>
      <c r="K222" s="1">
        <f>$K$7</f>
        <v>0.12</v>
      </c>
      <c r="L222" s="8">
        <f t="shared" si="35"/>
        <v>5.76</v>
      </c>
      <c r="M222">
        <f>($M$7*$I$108)*$I$209</f>
        <v>110.39999999999999</v>
      </c>
      <c r="N222" s="9">
        <f t="shared" si="31"/>
        <v>6</v>
      </c>
      <c r="O222">
        <f t="shared" si="32"/>
        <v>662.4</v>
      </c>
      <c r="P222" s="1">
        <f>SUM(O219:O224)</f>
        <v>4206.24</v>
      </c>
    </row>
    <row r="223" spans="10:15" ht="12.75">
      <c r="J223" s="1" t="s">
        <v>105</v>
      </c>
      <c r="K223" s="1">
        <f>$K$8</f>
        <v>0.1</v>
      </c>
      <c r="L223" s="8">
        <f t="shared" si="35"/>
        <v>4.800000000000001</v>
      </c>
      <c r="M223">
        <f>($M$8*$I$108)*$I$209</f>
        <v>207</v>
      </c>
      <c r="N223" s="9">
        <f t="shared" si="31"/>
        <v>5</v>
      </c>
      <c r="O223">
        <f t="shared" si="32"/>
        <v>1035</v>
      </c>
    </row>
    <row r="224" spans="10:15" ht="12.75">
      <c r="J224" t="s">
        <v>106</v>
      </c>
      <c r="K224" s="1">
        <f>$K$9</f>
        <v>0.08</v>
      </c>
      <c r="L224" s="8">
        <f t="shared" si="35"/>
        <v>3.84</v>
      </c>
      <c r="M224">
        <f>($M$9*$I$108)*$I$209</f>
        <v>414</v>
      </c>
      <c r="N224" s="9">
        <f t="shared" si="31"/>
        <v>4</v>
      </c>
      <c r="O224">
        <f t="shared" si="32"/>
        <v>1656</v>
      </c>
    </row>
    <row r="225" ht="12.75">
      <c r="N225" s="9"/>
    </row>
    <row r="226" spans="10:14" ht="12.75">
      <c r="J226" s="13" t="s">
        <v>137</v>
      </c>
      <c r="N226" s="9"/>
    </row>
    <row r="227" spans="10:15" ht="12.75">
      <c r="J227" s="1" t="s">
        <v>101</v>
      </c>
      <c r="K227" s="1">
        <f>$K$4</f>
        <v>0.35</v>
      </c>
      <c r="L227" s="8">
        <f aca="true" t="shared" si="36" ref="L227:L232">K227*$D$38</f>
        <v>21.349999999999998</v>
      </c>
      <c r="M227">
        <f>($M$4*$I$108)*$I$209</f>
        <v>5.52</v>
      </c>
      <c r="N227" s="9">
        <f t="shared" si="31"/>
        <v>21</v>
      </c>
      <c r="O227">
        <f t="shared" si="32"/>
        <v>115.91999999999999</v>
      </c>
    </row>
    <row r="228" spans="10:15" ht="12.75">
      <c r="J228" s="1" t="s">
        <v>102</v>
      </c>
      <c r="K228" s="1">
        <f>$K$5</f>
        <v>0.2</v>
      </c>
      <c r="L228" s="8">
        <f t="shared" si="36"/>
        <v>12.200000000000001</v>
      </c>
      <c r="M228">
        <f>($M$5*$I$108)*$I$209</f>
        <v>27.599999999999998</v>
      </c>
      <c r="N228" s="9">
        <f t="shared" si="31"/>
        <v>12</v>
      </c>
      <c r="O228">
        <f t="shared" si="32"/>
        <v>331.2</v>
      </c>
    </row>
    <row r="229" spans="10:16" ht="12.75">
      <c r="J229" s="1" t="s">
        <v>103</v>
      </c>
      <c r="K229" s="1">
        <f>$K$6</f>
        <v>0.15</v>
      </c>
      <c r="L229" s="8">
        <f t="shared" si="36"/>
        <v>9.15</v>
      </c>
      <c r="M229">
        <f>($M$6*$I$108)*$I$209</f>
        <v>68.99999999999999</v>
      </c>
      <c r="N229" s="9">
        <f t="shared" si="31"/>
        <v>9</v>
      </c>
      <c r="O229">
        <f t="shared" si="32"/>
        <v>620.9999999999999</v>
      </c>
      <c r="P229" s="1">
        <f>SUM(O227:O232)</f>
        <v>5152.92</v>
      </c>
    </row>
    <row r="230" spans="10:15" ht="12.75">
      <c r="J230" s="1" t="s">
        <v>104</v>
      </c>
      <c r="K230" s="1">
        <f>$K$7</f>
        <v>0.12</v>
      </c>
      <c r="L230" s="8">
        <f t="shared" si="36"/>
        <v>7.319999999999999</v>
      </c>
      <c r="M230">
        <f>($M$7*$I$108)*$I$209</f>
        <v>110.39999999999999</v>
      </c>
      <c r="N230" s="9">
        <f t="shared" si="31"/>
        <v>7</v>
      </c>
      <c r="O230">
        <f t="shared" si="32"/>
        <v>772.8</v>
      </c>
    </row>
    <row r="231" spans="10:15" ht="12.75">
      <c r="J231" s="1" t="s">
        <v>105</v>
      </c>
      <c r="K231" s="1">
        <f>$K$8</f>
        <v>0.1</v>
      </c>
      <c r="L231" s="8">
        <f t="shared" si="36"/>
        <v>6.1000000000000005</v>
      </c>
      <c r="M231">
        <f>($M$8*$I$108)*$I$209</f>
        <v>207</v>
      </c>
      <c r="N231" s="9">
        <f t="shared" si="31"/>
        <v>6</v>
      </c>
      <c r="O231">
        <f t="shared" si="32"/>
        <v>1242</v>
      </c>
    </row>
    <row r="232" spans="10:15" ht="12.75">
      <c r="J232" t="s">
        <v>106</v>
      </c>
      <c r="K232" s="1">
        <f>$K$9</f>
        <v>0.08</v>
      </c>
      <c r="L232" s="8">
        <f t="shared" si="36"/>
        <v>4.88</v>
      </c>
      <c r="M232">
        <f>($M$9*$I$108)*$I$209</f>
        <v>414</v>
      </c>
      <c r="N232" s="9">
        <f t="shared" si="31"/>
        <v>5</v>
      </c>
      <c r="O232">
        <f t="shared" si="32"/>
        <v>2070</v>
      </c>
    </row>
    <row r="233" ht="12.75">
      <c r="N233" s="9"/>
    </row>
    <row r="234" spans="10:14" ht="12.75">
      <c r="J234" s="13" t="s">
        <v>138</v>
      </c>
      <c r="N234" s="9"/>
    </row>
    <row r="235" spans="10:15" ht="12.75">
      <c r="J235" s="1" t="s">
        <v>101</v>
      </c>
      <c r="K235" s="1">
        <f>$K$4</f>
        <v>0.35</v>
      </c>
      <c r="L235" s="8">
        <f aca="true" t="shared" si="37" ref="L235:L240">K235*$D$40</f>
        <v>28.7</v>
      </c>
      <c r="M235">
        <f>($M$4*$I$108)*$I$209</f>
        <v>5.52</v>
      </c>
      <c r="N235" s="9">
        <f t="shared" si="31"/>
        <v>29</v>
      </c>
      <c r="O235">
        <f t="shared" si="32"/>
        <v>160.07999999999998</v>
      </c>
    </row>
    <row r="236" spans="10:15" ht="12.75">
      <c r="J236" s="1" t="s">
        <v>102</v>
      </c>
      <c r="K236" s="1">
        <f>$K$5</f>
        <v>0.2</v>
      </c>
      <c r="L236" s="8">
        <f t="shared" si="37"/>
        <v>16.400000000000002</v>
      </c>
      <c r="M236">
        <f>($M$5*$I$108)*$I$209</f>
        <v>27.599999999999998</v>
      </c>
      <c r="N236" s="9">
        <f t="shared" si="31"/>
        <v>16</v>
      </c>
      <c r="O236">
        <f t="shared" si="32"/>
        <v>441.59999999999997</v>
      </c>
    </row>
    <row r="237" spans="10:15" ht="12.75">
      <c r="J237" s="1" t="s">
        <v>103</v>
      </c>
      <c r="K237" s="1">
        <f>$K$6</f>
        <v>0.15</v>
      </c>
      <c r="L237" s="8">
        <f t="shared" si="37"/>
        <v>12.299999999999999</v>
      </c>
      <c r="M237">
        <f>($M$6*$I$108)*$I$209</f>
        <v>68.99999999999999</v>
      </c>
      <c r="N237" s="9">
        <f t="shared" si="31"/>
        <v>12</v>
      </c>
      <c r="O237">
        <f t="shared" si="32"/>
        <v>827.9999999999998</v>
      </c>
    </row>
    <row r="238" spans="10:16" ht="12.75">
      <c r="J238" s="1" t="s">
        <v>104</v>
      </c>
      <c r="K238" s="1">
        <f>$K$7</f>
        <v>0.12</v>
      </c>
      <c r="L238" s="8">
        <f t="shared" si="37"/>
        <v>9.84</v>
      </c>
      <c r="M238">
        <f>($M$7*$I$108)*$I$209</f>
        <v>110.39999999999999</v>
      </c>
      <c r="N238" s="9">
        <f t="shared" si="31"/>
        <v>10</v>
      </c>
      <c r="O238">
        <f t="shared" si="32"/>
        <v>1104</v>
      </c>
      <c r="P238" s="1">
        <f>SUM(O235:O240)</f>
        <v>7087.68</v>
      </c>
    </row>
    <row r="239" spans="10:15" ht="12.75">
      <c r="J239" s="1" t="s">
        <v>105</v>
      </c>
      <c r="K239" s="1">
        <f>$K$8</f>
        <v>0.1</v>
      </c>
      <c r="L239" s="8">
        <f t="shared" si="37"/>
        <v>8.200000000000001</v>
      </c>
      <c r="M239">
        <f>($M$8*$I$108)*$I$209</f>
        <v>207</v>
      </c>
      <c r="N239" s="9">
        <f t="shared" si="31"/>
        <v>8</v>
      </c>
      <c r="O239">
        <f t="shared" si="32"/>
        <v>1656</v>
      </c>
    </row>
    <row r="240" spans="10:15" ht="12.75">
      <c r="J240" t="s">
        <v>106</v>
      </c>
      <c r="K240" s="1">
        <f>$K$9</f>
        <v>0.08</v>
      </c>
      <c r="L240" s="8">
        <f t="shared" si="37"/>
        <v>6.5600000000000005</v>
      </c>
      <c r="M240">
        <f>($M$9*$I$108)*$I$209</f>
        <v>414</v>
      </c>
      <c r="N240" s="9">
        <f t="shared" si="31"/>
        <v>7</v>
      </c>
      <c r="O240">
        <f t="shared" si="32"/>
        <v>2898</v>
      </c>
    </row>
    <row r="241" ht="12.75">
      <c r="N241" s="9"/>
    </row>
    <row r="242" spans="10:14" ht="12.75">
      <c r="J242" s="13" t="s">
        <v>139</v>
      </c>
      <c r="N242" s="9"/>
    </row>
    <row r="243" spans="10:15" ht="12.75">
      <c r="J243" s="1" t="s">
        <v>101</v>
      </c>
      <c r="K243" s="1">
        <f>$K$4</f>
        <v>0.35</v>
      </c>
      <c r="L243" s="8">
        <f aca="true" t="shared" si="38" ref="L243:L248">K243*$D$41</f>
        <v>4.55</v>
      </c>
      <c r="M243">
        <f>($M$4*$I$108)*$I$209</f>
        <v>5.52</v>
      </c>
      <c r="N243" s="9">
        <f t="shared" si="31"/>
        <v>5</v>
      </c>
      <c r="O243">
        <f t="shared" si="32"/>
        <v>27.599999999999998</v>
      </c>
    </row>
    <row r="244" spans="10:15" ht="12.75">
      <c r="J244" s="1" t="s">
        <v>102</v>
      </c>
      <c r="K244" s="1">
        <f>$K$5</f>
        <v>0.2</v>
      </c>
      <c r="L244" s="8">
        <f t="shared" si="38"/>
        <v>2.6</v>
      </c>
      <c r="M244">
        <f>($M$5*$I$108)*$I$209</f>
        <v>27.599999999999998</v>
      </c>
      <c r="N244" s="9">
        <f t="shared" si="31"/>
        <v>3</v>
      </c>
      <c r="O244">
        <f t="shared" si="32"/>
        <v>82.8</v>
      </c>
    </row>
    <row r="245" spans="10:16" ht="12.75">
      <c r="J245" s="1" t="s">
        <v>103</v>
      </c>
      <c r="K245" s="1">
        <f>$K$6</f>
        <v>0.15</v>
      </c>
      <c r="L245" s="8">
        <f t="shared" si="38"/>
        <v>1.95</v>
      </c>
      <c r="M245">
        <f>($M$6*$I$108)*$I$209</f>
        <v>68.99999999999999</v>
      </c>
      <c r="N245" s="9">
        <f t="shared" si="31"/>
        <v>2</v>
      </c>
      <c r="O245">
        <f t="shared" si="32"/>
        <v>137.99999999999997</v>
      </c>
      <c r="P245" s="1">
        <f>SUM(O243:O248)</f>
        <v>1090.1999999999998</v>
      </c>
    </row>
    <row r="246" spans="10:15" ht="12.75">
      <c r="J246" s="1" t="s">
        <v>104</v>
      </c>
      <c r="K246" s="1">
        <f>$K$7</f>
        <v>0.12</v>
      </c>
      <c r="L246" s="8">
        <f t="shared" si="38"/>
        <v>1.56</v>
      </c>
      <c r="M246">
        <f>($M$7*$I$108)*$I$209</f>
        <v>110.39999999999999</v>
      </c>
      <c r="N246" s="9">
        <f t="shared" si="31"/>
        <v>2</v>
      </c>
      <c r="O246">
        <f t="shared" si="32"/>
        <v>220.79999999999998</v>
      </c>
    </row>
    <row r="247" spans="10:15" ht="12.75">
      <c r="J247" s="1" t="s">
        <v>105</v>
      </c>
      <c r="K247" s="1">
        <f>$K$8</f>
        <v>0.1</v>
      </c>
      <c r="L247" s="8">
        <f t="shared" si="38"/>
        <v>1.3</v>
      </c>
      <c r="M247">
        <f>($M$8*$I$108)*$I$209</f>
        <v>207</v>
      </c>
      <c r="N247" s="9">
        <f t="shared" si="31"/>
        <v>1</v>
      </c>
      <c r="O247">
        <f t="shared" si="32"/>
        <v>207</v>
      </c>
    </row>
    <row r="248" spans="10:15" ht="12.75">
      <c r="J248" t="s">
        <v>106</v>
      </c>
      <c r="K248" s="1">
        <f>$K$9</f>
        <v>0.08</v>
      </c>
      <c r="L248" s="8">
        <f t="shared" si="38"/>
        <v>1.04</v>
      </c>
      <c r="M248">
        <f>($M$9*$I$108)*$I$209</f>
        <v>414</v>
      </c>
      <c r="N248" s="9">
        <f t="shared" si="31"/>
        <v>1</v>
      </c>
      <c r="O248">
        <f t="shared" si="32"/>
        <v>414</v>
      </c>
    </row>
    <row r="249" ht="12.75">
      <c r="N249" s="9"/>
    </row>
    <row r="250" spans="10:14" ht="12.75">
      <c r="J250" s="13" t="s">
        <v>140</v>
      </c>
      <c r="N250" s="9"/>
    </row>
    <row r="251" spans="10:15" ht="12.75">
      <c r="J251" s="1" t="s">
        <v>101</v>
      </c>
      <c r="K251" s="1">
        <f>$K$4</f>
        <v>0.35</v>
      </c>
      <c r="L251" s="8">
        <f aca="true" t="shared" si="39" ref="L251:L256">K251*$D$42</f>
        <v>33.599999999999994</v>
      </c>
      <c r="M251">
        <f>($M$4*$I$108)*$I$209</f>
        <v>5.52</v>
      </c>
      <c r="N251" s="9">
        <f t="shared" si="31"/>
        <v>34</v>
      </c>
      <c r="O251">
        <f t="shared" si="32"/>
        <v>187.67999999999998</v>
      </c>
    </row>
    <row r="252" spans="10:15" ht="12.75">
      <c r="J252" s="1" t="s">
        <v>102</v>
      </c>
      <c r="K252" s="1">
        <f>$K$5</f>
        <v>0.2</v>
      </c>
      <c r="L252" s="8">
        <f t="shared" si="39"/>
        <v>19.200000000000003</v>
      </c>
      <c r="M252">
        <f>($M$5*$I$108)*$I$209</f>
        <v>27.599999999999998</v>
      </c>
      <c r="N252" s="9">
        <f t="shared" si="31"/>
        <v>19</v>
      </c>
      <c r="O252">
        <f t="shared" si="32"/>
        <v>524.4</v>
      </c>
    </row>
    <row r="253" spans="10:16" ht="12.75">
      <c r="J253" s="1" t="s">
        <v>103</v>
      </c>
      <c r="K253" s="1">
        <f>$K$6</f>
        <v>0.15</v>
      </c>
      <c r="L253" s="8">
        <f t="shared" si="39"/>
        <v>14.399999999999999</v>
      </c>
      <c r="M253">
        <f>($M$6*$I$108)*$I$209</f>
        <v>68.99999999999999</v>
      </c>
      <c r="N253" s="9">
        <f t="shared" si="31"/>
        <v>14</v>
      </c>
      <c r="O253">
        <f t="shared" si="32"/>
        <v>965.9999999999998</v>
      </c>
      <c r="P253" s="1">
        <f>SUM(O251:O256)</f>
        <v>8384.88</v>
      </c>
    </row>
    <row r="254" spans="10:15" ht="12.75">
      <c r="J254" s="1" t="s">
        <v>104</v>
      </c>
      <c r="K254" s="1">
        <f>$K$7</f>
        <v>0.12</v>
      </c>
      <c r="L254" s="8">
        <f t="shared" si="39"/>
        <v>11.52</v>
      </c>
      <c r="M254">
        <f>($M$7*$I$108)*$I$209</f>
        <v>110.39999999999999</v>
      </c>
      <c r="N254" s="9">
        <f t="shared" si="31"/>
        <v>12</v>
      </c>
      <c r="O254">
        <f t="shared" si="32"/>
        <v>1324.8</v>
      </c>
    </row>
    <row r="255" spans="10:15" ht="12.75">
      <c r="J255" s="1" t="s">
        <v>105</v>
      </c>
      <c r="K255" s="1">
        <f>$K$8</f>
        <v>0.1</v>
      </c>
      <c r="L255" s="8">
        <f t="shared" si="39"/>
        <v>9.600000000000001</v>
      </c>
      <c r="M255">
        <f>($M$8*$I$108)*$I$209</f>
        <v>207</v>
      </c>
      <c r="N255" s="9">
        <f t="shared" si="31"/>
        <v>10</v>
      </c>
      <c r="O255">
        <f t="shared" si="32"/>
        <v>2070</v>
      </c>
    </row>
    <row r="256" spans="10:15" ht="12.75">
      <c r="J256" t="s">
        <v>106</v>
      </c>
      <c r="K256" s="1">
        <f>$K$9</f>
        <v>0.08</v>
      </c>
      <c r="L256" s="8">
        <f t="shared" si="39"/>
        <v>7.68</v>
      </c>
      <c r="M256">
        <f>($M$9*$I$108)*$I$209</f>
        <v>414</v>
      </c>
      <c r="N256" s="9">
        <f t="shared" si="31"/>
        <v>8</v>
      </c>
      <c r="O256">
        <f t="shared" si="32"/>
        <v>3312</v>
      </c>
    </row>
    <row r="257" ht="12.75">
      <c r="N257" s="9"/>
    </row>
    <row r="258" spans="10:14" ht="12.75">
      <c r="J258" s="13" t="s">
        <v>141</v>
      </c>
      <c r="N258" s="9"/>
    </row>
    <row r="259" spans="10:15" ht="12.75">
      <c r="J259" s="1" t="s">
        <v>101</v>
      </c>
      <c r="K259" s="1">
        <f>$K$4</f>
        <v>0.35</v>
      </c>
      <c r="L259" s="8">
        <f aca="true" t="shared" si="40" ref="L259:L264">K259*$D$43</f>
        <v>28</v>
      </c>
      <c r="M259">
        <f>($M$4*$I$108)*$I$209</f>
        <v>5.52</v>
      </c>
      <c r="N259" s="9">
        <f t="shared" si="31"/>
        <v>28</v>
      </c>
      <c r="O259">
        <f t="shared" si="32"/>
        <v>154.56</v>
      </c>
    </row>
    <row r="260" spans="10:15" ht="12.75">
      <c r="J260" s="1" t="s">
        <v>102</v>
      </c>
      <c r="K260" s="1">
        <f>$K$5</f>
        <v>0.2</v>
      </c>
      <c r="L260" s="8">
        <f t="shared" si="40"/>
        <v>16</v>
      </c>
      <c r="M260">
        <f>($M$5*$I$108)*$I$209</f>
        <v>27.599999999999998</v>
      </c>
      <c r="N260" s="9">
        <f t="shared" si="31"/>
        <v>16</v>
      </c>
      <c r="O260">
        <f t="shared" si="32"/>
        <v>441.59999999999997</v>
      </c>
    </row>
    <row r="261" spans="10:15" ht="12.75">
      <c r="J261" s="1" t="s">
        <v>103</v>
      </c>
      <c r="K261" s="1">
        <f>$K$6</f>
        <v>0.15</v>
      </c>
      <c r="L261" s="8">
        <f t="shared" si="40"/>
        <v>12</v>
      </c>
      <c r="M261">
        <f>($M$6*$I$108)*$I$209</f>
        <v>68.99999999999999</v>
      </c>
      <c r="N261" s="9">
        <f t="shared" si="31"/>
        <v>12</v>
      </c>
      <c r="O261">
        <f t="shared" si="32"/>
        <v>827.9999999999998</v>
      </c>
    </row>
    <row r="262" spans="10:16" ht="12.75">
      <c r="J262" s="1" t="s">
        <v>104</v>
      </c>
      <c r="K262" s="1">
        <f>$K$7</f>
        <v>0.12</v>
      </c>
      <c r="L262" s="8">
        <f t="shared" si="40"/>
        <v>9.6</v>
      </c>
      <c r="M262">
        <f>($M$7*$I$108)*$I$209</f>
        <v>110.39999999999999</v>
      </c>
      <c r="N262" s="9">
        <f t="shared" si="31"/>
        <v>10</v>
      </c>
      <c r="O262">
        <f t="shared" si="32"/>
        <v>1104</v>
      </c>
      <c r="P262" s="1">
        <f>SUM(O259:O264)</f>
        <v>6668.16</v>
      </c>
    </row>
    <row r="263" spans="10:15" ht="12.75">
      <c r="J263" s="1" t="s">
        <v>105</v>
      </c>
      <c r="K263" s="1">
        <f>$K$8</f>
        <v>0.1</v>
      </c>
      <c r="L263" s="8">
        <f t="shared" si="40"/>
        <v>8</v>
      </c>
      <c r="M263">
        <f>($M$8*$I$108)*$I$209</f>
        <v>207</v>
      </c>
      <c r="N263" s="9">
        <f aca="true" t="shared" si="41" ref="N263:N304">ROUND(L263,0)</f>
        <v>8</v>
      </c>
      <c r="O263">
        <f aca="true" t="shared" si="42" ref="O263:O304">M263*N263</f>
        <v>1656</v>
      </c>
    </row>
    <row r="264" spans="10:15" ht="12.75">
      <c r="J264" t="s">
        <v>106</v>
      </c>
      <c r="K264" s="1">
        <f>$K$9</f>
        <v>0.08</v>
      </c>
      <c r="L264" s="8">
        <f t="shared" si="40"/>
        <v>6.4</v>
      </c>
      <c r="M264">
        <f>($M$9*$I$108)*$I$209</f>
        <v>414</v>
      </c>
      <c r="N264" s="9">
        <f t="shared" si="41"/>
        <v>6</v>
      </c>
      <c r="O264">
        <f t="shared" si="42"/>
        <v>2484</v>
      </c>
    </row>
    <row r="265" ht="12.75">
      <c r="N265" s="9"/>
    </row>
    <row r="266" spans="10:14" ht="12.75">
      <c r="J266" s="13" t="s">
        <v>142</v>
      </c>
      <c r="N266" s="9"/>
    </row>
    <row r="267" spans="10:15" ht="12.75">
      <c r="J267" s="1" t="s">
        <v>101</v>
      </c>
      <c r="K267" s="1">
        <f>$K$4</f>
        <v>0.35</v>
      </c>
      <c r="L267" s="8">
        <f aca="true" t="shared" si="43" ref="L267:L272">K267*$D$44</f>
        <v>9.799999999999999</v>
      </c>
      <c r="M267">
        <f>($M$4*$I$108)*$I$209</f>
        <v>5.52</v>
      </c>
      <c r="N267" s="9">
        <f t="shared" si="41"/>
        <v>10</v>
      </c>
      <c r="O267">
        <f t="shared" si="42"/>
        <v>55.199999999999996</v>
      </c>
    </row>
    <row r="268" spans="10:15" ht="12.75">
      <c r="J268" s="1" t="s">
        <v>102</v>
      </c>
      <c r="K268" s="1">
        <f>$K$5</f>
        <v>0.2</v>
      </c>
      <c r="L268" s="8">
        <f t="shared" si="43"/>
        <v>5.6000000000000005</v>
      </c>
      <c r="M268">
        <f>($M$5*$I$108)*$I$209</f>
        <v>27.599999999999998</v>
      </c>
      <c r="N268" s="9">
        <f t="shared" si="41"/>
        <v>6</v>
      </c>
      <c r="O268">
        <f t="shared" si="42"/>
        <v>165.6</v>
      </c>
    </row>
    <row r="269" spans="10:16" ht="12.75">
      <c r="J269" s="1" t="s">
        <v>103</v>
      </c>
      <c r="K269" s="1">
        <f>$K$6</f>
        <v>0.15</v>
      </c>
      <c r="L269" s="8">
        <f t="shared" si="43"/>
        <v>4.2</v>
      </c>
      <c r="M269">
        <f>($M$6*$I$108)*$I$209</f>
        <v>68.99999999999999</v>
      </c>
      <c r="N269" s="9">
        <f t="shared" si="41"/>
        <v>4</v>
      </c>
      <c r="O269">
        <f t="shared" si="42"/>
        <v>275.99999999999994</v>
      </c>
      <c r="P269" s="1">
        <f>SUM(O267:O272)</f>
        <v>2277</v>
      </c>
    </row>
    <row r="270" spans="10:15" ht="12.75">
      <c r="J270" s="1" t="s">
        <v>104</v>
      </c>
      <c r="K270" s="1">
        <f>$K$7</f>
        <v>0.12</v>
      </c>
      <c r="L270" s="8">
        <f t="shared" si="43"/>
        <v>3.36</v>
      </c>
      <c r="M270">
        <f>($M$7*$I$108)*$I$209</f>
        <v>110.39999999999999</v>
      </c>
      <c r="N270" s="9">
        <f t="shared" si="41"/>
        <v>3</v>
      </c>
      <c r="O270">
        <f t="shared" si="42"/>
        <v>331.2</v>
      </c>
    </row>
    <row r="271" spans="10:15" ht="12.75">
      <c r="J271" s="1" t="s">
        <v>105</v>
      </c>
      <c r="K271" s="1">
        <f>$K$8</f>
        <v>0.1</v>
      </c>
      <c r="L271" s="8">
        <f t="shared" si="43"/>
        <v>2.8000000000000003</v>
      </c>
      <c r="M271">
        <f>($M$8*$I$108)*$I$209</f>
        <v>207</v>
      </c>
      <c r="N271" s="9">
        <f t="shared" si="41"/>
        <v>3</v>
      </c>
      <c r="O271">
        <f t="shared" si="42"/>
        <v>621</v>
      </c>
    </row>
    <row r="272" spans="10:15" ht="12.75">
      <c r="J272" t="s">
        <v>106</v>
      </c>
      <c r="K272" s="1">
        <f>$K$9</f>
        <v>0.08</v>
      </c>
      <c r="L272" s="8">
        <f t="shared" si="43"/>
        <v>2.24</v>
      </c>
      <c r="M272">
        <f>($M$9*$I$108)*$I$209</f>
        <v>414</v>
      </c>
      <c r="N272" s="9">
        <f t="shared" si="41"/>
        <v>2</v>
      </c>
      <c r="O272">
        <f t="shared" si="42"/>
        <v>828</v>
      </c>
    </row>
    <row r="273" ht="12.75">
      <c r="N273" s="9"/>
    </row>
    <row r="274" spans="10:14" ht="12.75">
      <c r="J274" s="13" t="s">
        <v>143</v>
      </c>
      <c r="N274" s="9"/>
    </row>
    <row r="275" spans="10:15" ht="12.75">
      <c r="J275" s="1" t="s">
        <v>101</v>
      </c>
      <c r="K275" s="1">
        <f>$K$4</f>
        <v>0.35</v>
      </c>
      <c r="L275" s="8">
        <f aca="true" t="shared" si="44" ref="L275:L280">K275*$D$45</f>
        <v>31.15</v>
      </c>
      <c r="M275">
        <f>($M$4*$I$108)*$I$209</f>
        <v>5.52</v>
      </c>
      <c r="N275" s="9">
        <f t="shared" si="41"/>
        <v>31</v>
      </c>
      <c r="O275">
        <f t="shared" si="42"/>
        <v>171.11999999999998</v>
      </c>
    </row>
    <row r="276" spans="10:15" ht="12.75">
      <c r="J276" s="1" t="s">
        <v>102</v>
      </c>
      <c r="K276" s="1">
        <f>$K$5</f>
        <v>0.2</v>
      </c>
      <c r="L276" s="8">
        <f t="shared" si="44"/>
        <v>17.8</v>
      </c>
      <c r="M276">
        <f>($M$5*$I$108)*$I$209</f>
        <v>27.599999999999998</v>
      </c>
      <c r="N276" s="9">
        <f t="shared" si="41"/>
        <v>18</v>
      </c>
      <c r="O276">
        <f t="shared" si="42"/>
        <v>496.79999999999995</v>
      </c>
    </row>
    <row r="277" spans="10:15" ht="12.75">
      <c r="J277" s="1" t="s">
        <v>103</v>
      </c>
      <c r="K277" s="1">
        <f>$K$6</f>
        <v>0.15</v>
      </c>
      <c r="L277" s="8">
        <f t="shared" si="44"/>
        <v>13.35</v>
      </c>
      <c r="M277">
        <f>($M$6*$I$108)*$I$209</f>
        <v>68.99999999999999</v>
      </c>
      <c r="N277" s="9">
        <f t="shared" si="41"/>
        <v>13</v>
      </c>
      <c r="O277">
        <f t="shared" si="42"/>
        <v>896.9999999999998</v>
      </c>
    </row>
    <row r="278" spans="10:16" ht="12.75">
      <c r="J278" s="1" t="s">
        <v>104</v>
      </c>
      <c r="K278" s="1">
        <f>$K$7</f>
        <v>0.12</v>
      </c>
      <c r="L278" s="8">
        <f t="shared" si="44"/>
        <v>10.68</v>
      </c>
      <c r="M278">
        <f>($M$7*$I$108)*$I$209</f>
        <v>110.39999999999999</v>
      </c>
      <c r="N278" s="9">
        <f t="shared" si="41"/>
        <v>11</v>
      </c>
      <c r="O278">
        <f t="shared" si="42"/>
        <v>1214.3999999999999</v>
      </c>
      <c r="P278" s="1">
        <f>SUM(O275:O280)</f>
        <v>7540.32</v>
      </c>
    </row>
    <row r="279" spans="10:15" ht="12.75">
      <c r="J279" s="1" t="s">
        <v>105</v>
      </c>
      <c r="K279" s="1">
        <f>$K$8</f>
        <v>0.1</v>
      </c>
      <c r="L279" s="8">
        <f t="shared" si="44"/>
        <v>8.9</v>
      </c>
      <c r="M279">
        <f>($M$8*$I$108)*$I$209</f>
        <v>207</v>
      </c>
      <c r="N279" s="9">
        <f t="shared" si="41"/>
        <v>9</v>
      </c>
      <c r="O279">
        <f t="shared" si="42"/>
        <v>1863</v>
      </c>
    </row>
    <row r="280" spans="10:15" ht="12.75">
      <c r="J280" t="s">
        <v>106</v>
      </c>
      <c r="K280" s="1">
        <f>$K$9</f>
        <v>0.08</v>
      </c>
      <c r="L280" s="8">
        <f t="shared" si="44"/>
        <v>7.12</v>
      </c>
      <c r="M280">
        <f>($M$9*$I$108)*$I$209</f>
        <v>414</v>
      </c>
      <c r="N280" s="9">
        <f t="shared" si="41"/>
        <v>7</v>
      </c>
      <c r="O280">
        <f t="shared" si="42"/>
        <v>2898</v>
      </c>
    </row>
    <row r="281" ht="12.75">
      <c r="N281" s="9"/>
    </row>
    <row r="282" spans="10:14" ht="12.75">
      <c r="J282" s="13" t="s">
        <v>144</v>
      </c>
      <c r="N282" s="9"/>
    </row>
    <row r="283" spans="10:15" ht="12.75">
      <c r="J283" s="1" t="s">
        <v>101</v>
      </c>
      <c r="K283" s="1">
        <f>$K$4</f>
        <v>0.35</v>
      </c>
      <c r="L283" s="8">
        <f aca="true" t="shared" si="45" ref="L283:L288">K283*$D$47</f>
        <v>5.25</v>
      </c>
      <c r="M283">
        <f>($M$4*$I$108)*$I$209</f>
        <v>5.52</v>
      </c>
      <c r="N283" s="9">
        <f t="shared" si="41"/>
        <v>5</v>
      </c>
      <c r="O283">
        <f t="shared" si="42"/>
        <v>27.599999999999998</v>
      </c>
    </row>
    <row r="284" spans="10:15" ht="12.75">
      <c r="J284" s="1" t="s">
        <v>102</v>
      </c>
      <c r="K284" s="1">
        <f>$K$5</f>
        <v>0.2</v>
      </c>
      <c r="L284" s="8">
        <f t="shared" si="45"/>
        <v>3</v>
      </c>
      <c r="M284">
        <f>($M$5*$I$108)*$I$209</f>
        <v>27.599999999999998</v>
      </c>
      <c r="N284" s="9">
        <f t="shared" si="41"/>
        <v>3</v>
      </c>
      <c r="O284">
        <f t="shared" si="42"/>
        <v>82.8</v>
      </c>
    </row>
    <row r="285" spans="10:16" ht="12.75">
      <c r="J285" s="1" t="s">
        <v>103</v>
      </c>
      <c r="K285" s="1">
        <f>$K$6</f>
        <v>0.15</v>
      </c>
      <c r="L285" s="8">
        <f t="shared" si="45"/>
        <v>2.25</v>
      </c>
      <c r="M285">
        <f>($M$6*$I$108)*$I$209</f>
        <v>68.99999999999999</v>
      </c>
      <c r="N285" s="9">
        <f t="shared" si="41"/>
        <v>2</v>
      </c>
      <c r="O285">
        <f t="shared" si="42"/>
        <v>137.99999999999997</v>
      </c>
      <c r="P285" s="1">
        <f>SUM(O283:O288)</f>
        <v>1297.1999999999998</v>
      </c>
    </row>
    <row r="286" spans="10:15" ht="12.75">
      <c r="J286" s="1" t="s">
        <v>104</v>
      </c>
      <c r="K286" s="1">
        <f>$K$7</f>
        <v>0.12</v>
      </c>
      <c r="L286" s="8">
        <f t="shared" si="45"/>
        <v>1.7999999999999998</v>
      </c>
      <c r="M286">
        <f>($M$7*$I$108)*$I$209</f>
        <v>110.39999999999999</v>
      </c>
      <c r="N286" s="9">
        <f t="shared" si="41"/>
        <v>2</v>
      </c>
      <c r="O286">
        <f t="shared" si="42"/>
        <v>220.79999999999998</v>
      </c>
    </row>
    <row r="287" spans="10:15" ht="12.75">
      <c r="J287" s="1" t="s">
        <v>105</v>
      </c>
      <c r="K287" s="1">
        <f>$K$8</f>
        <v>0.1</v>
      </c>
      <c r="L287" s="8">
        <f t="shared" si="45"/>
        <v>1.5</v>
      </c>
      <c r="M287">
        <f>($M$8*$I$108)*$I$209</f>
        <v>207</v>
      </c>
      <c r="N287" s="9">
        <f t="shared" si="41"/>
        <v>2</v>
      </c>
      <c r="O287">
        <f t="shared" si="42"/>
        <v>414</v>
      </c>
    </row>
    <row r="288" spans="10:15" ht="12.75">
      <c r="J288" t="s">
        <v>106</v>
      </c>
      <c r="K288" s="1">
        <f>$K$9</f>
        <v>0.08</v>
      </c>
      <c r="L288" s="8">
        <f t="shared" si="45"/>
        <v>1.2</v>
      </c>
      <c r="M288">
        <f>($M$9*$I$108)*$I$209</f>
        <v>414</v>
      </c>
      <c r="N288" s="9">
        <f t="shared" si="41"/>
        <v>1</v>
      </c>
      <c r="O288">
        <f t="shared" si="42"/>
        <v>414</v>
      </c>
    </row>
    <row r="289" ht="12.75">
      <c r="N289" s="9"/>
    </row>
    <row r="290" spans="10:14" ht="12.75">
      <c r="J290" s="13" t="s">
        <v>145</v>
      </c>
      <c r="N290" s="9"/>
    </row>
    <row r="291" spans="10:15" ht="12.75">
      <c r="J291" s="1" t="s">
        <v>101</v>
      </c>
      <c r="K291" s="1">
        <f>$K$4</f>
        <v>0.35</v>
      </c>
      <c r="L291" s="8">
        <f aca="true" t="shared" si="46" ref="L291:L296">K291*$D$48</f>
        <v>6.6499999999999995</v>
      </c>
      <c r="M291">
        <f>($M$4*$I$108)*$I$209</f>
        <v>5.52</v>
      </c>
      <c r="N291" s="9">
        <f t="shared" si="41"/>
        <v>7</v>
      </c>
      <c r="O291">
        <f t="shared" si="42"/>
        <v>38.64</v>
      </c>
    </row>
    <row r="292" spans="10:15" ht="12.75">
      <c r="J292" s="1" t="s">
        <v>102</v>
      </c>
      <c r="K292" s="1">
        <f>$K$5</f>
        <v>0.2</v>
      </c>
      <c r="L292" s="8">
        <f t="shared" si="46"/>
        <v>3.8000000000000003</v>
      </c>
      <c r="M292">
        <f>($M$5*$I$108)*$I$209</f>
        <v>27.599999999999998</v>
      </c>
      <c r="N292" s="9">
        <f t="shared" si="41"/>
        <v>4</v>
      </c>
      <c r="O292">
        <f t="shared" si="42"/>
        <v>110.39999999999999</v>
      </c>
    </row>
    <row r="293" spans="10:16" ht="12.75">
      <c r="J293" s="1" t="s">
        <v>103</v>
      </c>
      <c r="K293" s="1">
        <f>$K$6</f>
        <v>0.15</v>
      </c>
      <c r="L293" s="8">
        <f t="shared" si="46"/>
        <v>2.85</v>
      </c>
      <c r="M293">
        <f>($M$6*$I$108)*$I$209</f>
        <v>68.99999999999999</v>
      </c>
      <c r="N293" s="9">
        <f t="shared" si="41"/>
        <v>3</v>
      </c>
      <c r="O293">
        <f t="shared" si="42"/>
        <v>206.99999999999994</v>
      </c>
      <c r="P293" s="1">
        <f>SUM(O291:O296)</f>
        <v>990.8399999999999</v>
      </c>
    </row>
    <row r="294" spans="10:15" ht="12.75">
      <c r="J294" s="1" t="s">
        <v>104</v>
      </c>
      <c r="K294" s="1">
        <f>$K$7</f>
        <v>0.12</v>
      </c>
      <c r="L294" s="8">
        <f t="shared" si="46"/>
        <v>2.28</v>
      </c>
      <c r="M294">
        <f>($M$7*$I$108)*$I$209</f>
        <v>110.39999999999999</v>
      </c>
      <c r="N294" s="9">
        <f t="shared" si="41"/>
        <v>2</v>
      </c>
      <c r="O294">
        <f t="shared" si="42"/>
        <v>220.79999999999998</v>
      </c>
    </row>
    <row r="295" spans="10:15" ht="12.75">
      <c r="J295" s="1" t="s">
        <v>105</v>
      </c>
      <c r="K295" s="1">
        <f>$K$8</f>
        <v>0.1</v>
      </c>
      <c r="L295" s="8">
        <f t="shared" si="46"/>
        <v>1.9000000000000001</v>
      </c>
      <c r="M295">
        <f>($M$8*$I$108)*$I$209</f>
        <v>207</v>
      </c>
      <c r="N295" s="9">
        <f t="shared" si="41"/>
        <v>2</v>
      </c>
      <c r="O295">
        <f t="shared" si="42"/>
        <v>414</v>
      </c>
    </row>
    <row r="296" spans="10:15" ht="12.75">
      <c r="J296" t="s">
        <v>106</v>
      </c>
      <c r="K296" s="1">
        <f>$K$9</f>
        <v>0.08</v>
      </c>
      <c r="L296" s="8">
        <f t="shared" si="46"/>
        <v>1.52</v>
      </c>
      <c r="M296">
        <f>($M$9*$I$108)*$I$209</f>
        <v>414</v>
      </c>
      <c r="N296" s="9">
        <f t="shared" si="41"/>
        <v>2</v>
      </c>
      <c r="O296">
        <v>0</v>
      </c>
    </row>
    <row r="297" ht="12.75">
      <c r="N297" s="9"/>
    </row>
    <row r="298" spans="10:14" ht="12.75">
      <c r="J298" s="13" t="s">
        <v>146</v>
      </c>
      <c r="N298" s="9"/>
    </row>
    <row r="299" spans="10:15" ht="12.75">
      <c r="J299" s="1" t="s">
        <v>101</v>
      </c>
      <c r="K299" s="1">
        <f>$K$4</f>
        <v>0.35</v>
      </c>
      <c r="L299" s="8">
        <f aca="true" t="shared" si="47" ref="L299:L304">K299*$D$49</f>
        <v>31.15</v>
      </c>
      <c r="M299">
        <f>($M$4*$I$108)*$I$209</f>
        <v>5.52</v>
      </c>
      <c r="N299" s="9">
        <f t="shared" si="41"/>
        <v>31</v>
      </c>
      <c r="O299">
        <f t="shared" si="42"/>
        <v>171.11999999999998</v>
      </c>
    </row>
    <row r="300" spans="10:15" ht="12.75">
      <c r="J300" s="1" t="s">
        <v>102</v>
      </c>
      <c r="K300" s="1">
        <f>$K$5</f>
        <v>0.2</v>
      </c>
      <c r="L300" s="8">
        <f t="shared" si="47"/>
        <v>17.8</v>
      </c>
      <c r="M300">
        <f>($M$5*$I$108)*$I$209</f>
        <v>27.599999999999998</v>
      </c>
      <c r="N300" s="9">
        <f t="shared" si="41"/>
        <v>18</v>
      </c>
      <c r="O300">
        <f t="shared" si="42"/>
        <v>496.79999999999995</v>
      </c>
    </row>
    <row r="301" spans="10:15" ht="12.75">
      <c r="J301" s="1" t="s">
        <v>103</v>
      </c>
      <c r="K301" s="1">
        <f>$K$6</f>
        <v>0.15</v>
      </c>
      <c r="L301" s="8">
        <f t="shared" si="47"/>
        <v>13.35</v>
      </c>
      <c r="M301">
        <f>($M$6*$I$108)*$I$209</f>
        <v>68.99999999999999</v>
      </c>
      <c r="N301" s="9">
        <f t="shared" si="41"/>
        <v>13</v>
      </c>
      <c r="O301">
        <f t="shared" si="42"/>
        <v>896.9999999999998</v>
      </c>
    </row>
    <row r="302" spans="10:16" ht="12.75">
      <c r="J302" s="1" t="s">
        <v>104</v>
      </c>
      <c r="K302" s="1">
        <f>$K$7</f>
        <v>0.12</v>
      </c>
      <c r="L302" s="8">
        <f t="shared" si="47"/>
        <v>10.68</v>
      </c>
      <c r="M302">
        <f>($M$7*$I$108)*$I$209</f>
        <v>110.39999999999999</v>
      </c>
      <c r="N302" s="9">
        <f t="shared" si="41"/>
        <v>11</v>
      </c>
      <c r="O302">
        <f t="shared" si="42"/>
        <v>1214.3999999999999</v>
      </c>
      <c r="P302" s="1">
        <f>SUM(O299:O304)</f>
        <v>7540.32</v>
      </c>
    </row>
    <row r="303" spans="10:15" ht="12.75">
      <c r="J303" s="1" t="s">
        <v>105</v>
      </c>
      <c r="K303" s="1">
        <f>$K$8</f>
        <v>0.1</v>
      </c>
      <c r="L303" s="8">
        <f t="shared" si="47"/>
        <v>8.9</v>
      </c>
      <c r="M303">
        <f>($M$8*$I$108)*$I$209</f>
        <v>207</v>
      </c>
      <c r="N303" s="9">
        <f t="shared" si="41"/>
        <v>9</v>
      </c>
      <c r="O303">
        <f t="shared" si="42"/>
        <v>1863</v>
      </c>
    </row>
    <row r="304" spans="10:15" ht="12.75">
      <c r="J304" t="s">
        <v>106</v>
      </c>
      <c r="K304" s="1">
        <f>$K$9</f>
        <v>0.08</v>
      </c>
      <c r="L304" s="8">
        <f t="shared" si="47"/>
        <v>7.12</v>
      </c>
      <c r="M304">
        <f>($M$9*$I$108)*$I$209</f>
        <v>414</v>
      </c>
      <c r="N304" s="9">
        <f t="shared" si="41"/>
        <v>7</v>
      </c>
      <c r="O304">
        <f t="shared" si="42"/>
        <v>2898</v>
      </c>
    </row>
  </sheetData>
  <printOptions/>
  <pageMargins left="0.75" right="0.75" top="1" bottom="1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2">
      <selection activeCell="A22" sqref="A22"/>
    </sheetView>
  </sheetViews>
  <sheetFormatPr defaultColWidth="11.421875" defaultRowHeight="12.75"/>
  <cols>
    <col min="1" max="1" width="22.7109375" style="27" bestFit="1" customWidth="1"/>
    <col min="2" max="2" width="22.7109375" style="27" customWidth="1"/>
    <col min="3" max="3" width="14.8515625" style="35" bestFit="1" customWidth="1"/>
    <col min="4" max="4" width="12.140625" style="34" bestFit="1" customWidth="1"/>
    <col min="5" max="5" width="14.00390625" style="35" customWidth="1"/>
    <col min="6" max="6" width="23.28125" style="36" bestFit="1" customWidth="1"/>
    <col min="7" max="7" width="12.57421875" style="27" bestFit="1" customWidth="1"/>
    <col min="8" max="8" width="13.421875" style="27" bestFit="1" customWidth="1"/>
    <col min="9" max="9" width="13.00390625" style="0" customWidth="1"/>
    <col min="10" max="10" width="18.28125" style="0" customWidth="1"/>
    <col min="11" max="11" width="11.421875" style="27" customWidth="1"/>
    <col min="12" max="12" width="18.28125" style="27" customWidth="1"/>
    <col min="13" max="16384" width="11.421875" style="27" customWidth="1"/>
  </cols>
  <sheetData>
    <row r="1" spans="3:12" ht="38.25">
      <c r="C1" s="28" t="s">
        <v>0</v>
      </c>
      <c r="D1" s="28" t="s">
        <v>2</v>
      </c>
      <c r="E1" s="29" t="s">
        <v>3</v>
      </c>
      <c r="F1" s="30" t="s">
        <v>4</v>
      </c>
      <c r="G1" s="31" t="s">
        <v>5</v>
      </c>
      <c r="H1" s="32" t="s">
        <v>6</v>
      </c>
      <c r="I1" s="32" t="s">
        <v>7</v>
      </c>
      <c r="J1" s="32" t="s">
        <v>8</v>
      </c>
      <c r="K1" s="31" t="s">
        <v>9</v>
      </c>
      <c r="L1" s="32" t="s">
        <v>8</v>
      </c>
    </row>
    <row r="2" spans="3:12" ht="12.75">
      <c r="C2" s="33">
        <v>35827</v>
      </c>
      <c r="D2" s="34">
        <v>1</v>
      </c>
      <c r="E2" s="35">
        <v>15</v>
      </c>
      <c r="G2" s="27">
        <v>2</v>
      </c>
      <c r="I2" s="37">
        <v>0.9099264705882353</v>
      </c>
      <c r="J2" s="38">
        <f>E2/I2</f>
        <v>16.484848484848484</v>
      </c>
      <c r="K2" s="27">
        <v>1</v>
      </c>
      <c r="L2" s="39">
        <v>16.484848484848484</v>
      </c>
    </row>
    <row r="3" spans="3:12" ht="12.75">
      <c r="C3" s="33">
        <v>35855</v>
      </c>
      <c r="D3" s="34">
        <v>2</v>
      </c>
      <c r="E3" s="35">
        <v>20</v>
      </c>
      <c r="F3" s="36">
        <f aca="true" t="shared" si="0" ref="F3:F28">SUM(E2:E4)/3</f>
        <v>18</v>
      </c>
      <c r="G3" s="27">
        <v>3</v>
      </c>
      <c r="H3" s="40">
        <f aca="true" t="shared" si="1" ref="H3:H28">E3/F3</f>
        <v>1.1111111111111112</v>
      </c>
      <c r="I3" s="37">
        <v>0.8837209302325582</v>
      </c>
      <c r="J3" s="38">
        <f aca="true" t="shared" si="2" ref="J3:J29">E3/I3</f>
        <v>22.63157894736842</v>
      </c>
      <c r="K3" s="27">
        <v>2</v>
      </c>
      <c r="L3" s="39">
        <v>22.63157894736842</v>
      </c>
    </row>
    <row r="4" spans="3:12" ht="12.75">
      <c r="C4" s="33">
        <v>35886</v>
      </c>
      <c r="D4" s="34">
        <v>3</v>
      </c>
      <c r="E4" s="35">
        <v>19</v>
      </c>
      <c r="F4" s="36">
        <f t="shared" si="0"/>
        <v>19.333333333333332</v>
      </c>
      <c r="G4" s="27">
        <v>4</v>
      </c>
      <c r="H4" s="40">
        <f t="shared" si="1"/>
        <v>0.9827586206896552</v>
      </c>
      <c r="I4" s="37">
        <v>1.1436314363143631</v>
      </c>
      <c r="J4" s="38">
        <f t="shared" si="2"/>
        <v>16.613744075829384</v>
      </c>
      <c r="K4" s="27">
        <v>3</v>
      </c>
      <c r="L4" s="39">
        <v>16.613744075829384</v>
      </c>
    </row>
    <row r="5" spans="3:12" ht="12.75">
      <c r="C5" s="33">
        <v>35916</v>
      </c>
      <c r="D5" s="34">
        <v>4</v>
      </c>
      <c r="E5" s="35">
        <v>19</v>
      </c>
      <c r="F5" s="36">
        <f t="shared" si="0"/>
        <v>19</v>
      </c>
      <c r="G5" s="27">
        <v>5</v>
      </c>
      <c r="H5" s="40">
        <f t="shared" si="1"/>
        <v>1</v>
      </c>
      <c r="I5" s="37">
        <v>0.9451848911070782</v>
      </c>
      <c r="J5" s="38">
        <f t="shared" si="2"/>
        <v>20.101887132099243</v>
      </c>
      <c r="K5" s="27">
        <v>4</v>
      </c>
      <c r="L5" s="39">
        <v>20.101887132099243</v>
      </c>
    </row>
    <row r="6" spans="3:12" ht="12.75">
      <c r="C6" s="33">
        <v>35947</v>
      </c>
      <c r="D6" s="34">
        <v>5</v>
      </c>
      <c r="E6" s="35">
        <v>19</v>
      </c>
      <c r="F6" s="36">
        <f t="shared" si="0"/>
        <v>19.333333333333332</v>
      </c>
      <c r="G6" s="27">
        <v>6</v>
      </c>
      <c r="H6" s="40">
        <f t="shared" si="1"/>
        <v>0.9827586206896552</v>
      </c>
      <c r="I6" s="37">
        <v>0.9864864864864864</v>
      </c>
      <c r="J6" s="38">
        <f t="shared" si="2"/>
        <v>19.260273972602743</v>
      </c>
      <c r="K6" s="27">
        <v>5</v>
      </c>
      <c r="L6" s="39">
        <v>19.260273972602743</v>
      </c>
    </row>
    <row r="7" spans="3:12" ht="12.75">
      <c r="C7" s="33">
        <v>35977</v>
      </c>
      <c r="D7" s="34">
        <v>6</v>
      </c>
      <c r="E7" s="35">
        <v>20</v>
      </c>
      <c r="F7" s="36">
        <f t="shared" si="0"/>
        <v>20</v>
      </c>
      <c r="G7" s="27">
        <v>7</v>
      </c>
      <c r="H7" s="40">
        <f t="shared" si="1"/>
        <v>1</v>
      </c>
      <c r="I7" s="37">
        <v>0.9580459770114943</v>
      </c>
      <c r="J7" s="38">
        <f t="shared" si="2"/>
        <v>20.875824835032994</v>
      </c>
      <c r="K7" s="27">
        <v>6</v>
      </c>
      <c r="L7" s="39">
        <v>20.875824835032994</v>
      </c>
    </row>
    <row r="8" spans="3:12" ht="12.75">
      <c r="C8" s="33">
        <v>36008</v>
      </c>
      <c r="D8" s="34">
        <v>7</v>
      </c>
      <c r="E8" s="35">
        <v>21</v>
      </c>
      <c r="F8" s="36">
        <f t="shared" si="0"/>
        <v>21.666666666666668</v>
      </c>
      <c r="G8" s="27">
        <v>8</v>
      </c>
      <c r="H8" s="40">
        <f t="shared" si="1"/>
        <v>0.9692307692307692</v>
      </c>
      <c r="I8" s="37">
        <v>1.1063829787234043</v>
      </c>
      <c r="J8" s="38">
        <f t="shared" si="2"/>
        <v>18.98076923076923</v>
      </c>
      <c r="K8" s="27">
        <v>7</v>
      </c>
      <c r="L8" s="39">
        <v>18.98076923076923</v>
      </c>
    </row>
    <row r="9" spans="3:12" ht="12.75">
      <c r="C9" s="33">
        <v>36039</v>
      </c>
      <c r="D9" s="34">
        <v>8</v>
      </c>
      <c r="E9" s="35">
        <v>24</v>
      </c>
      <c r="F9" s="36">
        <f t="shared" si="0"/>
        <v>21.333333333333332</v>
      </c>
      <c r="G9" s="27">
        <v>9</v>
      </c>
      <c r="H9" s="40">
        <f t="shared" si="1"/>
        <v>1.125</v>
      </c>
      <c r="I9" s="37">
        <v>0.8963800904977375</v>
      </c>
      <c r="J9" s="38">
        <f t="shared" si="2"/>
        <v>26.774356385663808</v>
      </c>
      <c r="K9" s="27">
        <v>8</v>
      </c>
      <c r="L9" s="39">
        <v>26.774356385663808</v>
      </c>
    </row>
    <row r="10" spans="3:12" ht="12.75">
      <c r="C10" s="33">
        <v>36069</v>
      </c>
      <c r="D10" s="34">
        <v>9</v>
      </c>
      <c r="E10" s="35">
        <v>19</v>
      </c>
      <c r="F10" s="36">
        <f t="shared" si="0"/>
        <v>22</v>
      </c>
      <c r="G10" s="27">
        <v>10</v>
      </c>
      <c r="H10" s="40">
        <f t="shared" si="1"/>
        <v>0.8636363636363636</v>
      </c>
      <c r="I10" s="37">
        <v>1.1025</v>
      </c>
      <c r="J10" s="38">
        <f t="shared" si="2"/>
        <v>17.233560090702948</v>
      </c>
      <c r="K10" s="27">
        <v>9</v>
      </c>
      <c r="L10" s="39">
        <v>17.233560090702948</v>
      </c>
    </row>
    <row r="11" spans="3:12" ht="12.75">
      <c r="C11" s="33">
        <v>36100</v>
      </c>
      <c r="D11" s="34">
        <v>10</v>
      </c>
      <c r="E11" s="35">
        <v>23</v>
      </c>
      <c r="F11" s="36">
        <f t="shared" si="0"/>
        <v>20</v>
      </c>
      <c r="G11" s="27">
        <v>11</v>
      </c>
      <c r="H11" s="40">
        <f t="shared" si="1"/>
        <v>1.15</v>
      </c>
      <c r="I11" s="37">
        <v>0.951048951048951</v>
      </c>
      <c r="J11" s="38">
        <f t="shared" si="2"/>
        <v>24.183823529411764</v>
      </c>
      <c r="K11" s="27">
        <v>10</v>
      </c>
      <c r="L11" s="39">
        <v>24.183823529411764</v>
      </c>
    </row>
    <row r="12" spans="3:12" ht="12.75">
      <c r="C12" s="33">
        <v>36130</v>
      </c>
      <c r="D12" s="34">
        <v>11</v>
      </c>
      <c r="E12" s="35">
        <v>18</v>
      </c>
      <c r="F12" s="36">
        <f t="shared" si="0"/>
        <v>18.666666666666668</v>
      </c>
      <c r="G12" s="27">
        <v>12</v>
      </c>
      <c r="H12" s="40">
        <f t="shared" si="1"/>
        <v>0.9642857142857142</v>
      </c>
      <c r="I12" s="37">
        <v>1.0856382978723405</v>
      </c>
      <c r="J12" s="38">
        <f t="shared" si="2"/>
        <v>16.58010779029887</v>
      </c>
      <c r="K12" s="27">
        <v>11</v>
      </c>
      <c r="L12" s="39">
        <v>16.58010779029887</v>
      </c>
    </row>
    <row r="13" spans="3:12" ht="12.75">
      <c r="C13" s="33">
        <v>36161</v>
      </c>
      <c r="D13" s="34">
        <v>12</v>
      </c>
      <c r="E13" s="35">
        <v>15</v>
      </c>
      <c r="F13" s="36">
        <f t="shared" si="0"/>
        <v>16</v>
      </c>
      <c r="G13" s="27">
        <v>1</v>
      </c>
      <c r="H13" s="40">
        <f t="shared" si="1"/>
        <v>0.9375</v>
      </c>
      <c r="I13" s="37">
        <v>0.9821428571428571</v>
      </c>
      <c r="J13" s="38">
        <f t="shared" si="2"/>
        <v>15.272727272727273</v>
      </c>
      <c r="K13" s="27">
        <v>12</v>
      </c>
      <c r="L13" s="39">
        <v>15.272727272727273</v>
      </c>
    </row>
    <row r="14" spans="3:12" ht="12.75">
      <c r="C14" s="33">
        <v>36192</v>
      </c>
      <c r="D14" s="34">
        <v>13</v>
      </c>
      <c r="E14" s="35">
        <v>15</v>
      </c>
      <c r="F14" s="36">
        <f t="shared" si="0"/>
        <v>15</v>
      </c>
      <c r="G14" s="27">
        <v>2</v>
      </c>
      <c r="H14" s="40">
        <f t="shared" si="1"/>
        <v>1</v>
      </c>
      <c r="I14" s="37">
        <v>0.9099264705882353</v>
      </c>
      <c r="J14" s="38">
        <f t="shared" si="2"/>
        <v>16.484848484848484</v>
      </c>
      <c r="K14" s="27">
        <v>13</v>
      </c>
      <c r="L14" s="39">
        <v>16.484848484848484</v>
      </c>
    </row>
    <row r="15" spans="3:12" ht="12.75">
      <c r="C15" s="33">
        <v>36220</v>
      </c>
      <c r="D15" s="34">
        <v>14</v>
      </c>
      <c r="E15" s="35">
        <v>15</v>
      </c>
      <c r="F15" s="36">
        <f t="shared" si="0"/>
        <v>13.666666666666666</v>
      </c>
      <c r="G15" s="27">
        <v>3</v>
      </c>
      <c r="H15" s="40">
        <f t="shared" si="1"/>
        <v>1.0975609756097562</v>
      </c>
      <c r="I15" s="37">
        <v>0.8837209302325582</v>
      </c>
      <c r="J15" s="38">
        <f t="shared" si="2"/>
        <v>16.973684210526315</v>
      </c>
      <c r="K15" s="27">
        <v>14</v>
      </c>
      <c r="L15" s="39">
        <v>16.973684210526315</v>
      </c>
    </row>
    <row r="16" spans="3:12" ht="12.75">
      <c r="C16" s="33">
        <v>36251</v>
      </c>
      <c r="D16" s="34">
        <v>15</v>
      </c>
      <c r="E16" s="35">
        <v>11</v>
      </c>
      <c r="F16" s="36">
        <f t="shared" si="0"/>
        <v>12.666666666666666</v>
      </c>
      <c r="G16" s="27">
        <v>4</v>
      </c>
      <c r="H16" s="40">
        <f t="shared" si="1"/>
        <v>0.868421052631579</v>
      </c>
      <c r="I16" s="37">
        <v>1.1436314363143631</v>
      </c>
      <c r="J16" s="38">
        <f t="shared" si="2"/>
        <v>9.618483412322275</v>
      </c>
      <c r="K16" s="27">
        <v>15</v>
      </c>
      <c r="L16" s="39">
        <v>9.618483412322275</v>
      </c>
    </row>
    <row r="17" spans="3:12" ht="12.75">
      <c r="C17" s="33">
        <v>36281</v>
      </c>
      <c r="D17" s="34">
        <v>16</v>
      </c>
      <c r="E17" s="35">
        <v>12</v>
      </c>
      <c r="F17" s="36">
        <f t="shared" si="0"/>
        <v>12.333333333333334</v>
      </c>
      <c r="G17" s="27">
        <v>5</v>
      </c>
      <c r="H17" s="40">
        <f t="shared" si="1"/>
        <v>0.9729729729729729</v>
      </c>
      <c r="I17" s="37">
        <v>0.9451848911070782</v>
      </c>
      <c r="J17" s="38">
        <f t="shared" si="2"/>
        <v>12.69592871501005</v>
      </c>
      <c r="K17" s="27">
        <v>16</v>
      </c>
      <c r="L17" s="39">
        <v>12.69592871501005</v>
      </c>
    </row>
    <row r="18" spans="3:12" ht="12.75">
      <c r="C18" s="33">
        <v>36312</v>
      </c>
      <c r="D18" s="34">
        <v>17</v>
      </c>
      <c r="E18" s="35">
        <v>14</v>
      </c>
      <c r="F18" s="36">
        <f t="shared" si="0"/>
        <v>15</v>
      </c>
      <c r="G18" s="27">
        <v>6</v>
      </c>
      <c r="H18" s="40">
        <f t="shared" si="1"/>
        <v>0.9333333333333333</v>
      </c>
      <c r="I18" s="37">
        <v>0.9864864864864864</v>
      </c>
      <c r="J18" s="38">
        <f t="shared" si="2"/>
        <v>14.19178082191781</v>
      </c>
      <c r="K18" s="27">
        <v>17</v>
      </c>
      <c r="L18" s="39">
        <v>14.19178082191781</v>
      </c>
    </row>
    <row r="19" spans="3:12" ht="12.75">
      <c r="C19" s="33">
        <v>36342</v>
      </c>
      <c r="D19" s="34">
        <v>18</v>
      </c>
      <c r="E19" s="35">
        <v>19</v>
      </c>
      <c r="F19" s="36">
        <f t="shared" si="0"/>
        <v>15.666666666666666</v>
      </c>
      <c r="G19" s="27">
        <v>7</v>
      </c>
      <c r="H19" s="40">
        <f t="shared" si="1"/>
        <v>1.2127659574468086</v>
      </c>
      <c r="I19" s="37">
        <v>0.9580459770114943</v>
      </c>
      <c r="J19" s="38">
        <f t="shared" si="2"/>
        <v>19.83203359328134</v>
      </c>
      <c r="K19" s="27">
        <v>18</v>
      </c>
      <c r="L19" s="39">
        <v>19.83203359328134</v>
      </c>
    </row>
    <row r="20" spans="3:12" ht="12.75">
      <c r="C20" s="33">
        <v>36373</v>
      </c>
      <c r="D20" s="34">
        <v>19</v>
      </c>
      <c r="E20" s="35">
        <v>14</v>
      </c>
      <c r="F20" s="36">
        <f t="shared" si="0"/>
        <v>17</v>
      </c>
      <c r="G20" s="27">
        <v>8</v>
      </c>
      <c r="H20" s="40">
        <f t="shared" si="1"/>
        <v>0.8235294117647058</v>
      </c>
      <c r="I20" s="37">
        <v>1.1063829787234043</v>
      </c>
      <c r="J20" s="38">
        <f t="shared" si="2"/>
        <v>12.653846153846153</v>
      </c>
      <c r="K20" s="27">
        <v>19</v>
      </c>
      <c r="L20" s="39">
        <v>12.653846153846153</v>
      </c>
    </row>
    <row r="21" spans="3:12" ht="12.75">
      <c r="C21" s="33">
        <v>36404</v>
      </c>
      <c r="D21" s="34">
        <v>20</v>
      </c>
      <c r="E21" s="35">
        <v>18</v>
      </c>
      <c r="F21" s="36">
        <f t="shared" si="0"/>
        <v>16.666666666666668</v>
      </c>
      <c r="G21" s="27">
        <v>9</v>
      </c>
      <c r="H21" s="40">
        <f t="shared" si="1"/>
        <v>1.0799999999999998</v>
      </c>
      <c r="I21" s="37">
        <v>0.8963800904977375</v>
      </c>
      <c r="J21" s="38">
        <f t="shared" si="2"/>
        <v>20.080767289247856</v>
      </c>
      <c r="K21" s="27">
        <v>20</v>
      </c>
      <c r="L21" s="39">
        <v>20.080767289247856</v>
      </c>
    </row>
    <row r="22" spans="3:12" ht="12.75">
      <c r="C22" s="33">
        <v>36434</v>
      </c>
      <c r="D22" s="34">
        <v>21</v>
      </c>
      <c r="E22" s="35">
        <v>18</v>
      </c>
      <c r="F22" s="36">
        <f t="shared" si="0"/>
        <v>17.333333333333332</v>
      </c>
      <c r="G22" s="27">
        <v>10</v>
      </c>
      <c r="H22" s="40">
        <f t="shared" si="1"/>
        <v>1.0384615384615385</v>
      </c>
      <c r="I22" s="37">
        <v>1.1025</v>
      </c>
      <c r="J22" s="38">
        <f t="shared" si="2"/>
        <v>16.3265306122449</v>
      </c>
      <c r="K22" s="27">
        <v>21</v>
      </c>
      <c r="L22" s="39">
        <v>16.3265306122449</v>
      </c>
    </row>
    <row r="23" spans="3:12" ht="12.75">
      <c r="C23" s="33">
        <v>36465</v>
      </c>
      <c r="D23" s="34">
        <v>22</v>
      </c>
      <c r="E23" s="35">
        <v>16</v>
      </c>
      <c r="F23" s="36">
        <f t="shared" si="0"/>
        <v>15.666666666666666</v>
      </c>
      <c r="G23" s="27">
        <v>11</v>
      </c>
      <c r="H23" s="40">
        <f t="shared" si="1"/>
        <v>1.021276595744681</v>
      </c>
      <c r="I23" s="37">
        <v>0.951048951048951</v>
      </c>
      <c r="J23" s="38">
        <f t="shared" si="2"/>
        <v>16.823529411764707</v>
      </c>
      <c r="K23" s="27">
        <v>22</v>
      </c>
      <c r="L23" s="39">
        <v>16.823529411764707</v>
      </c>
    </row>
    <row r="24" spans="3:12" ht="12.75">
      <c r="C24" s="33">
        <v>36495</v>
      </c>
      <c r="D24" s="34">
        <v>23</v>
      </c>
      <c r="E24" s="35">
        <v>13</v>
      </c>
      <c r="F24" s="36">
        <f t="shared" si="0"/>
        <v>13</v>
      </c>
      <c r="G24" s="27">
        <v>12</v>
      </c>
      <c r="H24" s="40">
        <f t="shared" si="1"/>
        <v>1</v>
      </c>
      <c r="I24" s="37">
        <v>1.0856382978723405</v>
      </c>
      <c r="J24" s="38">
        <f t="shared" si="2"/>
        <v>11.97452229299363</v>
      </c>
      <c r="K24" s="27">
        <v>23</v>
      </c>
      <c r="L24" s="39">
        <v>11.97452229299363</v>
      </c>
    </row>
    <row r="25" spans="3:12" ht="12.75">
      <c r="C25" s="33">
        <v>36526</v>
      </c>
      <c r="D25" s="34">
        <v>24</v>
      </c>
      <c r="E25" s="35">
        <v>10</v>
      </c>
      <c r="F25" s="36">
        <f t="shared" si="0"/>
        <v>11.333333333333334</v>
      </c>
      <c r="G25" s="27">
        <v>1</v>
      </c>
      <c r="H25" s="40">
        <f t="shared" si="1"/>
        <v>0.8823529411764706</v>
      </c>
      <c r="I25" s="37">
        <v>0.9821428571428571</v>
      </c>
      <c r="J25" s="38">
        <f t="shared" si="2"/>
        <v>10.181818181818182</v>
      </c>
      <c r="K25" s="27">
        <v>24</v>
      </c>
      <c r="L25" s="39">
        <v>10.181818181818182</v>
      </c>
    </row>
    <row r="26" spans="3:12" ht="12.75">
      <c r="C26" s="33">
        <v>36557</v>
      </c>
      <c r="D26" s="34">
        <v>25</v>
      </c>
      <c r="E26" s="35">
        <v>11</v>
      </c>
      <c r="F26" s="36">
        <f t="shared" si="0"/>
        <v>14.333333333333334</v>
      </c>
      <c r="G26" s="27">
        <v>2</v>
      </c>
      <c r="H26" s="40">
        <f t="shared" si="1"/>
        <v>0.7674418604651162</v>
      </c>
      <c r="I26" s="37">
        <v>0.9099264705882353</v>
      </c>
      <c r="J26" s="38">
        <f t="shared" si="2"/>
        <v>12.088888888888889</v>
      </c>
      <c r="K26" s="27">
        <v>25</v>
      </c>
      <c r="L26" s="39">
        <v>12.088888888888889</v>
      </c>
    </row>
    <row r="27" spans="3:12" ht="12.75">
      <c r="C27" s="33">
        <v>36586</v>
      </c>
      <c r="D27" s="34">
        <v>26</v>
      </c>
      <c r="E27" s="35">
        <v>22</v>
      </c>
      <c r="F27" s="36">
        <f t="shared" si="0"/>
        <v>18</v>
      </c>
      <c r="G27" s="27">
        <v>3</v>
      </c>
      <c r="H27" s="40">
        <f t="shared" si="1"/>
        <v>1.2222222222222223</v>
      </c>
      <c r="I27" s="37">
        <v>0.8837209302325582</v>
      </c>
      <c r="J27" s="38">
        <f t="shared" si="2"/>
        <v>24.894736842105264</v>
      </c>
      <c r="K27" s="27">
        <v>26</v>
      </c>
      <c r="L27" s="39">
        <v>24.894736842105264</v>
      </c>
    </row>
    <row r="28" spans="3:12" ht="12.75">
      <c r="C28" s="33">
        <v>36617</v>
      </c>
      <c r="D28" s="34">
        <v>27</v>
      </c>
      <c r="E28" s="35">
        <v>21</v>
      </c>
      <c r="F28" s="36">
        <f t="shared" si="0"/>
        <v>21.333333333333332</v>
      </c>
      <c r="G28" s="27">
        <v>4</v>
      </c>
      <c r="H28" s="40">
        <f t="shared" si="1"/>
        <v>0.984375</v>
      </c>
      <c r="I28" s="37">
        <v>1.1436314363143631</v>
      </c>
      <c r="J28" s="38">
        <f t="shared" si="2"/>
        <v>18.362559241706162</v>
      </c>
      <c r="K28" s="27">
        <v>27</v>
      </c>
      <c r="L28" s="39">
        <v>18.362559241706162</v>
      </c>
    </row>
    <row r="29" spans="3:12" ht="12.75">
      <c r="C29" s="33">
        <v>36647</v>
      </c>
      <c r="D29" s="34">
        <v>28</v>
      </c>
      <c r="E29" s="35">
        <v>21</v>
      </c>
      <c r="G29" s="27">
        <v>5</v>
      </c>
      <c r="I29" s="37">
        <v>0.9451848911070782</v>
      </c>
      <c r="J29" s="38">
        <f t="shared" si="2"/>
        <v>22.217875251267586</v>
      </c>
      <c r="K29" s="27">
        <v>28</v>
      </c>
      <c r="L29" s="39">
        <v>22.217875251267586</v>
      </c>
    </row>
    <row r="30" spans="4:10" ht="12.75">
      <c r="D30" s="34" t="s">
        <v>10</v>
      </c>
      <c r="E30" s="41">
        <v>17.214285714285715</v>
      </c>
      <c r="J30" s="27"/>
    </row>
    <row r="31" spans="5:10" ht="12.75">
      <c r="E31" s="41"/>
      <c r="J31" s="27"/>
    </row>
    <row r="33" spans="3:7" ht="12.75">
      <c r="C33" s="28" t="s">
        <v>11</v>
      </c>
      <c r="D33" s="35">
        <v>22.94</v>
      </c>
      <c r="F33" s="35"/>
      <c r="G33" s="36"/>
    </row>
    <row r="34" spans="3:7" ht="12.75">
      <c r="C34" s="28" t="s">
        <v>12</v>
      </c>
      <c r="D34" s="35">
        <v>-0.48</v>
      </c>
      <c r="F34" s="42">
        <v>0.49</v>
      </c>
      <c r="G34" s="43">
        <v>0.51</v>
      </c>
    </row>
    <row r="35" spans="3:7" ht="13.5" thickBot="1">
      <c r="C35" s="28"/>
      <c r="D35" s="44"/>
      <c r="F35" s="42"/>
      <c r="G35" s="43"/>
    </row>
    <row r="36" spans="1:8" ht="76.5">
      <c r="A36" s="45"/>
      <c r="B36" s="46" t="s">
        <v>13</v>
      </c>
      <c r="C36" s="47" t="s">
        <v>14</v>
      </c>
      <c r="D36" s="47" t="s">
        <v>15</v>
      </c>
      <c r="E36" s="47" t="s">
        <v>16</v>
      </c>
      <c r="F36" s="47" t="s">
        <v>17</v>
      </c>
      <c r="G36" s="48" t="s">
        <v>18</v>
      </c>
      <c r="H36" s="49" t="s">
        <v>19</v>
      </c>
    </row>
    <row r="37" spans="1:8" ht="12.75">
      <c r="A37" s="50" t="s">
        <v>20</v>
      </c>
      <c r="B37" s="51" t="s">
        <v>21</v>
      </c>
      <c r="C37" s="52">
        <v>1</v>
      </c>
      <c r="D37" s="53">
        <f>(($D$33+($D$34*C37)-1)*'[1]Indice de Anunciantes Mensual'!F3)</f>
        <v>19.52702205882353</v>
      </c>
      <c r="E37" s="54">
        <f>D37*$F$66</f>
        <v>4852.485096421921</v>
      </c>
      <c r="F37" s="55">
        <f>E37*$F$34</f>
        <v>2377.7176972467414</v>
      </c>
      <c r="G37" s="56">
        <f>E37*$G$34</f>
        <v>2474.76739917518</v>
      </c>
      <c r="H37" s="55">
        <f>(F37*(1-20%))+(G37*(1-15%))</f>
        <v>4005.7264470962964</v>
      </c>
    </row>
    <row r="38" spans="1:8" ht="12.75">
      <c r="A38" s="50" t="s">
        <v>22</v>
      </c>
      <c r="B38" s="57" t="s">
        <v>23</v>
      </c>
      <c r="C38" s="52">
        <f aca="true" t="shared" si="3" ref="C38:C48">C37+1</f>
        <v>2</v>
      </c>
      <c r="D38" s="53">
        <f>(($D$33+($D$34*C38)-1)*'[1]Indice de Anunciantes Mensual'!F4)</f>
        <v>18.54046511627907</v>
      </c>
      <c r="E38" s="54">
        <f aca="true" t="shared" si="4" ref="E38:E48">D38*$F$66</f>
        <v>4607.324679946364</v>
      </c>
      <c r="F38" s="55">
        <f aca="true" t="shared" si="5" ref="F38:F48">E38*$F$34</f>
        <v>2257.5890931737185</v>
      </c>
      <c r="G38" s="56">
        <f aca="true" t="shared" si="6" ref="G38:G48">E38*$G$34</f>
        <v>2349.7355867726455</v>
      </c>
      <c r="H38" s="55">
        <f aca="true" t="shared" si="7" ref="H38:H48">(F38*(1-20%))+(G38*(1-15%))</f>
        <v>3803.3465232957233</v>
      </c>
    </row>
    <row r="39" spans="1:8" ht="12.75">
      <c r="A39" s="50" t="s">
        <v>24</v>
      </c>
      <c r="B39" s="57" t="s">
        <v>25</v>
      </c>
      <c r="C39" s="52">
        <f t="shared" si="3"/>
        <v>3</v>
      </c>
      <c r="D39" s="53">
        <f>(($D$33+($D$34*C39)-1)*'[1]Indice de Anunciantes Mensual'!F5)</f>
        <v>23.444444444444443</v>
      </c>
      <c r="E39" s="54">
        <f t="shared" si="4"/>
        <v>5825.9685945893</v>
      </c>
      <c r="F39" s="55">
        <f t="shared" si="5"/>
        <v>2854.7246113487568</v>
      </c>
      <c r="G39" s="56">
        <f t="shared" si="6"/>
        <v>2971.243983240543</v>
      </c>
      <c r="H39" s="55">
        <f t="shared" si="7"/>
        <v>4809.337074833467</v>
      </c>
    </row>
    <row r="40" spans="1:8" ht="12.75">
      <c r="A40" s="50" t="s">
        <v>26</v>
      </c>
      <c r="B40" s="57" t="s">
        <v>27</v>
      </c>
      <c r="C40" s="52">
        <f t="shared" si="3"/>
        <v>4</v>
      </c>
      <c r="D40" s="53">
        <f>(($D$33+($D$34*C40)-1)*'[1]Indice de Anunciantes Mensual'!F6)</f>
        <v>18.922601519963706</v>
      </c>
      <c r="E40" s="54">
        <f t="shared" si="4"/>
        <v>4702.285969901075</v>
      </c>
      <c r="F40" s="55">
        <f t="shared" si="5"/>
        <v>2304.1201252515266</v>
      </c>
      <c r="G40" s="56">
        <f t="shared" si="6"/>
        <v>2398.1658446495485</v>
      </c>
      <c r="H40" s="55">
        <f t="shared" si="7"/>
        <v>3881.7370681533375</v>
      </c>
    </row>
    <row r="41" spans="1:8" ht="12.75">
      <c r="A41" s="50" t="s">
        <v>28</v>
      </c>
      <c r="B41" s="57" t="s">
        <v>29</v>
      </c>
      <c r="C41" s="52">
        <f t="shared" si="3"/>
        <v>5</v>
      </c>
      <c r="D41" s="53">
        <f>(($D$33+($D$34*C41)-1)*'[1]Indice de Anunciantes Mensual'!F7)</f>
        <v>19.275945945945946</v>
      </c>
      <c r="E41" s="54">
        <f t="shared" si="4"/>
        <v>4790.092423738096</v>
      </c>
      <c r="F41" s="55">
        <f t="shared" si="5"/>
        <v>2347.145287631667</v>
      </c>
      <c r="G41" s="56">
        <f t="shared" si="6"/>
        <v>2442.947136106429</v>
      </c>
      <c r="H41" s="55">
        <f t="shared" si="7"/>
        <v>3954.221295795798</v>
      </c>
    </row>
    <row r="42" spans="1:8" ht="12.75">
      <c r="A42" s="50" t="s">
        <v>30</v>
      </c>
      <c r="B42" s="57" t="s">
        <v>31</v>
      </c>
      <c r="C42" s="52">
        <f t="shared" si="3"/>
        <v>6</v>
      </c>
      <c r="D42" s="53">
        <f>(($D$33+($D$34*C42)-1)*'[1]Indice de Anunciantes Mensual'!F8)</f>
        <v>18.260356321839083</v>
      </c>
      <c r="E42" s="54">
        <f t="shared" si="4"/>
        <v>4537.717355987688</v>
      </c>
      <c r="F42" s="55">
        <f t="shared" si="5"/>
        <v>2223.481504433967</v>
      </c>
      <c r="G42" s="56">
        <f t="shared" si="6"/>
        <v>2314.235851553721</v>
      </c>
      <c r="H42" s="55">
        <f t="shared" si="7"/>
        <v>3745.8856773678367</v>
      </c>
    </row>
    <row r="43" spans="1:8" ht="12.75">
      <c r="A43" s="50" t="s">
        <v>32</v>
      </c>
      <c r="B43" s="57" t="s">
        <v>33</v>
      </c>
      <c r="C43" s="52">
        <f t="shared" si="3"/>
        <v>7</v>
      </c>
      <c r="D43" s="53">
        <f>(($D$33+($D$34*C43)-1)*'[1]Indice de Anunciantes Mensual'!F9)</f>
        <v>20.556595744680855</v>
      </c>
      <c r="E43" s="54">
        <f t="shared" si="4"/>
        <v>5108.335217922315</v>
      </c>
      <c r="F43" s="55">
        <f t="shared" si="5"/>
        <v>2503.084256781934</v>
      </c>
      <c r="G43" s="56">
        <f t="shared" si="6"/>
        <v>2605.2509611403807</v>
      </c>
      <c r="H43" s="55">
        <f t="shared" si="7"/>
        <v>4216.930722394871</v>
      </c>
    </row>
    <row r="44" spans="1:8" ht="12.75">
      <c r="A44" s="50" t="s">
        <v>34</v>
      </c>
      <c r="B44" s="57" t="s">
        <v>35</v>
      </c>
      <c r="C44" s="52">
        <f t="shared" si="3"/>
        <v>8</v>
      </c>
      <c r="D44" s="53">
        <f>(($D$33+($D$34*C44)-1)*'[1]Indice de Anunciantes Mensual'!F10)</f>
        <v>16.22447963800905</v>
      </c>
      <c r="E44" s="54">
        <f t="shared" si="4"/>
        <v>4031.7999028973873</v>
      </c>
      <c r="F44" s="55">
        <f t="shared" si="5"/>
        <v>1975.5819524197198</v>
      </c>
      <c r="G44" s="56">
        <f t="shared" si="6"/>
        <v>2056.2179504776677</v>
      </c>
      <c r="H44" s="55">
        <f t="shared" si="7"/>
        <v>3328.2508198417936</v>
      </c>
    </row>
    <row r="45" spans="1:8" ht="12.75">
      <c r="A45" s="50" t="s">
        <v>36</v>
      </c>
      <c r="B45" s="57" t="s">
        <v>37</v>
      </c>
      <c r="C45" s="52">
        <f t="shared" si="3"/>
        <v>9</v>
      </c>
      <c r="D45" s="53">
        <f>(($D$33+($D$34*C45)-1)*'[1]Indice de Anunciantes Mensual'!F11)</f>
        <v>19.42605</v>
      </c>
      <c r="E45" s="54">
        <f t="shared" si="4"/>
        <v>4827.393435792859</v>
      </c>
      <c r="F45" s="55">
        <f t="shared" si="5"/>
        <v>2365.422783538501</v>
      </c>
      <c r="G45" s="56">
        <f t="shared" si="6"/>
        <v>2461.9706522543584</v>
      </c>
      <c r="H45" s="55">
        <f t="shared" si="7"/>
        <v>3985.0132812470056</v>
      </c>
    </row>
    <row r="46" spans="1:8" ht="12.75">
      <c r="A46" s="50" t="s">
        <v>38</v>
      </c>
      <c r="B46" s="57" t="s">
        <v>39</v>
      </c>
      <c r="C46" s="52">
        <f t="shared" si="3"/>
        <v>10</v>
      </c>
      <c r="D46" s="53">
        <f>(($D$33+($D$34*C46)-1)*'[1]Indice de Anunciantes Mensual'!F12)</f>
        <v>16.30097902097902</v>
      </c>
      <c r="E46" s="54">
        <f t="shared" si="4"/>
        <v>4050.810078367513</v>
      </c>
      <c r="F46" s="55">
        <f t="shared" si="5"/>
        <v>1984.8969384000814</v>
      </c>
      <c r="G46" s="56">
        <f t="shared" si="6"/>
        <v>2065.9131399674316</v>
      </c>
      <c r="H46" s="55">
        <f t="shared" si="7"/>
        <v>3343.943719692382</v>
      </c>
    </row>
    <row r="47" spans="1:8" ht="12.75">
      <c r="A47" s="50" t="s">
        <v>40</v>
      </c>
      <c r="B47" s="57" t="s">
        <v>41</v>
      </c>
      <c r="C47" s="52">
        <f t="shared" si="3"/>
        <v>11</v>
      </c>
      <c r="D47" s="53">
        <f>(($D$33+($D$34*C47)-1)*'[1]Indice de Anunciantes Mensual'!F13)</f>
        <v>18.086734042553196</v>
      </c>
      <c r="E47" s="54">
        <f t="shared" si="4"/>
        <v>4494.572040736668</v>
      </c>
      <c r="F47" s="55">
        <f t="shared" si="5"/>
        <v>2202.340299960967</v>
      </c>
      <c r="G47" s="56">
        <f t="shared" si="6"/>
        <v>2292.231740775701</v>
      </c>
      <c r="H47" s="55">
        <f t="shared" si="7"/>
        <v>3710.2692196281196</v>
      </c>
    </row>
    <row r="48" spans="1:8" ht="13.5" thickBot="1">
      <c r="A48" s="50" t="s">
        <v>42</v>
      </c>
      <c r="B48" s="57" t="s">
        <v>43</v>
      </c>
      <c r="C48" s="58">
        <f t="shared" si="3"/>
        <v>12</v>
      </c>
      <c r="D48" s="53">
        <f>(($D$33+($D$34*C48)-1)*'[1]Indice de Anunciantes Mensual'!F14)</f>
        <v>15.891071428571427</v>
      </c>
      <c r="E48" s="54">
        <f t="shared" si="4"/>
        <v>3948.94761940802</v>
      </c>
      <c r="F48" s="55">
        <f t="shared" si="5"/>
        <v>1934.9843335099297</v>
      </c>
      <c r="G48" s="56">
        <f t="shared" si="6"/>
        <v>2013.9632858980901</v>
      </c>
      <c r="H48" s="55">
        <f t="shared" si="7"/>
        <v>3259.8562598213202</v>
      </c>
    </row>
    <row r="49" spans="1:8" ht="16.5" thickBot="1">
      <c r="A49" s="432" t="s">
        <v>1</v>
      </c>
      <c r="B49" s="433"/>
      <c r="C49" s="433"/>
      <c r="D49" s="434"/>
      <c r="E49" s="59">
        <f>SUM(E37:E48)</f>
        <v>55777.73241570921</v>
      </c>
      <c r="F49" s="60">
        <f>SUM(F37:F48)</f>
        <v>27331.088883697506</v>
      </c>
      <c r="G49" s="61">
        <f>SUM(G37:G48)</f>
        <v>28446.643532011694</v>
      </c>
      <c r="H49" s="61">
        <f>SUM(H37:H48)</f>
        <v>46044.51810916795</v>
      </c>
    </row>
    <row r="50" spans="1:8" ht="26.25" thickBot="1">
      <c r="A50" s="62"/>
      <c r="B50" s="63"/>
      <c r="C50" s="183" t="s">
        <v>369</v>
      </c>
      <c r="D50" s="184">
        <f>SUM(D37:D48)</f>
        <v>224.45674528208932</v>
      </c>
      <c r="E50" s="64"/>
      <c r="F50" s="65"/>
      <c r="G50" s="66"/>
      <c r="H50" s="67"/>
    </row>
    <row r="51" spans="1:2" ht="12.75">
      <c r="A51" s="68" t="s">
        <v>44</v>
      </c>
      <c r="B51" s="68"/>
    </row>
    <row r="52" spans="1:2" ht="12.75">
      <c r="A52" s="69"/>
      <c r="B52" s="69"/>
    </row>
    <row r="53" spans="1:6" ht="12.75">
      <c r="A53" s="27">
        <v>1999</v>
      </c>
      <c r="C53" s="35" t="s">
        <v>45</v>
      </c>
      <c r="D53" s="27">
        <v>10</v>
      </c>
      <c r="F53" s="36">
        <f>SUM(E13:E22)</f>
        <v>151</v>
      </c>
    </row>
    <row r="54" spans="3:6" ht="25.5">
      <c r="C54" s="27" t="s">
        <v>46</v>
      </c>
      <c r="D54" s="70" t="s">
        <v>47</v>
      </c>
      <c r="E54" s="35" t="s">
        <v>48</v>
      </c>
      <c r="F54" s="71" t="s">
        <v>49</v>
      </c>
    </row>
    <row r="55" spans="1:6" ht="12.75">
      <c r="A55" s="27" t="s">
        <v>1</v>
      </c>
      <c r="C55" s="72">
        <f>SUM(C56:C57)</f>
        <v>825494964</v>
      </c>
      <c r="D55" s="73">
        <f>SUM(D56:D57)</f>
        <v>78470.96784619406</v>
      </c>
      <c r="E55" s="72">
        <f>D55/10</f>
        <v>7847.096784619406</v>
      </c>
      <c r="F55" s="36">
        <f>D55/F53</f>
        <v>519.6752837496296</v>
      </c>
    </row>
    <row r="56" spans="1:4" ht="12.75">
      <c r="A56" s="27" t="s">
        <v>50</v>
      </c>
      <c r="C56" s="74">
        <v>480560800</v>
      </c>
      <c r="D56" s="70">
        <f>C56/10519.75</f>
        <v>45681.77000404002</v>
      </c>
    </row>
    <row r="57" spans="1:4" ht="12.75">
      <c r="A57" s="27" t="s">
        <v>51</v>
      </c>
      <c r="C57" s="74">
        <v>344934164</v>
      </c>
      <c r="D57" s="70">
        <f>C57/10519.75</f>
        <v>32789.19784215404</v>
      </c>
    </row>
    <row r="58" ht="12.75">
      <c r="D58" s="70"/>
    </row>
    <row r="59" spans="1:6" ht="12.75">
      <c r="A59" s="27">
        <v>2000</v>
      </c>
      <c r="C59" s="35" t="s">
        <v>52</v>
      </c>
      <c r="D59" s="70">
        <v>7</v>
      </c>
      <c r="F59" s="75">
        <f>SUM(E25:E29)+(E30*2)</f>
        <v>119.42857142857143</v>
      </c>
    </row>
    <row r="60" ht="12.75">
      <c r="D60" s="70"/>
    </row>
    <row r="61" spans="1:6" ht="12.75">
      <c r="A61" s="27" t="s">
        <v>53</v>
      </c>
      <c r="D61" s="70">
        <f>SUM(D62:D63)</f>
        <v>36863</v>
      </c>
      <c r="E61" s="74">
        <f>D61/D59</f>
        <v>5266.142857142857</v>
      </c>
      <c r="F61" s="36">
        <f>D61/F59</f>
        <v>308.66148325358853</v>
      </c>
    </row>
    <row r="62" spans="1:4" ht="12.75">
      <c r="A62" s="27" t="s">
        <v>50</v>
      </c>
      <c r="D62" s="70">
        <v>26481</v>
      </c>
    </row>
    <row r="63" spans="1:4" ht="12.75">
      <c r="A63" s="27" t="s">
        <v>51</v>
      </c>
      <c r="D63" s="70">
        <v>10382</v>
      </c>
    </row>
    <row r="64" ht="12.75">
      <c r="D64" s="70"/>
    </row>
    <row r="65" ht="12.75">
      <c r="D65" s="70"/>
    </row>
    <row r="66" spans="1:6" ht="12.75">
      <c r="A66" s="69" t="s">
        <v>54</v>
      </c>
      <c r="B66" s="69"/>
      <c r="D66" s="70"/>
      <c r="E66" s="72">
        <f>AVERAGE(E55,E61)</f>
        <v>6556.619820881131</v>
      </c>
      <c r="F66" s="36">
        <f>AVERAGE(F55,F61)*0.6</f>
        <v>248.5010301009654</v>
      </c>
    </row>
    <row r="67" ht="12.75">
      <c r="D67" s="70"/>
    </row>
    <row r="68" ht="12.75">
      <c r="D68" s="70"/>
    </row>
    <row r="69" ht="12.75">
      <c r="D69" s="70"/>
    </row>
    <row r="70" ht="12.75">
      <c r="D70" s="70"/>
    </row>
    <row r="71" ht="12.75">
      <c r="D71" s="70"/>
    </row>
    <row r="72" ht="12.75">
      <c r="D72" s="70"/>
    </row>
    <row r="73" ht="12.75">
      <c r="D73" s="70"/>
    </row>
    <row r="74" ht="12.75">
      <c r="D74" s="70"/>
    </row>
    <row r="75" ht="12.75">
      <c r="D75" s="70"/>
    </row>
    <row r="76" ht="12.75">
      <c r="D76" s="70"/>
    </row>
    <row r="77" ht="12.75">
      <c r="D77" s="70"/>
    </row>
    <row r="78" ht="12.75">
      <c r="D78" s="70"/>
    </row>
    <row r="79" ht="12.75">
      <c r="D79" s="70"/>
    </row>
    <row r="80" ht="12.75">
      <c r="D80" s="70"/>
    </row>
    <row r="81" ht="12.75">
      <c r="D81" s="70"/>
    </row>
    <row r="82" ht="12.75">
      <c r="D82" s="70"/>
    </row>
    <row r="83" ht="12.75">
      <c r="D83" s="70"/>
    </row>
    <row r="84" ht="12.75">
      <c r="D84" s="70"/>
    </row>
    <row r="85" ht="12.75">
      <c r="D85" s="70"/>
    </row>
    <row r="86" ht="12.75">
      <c r="D86" s="70"/>
    </row>
    <row r="87" ht="12.75">
      <c r="D87" s="70"/>
    </row>
    <row r="88" ht="12.75">
      <c r="D88" s="70"/>
    </row>
    <row r="89" ht="12.75">
      <c r="D89" s="70"/>
    </row>
    <row r="90" ht="12.75">
      <c r="D90" s="70"/>
    </row>
    <row r="91" ht="12.75">
      <c r="D91" s="70"/>
    </row>
    <row r="92" ht="12.75">
      <c r="D92" s="70"/>
    </row>
    <row r="93" ht="12.75">
      <c r="D93" s="70"/>
    </row>
    <row r="94" ht="12.75">
      <c r="D94" s="70"/>
    </row>
    <row r="95" ht="12.75">
      <c r="D95" s="70"/>
    </row>
    <row r="96" ht="12.75">
      <c r="D96" s="70"/>
    </row>
    <row r="97" ht="12.75">
      <c r="D97" s="70"/>
    </row>
    <row r="98" ht="12.75">
      <c r="D98" s="70"/>
    </row>
    <row r="99" ht="12.75">
      <c r="D99" s="70"/>
    </row>
    <row r="100" ht="12.75">
      <c r="D100" s="70"/>
    </row>
  </sheetData>
  <mergeCells count="1">
    <mergeCell ref="A49:D49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8"/>
  <sheetViews>
    <sheetView workbookViewId="0" topLeftCell="A1">
      <selection activeCell="G5" sqref="G5"/>
    </sheetView>
  </sheetViews>
  <sheetFormatPr defaultColWidth="11.421875" defaultRowHeight="12.75"/>
  <cols>
    <col min="1" max="1" width="20.57421875" style="0" bestFit="1" customWidth="1"/>
    <col min="2" max="2" width="12.57421875" style="0" bestFit="1" customWidth="1"/>
    <col min="3" max="3" width="35.7109375" style="0" bestFit="1" customWidth="1"/>
    <col min="4" max="4" width="12.57421875" style="0" bestFit="1" customWidth="1"/>
    <col min="5" max="5" width="21.140625" style="0" bestFit="1" customWidth="1"/>
    <col min="6" max="6" width="22.140625" style="0" bestFit="1" customWidth="1"/>
    <col min="7" max="7" width="14.140625" style="0" bestFit="1" customWidth="1"/>
    <col min="8" max="9" width="14.140625" style="0" customWidth="1"/>
    <col min="10" max="11" width="14.140625" style="0" bestFit="1" customWidth="1"/>
  </cols>
  <sheetData>
    <row r="2" spans="1:2" ht="12.75">
      <c r="A2" t="s">
        <v>176</v>
      </c>
      <c r="B2">
        <f>'[2]Regresión'!B17</f>
        <v>15.768832715645882</v>
      </c>
    </row>
    <row r="3" spans="1:4" ht="12.75">
      <c r="A3" t="s">
        <v>177</v>
      </c>
      <c r="B3">
        <f>'[2]Regresión'!B18</f>
        <v>-0.0018601470615827688</v>
      </c>
      <c r="C3" t="s">
        <v>370</v>
      </c>
      <c r="D3" s="9">
        <f>(16*24*(1+F4))+(423*(1+G4))</f>
        <v>908.85</v>
      </c>
    </row>
    <row r="4" spans="5:11" ht="15.75">
      <c r="E4" s="20" t="s">
        <v>178</v>
      </c>
      <c r="F4" s="180">
        <v>0.1</v>
      </c>
      <c r="G4" s="180">
        <v>0.15</v>
      </c>
      <c r="H4" s="21"/>
      <c r="I4" s="21"/>
      <c r="J4" s="21">
        <v>0.15</v>
      </c>
      <c r="K4" s="21">
        <v>0.12</v>
      </c>
    </row>
    <row r="5" spans="1:11" ht="12.75">
      <c r="A5" s="3" t="s">
        <v>179</v>
      </c>
      <c r="B5" s="77">
        <f>'[2]Publicaciones'!B87</f>
        <v>0.3459141926612752</v>
      </c>
      <c r="E5" s="78" t="s">
        <v>180</v>
      </c>
      <c r="F5" s="78" t="s">
        <v>181</v>
      </c>
      <c r="G5" s="78" t="s">
        <v>182</v>
      </c>
      <c r="H5" s="78"/>
      <c r="I5" s="78"/>
      <c r="J5" s="78" t="s">
        <v>183</v>
      </c>
      <c r="K5" s="78" t="s">
        <v>184</v>
      </c>
    </row>
    <row r="6" spans="1:11" ht="12.75">
      <c r="A6" s="79" t="s">
        <v>13</v>
      </c>
      <c r="B6" s="80" t="s">
        <v>15</v>
      </c>
      <c r="C6" s="79" t="s">
        <v>185</v>
      </c>
      <c r="D6" s="79" t="s">
        <v>17</v>
      </c>
      <c r="E6" s="79" t="s">
        <v>18</v>
      </c>
      <c r="F6" s="81" t="s">
        <v>19</v>
      </c>
      <c r="G6" s="81" t="s">
        <v>19</v>
      </c>
      <c r="H6" s="81" t="s">
        <v>294</v>
      </c>
      <c r="I6" s="81" t="s">
        <v>295</v>
      </c>
      <c r="J6" s="81" t="s">
        <v>19</v>
      </c>
      <c r="K6" s="81" t="s">
        <v>19</v>
      </c>
    </row>
    <row r="7" spans="1:11" ht="12.75">
      <c r="A7" s="80">
        <v>1</v>
      </c>
      <c r="B7" s="82">
        <f aca="true" t="shared" si="0" ref="B7:B30">$B$2+($B$3*A7)</f>
        <v>15.766972568584299</v>
      </c>
      <c r="C7" s="83">
        <f>((B7*'[2]Indices'!B2)-1)*'[2]Proyección'!$F$48</f>
        <v>6812.639730121317</v>
      </c>
      <c r="D7" s="84">
        <f>C7*(1-$B$5)</f>
        <v>4456.050957984274</v>
      </c>
      <c r="E7" s="83">
        <f>C7-D7</f>
        <v>2356.5887721370436</v>
      </c>
      <c r="F7" s="84">
        <f>(D7*(1-20%))+(E7*(1-15%))*(1+$F$4)</f>
        <v>5768.251268335554</v>
      </c>
      <c r="G7" s="84">
        <f>F7*(1+$G$4)</f>
        <v>6633.488958585887</v>
      </c>
      <c r="H7" s="84">
        <f>F7+F8</f>
        <v>11131.211628021349</v>
      </c>
      <c r="I7" s="84">
        <f>G7+G8</f>
        <v>12800.89337222455</v>
      </c>
      <c r="J7" s="84">
        <f>G7*(1+$J$4)</f>
        <v>7628.51230237377</v>
      </c>
      <c r="K7" s="84">
        <f>J7*(1+$K$4)</f>
        <v>8543.933778658622</v>
      </c>
    </row>
    <row r="8" spans="1:11" ht="12.75">
      <c r="A8" s="80">
        <v>2</v>
      </c>
      <c r="B8" s="82">
        <f t="shared" si="0"/>
        <v>15.765112421522716</v>
      </c>
      <c r="C8" s="83">
        <f>((B8*'[2]Indices'!B3)-1)*'[2]Proyección'!$F$48</f>
        <v>6333.967630367061</v>
      </c>
      <c r="D8" s="84">
        <f aca="true" t="shared" si="1" ref="D8:D30">C8*(1-$B$5)</f>
        <v>4142.958331165989</v>
      </c>
      <c r="E8" s="83">
        <f aca="true" t="shared" si="2" ref="E8:E30">C8-D8</f>
        <v>2191.0092992010723</v>
      </c>
      <c r="F8" s="84">
        <f>(D8*(1-20%))+(E8*(1-15%))*(1+$F$4)</f>
        <v>5362.960359685794</v>
      </c>
      <c r="G8" s="84">
        <f aca="true" t="shared" si="3" ref="G8:G30">F8*(1+$G$4)</f>
        <v>6167.404413638663</v>
      </c>
      <c r="H8" s="84">
        <f>F9+F10</f>
        <v>10122.70851738003</v>
      </c>
      <c r="I8" s="84">
        <f>G9+G10</f>
        <v>11641.114794987032</v>
      </c>
      <c r="J8" s="84">
        <f aca="true" t="shared" si="4" ref="J8:J30">G8*(1+$J$4)</f>
        <v>7092.515075684461</v>
      </c>
      <c r="K8" s="84">
        <f aca="true" t="shared" si="5" ref="K8:K30">J8*(1+$K$4)</f>
        <v>7943.616884766598</v>
      </c>
    </row>
    <row r="9" spans="1:11" ht="12.75">
      <c r="A9" s="80">
        <v>3</v>
      </c>
      <c r="B9" s="82">
        <f t="shared" si="0"/>
        <v>15.763252274461134</v>
      </c>
      <c r="C9" s="83">
        <f>((B9*'[2]Indices'!B4)-1)*'[2]Proyección'!$F$48</f>
        <v>6171.206644892504</v>
      </c>
      <c r="D9" s="84">
        <f t="shared" si="1"/>
        <v>4036.4986805786166</v>
      </c>
      <c r="E9" s="83">
        <f t="shared" si="2"/>
        <v>2134.7079643138877</v>
      </c>
      <c r="F9" s="84">
        <f>(D9*(1-20%))+(E9*(1-15%))*(1+$F$4)</f>
        <v>5225.1508910963785</v>
      </c>
      <c r="G9" s="84">
        <f t="shared" si="3"/>
        <v>6008.923524760835</v>
      </c>
      <c r="H9" s="84">
        <f>F11+F12</f>
        <v>8945.59992782804</v>
      </c>
      <c r="I9" s="84">
        <f>G11+G12</f>
        <v>10287.439917002244</v>
      </c>
      <c r="J9" s="84">
        <f t="shared" si="4"/>
        <v>6910.262053474959</v>
      </c>
      <c r="K9" s="84">
        <f t="shared" si="5"/>
        <v>7739.493499891955</v>
      </c>
    </row>
    <row r="10" spans="1:11" ht="12.75">
      <c r="A10" s="80">
        <v>4</v>
      </c>
      <c r="B10" s="82">
        <f t="shared" si="0"/>
        <v>15.761392127399551</v>
      </c>
      <c r="C10" s="83">
        <f>((B10*'[2]Indices'!B5)-1)*'[2]Proyección'!$F$48</f>
        <v>5784.299974679552</v>
      </c>
      <c r="D10" s="84">
        <f t="shared" si="1"/>
        <v>3783.4285188276403</v>
      </c>
      <c r="E10" s="83">
        <f t="shared" si="2"/>
        <v>2000.8714558519118</v>
      </c>
      <c r="F10" s="84">
        <f>(D10*(1-20%))+(E10*(1-15%))*(1+$F$4)</f>
        <v>4897.55762628365</v>
      </c>
      <c r="G10" s="84">
        <f t="shared" si="3"/>
        <v>5632.191270226197</v>
      </c>
      <c r="H10" s="84">
        <f>F13+F14</f>
        <v>10384.919458884679</v>
      </c>
      <c r="I10" s="84">
        <f>G13+G14</f>
        <v>11942.65737771738</v>
      </c>
      <c r="J10" s="84">
        <f t="shared" si="4"/>
        <v>6477.019960760126</v>
      </c>
      <c r="K10" s="84">
        <f t="shared" si="5"/>
        <v>7254.262356051342</v>
      </c>
    </row>
    <row r="11" spans="1:11" ht="12.75">
      <c r="A11" s="80">
        <v>5</v>
      </c>
      <c r="B11" s="82">
        <f t="shared" si="0"/>
        <v>15.759531980337968</v>
      </c>
      <c r="C11" s="83">
        <f>((B11*'[2]Indices'!B6)-1)*'[2]Proyección'!$F$48</f>
        <v>5871.974889841821</v>
      </c>
      <c r="D11" s="84">
        <f t="shared" si="1"/>
        <v>3840.775436494907</v>
      </c>
      <c r="E11" s="83">
        <f t="shared" si="2"/>
        <v>2031.1994533469142</v>
      </c>
      <c r="F11" s="84">
        <f aca="true" t="shared" si="6" ref="F11:F30">(D11*(1-20%))+(E11*(1-15%))*(1+$F$4)</f>
        <v>4971.791838075291</v>
      </c>
      <c r="G11" s="84">
        <f t="shared" si="3"/>
        <v>5717.560613786584</v>
      </c>
      <c r="H11" s="84">
        <f>F15+F16</f>
        <v>10115.296690119845</v>
      </c>
      <c r="I11" s="84">
        <f>G15+G16</f>
        <v>11632.59119363782</v>
      </c>
      <c r="J11" s="84">
        <f t="shared" si="4"/>
        <v>6575.194705854571</v>
      </c>
      <c r="K11" s="84">
        <f t="shared" si="5"/>
        <v>7364.21807055712</v>
      </c>
    </row>
    <row r="12" spans="1:11" ht="12.75">
      <c r="A12" s="80">
        <v>6</v>
      </c>
      <c r="B12" s="82">
        <f t="shared" si="0"/>
        <v>15.757671833276385</v>
      </c>
      <c r="C12" s="83">
        <f>((B12*'[2]Indices'!B7)-1)*'[2]Proyección'!$F$48</f>
        <v>4693.2981267195755</v>
      </c>
      <c r="D12" s="84">
        <f t="shared" si="1"/>
        <v>3069.8196942966983</v>
      </c>
      <c r="E12" s="83">
        <f t="shared" si="2"/>
        <v>1623.4784324228772</v>
      </c>
      <c r="F12" s="84">
        <f t="shared" si="6"/>
        <v>3973.808089752749</v>
      </c>
      <c r="G12" s="84">
        <f t="shared" si="3"/>
        <v>4569.879303215661</v>
      </c>
      <c r="H12" s="84">
        <f>F17+F18</f>
        <v>9661.303269066728</v>
      </c>
      <c r="I12" s="84">
        <f>G17+G18</f>
        <v>11110.498759426737</v>
      </c>
      <c r="J12" s="84">
        <f t="shared" si="4"/>
        <v>5255.3611986980095</v>
      </c>
      <c r="K12" s="84">
        <f t="shared" si="5"/>
        <v>5886.004542541771</v>
      </c>
    </row>
    <row r="13" spans="1:11" ht="12.75">
      <c r="A13" s="80">
        <v>7</v>
      </c>
      <c r="B13" s="82">
        <f t="shared" si="0"/>
        <v>15.755811686214802</v>
      </c>
      <c r="C13" s="83">
        <f>((B13*'[2]Indices'!B8)-1)*'[2]Proyección'!$F$48</f>
        <v>6331.7768139567725</v>
      </c>
      <c r="D13" s="84">
        <f t="shared" si="1"/>
        <v>4141.525349245534</v>
      </c>
      <c r="E13" s="83">
        <f t="shared" si="2"/>
        <v>2190.2514647112384</v>
      </c>
      <c r="F13" s="84">
        <f t="shared" si="6"/>
        <v>5361.105398901435</v>
      </c>
      <c r="G13" s="84">
        <f t="shared" si="3"/>
        <v>6165.27120873665</v>
      </c>
      <c r="H13" s="84">
        <f>F19+F20</f>
        <v>10329.460510211167</v>
      </c>
      <c r="I13" s="84">
        <f>G19+G20</f>
        <v>11878.879586742842</v>
      </c>
      <c r="J13" s="84">
        <f t="shared" si="4"/>
        <v>7090.061890047147</v>
      </c>
      <c r="K13" s="84">
        <f t="shared" si="5"/>
        <v>7940.869316852805</v>
      </c>
    </row>
    <row r="14" spans="1:11" ht="12.75">
      <c r="A14" s="80">
        <v>8</v>
      </c>
      <c r="B14" s="82">
        <f t="shared" si="0"/>
        <v>15.75395153915322</v>
      </c>
      <c r="C14" s="83">
        <f>((B14*'[2]Indices'!B9)-1)*'[2]Proyección'!$F$48</f>
        <v>5933.4161550247045</v>
      </c>
      <c r="D14" s="84">
        <f t="shared" si="1"/>
        <v>3880.963296035966</v>
      </c>
      <c r="E14" s="83">
        <f t="shared" si="2"/>
        <v>2052.4528589887386</v>
      </c>
      <c r="F14" s="84">
        <f t="shared" si="6"/>
        <v>5023.814059983243</v>
      </c>
      <c r="G14" s="84">
        <f t="shared" si="3"/>
        <v>5777.386168980729</v>
      </c>
      <c r="H14" s="84">
        <f>F21+F22</f>
        <v>10050.646995755029</v>
      </c>
      <c r="I14" s="84">
        <f>G21+G22</f>
        <v>11558.244045118281</v>
      </c>
      <c r="J14" s="84">
        <f t="shared" si="4"/>
        <v>6643.994094327838</v>
      </c>
      <c r="K14" s="84">
        <f t="shared" si="5"/>
        <v>7441.27338564718</v>
      </c>
    </row>
    <row r="15" spans="1:11" ht="12.75">
      <c r="A15" s="80">
        <v>9</v>
      </c>
      <c r="B15" s="82">
        <f t="shared" si="0"/>
        <v>15.752091392091637</v>
      </c>
      <c r="C15" s="83">
        <f>((B15*'[2]Indices'!B10)-1)*'[2]Proyección'!$F$48</f>
        <v>4948.199964381729</v>
      </c>
      <c r="D15" s="84">
        <f t="shared" si="1"/>
        <v>3236.5473685760726</v>
      </c>
      <c r="E15" s="83">
        <f t="shared" si="2"/>
        <v>1711.6525958056563</v>
      </c>
      <c r="F15" s="84">
        <f t="shared" si="6"/>
        <v>4189.633071939147</v>
      </c>
      <c r="G15" s="84">
        <f t="shared" si="3"/>
        <v>4818.078032730019</v>
      </c>
      <c r="H15" s="84">
        <f>F23+F24</f>
        <v>9811.170364874471</v>
      </c>
      <c r="I15" s="84">
        <f>G23+G24</f>
        <v>11282.845919605641</v>
      </c>
      <c r="J15" s="84">
        <f t="shared" si="4"/>
        <v>5540.789737639521</v>
      </c>
      <c r="K15" s="84">
        <f t="shared" si="5"/>
        <v>6205.684506156264</v>
      </c>
    </row>
    <row r="16" spans="1:11" ht="12.75">
      <c r="A16" s="80">
        <v>10</v>
      </c>
      <c r="B16" s="82">
        <f t="shared" si="0"/>
        <v>15.750231245030054</v>
      </c>
      <c r="C16" s="83">
        <f>((B16*'[2]Indices'!B11)-1)*'[2]Proyección'!$F$48</f>
        <v>6998.552856765714</v>
      </c>
      <c r="D16" s="84">
        <f t="shared" si="1"/>
        <v>4577.654095520341</v>
      </c>
      <c r="E16" s="83">
        <f t="shared" si="2"/>
        <v>2420.898761245373</v>
      </c>
      <c r="F16" s="84">
        <f t="shared" si="6"/>
        <v>5925.663618180697</v>
      </c>
      <c r="G16" s="84">
        <f t="shared" si="3"/>
        <v>6814.513160907801</v>
      </c>
      <c r="H16" s="84">
        <f>F25+F26</f>
        <v>10690.888534157959</v>
      </c>
      <c r="I16" s="84">
        <f>G25+G26</f>
        <v>12294.521814281652</v>
      </c>
      <c r="J16" s="84">
        <f t="shared" si="4"/>
        <v>7836.69013504397</v>
      </c>
      <c r="K16" s="84">
        <f t="shared" si="5"/>
        <v>8777.092951249248</v>
      </c>
    </row>
    <row r="17" spans="1:11" ht="12.75">
      <c r="A17" s="80">
        <v>11</v>
      </c>
      <c r="B17" s="82">
        <f t="shared" si="0"/>
        <v>15.748371097968471</v>
      </c>
      <c r="C17" s="83">
        <f>((B17*'[2]Indices'!B12)-1)*'[2]Proyección'!$F$48</f>
        <v>6096.865106828832</v>
      </c>
      <c r="D17" s="84">
        <f t="shared" si="1"/>
        <v>3987.872935635437</v>
      </c>
      <c r="E17" s="83">
        <f t="shared" si="2"/>
        <v>2108.992171193395</v>
      </c>
      <c r="F17" s="84">
        <f t="shared" si="6"/>
        <v>5162.206028574174</v>
      </c>
      <c r="G17" s="84">
        <f t="shared" si="3"/>
        <v>5936.536932860299</v>
      </c>
      <c r="H17" s="84">
        <f>F27+F28</f>
        <v>9592.192734635606</v>
      </c>
      <c r="I17" s="84">
        <f>G27+G28</f>
        <v>11031.021644830947</v>
      </c>
      <c r="J17" s="84">
        <f t="shared" si="4"/>
        <v>6827.017472789344</v>
      </c>
      <c r="K17" s="84">
        <f t="shared" si="5"/>
        <v>7646.259569524065</v>
      </c>
    </row>
    <row r="18" spans="1:11" ht="12.75">
      <c r="A18" s="80">
        <v>12</v>
      </c>
      <c r="B18" s="82">
        <f t="shared" si="0"/>
        <v>15.746510950906888</v>
      </c>
      <c r="C18" s="83">
        <f>((B18*'[2]Indices'!B13)-1)*'[2]Proyección'!$F$48</f>
        <v>5313.695119093367</v>
      </c>
      <c r="D18" s="84">
        <f t="shared" si="1"/>
        <v>3475.612561924026</v>
      </c>
      <c r="E18" s="83">
        <f t="shared" si="2"/>
        <v>1838.0825571693408</v>
      </c>
      <c r="F18" s="84">
        <f t="shared" si="6"/>
        <v>4499.097240492555</v>
      </c>
      <c r="G18" s="84">
        <f t="shared" si="3"/>
        <v>5173.961826566438</v>
      </c>
      <c r="H18" s="84">
        <f>F29+F30</f>
        <v>9432.155425656085</v>
      </c>
      <c r="I18" s="84">
        <f>G29+G30</f>
        <v>10846.978739504499</v>
      </c>
      <c r="J18" s="84">
        <f t="shared" si="4"/>
        <v>5950.056100551403</v>
      </c>
      <c r="K18" s="84">
        <f t="shared" si="5"/>
        <v>6664.062832617572</v>
      </c>
    </row>
    <row r="19" spans="1:11" ht="12.75">
      <c r="A19" s="80">
        <v>13</v>
      </c>
      <c r="B19" s="82">
        <f t="shared" si="0"/>
        <v>15.744650803845305</v>
      </c>
      <c r="C19" s="83">
        <f>((B19*'[2]Indices'!B14)-1)*'[2]Proyección'!$F$48</f>
        <v>6627.749232944042</v>
      </c>
      <c r="D19" s="84">
        <f t="shared" si="1"/>
        <v>4335.116707868818</v>
      </c>
      <c r="E19" s="83">
        <f t="shared" si="2"/>
        <v>2292.6325250752243</v>
      </c>
      <c r="F19" s="84">
        <f t="shared" si="6"/>
        <v>5611.704777240389</v>
      </c>
      <c r="G19" s="84">
        <f t="shared" si="3"/>
        <v>6453.460493826447</v>
      </c>
      <c r="H19" s="84"/>
      <c r="I19" s="84"/>
      <c r="J19" s="84">
        <f t="shared" si="4"/>
        <v>7421.479567900414</v>
      </c>
      <c r="K19" s="84">
        <f t="shared" si="5"/>
        <v>8312.057116048463</v>
      </c>
    </row>
    <row r="20" spans="1:11" ht="12.75">
      <c r="A20" s="80">
        <v>14</v>
      </c>
      <c r="B20" s="82">
        <f t="shared" si="0"/>
        <v>15.742790656783724</v>
      </c>
      <c r="C20" s="83">
        <f>((B20*'[2]Indices'!B15)-1)*'[2]Proyección'!$F$48</f>
        <v>5571.943496961866</v>
      </c>
      <c r="D20" s="84">
        <f t="shared" si="1"/>
        <v>3644.5291606560595</v>
      </c>
      <c r="E20" s="83">
        <f t="shared" si="2"/>
        <v>1927.4143363058065</v>
      </c>
      <c r="F20" s="84">
        <f t="shared" si="6"/>
        <v>4717.755732970777</v>
      </c>
      <c r="G20" s="84">
        <f t="shared" si="3"/>
        <v>5425.419092916393</v>
      </c>
      <c r="H20" s="84"/>
      <c r="I20" s="84"/>
      <c r="J20" s="84">
        <f t="shared" si="4"/>
        <v>6239.231956853851</v>
      </c>
      <c r="K20" s="84">
        <f t="shared" si="5"/>
        <v>6987.939791676315</v>
      </c>
    </row>
    <row r="21" spans="1:11" ht="12.75">
      <c r="A21" s="80">
        <v>15</v>
      </c>
      <c r="B21" s="82">
        <f t="shared" si="0"/>
        <v>15.74093050972214</v>
      </c>
      <c r="C21" s="83">
        <f>((B21*'[2]Indices'!B16)-1)*'[2]Proyección'!$F$48</f>
        <v>6466.911240621772</v>
      </c>
      <c r="D21" s="84">
        <f t="shared" si="1"/>
        <v>4229.914859809966</v>
      </c>
      <c r="E21" s="83">
        <f t="shared" si="2"/>
        <v>2236.9963808118055</v>
      </c>
      <c r="F21" s="84">
        <f t="shared" si="6"/>
        <v>5475.523503907012</v>
      </c>
      <c r="G21" s="84">
        <f t="shared" si="3"/>
        <v>6296.852029493063</v>
      </c>
      <c r="H21" s="84"/>
      <c r="I21" s="84"/>
      <c r="J21" s="84">
        <f t="shared" si="4"/>
        <v>7241.379833917022</v>
      </c>
      <c r="K21" s="84">
        <f t="shared" si="5"/>
        <v>8110.345413987065</v>
      </c>
    </row>
    <row r="22" spans="1:11" ht="12.75">
      <c r="A22" s="80">
        <v>16</v>
      </c>
      <c r="B22" s="82">
        <f t="shared" si="0"/>
        <v>15.739070362660557</v>
      </c>
      <c r="C22" s="83">
        <f>((B22*'[2]Indices'!B17)-1)*'[2]Proyección'!$F$48</f>
        <v>5403.4865370504185</v>
      </c>
      <c r="D22" s="84">
        <f t="shared" si="1"/>
        <v>3534.3438540305533</v>
      </c>
      <c r="E22" s="83">
        <f t="shared" si="2"/>
        <v>1869.1426830198652</v>
      </c>
      <c r="F22" s="84">
        <f t="shared" si="6"/>
        <v>4575.123491848017</v>
      </c>
      <c r="G22" s="84">
        <f t="shared" si="3"/>
        <v>5261.392015625219</v>
      </c>
      <c r="H22" s="84"/>
      <c r="I22" s="84"/>
      <c r="J22" s="84">
        <f t="shared" si="4"/>
        <v>6050.600817969002</v>
      </c>
      <c r="K22" s="84">
        <f t="shared" si="5"/>
        <v>6776.672916125282</v>
      </c>
    </row>
    <row r="23" spans="1:11" ht="12.75">
      <c r="A23" s="80">
        <v>17</v>
      </c>
      <c r="B23" s="82">
        <f t="shared" si="0"/>
        <v>15.737210215598974</v>
      </c>
      <c r="C23" s="83">
        <f>((B23*'[2]Indices'!B18)-1)*'[2]Proyección'!$F$48</f>
        <v>4896.221677777936</v>
      </c>
      <c r="D23" s="84">
        <f t="shared" si="1"/>
        <v>3202.549109018747</v>
      </c>
      <c r="E23" s="83">
        <f t="shared" si="2"/>
        <v>1693.6725687591888</v>
      </c>
      <c r="F23" s="84">
        <f t="shared" si="6"/>
        <v>4145.62313900484</v>
      </c>
      <c r="G23" s="84">
        <f t="shared" si="3"/>
        <v>4767.466609855565</v>
      </c>
      <c r="H23" s="84"/>
      <c r="I23" s="84"/>
      <c r="J23" s="84">
        <f t="shared" si="4"/>
        <v>5482.5866013339</v>
      </c>
      <c r="K23" s="84">
        <f t="shared" si="5"/>
        <v>6140.496993493969</v>
      </c>
    </row>
    <row r="24" spans="1:11" ht="12.75">
      <c r="A24" s="80">
        <v>18</v>
      </c>
      <c r="B24" s="82">
        <f t="shared" si="0"/>
        <v>15.735350068537391</v>
      </c>
      <c r="C24" s="83">
        <f>((B24*'[2]Indices'!B19)-1)*'[2]Proyección'!$F$48</f>
        <v>6691.340291591602</v>
      </c>
      <c r="D24" s="84">
        <f t="shared" si="1"/>
        <v>4376.710716803831</v>
      </c>
      <c r="E24" s="83">
        <f t="shared" si="2"/>
        <v>2314.629574787771</v>
      </c>
      <c r="F24" s="84">
        <f t="shared" si="6"/>
        <v>5665.547225869632</v>
      </c>
      <c r="G24" s="84">
        <f t="shared" si="3"/>
        <v>6515.379309750076</v>
      </c>
      <c r="H24" s="84"/>
      <c r="I24" s="84"/>
      <c r="J24" s="84">
        <f t="shared" si="4"/>
        <v>7492.6862062125865</v>
      </c>
      <c r="K24" s="84">
        <f t="shared" si="5"/>
        <v>8391.808550958098</v>
      </c>
    </row>
    <row r="25" spans="1:11" ht="12.75">
      <c r="A25" s="80">
        <v>19</v>
      </c>
      <c r="B25" s="82">
        <f t="shared" si="0"/>
        <v>15.73348992147581</v>
      </c>
      <c r="C25" s="83">
        <f>((B25*'[2]Indices'!B20)-1)*'[2]Proyección'!$F$48</f>
        <v>5657.481818773061</v>
      </c>
      <c r="D25" s="84">
        <f t="shared" si="1"/>
        <v>3700.4785629363346</v>
      </c>
      <c r="E25" s="83">
        <f t="shared" si="2"/>
        <v>1957.003255836726</v>
      </c>
      <c r="F25" s="84">
        <f t="shared" si="6"/>
        <v>4790.180894556407</v>
      </c>
      <c r="G25" s="84">
        <f t="shared" si="3"/>
        <v>5508.708028739868</v>
      </c>
      <c r="H25" s="84"/>
      <c r="I25" s="84"/>
      <c r="J25" s="84">
        <f t="shared" si="4"/>
        <v>6335.014233050847</v>
      </c>
      <c r="K25" s="84">
        <f t="shared" si="5"/>
        <v>7095.21594101695</v>
      </c>
    </row>
    <row r="26" spans="1:11" ht="12.75">
      <c r="A26" s="80">
        <v>20</v>
      </c>
      <c r="B26" s="82">
        <f t="shared" si="0"/>
        <v>15.731629774414227</v>
      </c>
      <c r="C26" s="83">
        <f>((B26*'[2]Indices'!B21)-1)*'[2]Proyección'!$F$48</f>
        <v>6969.078396784121</v>
      </c>
      <c r="D26" s="84">
        <f t="shared" si="1"/>
        <v>4558.3752695674075</v>
      </c>
      <c r="E26" s="83">
        <f t="shared" si="2"/>
        <v>2410.7031272167133</v>
      </c>
      <c r="F26" s="84">
        <f t="shared" si="6"/>
        <v>5900.707639601553</v>
      </c>
      <c r="G26" s="84">
        <f t="shared" si="3"/>
        <v>6785.813785541785</v>
      </c>
      <c r="H26" s="84"/>
      <c r="I26" s="84"/>
      <c r="J26" s="84">
        <f t="shared" si="4"/>
        <v>7803.685853373053</v>
      </c>
      <c r="K26" s="84">
        <f t="shared" si="5"/>
        <v>8740.12815577782</v>
      </c>
    </row>
    <row r="27" spans="1:11" ht="12.75">
      <c r="A27" s="80">
        <v>21</v>
      </c>
      <c r="B27" s="82">
        <f t="shared" si="0"/>
        <v>15.729769627352644</v>
      </c>
      <c r="C27" s="83">
        <f>((B27*'[2]Indices'!B22)-1)*'[2]Proyección'!$F$48</f>
        <v>4788.282757257676</v>
      </c>
      <c r="D27" s="84">
        <f t="shared" si="1"/>
        <v>3131.9477930469825</v>
      </c>
      <c r="E27" s="83">
        <f t="shared" si="2"/>
        <v>1656.3349642106937</v>
      </c>
      <c r="F27" s="84">
        <f t="shared" si="6"/>
        <v>4054.2314259745845</v>
      </c>
      <c r="G27" s="84">
        <f t="shared" si="3"/>
        <v>4662.366139870772</v>
      </c>
      <c r="H27" s="84"/>
      <c r="I27" s="84"/>
      <c r="J27" s="84">
        <f t="shared" si="4"/>
        <v>5361.721060851387</v>
      </c>
      <c r="K27" s="84">
        <f t="shared" si="5"/>
        <v>6005.127588153554</v>
      </c>
    </row>
    <row r="28" spans="1:11" ht="12.75">
      <c r="A28" s="80">
        <v>22</v>
      </c>
      <c r="B28" s="82">
        <f t="shared" si="0"/>
        <v>15.72790948029106</v>
      </c>
      <c r="C28" s="83">
        <f>((B28*'[2]Indices'!B23)-1)*'[2]Proyección'!$F$48</f>
        <v>6540.653914014617</v>
      </c>
      <c r="D28" s="84">
        <f t="shared" si="1"/>
        <v>4278.148895871441</v>
      </c>
      <c r="E28" s="83">
        <f t="shared" si="2"/>
        <v>2262.505018143176</v>
      </c>
      <c r="F28" s="84">
        <f t="shared" si="6"/>
        <v>5537.9613086610225</v>
      </c>
      <c r="G28" s="84">
        <f t="shared" si="3"/>
        <v>6368.655504960176</v>
      </c>
      <c r="H28" s="84"/>
      <c r="I28" s="84"/>
      <c r="J28" s="84">
        <f t="shared" si="4"/>
        <v>7323.953830704201</v>
      </c>
      <c r="K28" s="84">
        <f t="shared" si="5"/>
        <v>8202.828290388707</v>
      </c>
    </row>
    <row r="29" spans="1:11" ht="12.75">
      <c r="A29" s="80">
        <v>23</v>
      </c>
      <c r="B29" s="82">
        <f t="shared" si="0"/>
        <v>15.726049333229478</v>
      </c>
      <c r="C29" s="83">
        <f>((B29*'[2]Indices'!B24)-1)*'[2]Proyección'!$F$48</f>
        <v>5644.387423391166</v>
      </c>
      <c r="D29" s="84">
        <f t="shared" si="1"/>
        <v>3691.9137047613553</v>
      </c>
      <c r="E29" s="83">
        <f t="shared" si="2"/>
        <v>1952.4737186298103</v>
      </c>
      <c r="F29" s="84">
        <f t="shared" si="6"/>
        <v>4779.093890727957</v>
      </c>
      <c r="G29" s="84">
        <f t="shared" si="3"/>
        <v>5495.95797433715</v>
      </c>
      <c r="H29" s="84"/>
      <c r="I29" s="84"/>
      <c r="J29" s="84">
        <f t="shared" si="4"/>
        <v>6320.351670487722</v>
      </c>
      <c r="K29" s="84">
        <f t="shared" si="5"/>
        <v>7078.79387094625</v>
      </c>
    </row>
    <row r="30" spans="1:11" ht="13.5" thickBot="1">
      <c r="A30" s="85">
        <v>24</v>
      </c>
      <c r="B30" s="86">
        <f t="shared" si="0"/>
        <v>15.724189186167896</v>
      </c>
      <c r="C30" s="83">
        <f>((B30*'[2]Indices'!B25)-1)*'[2]Proyección'!$F$48</f>
        <v>5495.535892058611</v>
      </c>
      <c r="D30" s="84">
        <f t="shared" si="1"/>
        <v>3594.552030716096</v>
      </c>
      <c r="E30" s="83">
        <f t="shared" si="2"/>
        <v>1900.9838613425154</v>
      </c>
      <c r="F30" s="84">
        <f t="shared" si="6"/>
        <v>4653.061534928129</v>
      </c>
      <c r="G30" s="84">
        <f t="shared" si="3"/>
        <v>5351.020765167348</v>
      </c>
      <c r="H30" s="84"/>
      <c r="I30" s="84"/>
      <c r="J30" s="84">
        <f t="shared" si="4"/>
        <v>6153.67387994245</v>
      </c>
      <c r="K30" s="84">
        <f t="shared" si="5"/>
        <v>6892.114745535545</v>
      </c>
    </row>
    <row r="31" spans="1:11" ht="16.5" thickBot="1">
      <c r="A31" s="435" t="s">
        <v>1</v>
      </c>
      <c r="B31" s="436"/>
      <c r="C31" s="87">
        <f aca="true" t="shared" si="7" ref="C31:K31">SUM(C7:C30)</f>
        <v>142042.96569189982</v>
      </c>
      <c r="D31" s="87">
        <f t="shared" si="7"/>
        <v>92908.2878913731</v>
      </c>
      <c r="E31" s="87">
        <f t="shared" si="7"/>
        <v>49134.67780052674</v>
      </c>
      <c r="F31" s="87">
        <f t="shared" si="7"/>
        <v>120267.55405659099</v>
      </c>
      <c r="G31" s="88">
        <f t="shared" si="7"/>
        <v>138307.6871650796</v>
      </c>
      <c r="H31" s="88"/>
      <c r="I31" s="88"/>
      <c r="J31" s="88">
        <f t="shared" si="7"/>
        <v>159053.84023984155</v>
      </c>
      <c r="K31" s="88">
        <f t="shared" si="7"/>
        <v>178140.30106862256</v>
      </c>
    </row>
    <row r="33" ht="12.75">
      <c r="A33" t="s">
        <v>44</v>
      </c>
    </row>
    <row r="35" spans="1:6" ht="12.75">
      <c r="A35">
        <v>1999</v>
      </c>
      <c r="C35" t="s">
        <v>45</v>
      </c>
      <c r="D35">
        <v>24</v>
      </c>
      <c r="F35">
        <f>SUM('[2]Publicaciones'!E26:E45)</f>
        <v>287</v>
      </c>
    </row>
    <row r="36" spans="3:6" ht="12.75">
      <c r="C36" t="s">
        <v>46</v>
      </c>
      <c r="D36" t="s">
        <v>47</v>
      </c>
      <c r="E36" t="s">
        <v>186</v>
      </c>
      <c r="F36" t="s">
        <v>49</v>
      </c>
    </row>
    <row r="37" spans="1:6" ht="12.75">
      <c r="A37" t="s">
        <v>1</v>
      </c>
      <c r="C37" s="37">
        <f>SUM(C38:C39)</f>
        <v>1427827225</v>
      </c>
      <c r="D37" s="37">
        <f>SUM(D38:D39)</f>
        <v>135728.2468689845</v>
      </c>
      <c r="E37" s="26">
        <f>D37/D35</f>
        <v>5655.343619541021</v>
      </c>
      <c r="F37" s="26">
        <f>D37/F35</f>
        <v>472.92072079785544</v>
      </c>
    </row>
    <row r="38" spans="1:4" ht="12.75">
      <c r="A38" t="s">
        <v>50</v>
      </c>
      <c r="C38" s="37">
        <v>926881425</v>
      </c>
      <c r="D38" s="37">
        <f>C38/10519.75</f>
        <v>88108.69317236626</v>
      </c>
    </row>
    <row r="39" spans="1:4" ht="12.75">
      <c r="A39" t="s">
        <v>51</v>
      </c>
      <c r="C39" s="37">
        <v>500945800</v>
      </c>
      <c r="D39" s="37">
        <f>C39/10519.75</f>
        <v>47619.55369661826</v>
      </c>
    </row>
    <row r="41" spans="1:6" ht="12.75">
      <c r="A41">
        <v>2000</v>
      </c>
      <c r="C41" t="s">
        <v>52</v>
      </c>
      <c r="D41">
        <v>14</v>
      </c>
      <c r="F41">
        <f>SUM('[2]Publicaciones'!E74:E86)+16</f>
        <v>224</v>
      </c>
    </row>
    <row r="43" spans="1:6" ht="12.75">
      <c r="A43" t="s">
        <v>53</v>
      </c>
      <c r="D43" s="37">
        <f>SUM(D44:D45)</f>
        <v>74593</v>
      </c>
      <c r="E43" s="26">
        <f>D43/D41</f>
        <v>5328.071428571428</v>
      </c>
      <c r="F43" s="26">
        <f>D43/F41</f>
        <v>333.0044642857143</v>
      </c>
    </row>
    <row r="44" spans="1:4" ht="12.75">
      <c r="A44" t="s">
        <v>50</v>
      </c>
      <c r="D44" s="37">
        <v>37494</v>
      </c>
    </row>
    <row r="45" spans="1:4" ht="12.75">
      <c r="A45" t="s">
        <v>51</v>
      </c>
      <c r="D45" s="37">
        <v>37099</v>
      </c>
    </row>
    <row r="48" spans="1:6" ht="12.75">
      <c r="A48" t="s">
        <v>54</v>
      </c>
      <c r="E48" s="26">
        <f>AVERAGE(E37,E43)</f>
        <v>5491.707524056224</v>
      </c>
      <c r="F48" s="26">
        <f>AVERAGE(F37,F43)</f>
        <v>402.96259254178483</v>
      </c>
    </row>
  </sheetData>
  <mergeCells count="1">
    <mergeCell ref="A31:B31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44"/>
  <sheetViews>
    <sheetView workbookViewId="0" topLeftCell="A22">
      <selection activeCell="C39" sqref="C39"/>
    </sheetView>
  </sheetViews>
  <sheetFormatPr defaultColWidth="11.421875" defaultRowHeight="12.75"/>
  <cols>
    <col min="1" max="1" width="19.140625" style="37" customWidth="1"/>
    <col min="2" max="2" width="33.28125" style="37" bestFit="1" customWidth="1"/>
    <col min="3" max="3" width="18.57421875" style="37" bestFit="1" customWidth="1"/>
    <col min="4" max="4" width="11.421875" style="37" customWidth="1"/>
    <col min="5" max="5" width="18.28125" style="37" bestFit="1" customWidth="1"/>
    <col min="6" max="6" width="11.421875" style="37" customWidth="1"/>
    <col min="7" max="7" width="17.28125" style="37" bestFit="1" customWidth="1"/>
    <col min="8" max="16384" width="11.421875" style="37" customWidth="1"/>
  </cols>
  <sheetData>
    <row r="4" spans="2:7" ht="15.75">
      <c r="B4" s="140" t="s">
        <v>388</v>
      </c>
      <c r="G4" s="138" t="s">
        <v>387</v>
      </c>
    </row>
    <row r="5" ht="15.75">
      <c r="G5" s="138"/>
    </row>
    <row r="6" spans="2:7" ht="15.75">
      <c r="B6" s="37" t="s">
        <v>371</v>
      </c>
      <c r="D6" s="37">
        <f>'Ing Subasta'!D53</f>
        <v>1765</v>
      </c>
      <c r="E6" s="108">
        <f>D6/$D$10</f>
        <v>0.33193495966092973</v>
      </c>
      <c r="G6" s="188">
        <f>E6*$B$37</f>
        <v>342.652197581473</v>
      </c>
    </row>
    <row r="7" spans="2:7" ht="15.75">
      <c r="B7" s="37" t="s">
        <v>372</v>
      </c>
      <c r="D7" s="37">
        <f>'Ing. Consultoria'!B70</f>
        <v>259</v>
      </c>
      <c r="E7" s="108">
        <f>D7/$D$10</f>
        <v>0.04870886943466334</v>
      </c>
      <c r="G7" s="188">
        <f>E7*$B$37</f>
        <v>50.281540608272806</v>
      </c>
    </row>
    <row r="8" spans="1:7" ht="15.75">
      <c r="A8" s="185"/>
      <c r="B8" s="37" t="s">
        <v>373</v>
      </c>
      <c r="D8" s="37">
        <f>'Publicaciones 1er año'!D50+'Publicaciones 2do año'!D3+'Venta de Banners'!E2</f>
        <v>3293.3067452820897</v>
      </c>
      <c r="E8" s="108">
        <f>D8/$D$10</f>
        <v>0.619356170904407</v>
      </c>
      <c r="G8" s="188">
        <f>E8*$B$37</f>
        <v>639.3534241250971</v>
      </c>
    </row>
    <row r="9" ht="12.75">
      <c r="A9" s="185"/>
    </row>
    <row r="10" spans="1:7" ht="15.75">
      <c r="A10" s="185"/>
      <c r="B10" s="140" t="s">
        <v>374</v>
      </c>
      <c r="D10" s="140">
        <f>SUM(D6:D8)</f>
        <v>5317.30674528209</v>
      </c>
      <c r="G10" s="188">
        <f>SUM(G6:G9)</f>
        <v>1032.287162314843</v>
      </c>
    </row>
    <row r="11" ht="12.75">
      <c r="A11" s="185"/>
    </row>
    <row r="12" ht="12.75">
      <c r="A12" s="185"/>
    </row>
    <row r="13" spans="1:2" ht="12.75">
      <c r="A13" s="185"/>
      <c r="B13" s="140" t="s">
        <v>375</v>
      </c>
    </row>
    <row r="14" ht="12.75">
      <c r="A14" s="185"/>
    </row>
    <row r="15" ht="12.75">
      <c r="A15" s="185"/>
    </row>
    <row r="16" spans="1:4" ht="12.75">
      <c r="A16" s="185"/>
      <c r="B16" s="37" t="s">
        <v>376</v>
      </c>
      <c r="D16" s="37">
        <f>SUM('Flujo de Caja'!E23:AN23)</f>
        <v>330712.66380758956</v>
      </c>
    </row>
    <row r="17" ht="12.75">
      <c r="A17" s="185"/>
    </row>
    <row r="18" spans="1:4" ht="12.75">
      <c r="A18" s="185"/>
      <c r="B18" s="37" t="s">
        <v>377</v>
      </c>
      <c r="D18" s="37">
        <f>SUM('Flujo de Caja'!E44:AN44)</f>
        <v>150606.38619390206</v>
      </c>
    </row>
    <row r="19" ht="12.75">
      <c r="A19" s="185"/>
    </row>
    <row r="20" ht="12.75">
      <c r="A20" s="185"/>
    </row>
    <row r="21" spans="1:3" ht="12.75">
      <c r="A21" s="185"/>
      <c r="B21" s="37" t="s">
        <v>378</v>
      </c>
      <c r="C21" s="37" t="s">
        <v>379</v>
      </c>
    </row>
    <row r="22" spans="1:3" ht="12.75">
      <c r="A22" s="185"/>
      <c r="B22" s="37">
        <v>0</v>
      </c>
      <c r="C22" s="37">
        <v>0</v>
      </c>
    </row>
    <row r="23" spans="1:3" ht="12.75">
      <c r="A23" s="185"/>
      <c r="B23" s="76">
        <f>D16</f>
        <v>330712.66380758956</v>
      </c>
      <c r="C23" s="76">
        <f>D10</f>
        <v>5317.30674528209</v>
      </c>
    </row>
    <row r="24" ht="12.75">
      <c r="A24" s="185"/>
    </row>
    <row r="25" spans="1:2" ht="12.75">
      <c r="A25" s="185"/>
      <c r="B25" s="147" t="s">
        <v>380</v>
      </c>
    </row>
    <row r="26" spans="1:3" ht="12.75">
      <c r="A26" s="185"/>
      <c r="B26" s="76">
        <v>43388.69277796342</v>
      </c>
      <c r="C26" s="37">
        <v>0</v>
      </c>
    </row>
    <row r="27" spans="1:3" ht="12.75">
      <c r="A27" s="185"/>
      <c r="B27" s="76">
        <f>D18</f>
        <v>150606.38619390206</v>
      </c>
      <c r="C27" s="76">
        <f>D10</f>
        <v>5317.30674528209</v>
      </c>
    </row>
    <row r="28" ht="12.75">
      <c r="A28" s="185"/>
    </row>
    <row r="29" ht="12.75">
      <c r="A29" s="185"/>
    </row>
    <row r="30" ht="12.75">
      <c r="A30" s="185"/>
    </row>
    <row r="31" ht="12.75">
      <c r="A31" s="185"/>
    </row>
    <row r="32" spans="1:5" ht="12.75">
      <c r="A32" s="185"/>
      <c r="B32" s="147" t="s">
        <v>384</v>
      </c>
      <c r="C32" s="186">
        <f>B23/C23</f>
        <v>62.19552108800615</v>
      </c>
      <c r="D32" s="147" t="s">
        <v>381</v>
      </c>
      <c r="E32" s="147" t="s">
        <v>382</v>
      </c>
    </row>
    <row r="33" spans="1:5" ht="12.75">
      <c r="A33" s="185"/>
      <c r="B33" s="147" t="s">
        <v>383</v>
      </c>
      <c r="C33" s="186">
        <f>(B27-B26)/C27</f>
        <v>20.163909767114745</v>
      </c>
      <c r="D33" s="147" t="s">
        <v>381</v>
      </c>
      <c r="E33" s="187">
        <f>B27-(C33*C27)</f>
        <v>43388.69277796341</v>
      </c>
    </row>
    <row r="34" ht="12.75">
      <c r="A34" s="185"/>
    </row>
    <row r="35" spans="1:2" ht="12.75">
      <c r="A35" s="185"/>
      <c r="B35" s="147" t="s">
        <v>385</v>
      </c>
    </row>
    <row r="36" ht="12.75">
      <c r="A36" s="185"/>
    </row>
    <row r="37" spans="1:2" ht="12.75">
      <c r="A37" s="185"/>
      <c r="B37" s="76">
        <f>E33/(C32-C33)</f>
        <v>1032.2871623148428</v>
      </c>
    </row>
    <row r="38" spans="1:2" ht="15.75">
      <c r="A38" s="382" t="s">
        <v>386</v>
      </c>
      <c r="B38" s="383">
        <v>1032</v>
      </c>
    </row>
    <row r="39" ht="12.75">
      <c r="A39" s="185"/>
    </row>
    <row r="40" ht="12.75">
      <c r="A40" s="185"/>
    </row>
    <row r="41" ht="12.75">
      <c r="A41" s="185"/>
    </row>
    <row r="42" ht="12.75">
      <c r="A42" s="185"/>
    </row>
    <row r="43" ht="12.75">
      <c r="A43" s="185"/>
    </row>
    <row r="44" ht="12.75">
      <c r="A44" s="185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:C1"/>
    </sheetView>
  </sheetViews>
  <sheetFormatPr defaultColWidth="11.421875" defaultRowHeight="12.75"/>
  <cols>
    <col min="1" max="1" width="39.57421875" style="357" customWidth="1"/>
    <col min="2" max="2" width="14.8515625" style="343" customWidth="1"/>
    <col min="3" max="3" width="12.57421875" style="357" bestFit="1" customWidth="1"/>
    <col min="4" max="16384" width="11.421875" style="357" customWidth="1"/>
  </cols>
  <sheetData>
    <row r="1" spans="1:3" ht="18">
      <c r="A1" s="396" t="s">
        <v>441</v>
      </c>
      <c r="B1" s="396"/>
      <c r="C1" s="396"/>
    </row>
    <row r="3" spans="1:3" ht="15.75">
      <c r="A3" s="395" t="s">
        <v>442</v>
      </c>
      <c r="B3" s="395"/>
      <c r="C3" s="395"/>
    </row>
    <row r="4" ht="15.75">
      <c r="A4" s="358"/>
    </row>
    <row r="5" ht="15.75" thickBot="1"/>
    <row r="6" spans="1:3" ht="17.25">
      <c r="A6" s="359" t="s">
        <v>446</v>
      </c>
      <c r="B6" s="393" t="s">
        <v>234</v>
      </c>
      <c r="C6" s="394"/>
    </row>
    <row r="7" spans="1:3" ht="15">
      <c r="A7" s="360"/>
      <c r="B7" s="342"/>
      <c r="C7" s="361"/>
    </row>
    <row r="8" spans="1:3" ht="15.75">
      <c r="A8" s="362" t="s">
        <v>447</v>
      </c>
      <c r="B8" s="363"/>
      <c r="C8" s="364">
        <f>SUM(B10:B12)</f>
        <v>317</v>
      </c>
    </row>
    <row r="9" spans="1:3" ht="15">
      <c r="A9" s="360"/>
      <c r="B9" s="342"/>
      <c r="C9" s="361"/>
    </row>
    <row r="10" spans="1:3" ht="15">
      <c r="A10" s="360" t="s">
        <v>443</v>
      </c>
      <c r="B10" s="342">
        <v>77</v>
      </c>
      <c r="C10" s="361"/>
    </row>
    <row r="11" spans="1:3" ht="15">
      <c r="A11" s="360" t="s">
        <v>444</v>
      </c>
      <c r="B11" s="342">
        <v>90</v>
      </c>
      <c r="C11" s="361"/>
    </row>
    <row r="12" spans="1:3" ht="15">
      <c r="A12" s="360" t="s">
        <v>445</v>
      </c>
      <c r="B12" s="342">
        <v>150</v>
      </c>
      <c r="C12" s="361"/>
    </row>
    <row r="13" spans="1:3" ht="15">
      <c r="A13" s="360"/>
      <c r="B13" s="342"/>
      <c r="C13" s="361"/>
    </row>
    <row r="14" spans="1:3" ht="15.75">
      <c r="A14" s="362" t="s">
        <v>448</v>
      </c>
      <c r="B14" s="363"/>
      <c r="C14" s="364">
        <f>SUM(B16:B21)</f>
        <v>28650</v>
      </c>
    </row>
    <row r="15" spans="1:3" ht="15">
      <c r="A15" s="360"/>
      <c r="B15" s="342"/>
      <c r="C15" s="361"/>
    </row>
    <row r="16" spans="1:3" ht="15">
      <c r="A16" s="360" t="s">
        <v>245</v>
      </c>
      <c r="B16" s="342">
        <v>16360</v>
      </c>
      <c r="C16" s="361"/>
    </row>
    <row r="17" spans="1:3" ht="15">
      <c r="A17" s="360" t="s">
        <v>257</v>
      </c>
      <c r="B17" s="342">
        <v>150</v>
      </c>
      <c r="C17" s="361"/>
    </row>
    <row r="18" spans="1:3" ht="15">
      <c r="A18" s="360" t="s">
        <v>259</v>
      </c>
      <c r="B18" s="342">
        <v>2040</v>
      </c>
      <c r="C18" s="361"/>
    </row>
    <row r="19" spans="1:3" ht="15">
      <c r="A19" s="360" t="s">
        <v>449</v>
      </c>
      <c r="B19" s="342">
        <v>7240</v>
      </c>
      <c r="C19" s="361"/>
    </row>
    <row r="20" spans="1:3" ht="15">
      <c r="A20" s="360" t="s">
        <v>269</v>
      </c>
      <c r="B20" s="342">
        <v>1600</v>
      </c>
      <c r="C20" s="361"/>
    </row>
    <row r="21" spans="1:3" ht="15">
      <c r="A21" s="360" t="s">
        <v>272</v>
      </c>
      <c r="B21" s="342">
        <v>1260</v>
      </c>
      <c r="C21" s="361"/>
    </row>
    <row r="22" spans="1:3" ht="15">
      <c r="A22" s="360"/>
      <c r="B22" s="342"/>
      <c r="C22" s="361"/>
    </row>
    <row r="23" spans="1:3" ht="15.75">
      <c r="A23" s="362" t="s">
        <v>451</v>
      </c>
      <c r="B23" s="363"/>
      <c r="C23" s="364">
        <v>400</v>
      </c>
    </row>
    <row r="24" spans="1:3" ht="15">
      <c r="A24" s="360"/>
      <c r="B24" s="342"/>
      <c r="C24" s="361"/>
    </row>
    <row r="25" spans="1:3" ht="15.75">
      <c r="A25" s="362" t="s">
        <v>450</v>
      </c>
      <c r="B25" s="363"/>
      <c r="C25" s="364">
        <v>750</v>
      </c>
    </row>
    <row r="26" spans="1:3" ht="15">
      <c r="A26" s="360"/>
      <c r="B26" s="342"/>
      <c r="C26" s="361"/>
    </row>
    <row r="27" spans="1:3" ht="15.75">
      <c r="A27" s="362" t="s">
        <v>452</v>
      </c>
      <c r="B27" s="363"/>
      <c r="C27" s="364">
        <f>SUM(B29:B30)</f>
        <v>10000</v>
      </c>
    </row>
    <row r="28" spans="1:3" ht="15">
      <c r="A28" s="360"/>
      <c r="B28" s="342"/>
      <c r="C28" s="361"/>
    </row>
    <row r="29" spans="1:3" ht="15">
      <c r="A29" s="360" t="s">
        <v>453</v>
      </c>
      <c r="B29" s="342">
        <v>5000</v>
      </c>
      <c r="C29" s="361"/>
    </row>
    <row r="30" spans="1:3" ht="15">
      <c r="A30" s="360" t="s">
        <v>454</v>
      </c>
      <c r="B30" s="342">
        <v>5000</v>
      </c>
      <c r="C30" s="361"/>
    </row>
    <row r="31" spans="1:3" ht="15.75" thickBot="1">
      <c r="A31" s="365"/>
      <c r="B31" s="366"/>
      <c r="C31" s="367"/>
    </row>
  </sheetData>
  <mergeCells count="3">
    <mergeCell ref="B6:C6"/>
    <mergeCell ref="A3:C3"/>
    <mergeCell ref="A1:C1"/>
  </mergeCells>
  <printOptions/>
  <pageMargins left="1.5748031496062993" right="0.9448818897637796" top="1.5748031496062993" bottom="1.5748031496062993" header="0" footer="0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78"/>
  <sheetViews>
    <sheetView workbookViewId="0" topLeftCell="B59">
      <selection activeCell="E17" sqref="E17"/>
    </sheetView>
  </sheetViews>
  <sheetFormatPr defaultColWidth="11.421875" defaultRowHeight="12.75"/>
  <cols>
    <col min="1" max="1" width="40.00390625" style="0" bestFit="1" customWidth="1"/>
    <col min="2" max="2" width="15.28125" style="0" bestFit="1" customWidth="1"/>
    <col min="3" max="3" width="18.140625" style="0" bestFit="1" customWidth="1"/>
    <col min="4" max="4" width="28.140625" style="0" bestFit="1" customWidth="1"/>
    <col min="5" max="5" width="15.00390625" style="0" bestFit="1" customWidth="1"/>
    <col min="6" max="6" width="15.00390625" style="0" customWidth="1"/>
  </cols>
  <sheetData>
    <row r="2" spans="1:5" ht="15.75">
      <c r="A2" s="20" t="s">
        <v>147</v>
      </c>
      <c r="B2" s="20">
        <v>3</v>
      </c>
      <c r="C2" s="20" t="s">
        <v>148</v>
      </c>
      <c r="D2" s="20" t="s">
        <v>368</v>
      </c>
      <c r="E2" s="20">
        <f>60*36</f>
        <v>2160</v>
      </c>
    </row>
    <row r="3" spans="1:7" ht="15.75">
      <c r="A3" s="20" t="s">
        <v>149</v>
      </c>
      <c r="B3" s="20">
        <v>5</v>
      </c>
      <c r="C3" s="20" t="s">
        <v>150</v>
      </c>
      <c r="G3" s="3" t="s">
        <v>151</v>
      </c>
    </row>
    <row r="4" spans="1:7" ht="15.75">
      <c r="A4" s="20" t="s">
        <v>152</v>
      </c>
      <c r="B4" s="20">
        <v>6</v>
      </c>
      <c r="C4" s="20"/>
      <c r="D4" s="3" t="s">
        <v>153</v>
      </c>
      <c r="E4" s="3" t="s">
        <v>154</v>
      </c>
      <c r="F4" s="3" t="s">
        <v>155</v>
      </c>
      <c r="G4" s="3" t="s">
        <v>156</v>
      </c>
    </row>
    <row r="5" spans="1:7" ht="15.75">
      <c r="A5" s="20" t="s">
        <v>157</v>
      </c>
      <c r="B5" s="21">
        <v>0.65</v>
      </c>
      <c r="C5" s="22">
        <v>1</v>
      </c>
      <c r="D5" t="s">
        <v>158</v>
      </c>
      <c r="E5" s="1" t="s">
        <v>159</v>
      </c>
      <c r="F5" s="1" t="s">
        <v>160</v>
      </c>
      <c r="G5">
        <v>20</v>
      </c>
    </row>
    <row r="6" spans="1:7" ht="15.75">
      <c r="A6" s="20" t="s">
        <v>161</v>
      </c>
      <c r="B6" s="21">
        <f>1-B5</f>
        <v>0.35</v>
      </c>
      <c r="C6" s="22">
        <v>0.3</v>
      </c>
      <c r="D6" t="s">
        <v>162</v>
      </c>
      <c r="E6" s="1" t="s">
        <v>163</v>
      </c>
      <c r="F6" s="1" t="s">
        <v>160</v>
      </c>
      <c r="G6">
        <f>$G$5*C6</f>
        <v>6</v>
      </c>
    </row>
    <row r="7" spans="1:7" ht="15.75">
      <c r="A7" s="20" t="s">
        <v>164</v>
      </c>
      <c r="B7" s="21">
        <v>0.5</v>
      </c>
      <c r="C7" s="22">
        <v>0.3</v>
      </c>
      <c r="D7" t="s">
        <v>165</v>
      </c>
      <c r="E7" s="1" t="s">
        <v>163</v>
      </c>
      <c r="F7" s="1" t="s">
        <v>160</v>
      </c>
      <c r="G7">
        <f>$G$5*C7</f>
        <v>6</v>
      </c>
    </row>
    <row r="8" spans="1:7" ht="15.75">
      <c r="A8" s="20" t="s">
        <v>166</v>
      </c>
      <c r="B8" s="21">
        <f>1-B7</f>
        <v>0.5</v>
      </c>
      <c r="C8" s="22">
        <v>0.2</v>
      </c>
      <c r="D8" t="s">
        <v>167</v>
      </c>
      <c r="E8" s="1" t="s">
        <v>168</v>
      </c>
      <c r="F8" s="1" t="s">
        <v>160</v>
      </c>
      <c r="G8">
        <f>$G$5*C8</f>
        <v>4</v>
      </c>
    </row>
    <row r="9" spans="3:7" ht="12.75">
      <c r="C9" s="22">
        <v>0.2</v>
      </c>
      <c r="D9" t="s">
        <v>169</v>
      </c>
      <c r="E9" s="1" t="s">
        <v>168</v>
      </c>
      <c r="F9" s="1" t="s">
        <v>160</v>
      </c>
      <c r="G9">
        <f>$G$5*C9</f>
        <v>4</v>
      </c>
    </row>
    <row r="10" spans="3:7" ht="12.75">
      <c r="C10" s="22">
        <v>0.5</v>
      </c>
      <c r="D10" t="s">
        <v>170</v>
      </c>
      <c r="E10" s="1" t="s">
        <v>159</v>
      </c>
      <c r="F10" s="1" t="s">
        <v>160</v>
      </c>
      <c r="G10">
        <f>$G$5*C10</f>
        <v>10</v>
      </c>
    </row>
    <row r="11" spans="5:7" ht="13.5" thickBot="1">
      <c r="E11" s="23" t="s">
        <v>1</v>
      </c>
      <c r="F11" s="23"/>
      <c r="G11" s="24">
        <f>SUM(G5:G10)</f>
        <v>50</v>
      </c>
    </row>
    <row r="12" spans="4:6" ht="16.5" thickTop="1">
      <c r="D12" s="20" t="s">
        <v>171</v>
      </c>
      <c r="E12" s="20">
        <f>G11/1000</f>
        <v>0.05</v>
      </c>
      <c r="F12" s="20"/>
    </row>
    <row r="13" ht="12.75">
      <c r="A13" s="2"/>
    </row>
    <row r="14" spans="1:6" ht="12.75">
      <c r="A14" s="2"/>
      <c r="D14" s="2"/>
      <c r="E14" s="25"/>
      <c r="F14" s="25"/>
    </row>
    <row r="15" ht="12.75">
      <c r="A15" s="2"/>
    </row>
    <row r="16" spans="3:5" ht="12.75">
      <c r="C16" t="s">
        <v>364</v>
      </c>
      <c r="D16" s="181">
        <v>0.05</v>
      </c>
      <c r="E16" s="181">
        <v>0.1</v>
      </c>
    </row>
    <row r="17" spans="1:6" ht="12.75">
      <c r="A17" s="3" t="s">
        <v>0</v>
      </c>
      <c r="B17" s="3" t="s">
        <v>172</v>
      </c>
      <c r="C17" s="3" t="s">
        <v>173</v>
      </c>
      <c r="D17" s="3" t="s">
        <v>174</v>
      </c>
      <c r="E17" s="3" t="s">
        <v>175</v>
      </c>
      <c r="F17" s="3"/>
    </row>
    <row r="18" spans="1:6" ht="12.75">
      <c r="A18">
        <v>1</v>
      </c>
      <c r="B18" s="76">
        <v>1000</v>
      </c>
      <c r="C18" s="76">
        <f>B18*$B$2*$B$3</f>
        <v>15000</v>
      </c>
      <c r="D18" s="26">
        <f>C18*$E$12*$B$5</f>
        <v>487.5</v>
      </c>
      <c r="E18" s="37">
        <f>(D18*$B$7*(1-20%))+(D18*$B$8*(1-28%))</f>
        <v>370.5</v>
      </c>
      <c r="F18" s="37"/>
    </row>
    <row r="19" spans="1:6" ht="12.75">
      <c r="A19">
        <f>A18+1</f>
        <v>2</v>
      </c>
      <c r="B19" s="76">
        <v>2000</v>
      </c>
      <c r="C19" s="76">
        <f aca="true" t="shared" si="0" ref="C19:C77">B19*$B$2*$B$3</f>
        <v>30000</v>
      </c>
      <c r="D19" s="26">
        <f>C19*$E$12*$B$5</f>
        <v>975</v>
      </c>
      <c r="E19" s="37">
        <f aca="true" t="shared" si="1" ref="E19:E29">(D19*$B$7*(1-20%))+(D19*$B$8*(1-28%))</f>
        <v>741</v>
      </c>
      <c r="F19" s="37"/>
    </row>
    <row r="20" spans="1:6" ht="12.75">
      <c r="A20">
        <f aca="true" t="shared" si="2" ref="A20:A40">A19+1</f>
        <v>3</v>
      </c>
      <c r="B20" s="76">
        <v>3000</v>
      </c>
      <c r="C20" s="76">
        <f t="shared" si="0"/>
        <v>45000</v>
      </c>
      <c r="D20" s="26">
        <f>C20*$E$12*$B$5</f>
        <v>1462.5</v>
      </c>
      <c r="E20" s="37">
        <f t="shared" si="1"/>
        <v>1111.5</v>
      </c>
      <c r="F20" s="37"/>
    </row>
    <row r="21" spans="1:6" ht="12.75">
      <c r="A21">
        <f t="shared" si="2"/>
        <v>4</v>
      </c>
      <c r="B21" s="76">
        <f>B20*(1+5%)</f>
        <v>3150</v>
      </c>
      <c r="C21" s="76">
        <f t="shared" si="0"/>
        <v>47250</v>
      </c>
      <c r="D21" s="26">
        <f>C21*$E$12*$B$5</f>
        <v>1535.625</v>
      </c>
      <c r="E21" s="37">
        <f t="shared" si="1"/>
        <v>1167.0749999999998</v>
      </c>
      <c r="F21" s="37"/>
    </row>
    <row r="22" spans="1:6" ht="12.75">
      <c r="A22">
        <f t="shared" si="2"/>
        <v>5</v>
      </c>
      <c r="B22" s="76">
        <f>B21*(1+5%)</f>
        <v>3307.5</v>
      </c>
      <c r="C22" s="76">
        <f t="shared" si="0"/>
        <v>49612.5</v>
      </c>
      <c r="D22" s="26">
        <f>C22*$E$12*$B$5</f>
        <v>1612.40625</v>
      </c>
      <c r="E22" s="37">
        <f t="shared" si="1"/>
        <v>1225.42875</v>
      </c>
      <c r="F22" s="37"/>
    </row>
    <row r="23" spans="1:6" ht="12.75">
      <c r="A23">
        <f t="shared" si="2"/>
        <v>6</v>
      </c>
      <c r="B23" s="76">
        <f>B22*(1+5%)</f>
        <v>3472.875</v>
      </c>
      <c r="C23" s="76">
        <f t="shared" si="0"/>
        <v>52093.125</v>
      </c>
      <c r="D23" s="26">
        <f aca="true" t="shared" si="3" ref="D23:D77">C23*$E$12*$B$5</f>
        <v>1693.0265625</v>
      </c>
      <c r="E23" s="37">
        <f t="shared" si="1"/>
        <v>1286.7001875</v>
      </c>
      <c r="F23" s="37"/>
    </row>
    <row r="24" spans="1:6" ht="12.75">
      <c r="A24">
        <f t="shared" si="2"/>
        <v>7</v>
      </c>
      <c r="B24" s="76">
        <f aca="true" t="shared" si="4" ref="B24:B40">B23*(1+5%)</f>
        <v>3646.51875</v>
      </c>
      <c r="C24" s="76">
        <f t="shared" si="0"/>
        <v>54697.78125000001</v>
      </c>
      <c r="D24" s="26">
        <f t="shared" si="3"/>
        <v>1777.6778906250004</v>
      </c>
      <c r="E24" s="37">
        <f t="shared" si="1"/>
        <v>1351.0351968750003</v>
      </c>
      <c r="F24" s="37"/>
    </row>
    <row r="25" spans="1:6" ht="12.75">
      <c r="A25">
        <f t="shared" si="2"/>
        <v>8</v>
      </c>
      <c r="B25" s="76">
        <f t="shared" si="4"/>
        <v>3828.8446875000004</v>
      </c>
      <c r="C25" s="76">
        <f t="shared" si="0"/>
        <v>57432.670312500006</v>
      </c>
      <c r="D25" s="26">
        <f t="shared" si="3"/>
        <v>1866.5617851562504</v>
      </c>
      <c r="E25" s="37">
        <f t="shared" si="1"/>
        <v>1418.5869567187503</v>
      </c>
      <c r="F25" s="37"/>
    </row>
    <row r="26" spans="1:6" ht="12.75">
      <c r="A26">
        <f t="shared" si="2"/>
        <v>9</v>
      </c>
      <c r="B26" s="76">
        <f t="shared" si="4"/>
        <v>4020.2869218750006</v>
      </c>
      <c r="C26" s="76">
        <f t="shared" si="0"/>
        <v>60304.30382812501</v>
      </c>
      <c r="D26" s="26">
        <f t="shared" si="3"/>
        <v>1959.889874414063</v>
      </c>
      <c r="E26" s="37">
        <f t="shared" si="1"/>
        <v>1489.5163045546878</v>
      </c>
      <c r="F26" s="37"/>
    </row>
    <row r="27" spans="1:6" ht="12.75">
      <c r="A27">
        <f t="shared" si="2"/>
        <v>10</v>
      </c>
      <c r="B27" s="76">
        <f t="shared" si="4"/>
        <v>4221.301267968751</v>
      </c>
      <c r="C27" s="76">
        <f t="shared" si="0"/>
        <v>63319.51901953126</v>
      </c>
      <c r="D27" s="26">
        <f t="shared" si="3"/>
        <v>2057.884368134766</v>
      </c>
      <c r="E27" s="37">
        <f t="shared" si="1"/>
        <v>1563.9921197824224</v>
      </c>
      <c r="F27" s="37"/>
    </row>
    <row r="28" spans="1:6" ht="12.75">
      <c r="A28">
        <f t="shared" si="2"/>
        <v>11</v>
      </c>
      <c r="B28" s="76">
        <f t="shared" si="4"/>
        <v>4432.366331367189</v>
      </c>
      <c r="C28" s="76">
        <f t="shared" si="0"/>
        <v>66485.49497050783</v>
      </c>
      <c r="D28" s="26">
        <f t="shared" si="3"/>
        <v>2160.778586541505</v>
      </c>
      <c r="E28" s="37">
        <f t="shared" si="1"/>
        <v>1642.1917257715436</v>
      </c>
      <c r="F28" s="37"/>
    </row>
    <row r="29" spans="1:6" ht="12.75">
      <c r="A29">
        <f t="shared" si="2"/>
        <v>12</v>
      </c>
      <c r="B29" s="76">
        <f t="shared" si="4"/>
        <v>4653.984647935548</v>
      </c>
      <c r="C29" s="76">
        <f t="shared" si="0"/>
        <v>69809.76971903323</v>
      </c>
      <c r="D29" s="26">
        <f t="shared" si="3"/>
        <v>2268.81751586858</v>
      </c>
      <c r="E29" s="37">
        <f t="shared" si="1"/>
        <v>1724.3013120601208</v>
      </c>
      <c r="F29" s="37"/>
    </row>
    <row r="30" spans="1:6" ht="12.75">
      <c r="A30">
        <f t="shared" si="2"/>
        <v>13</v>
      </c>
      <c r="B30" s="76">
        <f t="shared" si="4"/>
        <v>4886.683880332326</v>
      </c>
      <c r="C30" s="76">
        <f t="shared" si="0"/>
        <v>73300.25820498489</v>
      </c>
      <c r="D30" s="26">
        <f t="shared" si="3"/>
        <v>2382.258391662009</v>
      </c>
      <c r="E30" s="37">
        <f>(D30*$B$7*(1-20%))+(D30*$B$8*(1-28%))*(1+$D$16)</f>
        <v>1853.3970287130433</v>
      </c>
      <c r="F30" s="37"/>
    </row>
    <row r="31" spans="1:6" ht="12.75">
      <c r="A31">
        <f t="shared" si="2"/>
        <v>14</v>
      </c>
      <c r="B31" s="76">
        <f t="shared" si="4"/>
        <v>5131.018074348943</v>
      </c>
      <c r="C31" s="76">
        <f t="shared" si="0"/>
        <v>76965.27111523414</v>
      </c>
      <c r="D31" s="26">
        <f t="shared" si="3"/>
        <v>2501.3713112451096</v>
      </c>
      <c r="E31" s="37">
        <f aca="true" t="shared" si="5" ref="E31:E41">(D31*$B$7*(1-20%))+(D31*$B$8*(1-28%))*(1+$D$16)</f>
        <v>1946.0668801486954</v>
      </c>
      <c r="F31" s="37"/>
    </row>
    <row r="32" spans="1:6" ht="12.75">
      <c r="A32">
        <f t="shared" si="2"/>
        <v>15</v>
      </c>
      <c r="B32" s="76">
        <f t="shared" si="4"/>
        <v>5387.56897806639</v>
      </c>
      <c r="C32" s="76">
        <f t="shared" si="0"/>
        <v>80813.53467099585</v>
      </c>
      <c r="D32" s="26">
        <f t="shared" si="3"/>
        <v>2626.4398768073656</v>
      </c>
      <c r="E32" s="37">
        <f t="shared" si="5"/>
        <v>2043.3702241561305</v>
      </c>
      <c r="F32" s="37"/>
    </row>
    <row r="33" spans="1:6" ht="12.75">
      <c r="A33">
        <f t="shared" si="2"/>
        <v>16</v>
      </c>
      <c r="B33" s="76">
        <f t="shared" si="4"/>
        <v>5656.947426969709</v>
      </c>
      <c r="C33" s="76">
        <f t="shared" si="0"/>
        <v>84854.21140454564</v>
      </c>
      <c r="D33" s="26">
        <f t="shared" si="3"/>
        <v>2757.7618706477333</v>
      </c>
      <c r="E33" s="37">
        <f t="shared" si="5"/>
        <v>2145.5387353639367</v>
      </c>
      <c r="F33" s="37"/>
    </row>
    <row r="34" spans="1:6" ht="12.75">
      <c r="A34">
        <f t="shared" si="2"/>
        <v>17</v>
      </c>
      <c r="B34" s="76">
        <f t="shared" si="4"/>
        <v>5939.794798318195</v>
      </c>
      <c r="C34" s="76">
        <f t="shared" si="0"/>
        <v>89096.92197477292</v>
      </c>
      <c r="D34" s="26">
        <f t="shared" si="3"/>
        <v>2895.64996418012</v>
      </c>
      <c r="E34" s="37">
        <f t="shared" si="5"/>
        <v>2252.815672132134</v>
      </c>
      <c r="F34" s="37"/>
    </row>
    <row r="35" spans="1:6" ht="12.75">
      <c r="A35">
        <f t="shared" si="2"/>
        <v>18</v>
      </c>
      <c r="B35" s="76">
        <f t="shared" si="4"/>
        <v>6236.784538234105</v>
      </c>
      <c r="C35" s="76">
        <f t="shared" si="0"/>
        <v>93551.76807351157</v>
      </c>
      <c r="D35" s="26">
        <f t="shared" si="3"/>
        <v>3040.432462389126</v>
      </c>
      <c r="E35" s="37">
        <f t="shared" si="5"/>
        <v>2365.4564557387403</v>
      </c>
      <c r="F35" s="37"/>
    </row>
    <row r="36" spans="1:6" ht="12.75">
      <c r="A36">
        <f t="shared" si="2"/>
        <v>19</v>
      </c>
      <c r="B36" s="76">
        <f t="shared" si="4"/>
        <v>6548.6237651458105</v>
      </c>
      <c r="C36" s="76">
        <f t="shared" si="0"/>
        <v>98229.35647718716</v>
      </c>
      <c r="D36" s="26">
        <f t="shared" si="3"/>
        <v>3192.4540855085834</v>
      </c>
      <c r="E36" s="37">
        <f t="shared" si="5"/>
        <v>2483.7292785256777</v>
      </c>
      <c r="F36" s="37"/>
    </row>
    <row r="37" spans="1:6" ht="12.75">
      <c r="A37">
        <f>A36+1</f>
        <v>20</v>
      </c>
      <c r="B37" s="76">
        <f t="shared" si="4"/>
        <v>6876.0549534031015</v>
      </c>
      <c r="C37" s="76">
        <f t="shared" si="0"/>
        <v>103140.82430104652</v>
      </c>
      <c r="D37" s="26">
        <f t="shared" si="3"/>
        <v>3352.076789784012</v>
      </c>
      <c r="E37" s="37">
        <f t="shared" si="5"/>
        <v>2607.9157424519613</v>
      </c>
      <c r="F37" s="37"/>
    </row>
    <row r="38" spans="1:6" ht="12.75">
      <c r="A38">
        <f t="shared" si="2"/>
        <v>21</v>
      </c>
      <c r="B38" s="76">
        <f t="shared" si="4"/>
        <v>7219.857701073257</v>
      </c>
      <c r="C38" s="76">
        <f t="shared" si="0"/>
        <v>108297.86551609886</v>
      </c>
      <c r="D38" s="26">
        <f t="shared" si="3"/>
        <v>3519.680629273213</v>
      </c>
      <c r="E38" s="37">
        <f t="shared" si="5"/>
        <v>2738.31152957456</v>
      </c>
      <c r="F38" s="37"/>
    </row>
    <row r="39" spans="1:6" ht="12.75">
      <c r="A39">
        <f>A38+1</f>
        <v>22</v>
      </c>
      <c r="B39" s="76">
        <f t="shared" si="4"/>
        <v>7580.8505861269205</v>
      </c>
      <c r="C39" s="76">
        <f t="shared" si="0"/>
        <v>113712.75879190379</v>
      </c>
      <c r="D39" s="26">
        <f t="shared" si="3"/>
        <v>3695.6646607368734</v>
      </c>
      <c r="E39" s="37">
        <f t="shared" si="5"/>
        <v>2875.2271060532876</v>
      </c>
      <c r="F39" s="37"/>
    </row>
    <row r="40" spans="1:6" ht="12.75">
      <c r="A40">
        <f t="shared" si="2"/>
        <v>23</v>
      </c>
      <c r="B40" s="76">
        <f t="shared" si="4"/>
        <v>7959.893115433267</v>
      </c>
      <c r="C40" s="76">
        <f t="shared" si="0"/>
        <v>119398.396731499</v>
      </c>
      <c r="D40" s="26">
        <f t="shared" si="3"/>
        <v>3880.447893773718</v>
      </c>
      <c r="E40" s="37">
        <f t="shared" si="5"/>
        <v>3018.988461355953</v>
      </c>
      <c r="F40" s="37"/>
    </row>
    <row r="41" spans="1:6" ht="12.75">
      <c r="A41">
        <f>A40+1</f>
        <v>24</v>
      </c>
      <c r="B41" s="76">
        <f>B40*(1+5%)</f>
        <v>8357.88777120493</v>
      </c>
      <c r="C41" s="76">
        <f t="shared" si="0"/>
        <v>125368.31656807396</v>
      </c>
      <c r="D41" s="26">
        <f t="shared" si="3"/>
        <v>4074.4702884624044</v>
      </c>
      <c r="E41" s="37">
        <f t="shared" si="5"/>
        <v>3169.937884423751</v>
      </c>
      <c r="F41" s="37"/>
    </row>
    <row r="42" spans="1:6" ht="12.75">
      <c r="A42">
        <f aca="true" t="shared" si="6" ref="A42:A77">A41+1</f>
        <v>25</v>
      </c>
      <c r="B42" s="76">
        <f>B41*(1+2%)</f>
        <v>8525.04552662903</v>
      </c>
      <c r="C42" s="76">
        <f t="shared" si="0"/>
        <v>127875.68289943546</v>
      </c>
      <c r="D42" s="26">
        <f t="shared" si="3"/>
        <v>4155.959694231653</v>
      </c>
      <c r="E42" s="37">
        <f>(D42*$B$7*(1-20%))+(D42*$B$8*(1-28%))*(1+$E$16)</f>
        <v>3308.143916608396</v>
      </c>
      <c r="F42" s="37"/>
    </row>
    <row r="43" spans="1:6" ht="12.75">
      <c r="A43">
        <f t="shared" si="6"/>
        <v>26</v>
      </c>
      <c r="B43" s="76">
        <f aca="true" t="shared" si="7" ref="B43:B53">B42*(1+2%)</f>
        <v>8695.54643716161</v>
      </c>
      <c r="C43" s="76">
        <f t="shared" si="0"/>
        <v>130433.19655742416</v>
      </c>
      <c r="D43" s="26">
        <f t="shared" si="3"/>
        <v>4239.078888116285</v>
      </c>
      <c r="E43" s="37">
        <f aca="true" t="shared" si="8" ref="E43:E53">(D43*$B$7*(1-20%))+(D43*$B$8*(1-28%))*(1+$E$16)</f>
        <v>3374.306794940563</v>
      </c>
      <c r="F43" s="37"/>
    </row>
    <row r="44" spans="1:6" ht="12.75">
      <c r="A44">
        <f t="shared" si="6"/>
        <v>27</v>
      </c>
      <c r="B44" s="76">
        <f t="shared" si="7"/>
        <v>8869.457365904844</v>
      </c>
      <c r="C44" s="76">
        <f t="shared" si="0"/>
        <v>133041.86048857265</v>
      </c>
      <c r="D44" s="26">
        <f t="shared" si="3"/>
        <v>4323.860465878612</v>
      </c>
      <c r="E44" s="37">
        <f t="shared" si="8"/>
        <v>3441.792930839375</v>
      </c>
      <c r="F44" s="37"/>
    </row>
    <row r="45" spans="1:6" ht="12.75">
      <c r="A45">
        <f t="shared" si="6"/>
        <v>28</v>
      </c>
      <c r="B45" s="76">
        <f t="shared" si="7"/>
        <v>9046.846513222941</v>
      </c>
      <c r="C45" s="76">
        <f t="shared" si="0"/>
        <v>135702.69769834413</v>
      </c>
      <c r="D45" s="26">
        <f t="shared" si="3"/>
        <v>4410.337675196184</v>
      </c>
      <c r="E45" s="37">
        <f t="shared" si="8"/>
        <v>3510.628789456163</v>
      </c>
      <c r="F45" s="37"/>
    </row>
    <row r="46" spans="1:6" ht="12.75">
      <c r="A46">
        <f t="shared" si="6"/>
        <v>29</v>
      </c>
      <c r="B46" s="76">
        <f t="shared" si="7"/>
        <v>9227.7834434874</v>
      </c>
      <c r="C46" s="76">
        <f t="shared" si="0"/>
        <v>138416.751652311</v>
      </c>
      <c r="D46" s="26">
        <f t="shared" si="3"/>
        <v>4498.544428700108</v>
      </c>
      <c r="E46" s="37">
        <f t="shared" si="8"/>
        <v>3580.8413652452864</v>
      </c>
      <c r="F46" s="37"/>
    </row>
    <row r="47" spans="1:6" ht="12.75">
      <c r="A47">
        <f t="shared" si="6"/>
        <v>30</v>
      </c>
      <c r="B47" s="76">
        <f t="shared" si="7"/>
        <v>9412.33911235715</v>
      </c>
      <c r="C47" s="76">
        <f t="shared" si="0"/>
        <v>141185.08668535724</v>
      </c>
      <c r="D47" s="26">
        <f t="shared" si="3"/>
        <v>4588.51531727411</v>
      </c>
      <c r="E47" s="37">
        <f t="shared" si="8"/>
        <v>3652.458192550192</v>
      </c>
      <c r="F47" s="37"/>
    </row>
    <row r="48" spans="1:6" ht="12.75">
      <c r="A48">
        <f t="shared" si="6"/>
        <v>31</v>
      </c>
      <c r="B48" s="76">
        <f t="shared" si="7"/>
        <v>9600.585894604292</v>
      </c>
      <c r="C48" s="76">
        <f t="shared" si="0"/>
        <v>144008.78841906437</v>
      </c>
      <c r="D48" s="26">
        <f t="shared" si="3"/>
        <v>4680.285623619592</v>
      </c>
      <c r="E48" s="37">
        <f t="shared" si="8"/>
        <v>3725.5073564011955</v>
      </c>
      <c r="F48" s="37"/>
    </row>
    <row r="49" spans="1:6" ht="12.75">
      <c r="A49">
        <f t="shared" si="6"/>
        <v>32</v>
      </c>
      <c r="B49" s="76">
        <f t="shared" si="7"/>
        <v>9792.597612496378</v>
      </c>
      <c r="C49" s="76">
        <f t="shared" si="0"/>
        <v>146888.96418744567</v>
      </c>
      <c r="D49" s="26">
        <f t="shared" si="3"/>
        <v>4773.891336091984</v>
      </c>
      <c r="E49" s="37">
        <f t="shared" si="8"/>
        <v>3800.0175035292195</v>
      </c>
      <c r="F49" s="37"/>
    </row>
    <row r="50" spans="1:6" ht="12.75">
      <c r="A50">
        <f t="shared" si="6"/>
        <v>33</v>
      </c>
      <c r="B50" s="76">
        <f t="shared" si="7"/>
        <v>9988.449564746306</v>
      </c>
      <c r="C50" s="76">
        <f t="shared" si="0"/>
        <v>149826.7434711946</v>
      </c>
      <c r="D50" s="26">
        <f t="shared" si="3"/>
        <v>4869.369162813826</v>
      </c>
      <c r="E50" s="37">
        <f t="shared" si="8"/>
        <v>3876.0178535998057</v>
      </c>
      <c r="F50" s="37"/>
    </row>
    <row r="51" spans="1:6" ht="12.75">
      <c r="A51">
        <f t="shared" si="6"/>
        <v>34</v>
      </c>
      <c r="B51" s="76">
        <f t="shared" si="7"/>
        <v>10188.218556041233</v>
      </c>
      <c r="C51" s="76">
        <f t="shared" si="0"/>
        <v>152823.27834061848</v>
      </c>
      <c r="D51" s="26">
        <f t="shared" si="3"/>
        <v>4966.756546070101</v>
      </c>
      <c r="E51" s="37">
        <f t="shared" si="8"/>
        <v>3953.5382106718002</v>
      </c>
      <c r="F51" s="37"/>
    </row>
    <row r="52" spans="1:6" ht="12.75">
      <c r="A52">
        <f t="shared" si="6"/>
        <v>35</v>
      </c>
      <c r="B52" s="76">
        <f t="shared" si="7"/>
        <v>10391.982927162058</v>
      </c>
      <c r="C52" s="76">
        <f t="shared" si="0"/>
        <v>155879.74390743088</v>
      </c>
      <c r="D52" s="26">
        <f t="shared" si="3"/>
        <v>5066.091676991504</v>
      </c>
      <c r="E52" s="37">
        <f t="shared" si="8"/>
        <v>4032.6089748852373</v>
      </c>
      <c r="F52" s="37"/>
    </row>
    <row r="53" spans="1:6" ht="12.75">
      <c r="A53">
        <f t="shared" si="6"/>
        <v>36</v>
      </c>
      <c r="B53" s="76">
        <f t="shared" si="7"/>
        <v>10599.8225857053</v>
      </c>
      <c r="C53" s="76">
        <f t="shared" si="0"/>
        <v>158997.33878557952</v>
      </c>
      <c r="D53" s="26">
        <f t="shared" si="3"/>
        <v>5167.413510531334</v>
      </c>
      <c r="E53" s="37">
        <f t="shared" si="8"/>
        <v>4113.261154382943</v>
      </c>
      <c r="F53" s="37"/>
    </row>
    <row r="54" spans="1:6" ht="12.75">
      <c r="A54">
        <f t="shared" si="6"/>
        <v>37</v>
      </c>
      <c r="B54" s="76">
        <f>B53*(1+1%)</f>
        <v>10705.820811562353</v>
      </c>
      <c r="C54" s="76">
        <f t="shared" si="0"/>
        <v>160587.3121734353</v>
      </c>
      <c r="D54" s="26">
        <f t="shared" si="3"/>
        <v>5219.087645636647</v>
      </c>
      <c r="E54" s="37">
        <f aca="true" t="shared" si="9" ref="E54:E77">(D54*$B$7*(1-20%))+(D54*$B$8*(1-28%))*(1+$D$16)</f>
        <v>4060.4501883053117</v>
      </c>
      <c r="F54" s="37"/>
    </row>
    <row r="55" spans="1:6" ht="12.75">
      <c r="A55">
        <f t="shared" si="6"/>
        <v>38</v>
      </c>
      <c r="B55" s="76">
        <f aca="true" t="shared" si="10" ref="B55:B77">B54*(1+1%)</f>
        <v>10812.879019677977</v>
      </c>
      <c r="C55" s="76">
        <f t="shared" si="0"/>
        <v>162193.18529516965</v>
      </c>
      <c r="D55" s="26">
        <f t="shared" si="3"/>
        <v>5271.2785220930145</v>
      </c>
      <c r="E55" s="37">
        <f t="shared" si="9"/>
        <v>4101.054690188365</v>
      </c>
      <c r="F55" s="37"/>
    </row>
    <row r="56" spans="1:6" ht="12.75">
      <c r="A56">
        <f t="shared" si="6"/>
        <v>39</v>
      </c>
      <c r="B56" s="76">
        <f t="shared" si="10"/>
        <v>10921.007809874758</v>
      </c>
      <c r="C56" s="76">
        <f t="shared" si="0"/>
        <v>163815.11714812138</v>
      </c>
      <c r="D56" s="26">
        <f t="shared" si="3"/>
        <v>5323.991307313945</v>
      </c>
      <c r="E56" s="37">
        <f t="shared" si="9"/>
        <v>4142.06523709025</v>
      </c>
      <c r="F56" s="37"/>
    </row>
    <row r="57" spans="1:6" ht="12.75">
      <c r="A57">
        <f t="shared" si="6"/>
        <v>40</v>
      </c>
      <c r="B57" s="76">
        <f t="shared" si="10"/>
        <v>11030.217887973506</v>
      </c>
      <c r="C57" s="76">
        <f t="shared" si="0"/>
        <v>165453.2683196026</v>
      </c>
      <c r="D57" s="26">
        <f t="shared" si="3"/>
        <v>5377.231220387085</v>
      </c>
      <c r="E57" s="37">
        <f t="shared" si="9"/>
        <v>4183.4858894611525</v>
      </c>
      <c r="F57" s="37"/>
    </row>
    <row r="58" spans="1:6" ht="12.75">
      <c r="A58">
        <f t="shared" si="6"/>
        <v>41</v>
      </c>
      <c r="B58" s="76">
        <f t="shared" si="10"/>
        <v>11140.520066853242</v>
      </c>
      <c r="C58" s="76">
        <f t="shared" si="0"/>
        <v>167107.80100279863</v>
      </c>
      <c r="D58" s="26">
        <f t="shared" si="3"/>
        <v>5431.003532590956</v>
      </c>
      <c r="E58" s="37">
        <f t="shared" si="9"/>
        <v>4225.3207483557635</v>
      </c>
      <c r="F58" s="37"/>
    </row>
    <row r="59" spans="1:6" ht="12.75">
      <c r="A59">
        <f t="shared" si="6"/>
        <v>42</v>
      </c>
      <c r="B59" s="76">
        <f t="shared" si="10"/>
        <v>11251.925267521774</v>
      </c>
      <c r="C59" s="76">
        <f t="shared" si="0"/>
        <v>168778.87901282663</v>
      </c>
      <c r="D59" s="26">
        <f t="shared" si="3"/>
        <v>5485.313567916865</v>
      </c>
      <c r="E59" s="37">
        <f t="shared" si="9"/>
        <v>4267.573955839322</v>
      </c>
      <c r="F59" s="37"/>
    </row>
    <row r="60" spans="1:6" ht="12.75">
      <c r="A60">
        <f t="shared" si="6"/>
        <v>43</v>
      </c>
      <c r="B60" s="76">
        <f t="shared" si="10"/>
        <v>11364.444520196992</v>
      </c>
      <c r="C60" s="76">
        <f t="shared" si="0"/>
        <v>170466.66780295488</v>
      </c>
      <c r="D60" s="26">
        <f t="shared" si="3"/>
        <v>5540.166703596034</v>
      </c>
      <c r="E60" s="37">
        <f t="shared" si="9"/>
        <v>4310.249695397714</v>
      </c>
      <c r="F60" s="37"/>
    </row>
    <row r="61" spans="1:6" ht="12.75">
      <c r="A61">
        <f t="shared" si="6"/>
        <v>44</v>
      </c>
      <c r="B61" s="76">
        <f t="shared" si="10"/>
        <v>11478.088965398962</v>
      </c>
      <c r="C61" s="76">
        <f t="shared" si="0"/>
        <v>172171.33448098443</v>
      </c>
      <c r="D61" s="26">
        <f t="shared" si="3"/>
        <v>5595.568370631994</v>
      </c>
      <c r="E61" s="37">
        <f t="shared" si="9"/>
        <v>4353.352192351691</v>
      </c>
      <c r="F61" s="37"/>
    </row>
    <row r="62" spans="1:6" ht="12.75">
      <c r="A62">
        <f t="shared" si="6"/>
        <v>45</v>
      </c>
      <c r="B62" s="76">
        <f t="shared" si="10"/>
        <v>11592.869855052952</v>
      </c>
      <c r="C62" s="76">
        <f t="shared" si="0"/>
        <v>173893.04782579426</v>
      </c>
      <c r="D62" s="26">
        <f t="shared" si="3"/>
        <v>5651.524054338314</v>
      </c>
      <c r="E62" s="37">
        <f t="shared" si="9"/>
        <v>4396.885714275209</v>
      </c>
      <c r="F62" s="37"/>
    </row>
    <row r="63" spans="1:6" ht="12.75">
      <c r="A63">
        <f t="shared" si="6"/>
        <v>46</v>
      </c>
      <c r="B63" s="76">
        <f t="shared" si="10"/>
        <v>11708.798553603481</v>
      </c>
      <c r="C63" s="76">
        <f t="shared" si="0"/>
        <v>175631.9783040522</v>
      </c>
      <c r="D63" s="26">
        <f t="shared" si="3"/>
        <v>5708.039294881697</v>
      </c>
      <c r="E63" s="37">
        <f t="shared" si="9"/>
        <v>4440.85457141796</v>
      </c>
      <c r="F63" s="37"/>
    </row>
    <row r="64" spans="1:6" ht="12.75">
      <c r="A64">
        <f t="shared" si="6"/>
        <v>47</v>
      </c>
      <c r="B64" s="76">
        <f t="shared" si="10"/>
        <v>11825.886539139516</v>
      </c>
      <c r="C64" s="76">
        <f t="shared" si="0"/>
        <v>177388.29808709273</v>
      </c>
      <c r="D64" s="26">
        <f t="shared" si="3"/>
        <v>5765.1196878305145</v>
      </c>
      <c r="E64" s="37">
        <f t="shared" si="9"/>
        <v>4485.263117132141</v>
      </c>
      <c r="F64" s="37"/>
    </row>
    <row r="65" spans="1:6" ht="12.75">
      <c r="A65">
        <f>A64+1</f>
        <v>48</v>
      </c>
      <c r="B65" s="76">
        <f>B64*(1+0.5%)</f>
        <v>11885.015971835212</v>
      </c>
      <c r="C65" s="76">
        <f t="shared" si="0"/>
        <v>178275.2395775282</v>
      </c>
      <c r="D65" s="26">
        <f t="shared" si="3"/>
        <v>5793.945286269668</v>
      </c>
      <c r="E65" s="37">
        <f t="shared" si="9"/>
        <v>4507.6894327178015</v>
      </c>
      <c r="F65" s="37"/>
    </row>
    <row r="66" spans="1:6" ht="12.75">
      <c r="A66">
        <f t="shared" si="6"/>
        <v>49</v>
      </c>
      <c r="B66" s="76">
        <f t="shared" si="10"/>
        <v>12003.866131553565</v>
      </c>
      <c r="C66" s="76">
        <f t="shared" si="0"/>
        <v>180057.99197330346</v>
      </c>
      <c r="D66" s="26">
        <f t="shared" si="3"/>
        <v>5851.884739132363</v>
      </c>
      <c r="E66" s="37">
        <f t="shared" si="9"/>
        <v>4552.766327044979</v>
      </c>
      <c r="F66" s="37"/>
    </row>
    <row r="67" spans="1:6" ht="12.75">
      <c r="A67">
        <f t="shared" si="6"/>
        <v>50</v>
      </c>
      <c r="B67" s="76">
        <f t="shared" si="10"/>
        <v>12123.9047928691</v>
      </c>
      <c r="C67" s="76">
        <f t="shared" si="0"/>
        <v>181858.57189303648</v>
      </c>
      <c r="D67" s="26">
        <f t="shared" si="3"/>
        <v>5910.4035865236865</v>
      </c>
      <c r="E67" s="37">
        <f t="shared" si="9"/>
        <v>4598.293990315428</v>
      </c>
      <c r="F67" s="37"/>
    </row>
    <row r="68" spans="1:6" ht="12.75">
      <c r="A68">
        <f t="shared" si="6"/>
        <v>51</v>
      </c>
      <c r="B68" s="76">
        <f t="shared" si="10"/>
        <v>12245.143840797791</v>
      </c>
      <c r="C68" s="76">
        <f t="shared" si="0"/>
        <v>183677.15761196686</v>
      </c>
      <c r="D68" s="26">
        <f t="shared" si="3"/>
        <v>5969.507622388924</v>
      </c>
      <c r="E68" s="37">
        <f t="shared" si="9"/>
        <v>4644.2769302185825</v>
      </c>
      <c r="F68" s="37"/>
    </row>
    <row r="69" spans="1:6" ht="12.75">
      <c r="A69">
        <f t="shared" si="6"/>
        <v>52</v>
      </c>
      <c r="B69" s="76">
        <f t="shared" si="10"/>
        <v>12367.595279205769</v>
      </c>
      <c r="C69" s="76">
        <f t="shared" si="0"/>
        <v>185513.92918808653</v>
      </c>
      <c r="D69" s="26">
        <f t="shared" si="3"/>
        <v>6029.202698612813</v>
      </c>
      <c r="E69" s="37">
        <f t="shared" si="9"/>
        <v>4690.719699520769</v>
      </c>
      <c r="F69" s="37"/>
    </row>
    <row r="70" spans="1:6" ht="12.75">
      <c r="A70">
        <f t="shared" si="6"/>
        <v>53</v>
      </c>
      <c r="B70" s="76">
        <f t="shared" si="10"/>
        <v>12491.271231997827</v>
      </c>
      <c r="C70" s="76">
        <f t="shared" si="0"/>
        <v>187369.0684799674</v>
      </c>
      <c r="D70" s="26">
        <f t="shared" si="3"/>
        <v>6089.49472559894</v>
      </c>
      <c r="E70" s="37">
        <f t="shared" si="9"/>
        <v>4737.626896515976</v>
      </c>
      <c r="F70" s="37"/>
    </row>
    <row r="71" spans="1:6" ht="12.75">
      <c r="A71">
        <f t="shared" si="6"/>
        <v>54</v>
      </c>
      <c r="B71" s="76">
        <f t="shared" si="10"/>
        <v>12616.183944317805</v>
      </c>
      <c r="C71" s="76">
        <f t="shared" si="0"/>
        <v>189242.75916476708</v>
      </c>
      <c r="D71" s="26">
        <f t="shared" si="3"/>
        <v>6150.389672854931</v>
      </c>
      <c r="E71" s="37">
        <f t="shared" si="9"/>
        <v>4785.003165481136</v>
      </c>
      <c r="F71" s="37"/>
    </row>
    <row r="72" spans="1:6" ht="12.75">
      <c r="A72">
        <f t="shared" si="6"/>
        <v>55</v>
      </c>
      <c r="B72" s="76">
        <f t="shared" si="10"/>
        <v>12742.345783760984</v>
      </c>
      <c r="C72" s="76">
        <f t="shared" si="0"/>
        <v>191135.18675641477</v>
      </c>
      <c r="D72" s="26">
        <f t="shared" si="3"/>
        <v>6211.89356958348</v>
      </c>
      <c r="E72" s="37">
        <f t="shared" si="9"/>
        <v>4832.853197135948</v>
      </c>
      <c r="F72" s="37"/>
    </row>
    <row r="73" spans="1:6" ht="12.75">
      <c r="A73">
        <f t="shared" si="6"/>
        <v>56</v>
      </c>
      <c r="B73" s="76">
        <f t="shared" si="10"/>
        <v>12869.769241598595</v>
      </c>
      <c r="C73" s="76">
        <f t="shared" si="0"/>
        <v>193046.5386239789</v>
      </c>
      <c r="D73" s="26">
        <f t="shared" si="3"/>
        <v>6274.0125052793155</v>
      </c>
      <c r="E73" s="37">
        <f t="shared" si="9"/>
        <v>4881.181729107308</v>
      </c>
      <c r="F73" s="37"/>
    </row>
    <row r="74" spans="1:6" ht="12.75">
      <c r="A74">
        <f t="shared" si="6"/>
        <v>57</v>
      </c>
      <c r="B74" s="76">
        <f t="shared" si="10"/>
        <v>12998.466934014581</v>
      </c>
      <c r="C74" s="76">
        <f t="shared" si="0"/>
        <v>194977.00401021872</v>
      </c>
      <c r="D74" s="26">
        <f t="shared" si="3"/>
        <v>6336.752630332109</v>
      </c>
      <c r="E74" s="37">
        <f t="shared" si="9"/>
        <v>4929.993546398381</v>
      </c>
      <c r="F74" s="37"/>
    </row>
    <row r="75" spans="1:6" ht="12.75">
      <c r="A75">
        <f t="shared" si="6"/>
        <v>58</v>
      </c>
      <c r="B75" s="76">
        <f t="shared" si="10"/>
        <v>13128.451603354726</v>
      </c>
      <c r="C75" s="76">
        <f t="shared" si="0"/>
        <v>196926.7740503209</v>
      </c>
      <c r="D75" s="26">
        <f t="shared" si="3"/>
        <v>6400.12015663543</v>
      </c>
      <c r="E75" s="37">
        <f t="shared" si="9"/>
        <v>4979.293481862365</v>
      </c>
      <c r="F75" s="37"/>
    </row>
    <row r="76" spans="1:6" ht="12.75">
      <c r="A76">
        <f t="shared" si="6"/>
        <v>59</v>
      </c>
      <c r="B76" s="76">
        <f t="shared" si="10"/>
        <v>13259.736119388273</v>
      </c>
      <c r="C76" s="76">
        <f t="shared" si="0"/>
        <v>198896.0417908241</v>
      </c>
      <c r="D76" s="26">
        <f t="shared" si="3"/>
        <v>6464.121358201784</v>
      </c>
      <c r="E76" s="37">
        <f t="shared" si="9"/>
        <v>5029.086416680988</v>
      </c>
      <c r="F76" s="37"/>
    </row>
    <row r="77" spans="1:6" ht="12.75">
      <c r="A77">
        <f t="shared" si="6"/>
        <v>60</v>
      </c>
      <c r="B77" s="76">
        <f t="shared" si="10"/>
        <v>13392.333480582156</v>
      </c>
      <c r="C77" s="76">
        <f t="shared" si="0"/>
        <v>200885.00220873233</v>
      </c>
      <c r="D77" s="26">
        <f t="shared" si="3"/>
        <v>6528.762571783801</v>
      </c>
      <c r="E77" s="37">
        <f t="shared" si="9"/>
        <v>5079.377280847797</v>
      </c>
      <c r="F77" s="37"/>
    </row>
    <row r="78" ht="12.75">
      <c r="E78" s="3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D1"/>
    </sheetView>
  </sheetViews>
  <sheetFormatPr defaultColWidth="11.421875" defaultRowHeight="12.75"/>
  <cols>
    <col min="1" max="1" width="24.421875" style="93" bestFit="1" customWidth="1"/>
    <col min="2" max="2" width="16.7109375" style="238" customWidth="1"/>
    <col min="3" max="3" width="20.28125" style="257" bestFit="1" customWidth="1"/>
    <col min="4" max="4" width="30.8515625" style="257" bestFit="1" customWidth="1"/>
    <col min="5" max="5" width="19.7109375" style="238" bestFit="1" customWidth="1"/>
    <col min="6" max="16384" width="11.421875" style="238" customWidth="1"/>
  </cols>
  <sheetData>
    <row r="1" spans="1:7" s="243" customFormat="1" ht="20.25">
      <c r="A1" s="397" t="s">
        <v>455</v>
      </c>
      <c r="B1" s="397"/>
      <c r="C1" s="397"/>
      <c r="D1" s="397"/>
      <c r="E1" s="241"/>
      <c r="F1" s="242"/>
      <c r="G1" s="242"/>
    </row>
    <row r="3" spans="1:4" ht="18">
      <c r="A3" s="398" t="s">
        <v>457</v>
      </c>
      <c r="B3" s="398"/>
      <c r="C3" s="398"/>
      <c r="D3" s="398"/>
    </row>
    <row r="4" ht="16.5" thickBot="1"/>
    <row r="5" spans="1:5" ht="15.75">
      <c r="A5" s="254"/>
      <c r="B5" s="248"/>
      <c r="C5" s="249" t="s">
        <v>410</v>
      </c>
      <c r="D5" s="250" t="s">
        <v>411</v>
      </c>
      <c r="E5" s="231"/>
    </row>
    <row r="6" spans="1:6" ht="15.75">
      <c r="A6" s="255" t="s">
        <v>412</v>
      </c>
      <c r="B6" s="251"/>
      <c r="C6" s="269">
        <v>522745000</v>
      </c>
      <c r="D6" s="258"/>
      <c r="E6" s="231"/>
      <c r="F6" s="240"/>
    </row>
    <row r="7" spans="1:5" ht="15.75">
      <c r="A7" s="255" t="s">
        <v>413</v>
      </c>
      <c r="B7" s="251"/>
      <c r="C7" s="269">
        <v>122054000</v>
      </c>
      <c r="D7" s="258"/>
      <c r="E7" s="231"/>
    </row>
    <row r="8" spans="1:5" ht="15.75">
      <c r="A8" s="255" t="s">
        <v>414</v>
      </c>
      <c r="B8" s="251"/>
      <c r="C8" s="269">
        <v>469347000</v>
      </c>
      <c r="D8" s="258"/>
      <c r="E8" s="231"/>
    </row>
    <row r="9" spans="1:5" ht="15.75">
      <c r="A9" s="255"/>
      <c r="B9" s="251"/>
      <c r="C9" s="269"/>
      <c r="D9" s="258"/>
      <c r="E9" s="231"/>
    </row>
    <row r="10" spans="1:5" ht="15.75">
      <c r="A10" s="255" t="s">
        <v>415</v>
      </c>
      <c r="B10" s="251"/>
      <c r="C10" s="270">
        <f>SUM(C6:C9)</f>
        <v>1114146000</v>
      </c>
      <c r="D10" s="258"/>
      <c r="E10" s="231"/>
    </row>
    <row r="11" spans="1:5" ht="15.75">
      <c r="A11" s="255"/>
      <c r="B11" s="251"/>
      <c r="C11" s="269"/>
      <c r="D11" s="258"/>
      <c r="E11" s="231"/>
    </row>
    <row r="12" spans="1:5" ht="15.75">
      <c r="A12" s="255" t="s">
        <v>416</v>
      </c>
      <c r="B12" s="251"/>
      <c r="C12" s="269">
        <v>101759000</v>
      </c>
      <c r="D12" s="258"/>
      <c r="E12" s="231"/>
    </row>
    <row r="13" spans="1:5" ht="15.75">
      <c r="A13" s="255" t="s">
        <v>417</v>
      </c>
      <c r="B13" s="251"/>
      <c r="C13" s="269">
        <v>22887000</v>
      </c>
      <c r="D13" s="258"/>
      <c r="E13" s="231"/>
    </row>
    <row r="14" spans="1:5" ht="15.75">
      <c r="A14" s="255" t="s">
        <v>418</v>
      </c>
      <c r="B14" s="251"/>
      <c r="C14" s="269">
        <v>20621000</v>
      </c>
      <c r="D14" s="258"/>
      <c r="E14" s="231"/>
    </row>
    <row r="15" spans="1:5" ht="15.75">
      <c r="A15" s="255" t="s">
        <v>419</v>
      </c>
      <c r="B15" s="251"/>
      <c r="C15" s="269">
        <v>968879000</v>
      </c>
      <c r="D15" s="258"/>
      <c r="E15" s="231"/>
    </row>
    <row r="16" spans="1:5" ht="15.75">
      <c r="A16" s="255"/>
      <c r="B16" s="251"/>
      <c r="C16" s="269"/>
      <c r="D16" s="258"/>
      <c r="E16" s="231"/>
    </row>
    <row r="17" spans="1:5" ht="15.75">
      <c r="A17" s="255" t="s">
        <v>420</v>
      </c>
      <c r="B17" s="251"/>
      <c r="C17" s="270">
        <f>SUM(C12:C16)</f>
        <v>1114146000</v>
      </c>
      <c r="D17" s="258"/>
      <c r="E17" s="231"/>
    </row>
    <row r="18" spans="1:4" ht="15.75">
      <c r="A18" s="255"/>
      <c r="B18" s="251"/>
      <c r="C18" s="271"/>
      <c r="D18" s="259"/>
    </row>
    <row r="19" spans="1:4" ht="15.75">
      <c r="A19" s="255"/>
      <c r="B19" s="251"/>
      <c r="C19" s="271"/>
      <c r="D19" s="259"/>
    </row>
    <row r="20" spans="1:4" ht="15.75">
      <c r="A20" s="255"/>
      <c r="B20" s="251"/>
      <c r="C20" s="271"/>
      <c r="D20" s="259"/>
    </row>
    <row r="21" spans="1:5" ht="15.75">
      <c r="A21" s="255" t="s">
        <v>421</v>
      </c>
      <c r="B21" s="252"/>
      <c r="C21" s="272"/>
      <c r="D21" s="260">
        <v>0.17</v>
      </c>
      <c r="E21" s="233"/>
    </row>
    <row r="22" spans="1:5" ht="15">
      <c r="A22" s="256" t="s">
        <v>422</v>
      </c>
      <c r="B22" s="251"/>
      <c r="C22" s="273"/>
      <c r="D22" s="260">
        <v>0.095</v>
      </c>
      <c r="E22" s="232"/>
    </row>
    <row r="23" spans="1:5" ht="15">
      <c r="A23" s="256" t="s">
        <v>423</v>
      </c>
      <c r="B23" s="251"/>
      <c r="C23" s="274">
        <v>0.34</v>
      </c>
      <c r="D23" s="261">
        <v>0.25</v>
      </c>
      <c r="E23" s="234"/>
    </row>
    <row r="24" spans="1:5" ht="15">
      <c r="A24" s="256" t="s">
        <v>424</v>
      </c>
      <c r="B24" s="251"/>
      <c r="C24" s="275">
        <f>SUM(C12:C14)</f>
        <v>145267000</v>
      </c>
      <c r="D24" s="262"/>
      <c r="E24" s="230"/>
    </row>
    <row r="25" spans="1:5" ht="15">
      <c r="A25" s="256" t="s">
        <v>425</v>
      </c>
      <c r="B25" s="251"/>
      <c r="C25" s="275">
        <f>C15</f>
        <v>968879000</v>
      </c>
      <c r="D25" s="262"/>
      <c r="E25" s="230"/>
    </row>
    <row r="26" spans="1:5" ht="15">
      <c r="A26" s="256" t="s">
        <v>426</v>
      </c>
      <c r="B26" s="251"/>
      <c r="C26" s="276">
        <f>((('Cálculos del Costo de Capital'!B547)+1)^365)-1</f>
        <v>0.614464331958708</v>
      </c>
      <c r="D26" s="263">
        <f>C26</f>
        <v>0.614464331958708</v>
      </c>
      <c r="E26" s="235"/>
    </row>
    <row r="27" spans="1:5" s="239" customFormat="1" ht="15.75">
      <c r="A27" s="256" t="s">
        <v>427</v>
      </c>
      <c r="B27" s="253"/>
      <c r="C27" s="275">
        <f>C28/C29</f>
        <v>0.1499330669774038</v>
      </c>
      <c r="D27" s="264">
        <f>D28/D29</f>
        <v>0.6666666666666667</v>
      </c>
      <c r="E27" s="220"/>
    </row>
    <row r="28" spans="1:5" ht="15">
      <c r="A28" s="256" t="s">
        <v>428</v>
      </c>
      <c r="B28" s="251"/>
      <c r="C28" s="275">
        <f>C24/(C24+C25)</f>
        <v>0.13038416868166292</v>
      </c>
      <c r="D28" s="264">
        <v>0.4</v>
      </c>
      <c r="E28" s="220"/>
    </row>
    <row r="29" spans="1:5" ht="15">
      <c r="A29" s="256" t="s">
        <v>429</v>
      </c>
      <c r="B29" s="251"/>
      <c r="C29" s="275">
        <f>C25/(C24+C25)</f>
        <v>0.8696158313183371</v>
      </c>
      <c r="D29" s="264">
        <f>1-D28</f>
        <v>0.6</v>
      </c>
      <c r="E29" s="220"/>
    </row>
    <row r="30" spans="1:4" ht="15.75">
      <c r="A30" s="255"/>
      <c r="B30" s="251"/>
      <c r="C30" s="271"/>
      <c r="D30" s="259"/>
    </row>
    <row r="31" spans="1:5" ht="15.75">
      <c r="A31" s="255" t="s">
        <v>430</v>
      </c>
      <c r="B31" s="251"/>
      <c r="C31" s="275">
        <f>C33/(1+(C27*(1-C23)))</f>
        <v>1.3995124917615018</v>
      </c>
      <c r="D31" s="259"/>
      <c r="E31" s="219"/>
    </row>
    <row r="32" spans="1:4" ht="15.75">
      <c r="A32" s="255"/>
      <c r="B32" s="251"/>
      <c r="C32" s="271"/>
      <c r="D32" s="259"/>
    </row>
    <row r="33" spans="1:5" ht="15.75">
      <c r="A33" s="256" t="s">
        <v>431</v>
      </c>
      <c r="B33" s="251"/>
      <c r="C33" s="277">
        <f>'Cálculos del Costo de Capital'!C551</f>
        <v>1.5380024038690756</v>
      </c>
      <c r="D33" s="265">
        <f>C31*(1+(D27*(1-D23)))</f>
        <v>2.0992687376422525</v>
      </c>
      <c r="E33" s="217"/>
    </row>
    <row r="34" spans="1:4" ht="15.75">
      <c r="A34" s="255"/>
      <c r="B34" s="251"/>
      <c r="C34" s="271"/>
      <c r="D34" s="259"/>
    </row>
    <row r="35" spans="1:5" ht="15">
      <c r="A35" s="256" t="s">
        <v>456</v>
      </c>
      <c r="B35" s="251"/>
      <c r="C35" s="278"/>
      <c r="D35" s="266">
        <f>D22+((D26-D22)*D33)</f>
        <v>1.185495232401133</v>
      </c>
      <c r="E35" s="236"/>
    </row>
    <row r="36" spans="1:4" ht="15.75">
      <c r="A36" s="255"/>
      <c r="B36" s="251"/>
      <c r="C36" s="271"/>
      <c r="D36" s="259"/>
    </row>
    <row r="37" spans="1:5" ht="15">
      <c r="A37" s="256"/>
      <c r="B37" s="251"/>
      <c r="C37" s="275"/>
      <c r="D37" s="267"/>
      <c r="E37" s="237"/>
    </row>
    <row r="38" spans="1:4" ht="15.75">
      <c r="A38" s="255"/>
      <c r="B38" s="251"/>
      <c r="C38" s="279"/>
      <c r="D38" s="259"/>
    </row>
    <row r="39" spans="1:4" ht="16.5" thickBot="1">
      <c r="A39" s="255"/>
      <c r="B39" s="251"/>
      <c r="C39" s="280"/>
      <c r="D39" s="259"/>
    </row>
    <row r="40" spans="1:4" ht="16.5" thickBot="1">
      <c r="A40" s="399" t="s">
        <v>433</v>
      </c>
      <c r="B40" s="400"/>
      <c r="C40" s="271"/>
      <c r="D40" s="259"/>
    </row>
    <row r="41" spans="1:4" ht="16.5" thickBot="1">
      <c r="A41" s="244">
        <f>((1-D23)*D21*D28)+(D29*D35)</f>
        <v>0.7622971394406798</v>
      </c>
      <c r="B41" s="245" t="s">
        <v>436</v>
      </c>
      <c r="C41" s="276"/>
      <c r="D41" s="259"/>
    </row>
    <row r="42" spans="1:4" ht="45.75" thickBot="1">
      <c r="A42" s="246">
        <f>(((1+A41)^(1/12))-1)*12</f>
        <v>0.5802085499062137</v>
      </c>
      <c r="B42" s="247" t="s">
        <v>437</v>
      </c>
      <c r="C42" s="281"/>
      <c r="D42" s="268"/>
    </row>
    <row r="43" ht="15.75">
      <c r="C43" s="282"/>
    </row>
    <row r="44" ht="15.75">
      <c r="C44" s="282"/>
    </row>
  </sheetData>
  <mergeCells count="3">
    <mergeCell ref="A1:D1"/>
    <mergeCell ref="A3:D3"/>
    <mergeCell ref="A40:B40"/>
  </mergeCells>
  <printOptions/>
  <pageMargins left="1.5748031496062993" right="0.9448818897637796" top="1.5748031496062993" bottom="1.5748031496062993" header="0" footer="0"/>
  <pageSetup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M1"/>
    </sheetView>
  </sheetViews>
  <sheetFormatPr defaultColWidth="11.421875" defaultRowHeight="12.75"/>
  <cols>
    <col min="1" max="1" width="11.421875" style="218" customWidth="1"/>
    <col min="2" max="2" width="23.00390625" style="218" bestFit="1" customWidth="1"/>
    <col min="3" max="12" width="3.8515625" style="218" customWidth="1"/>
    <col min="13" max="13" width="12.57421875" style="218" customWidth="1"/>
    <col min="14" max="16384" width="11.421875" style="218" customWidth="1"/>
  </cols>
  <sheetData>
    <row r="1" spans="1:14" ht="19.5">
      <c r="A1" s="404" t="s">
        <v>458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229"/>
    </row>
    <row r="2" ht="15.75">
      <c r="A2" s="20"/>
    </row>
    <row r="3" spans="1:14" ht="16.5">
      <c r="A3" s="403" t="s">
        <v>459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229"/>
    </row>
    <row r="4" ht="15.75" thickBot="1"/>
    <row r="5" spans="1:13" ht="15">
      <c r="A5" s="346" t="s">
        <v>73</v>
      </c>
      <c r="B5" s="347" t="s">
        <v>74</v>
      </c>
      <c r="C5" s="348"/>
      <c r="D5" s="348"/>
      <c r="E5" s="349" t="s">
        <v>75</v>
      </c>
      <c r="F5" s="348"/>
      <c r="G5" s="349"/>
      <c r="H5" s="348"/>
      <c r="I5" s="348"/>
      <c r="J5" s="348"/>
      <c r="K5" s="348"/>
      <c r="L5" s="405" t="s">
        <v>460</v>
      </c>
      <c r="M5" s="406"/>
    </row>
    <row r="6" spans="1:13" ht="15">
      <c r="A6" s="350"/>
      <c r="B6" s="351" t="s">
        <v>77</v>
      </c>
      <c r="C6" s="352"/>
      <c r="D6" s="353" t="s">
        <v>78</v>
      </c>
      <c r="E6" s="352"/>
      <c r="F6" s="352"/>
      <c r="G6" s="352"/>
      <c r="H6" s="352"/>
      <c r="I6" s="352"/>
      <c r="J6" s="352"/>
      <c r="K6" s="352"/>
      <c r="L6" s="401" t="s">
        <v>461</v>
      </c>
      <c r="M6" s="402"/>
    </row>
    <row r="7" spans="1:13" ht="15">
      <c r="A7" s="221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7"/>
    </row>
    <row r="8" spans="1:13" ht="15">
      <c r="A8" s="221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7"/>
    </row>
    <row r="9" spans="1:13" ht="15">
      <c r="A9" s="300">
        <v>1</v>
      </c>
      <c r="B9" s="301">
        <v>5</v>
      </c>
      <c r="C9" s="225">
        <v>2</v>
      </c>
      <c r="D9" s="225">
        <v>3</v>
      </c>
      <c r="E9" s="225">
        <v>2</v>
      </c>
      <c r="F9" s="225">
        <v>1</v>
      </c>
      <c r="G9" s="225">
        <v>2</v>
      </c>
      <c r="H9" s="225"/>
      <c r="I9" s="225"/>
      <c r="J9" s="225"/>
      <c r="K9" s="225"/>
      <c r="L9" s="225"/>
      <c r="M9" s="354">
        <v>4440</v>
      </c>
    </row>
    <row r="10" spans="1:13" ht="15">
      <c r="A10" s="300">
        <v>2</v>
      </c>
      <c r="B10" s="301">
        <v>7</v>
      </c>
      <c r="C10" s="225">
        <v>3</v>
      </c>
      <c r="D10" s="225">
        <v>1</v>
      </c>
      <c r="E10" s="225">
        <v>2</v>
      </c>
      <c r="F10" s="225">
        <v>1</v>
      </c>
      <c r="G10" s="225">
        <v>2</v>
      </c>
      <c r="H10" s="225">
        <v>3</v>
      </c>
      <c r="I10" s="225">
        <v>2</v>
      </c>
      <c r="J10" s="225"/>
      <c r="K10" s="225"/>
      <c r="L10" s="225"/>
      <c r="M10" s="354">
        <v>6480</v>
      </c>
    </row>
    <row r="11" spans="1:13" ht="15">
      <c r="A11" s="300">
        <v>3</v>
      </c>
      <c r="B11" s="301">
        <v>5</v>
      </c>
      <c r="C11" s="225">
        <v>3</v>
      </c>
      <c r="D11" s="225">
        <v>2</v>
      </c>
      <c r="E11" s="225">
        <v>3</v>
      </c>
      <c r="F11" s="225">
        <v>1</v>
      </c>
      <c r="G11" s="225">
        <v>2</v>
      </c>
      <c r="H11" s="225"/>
      <c r="I11" s="225"/>
      <c r="J11" s="225"/>
      <c r="K11" s="225"/>
      <c r="L11" s="225"/>
      <c r="M11" s="354">
        <v>5640</v>
      </c>
    </row>
    <row r="12" spans="1:13" ht="15">
      <c r="A12" s="300">
        <v>4</v>
      </c>
      <c r="B12" s="301">
        <v>5</v>
      </c>
      <c r="C12" s="225">
        <v>3</v>
      </c>
      <c r="D12" s="225">
        <v>1</v>
      </c>
      <c r="E12" s="225">
        <v>2</v>
      </c>
      <c r="F12" s="225">
        <v>2</v>
      </c>
      <c r="G12" s="225">
        <v>3</v>
      </c>
      <c r="H12" s="225"/>
      <c r="I12" s="225"/>
      <c r="J12" s="225"/>
      <c r="K12" s="225"/>
      <c r="L12" s="225"/>
      <c r="M12" s="354">
        <v>5640</v>
      </c>
    </row>
    <row r="13" spans="1:13" ht="15">
      <c r="A13" s="300">
        <v>5</v>
      </c>
      <c r="B13" s="301">
        <v>5</v>
      </c>
      <c r="C13" s="225">
        <v>1</v>
      </c>
      <c r="D13" s="225">
        <v>2</v>
      </c>
      <c r="E13" s="225">
        <v>3</v>
      </c>
      <c r="F13" s="225">
        <v>3</v>
      </c>
      <c r="G13" s="225">
        <v>3</v>
      </c>
      <c r="H13" s="225"/>
      <c r="I13" s="225"/>
      <c r="J13" s="225"/>
      <c r="K13" s="225"/>
      <c r="L13" s="225"/>
      <c r="M13" s="354">
        <v>6840</v>
      </c>
    </row>
    <row r="14" spans="1:13" ht="15">
      <c r="A14" s="300">
        <v>6</v>
      </c>
      <c r="B14" s="301">
        <v>9</v>
      </c>
      <c r="C14" s="225">
        <v>1</v>
      </c>
      <c r="D14" s="225">
        <v>2</v>
      </c>
      <c r="E14" s="225">
        <v>3</v>
      </c>
      <c r="F14" s="225">
        <v>2</v>
      </c>
      <c r="G14" s="225">
        <v>3</v>
      </c>
      <c r="H14" s="225">
        <v>2</v>
      </c>
      <c r="I14" s="225">
        <v>1</v>
      </c>
      <c r="J14" s="225">
        <v>3</v>
      </c>
      <c r="K14" s="225">
        <v>2</v>
      </c>
      <c r="L14" s="225"/>
      <c r="M14" s="354">
        <v>9280</v>
      </c>
    </row>
    <row r="15" spans="1:13" ht="15">
      <c r="A15" s="300">
        <v>7</v>
      </c>
      <c r="B15" s="301">
        <v>9</v>
      </c>
      <c r="C15" s="225">
        <v>2</v>
      </c>
      <c r="D15" s="225">
        <v>3</v>
      </c>
      <c r="E15" s="225">
        <v>2</v>
      </c>
      <c r="F15" s="225">
        <v>3</v>
      </c>
      <c r="G15" s="225">
        <v>1</v>
      </c>
      <c r="H15" s="225">
        <v>1</v>
      </c>
      <c r="I15" s="225">
        <v>2</v>
      </c>
      <c r="J15" s="225">
        <v>2</v>
      </c>
      <c r="K15" s="225">
        <v>1</v>
      </c>
      <c r="L15" s="225"/>
      <c r="M15" s="354">
        <v>7320</v>
      </c>
    </row>
    <row r="16" spans="1:13" ht="15">
      <c r="A16" s="300">
        <v>8</v>
      </c>
      <c r="B16" s="301">
        <v>9</v>
      </c>
      <c r="C16" s="225">
        <v>2</v>
      </c>
      <c r="D16" s="225">
        <v>3</v>
      </c>
      <c r="E16" s="225">
        <v>2</v>
      </c>
      <c r="F16" s="225">
        <v>2</v>
      </c>
      <c r="G16" s="225">
        <v>3</v>
      </c>
      <c r="H16" s="225">
        <v>3</v>
      </c>
      <c r="I16" s="225">
        <v>1</v>
      </c>
      <c r="J16" s="225">
        <v>2</v>
      </c>
      <c r="K16" s="225">
        <v>1</v>
      </c>
      <c r="L16" s="225"/>
      <c r="M16" s="354">
        <v>9280</v>
      </c>
    </row>
    <row r="17" spans="1:13" ht="15">
      <c r="A17" s="300">
        <v>9</v>
      </c>
      <c r="B17" s="301">
        <v>8</v>
      </c>
      <c r="C17" s="225">
        <v>1</v>
      </c>
      <c r="D17" s="225">
        <v>3</v>
      </c>
      <c r="E17" s="225">
        <v>3</v>
      </c>
      <c r="F17" s="225">
        <v>1</v>
      </c>
      <c r="G17" s="225">
        <v>2</v>
      </c>
      <c r="H17" s="225">
        <v>2</v>
      </c>
      <c r="I17" s="225">
        <v>3</v>
      </c>
      <c r="J17" s="225">
        <v>3</v>
      </c>
      <c r="K17" s="225"/>
      <c r="L17" s="225"/>
      <c r="M17" s="354">
        <v>9680</v>
      </c>
    </row>
    <row r="18" spans="1:13" ht="15">
      <c r="A18" s="300">
        <v>10</v>
      </c>
      <c r="B18" s="301">
        <v>10</v>
      </c>
      <c r="C18" s="225">
        <v>3</v>
      </c>
      <c r="D18" s="225">
        <v>2</v>
      </c>
      <c r="E18" s="225">
        <v>3</v>
      </c>
      <c r="F18" s="225">
        <v>2</v>
      </c>
      <c r="G18" s="225">
        <v>1</v>
      </c>
      <c r="H18" s="225">
        <v>2</v>
      </c>
      <c r="I18" s="225">
        <v>2</v>
      </c>
      <c r="J18" s="225">
        <v>1</v>
      </c>
      <c r="K18" s="225">
        <v>2</v>
      </c>
      <c r="L18" s="225">
        <v>3</v>
      </c>
      <c r="M18" s="354">
        <v>10080</v>
      </c>
    </row>
    <row r="19" spans="1:13" ht="15">
      <c r="A19" s="300">
        <v>11</v>
      </c>
      <c r="B19" s="301">
        <v>7</v>
      </c>
      <c r="C19" s="225">
        <v>3</v>
      </c>
      <c r="D19" s="225">
        <v>2</v>
      </c>
      <c r="E19" s="225">
        <v>2</v>
      </c>
      <c r="F19" s="225">
        <v>3</v>
      </c>
      <c r="G19" s="225">
        <v>2</v>
      </c>
      <c r="H19" s="225">
        <v>3</v>
      </c>
      <c r="I19" s="225">
        <v>1</v>
      </c>
      <c r="J19" s="225"/>
      <c r="K19" s="225"/>
      <c r="L19" s="225"/>
      <c r="M19" s="354">
        <v>8440</v>
      </c>
    </row>
    <row r="20" spans="1:13" ht="15">
      <c r="A20" s="300">
        <v>12</v>
      </c>
      <c r="B20" s="301">
        <v>10</v>
      </c>
      <c r="C20" s="225">
        <v>2</v>
      </c>
      <c r="D20" s="225">
        <v>1</v>
      </c>
      <c r="E20" s="225">
        <v>1</v>
      </c>
      <c r="F20" s="225">
        <v>2</v>
      </c>
      <c r="G20" s="225">
        <v>3</v>
      </c>
      <c r="H20" s="225">
        <v>3</v>
      </c>
      <c r="I20" s="225">
        <v>1</v>
      </c>
      <c r="J20" s="225">
        <v>1</v>
      </c>
      <c r="K20" s="225">
        <v>2</v>
      </c>
      <c r="L20" s="225">
        <v>3</v>
      </c>
      <c r="M20" s="354">
        <v>8560</v>
      </c>
    </row>
    <row r="21" spans="1:13" ht="15">
      <c r="A21" s="300">
        <v>13</v>
      </c>
      <c r="B21" s="301">
        <v>5</v>
      </c>
      <c r="C21" s="225">
        <v>3</v>
      </c>
      <c r="D21" s="225">
        <v>2</v>
      </c>
      <c r="E21" s="225">
        <v>3</v>
      </c>
      <c r="F21" s="225">
        <v>1</v>
      </c>
      <c r="G21" s="225">
        <v>2</v>
      </c>
      <c r="H21" s="225"/>
      <c r="I21" s="225"/>
      <c r="J21" s="225"/>
      <c r="K21" s="225"/>
      <c r="L21" s="225"/>
      <c r="M21" s="354">
        <v>5640</v>
      </c>
    </row>
    <row r="22" spans="1:13" ht="15">
      <c r="A22" s="300">
        <v>14</v>
      </c>
      <c r="B22" s="301">
        <v>5</v>
      </c>
      <c r="C22" s="225">
        <v>2</v>
      </c>
      <c r="D22" s="225">
        <v>1</v>
      </c>
      <c r="E22" s="225">
        <v>3</v>
      </c>
      <c r="F22" s="225">
        <v>3</v>
      </c>
      <c r="G22" s="225">
        <v>3</v>
      </c>
      <c r="H22" s="225"/>
      <c r="I22" s="225"/>
      <c r="J22" s="225"/>
      <c r="K22" s="225"/>
      <c r="L22" s="225"/>
      <c r="M22" s="354">
        <v>6840</v>
      </c>
    </row>
    <row r="23" spans="1:13" ht="15">
      <c r="A23" s="300">
        <v>15</v>
      </c>
      <c r="B23" s="301">
        <v>5</v>
      </c>
      <c r="C23" s="225">
        <v>3</v>
      </c>
      <c r="D23" s="225">
        <v>1</v>
      </c>
      <c r="E23" s="225">
        <v>2</v>
      </c>
      <c r="F23" s="225">
        <v>3</v>
      </c>
      <c r="G23" s="225">
        <v>2</v>
      </c>
      <c r="H23" s="225"/>
      <c r="I23" s="225"/>
      <c r="J23" s="225"/>
      <c r="K23" s="225"/>
      <c r="L23" s="225"/>
      <c r="M23" s="354">
        <v>5640</v>
      </c>
    </row>
    <row r="24" spans="1:13" ht="15">
      <c r="A24" s="300">
        <v>16</v>
      </c>
      <c r="B24" s="301">
        <v>5</v>
      </c>
      <c r="C24" s="225">
        <v>3</v>
      </c>
      <c r="D24" s="225">
        <v>1</v>
      </c>
      <c r="E24" s="225">
        <v>3</v>
      </c>
      <c r="F24" s="225">
        <v>2</v>
      </c>
      <c r="G24" s="225">
        <v>3</v>
      </c>
      <c r="H24" s="225"/>
      <c r="I24" s="225"/>
      <c r="J24" s="225"/>
      <c r="K24" s="225"/>
      <c r="L24" s="225"/>
      <c r="M24" s="354">
        <v>6840</v>
      </c>
    </row>
    <row r="25" spans="1:13" ht="15">
      <c r="A25" s="300">
        <v>17</v>
      </c>
      <c r="B25" s="301">
        <v>7</v>
      </c>
      <c r="C25" s="225">
        <v>3</v>
      </c>
      <c r="D25" s="225">
        <v>2</v>
      </c>
      <c r="E25" s="225">
        <v>3</v>
      </c>
      <c r="F25" s="225">
        <v>2</v>
      </c>
      <c r="G25" s="225">
        <v>1</v>
      </c>
      <c r="H25" s="225">
        <v>2</v>
      </c>
      <c r="I25" s="225">
        <v>1</v>
      </c>
      <c r="J25" s="225"/>
      <c r="K25" s="225"/>
      <c r="L25" s="225"/>
      <c r="M25" s="354">
        <v>6480</v>
      </c>
    </row>
    <row r="26" spans="1:13" ht="15">
      <c r="A26" s="300">
        <v>18</v>
      </c>
      <c r="B26" s="301">
        <v>5</v>
      </c>
      <c r="C26" s="225">
        <v>2</v>
      </c>
      <c r="D26" s="225">
        <v>1</v>
      </c>
      <c r="E26" s="225">
        <v>2</v>
      </c>
      <c r="F26" s="225">
        <v>3</v>
      </c>
      <c r="G26" s="225">
        <v>3</v>
      </c>
      <c r="H26" s="225"/>
      <c r="I26" s="225"/>
      <c r="J26" s="225"/>
      <c r="K26" s="225"/>
      <c r="L26" s="225"/>
      <c r="M26" s="354">
        <v>5640</v>
      </c>
    </row>
    <row r="27" spans="1:13" ht="15">
      <c r="A27" s="300">
        <v>19</v>
      </c>
      <c r="B27" s="301">
        <v>8</v>
      </c>
      <c r="C27" s="225">
        <v>2</v>
      </c>
      <c r="D27" s="225">
        <v>2</v>
      </c>
      <c r="E27" s="225">
        <v>3</v>
      </c>
      <c r="F27" s="225">
        <v>1</v>
      </c>
      <c r="G27" s="225">
        <v>3</v>
      </c>
      <c r="H27" s="225">
        <v>2</v>
      </c>
      <c r="I27" s="225">
        <v>1</v>
      </c>
      <c r="J27" s="225">
        <v>3</v>
      </c>
      <c r="K27" s="225"/>
      <c r="L27" s="225"/>
      <c r="M27" s="354">
        <v>8480</v>
      </c>
    </row>
    <row r="28" spans="1:13" ht="15">
      <c r="A28" s="300">
        <v>20</v>
      </c>
      <c r="B28" s="301">
        <v>7</v>
      </c>
      <c r="C28" s="225">
        <v>2</v>
      </c>
      <c r="D28" s="225">
        <v>3</v>
      </c>
      <c r="E28" s="225">
        <v>1</v>
      </c>
      <c r="F28" s="225">
        <v>3</v>
      </c>
      <c r="G28" s="225">
        <v>2</v>
      </c>
      <c r="H28" s="225">
        <v>3</v>
      </c>
      <c r="I28" s="225">
        <v>3</v>
      </c>
      <c r="J28" s="225"/>
      <c r="K28" s="225"/>
      <c r="L28" s="225"/>
      <c r="M28" s="354">
        <v>9640</v>
      </c>
    </row>
    <row r="29" spans="1:13" ht="15">
      <c r="A29" s="300">
        <v>21</v>
      </c>
      <c r="B29" s="301">
        <v>8</v>
      </c>
      <c r="C29" s="225">
        <v>3</v>
      </c>
      <c r="D29" s="225">
        <v>2</v>
      </c>
      <c r="E29" s="225">
        <v>3</v>
      </c>
      <c r="F29" s="225">
        <v>2</v>
      </c>
      <c r="G29" s="225">
        <v>1</v>
      </c>
      <c r="H29" s="225">
        <v>2</v>
      </c>
      <c r="I29" s="225">
        <v>1</v>
      </c>
      <c r="J29" s="225">
        <v>3</v>
      </c>
      <c r="K29" s="225"/>
      <c r="L29" s="225"/>
      <c r="M29" s="354">
        <v>8480</v>
      </c>
    </row>
    <row r="30" spans="1:13" ht="15">
      <c r="A30" s="300">
        <v>22</v>
      </c>
      <c r="B30" s="301">
        <v>10</v>
      </c>
      <c r="C30" s="225">
        <v>1</v>
      </c>
      <c r="D30" s="225">
        <v>2</v>
      </c>
      <c r="E30" s="225">
        <v>3</v>
      </c>
      <c r="F30" s="225">
        <v>1</v>
      </c>
      <c r="G30" s="225">
        <v>3</v>
      </c>
      <c r="H30" s="225">
        <v>2</v>
      </c>
      <c r="I30" s="225">
        <v>1</v>
      </c>
      <c r="J30" s="225">
        <v>3</v>
      </c>
      <c r="K30" s="225">
        <v>2</v>
      </c>
      <c r="L30" s="225">
        <v>2</v>
      </c>
      <c r="M30" s="354">
        <v>9320</v>
      </c>
    </row>
    <row r="31" spans="1:13" ht="15">
      <c r="A31" s="300">
        <v>23</v>
      </c>
      <c r="B31" s="301">
        <v>10</v>
      </c>
      <c r="C31" s="225">
        <v>1</v>
      </c>
      <c r="D31" s="225">
        <v>3</v>
      </c>
      <c r="E31" s="225">
        <v>1</v>
      </c>
      <c r="F31" s="225">
        <v>1</v>
      </c>
      <c r="G31" s="225">
        <v>3</v>
      </c>
      <c r="H31" s="225">
        <v>2</v>
      </c>
      <c r="I31" s="225">
        <v>3</v>
      </c>
      <c r="J31" s="225">
        <v>3</v>
      </c>
      <c r="K31" s="225">
        <v>3</v>
      </c>
      <c r="L31" s="225">
        <v>3</v>
      </c>
      <c r="M31" s="354">
        <v>12920</v>
      </c>
    </row>
    <row r="32" spans="1:13" ht="15">
      <c r="A32" s="300">
        <v>24</v>
      </c>
      <c r="B32" s="301">
        <v>8</v>
      </c>
      <c r="C32" s="225">
        <v>3</v>
      </c>
      <c r="D32" s="225">
        <v>1</v>
      </c>
      <c r="E32" s="225">
        <v>2</v>
      </c>
      <c r="F32" s="225">
        <v>3</v>
      </c>
      <c r="G32" s="225">
        <v>1</v>
      </c>
      <c r="H32" s="225">
        <v>3</v>
      </c>
      <c r="I32" s="225">
        <v>3</v>
      </c>
      <c r="J32" s="225">
        <v>2</v>
      </c>
      <c r="K32" s="225"/>
      <c r="L32" s="225"/>
      <c r="M32" s="354">
        <v>9680</v>
      </c>
    </row>
    <row r="33" spans="1:13" ht="15">
      <c r="A33" s="300">
        <v>25</v>
      </c>
      <c r="B33" s="301">
        <v>6</v>
      </c>
      <c r="C33" s="225">
        <v>1</v>
      </c>
      <c r="D33" s="225">
        <v>3</v>
      </c>
      <c r="E33" s="225">
        <v>2</v>
      </c>
      <c r="F33" s="225">
        <v>1</v>
      </c>
      <c r="G33" s="225">
        <v>3</v>
      </c>
      <c r="H33" s="225">
        <v>3</v>
      </c>
      <c r="I33" s="225"/>
      <c r="J33" s="225"/>
      <c r="K33" s="225"/>
      <c r="L33" s="225"/>
      <c r="M33" s="354">
        <v>6880</v>
      </c>
    </row>
    <row r="34" spans="1:13" ht="15">
      <c r="A34" s="300">
        <v>26</v>
      </c>
      <c r="B34" s="301">
        <v>5</v>
      </c>
      <c r="C34" s="225">
        <v>3</v>
      </c>
      <c r="D34" s="225">
        <v>3</v>
      </c>
      <c r="E34" s="225">
        <v>1</v>
      </c>
      <c r="F34" s="225">
        <v>1</v>
      </c>
      <c r="G34" s="225">
        <v>3</v>
      </c>
      <c r="H34" s="225"/>
      <c r="I34" s="225"/>
      <c r="J34" s="225"/>
      <c r="K34" s="225"/>
      <c r="L34" s="225"/>
      <c r="M34" s="354">
        <v>6080</v>
      </c>
    </row>
    <row r="35" spans="1:13" ht="15">
      <c r="A35" s="300">
        <v>27</v>
      </c>
      <c r="B35" s="301">
        <v>8</v>
      </c>
      <c r="C35" s="225">
        <v>2</v>
      </c>
      <c r="D35" s="225">
        <v>1</v>
      </c>
      <c r="E35" s="225">
        <v>2</v>
      </c>
      <c r="F35" s="225">
        <v>1</v>
      </c>
      <c r="G35" s="225">
        <v>3</v>
      </c>
      <c r="H35" s="225">
        <v>3</v>
      </c>
      <c r="I35" s="225">
        <v>2</v>
      </c>
      <c r="J35" s="225">
        <v>3</v>
      </c>
      <c r="K35" s="225"/>
      <c r="L35" s="225"/>
      <c r="M35" s="354">
        <v>8480</v>
      </c>
    </row>
    <row r="36" spans="1:13" ht="15">
      <c r="A36" s="300">
        <v>28</v>
      </c>
      <c r="B36" s="301">
        <v>9</v>
      </c>
      <c r="C36" s="225">
        <v>3</v>
      </c>
      <c r="D36" s="225">
        <v>1</v>
      </c>
      <c r="E36" s="225">
        <v>2</v>
      </c>
      <c r="F36" s="225">
        <v>3</v>
      </c>
      <c r="G36" s="225">
        <v>2</v>
      </c>
      <c r="H36" s="225">
        <v>1</v>
      </c>
      <c r="I36" s="225">
        <v>3</v>
      </c>
      <c r="J36" s="225">
        <v>2</v>
      </c>
      <c r="K36" s="225">
        <v>1</v>
      </c>
      <c r="L36" s="225"/>
      <c r="M36" s="354">
        <v>8520</v>
      </c>
    </row>
    <row r="37" spans="1:13" ht="15">
      <c r="A37" s="300">
        <v>29</v>
      </c>
      <c r="B37" s="301">
        <v>8</v>
      </c>
      <c r="C37" s="225">
        <v>1</v>
      </c>
      <c r="D37" s="225">
        <v>3</v>
      </c>
      <c r="E37" s="225">
        <v>2</v>
      </c>
      <c r="F37" s="225">
        <v>3</v>
      </c>
      <c r="G37" s="225">
        <v>3</v>
      </c>
      <c r="H37" s="225">
        <v>2</v>
      </c>
      <c r="I37" s="225">
        <v>2</v>
      </c>
      <c r="J37" s="225">
        <v>2</v>
      </c>
      <c r="K37" s="225"/>
      <c r="L37" s="225"/>
      <c r="M37" s="354">
        <v>9240</v>
      </c>
    </row>
    <row r="38" spans="1:13" ht="15">
      <c r="A38" s="300">
        <v>30</v>
      </c>
      <c r="B38" s="301">
        <v>10</v>
      </c>
      <c r="C38" s="225">
        <v>1</v>
      </c>
      <c r="D38" s="225">
        <v>1</v>
      </c>
      <c r="E38" s="225">
        <v>2</v>
      </c>
      <c r="F38" s="225">
        <v>2</v>
      </c>
      <c r="G38" s="225">
        <v>3</v>
      </c>
      <c r="H38" s="225">
        <v>2</v>
      </c>
      <c r="I38" s="225">
        <v>2</v>
      </c>
      <c r="J38" s="225">
        <v>1</v>
      </c>
      <c r="K38" s="225">
        <v>2</v>
      </c>
      <c r="L38" s="225">
        <v>3</v>
      </c>
      <c r="M38" s="354">
        <v>8120</v>
      </c>
    </row>
    <row r="39" spans="1:13" ht="15">
      <c r="A39" s="300">
        <v>31</v>
      </c>
      <c r="B39" s="301">
        <v>8</v>
      </c>
      <c r="C39" s="225">
        <v>3</v>
      </c>
      <c r="D39" s="225">
        <v>1</v>
      </c>
      <c r="E39" s="225">
        <v>2</v>
      </c>
      <c r="F39" s="225">
        <v>2</v>
      </c>
      <c r="G39" s="225">
        <v>2</v>
      </c>
      <c r="H39" s="225">
        <v>3</v>
      </c>
      <c r="I39" s="225">
        <v>1</v>
      </c>
      <c r="J39" s="225">
        <v>3</v>
      </c>
      <c r="K39" s="225"/>
      <c r="L39" s="225"/>
      <c r="M39" s="354">
        <v>8480</v>
      </c>
    </row>
    <row r="40" spans="1:13" ht="15">
      <c r="A40" s="300">
        <v>32</v>
      </c>
      <c r="B40" s="301">
        <v>6</v>
      </c>
      <c r="C40" s="225">
        <v>2</v>
      </c>
      <c r="D40" s="225">
        <v>3</v>
      </c>
      <c r="E40" s="225">
        <v>2</v>
      </c>
      <c r="F40" s="225">
        <v>3</v>
      </c>
      <c r="G40" s="225">
        <v>1</v>
      </c>
      <c r="H40" s="225">
        <v>1</v>
      </c>
      <c r="I40" s="225"/>
      <c r="J40" s="225"/>
      <c r="K40" s="225"/>
      <c r="L40" s="225"/>
      <c r="M40" s="354">
        <v>5680</v>
      </c>
    </row>
    <row r="41" spans="1:13" ht="15">
      <c r="A41" s="300">
        <v>33</v>
      </c>
      <c r="B41" s="301">
        <v>8</v>
      </c>
      <c r="C41" s="225">
        <v>1</v>
      </c>
      <c r="D41" s="225">
        <v>2</v>
      </c>
      <c r="E41" s="225">
        <v>2</v>
      </c>
      <c r="F41" s="225">
        <v>2</v>
      </c>
      <c r="G41" s="225">
        <v>2</v>
      </c>
      <c r="H41" s="225">
        <v>3</v>
      </c>
      <c r="I41" s="225">
        <v>3</v>
      </c>
      <c r="J41" s="225"/>
      <c r="K41" s="225"/>
      <c r="L41" s="225"/>
      <c r="M41" s="354">
        <v>7240</v>
      </c>
    </row>
    <row r="42" spans="1:13" ht="15">
      <c r="A42" s="300">
        <v>34</v>
      </c>
      <c r="B42" s="301">
        <v>7</v>
      </c>
      <c r="C42" s="225">
        <v>2</v>
      </c>
      <c r="D42" s="225">
        <v>3</v>
      </c>
      <c r="E42" s="225">
        <v>1</v>
      </c>
      <c r="F42" s="225">
        <v>3</v>
      </c>
      <c r="G42" s="225">
        <v>2</v>
      </c>
      <c r="H42" s="225">
        <v>3</v>
      </c>
      <c r="I42" s="225">
        <v>2</v>
      </c>
      <c r="J42" s="225"/>
      <c r="K42" s="225"/>
      <c r="L42" s="225"/>
      <c r="M42" s="354">
        <v>8440</v>
      </c>
    </row>
    <row r="43" spans="1:13" ht="15">
      <c r="A43" s="300">
        <v>35</v>
      </c>
      <c r="B43" s="301">
        <v>7</v>
      </c>
      <c r="C43" s="225">
        <v>3</v>
      </c>
      <c r="D43" s="225">
        <v>2</v>
      </c>
      <c r="E43" s="225">
        <v>2</v>
      </c>
      <c r="F43" s="225">
        <v>1</v>
      </c>
      <c r="G43" s="225">
        <v>3</v>
      </c>
      <c r="H43" s="225">
        <v>3</v>
      </c>
      <c r="I43" s="225">
        <v>3</v>
      </c>
      <c r="J43" s="225"/>
      <c r="K43" s="225"/>
      <c r="L43" s="225"/>
      <c r="M43" s="354">
        <v>9640</v>
      </c>
    </row>
    <row r="44" spans="1:13" ht="15">
      <c r="A44" s="300">
        <v>36</v>
      </c>
      <c r="B44" s="301">
        <v>5</v>
      </c>
      <c r="C44" s="225">
        <v>3</v>
      </c>
      <c r="D44" s="225">
        <v>2</v>
      </c>
      <c r="E44" s="225">
        <v>1</v>
      </c>
      <c r="F44" s="225">
        <v>3</v>
      </c>
      <c r="G44" s="225">
        <v>3</v>
      </c>
      <c r="H44" s="225"/>
      <c r="I44" s="225"/>
      <c r="J44" s="225"/>
      <c r="K44" s="225"/>
      <c r="L44" s="225"/>
      <c r="M44" s="354">
        <v>6840</v>
      </c>
    </row>
    <row r="45" spans="1:13" ht="15">
      <c r="A45" s="221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354"/>
    </row>
    <row r="46" spans="1:13" ht="15">
      <c r="A46" s="221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354"/>
    </row>
    <row r="47" spans="1:13" ht="15.75">
      <c r="A47" s="223" t="s">
        <v>367</v>
      </c>
      <c r="B47" s="355">
        <v>259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354"/>
    </row>
    <row r="48" spans="1:13" ht="15">
      <c r="A48" s="221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7"/>
    </row>
    <row r="49" spans="1:13" ht="15">
      <c r="A49" s="221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7"/>
    </row>
    <row r="50" spans="1:13" ht="15.75" thickBot="1">
      <c r="A50" s="222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228"/>
    </row>
  </sheetData>
  <mergeCells count="4">
    <mergeCell ref="L6:M6"/>
    <mergeCell ref="A3:M3"/>
    <mergeCell ref="A1:M1"/>
    <mergeCell ref="L5:M5"/>
  </mergeCells>
  <printOptions/>
  <pageMargins left="1.5748031496062993" right="0.9448818897637796" top="1.5748031496062993" bottom="1.5748031496062993" header="0" footer="0"/>
  <pageSetup horizontalDpi="360" verticalDpi="36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B5" sqref="B5"/>
    </sheetView>
  </sheetViews>
  <sheetFormatPr defaultColWidth="11.421875" defaultRowHeight="12.75"/>
  <cols>
    <col min="1" max="1" width="8.7109375" style="154" bestFit="1" customWidth="1"/>
    <col min="2" max="2" width="7.7109375" style="283" bestFit="1" customWidth="1"/>
    <col min="3" max="3" width="18.8515625" style="154" bestFit="1" customWidth="1"/>
    <col min="4" max="4" width="15.140625" style="154" bestFit="1" customWidth="1"/>
    <col min="5" max="6" width="15.7109375" style="154" bestFit="1" customWidth="1"/>
    <col min="7" max="7" width="10.421875" style="154" bestFit="1" customWidth="1"/>
    <col min="8" max="8" width="15.7109375" style="154" bestFit="1" customWidth="1"/>
    <col min="9" max="16384" width="11.421875" style="218" customWidth="1"/>
  </cols>
  <sheetData>
    <row r="1" spans="1:7" ht="21.75">
      <c r="A1" s="407" t="s">
        <v>462</v>
      </c>
      <c r="B1" s="407"/>
      <c r="C1" s="407"/>
      <c r="D1" s="407"/>
      <c r="E1" s="407"/>
      <c r="F1" s="407"/>
      <c r="G1" s="407"/>
    </row>
    <row r="2" ht="12.75" customHeight="1">
      <c r="B2" s="218"/>
    </row>
    <row r="3" spans="1:7" ht="19.5">
      <c r="A3" s="408" t="s">
        <v>463</v>
      </c>
      <c r="B3" s="408"/>
      <c r="C3" s="408"/>
      <c r="D3" s="408"/>
      <c r="E3" s="408"/>
      <c r="F3" s="408"/>
      <c r="G3" s="408"/>
    </row>
    <row r="4" ht="12.75" customHeight="1" thickBot="1"/>
    <row r="5" spans="1:7" s="163" customFormat="1" ht="12.75">
      <c r="A5" s="368"/>
      <c r="B5" s="369" t="s">
        <v>89</v>
      </c>
      <c r="C5" s="370" t="s">
        <v>90</v>
      </c>
      <c r="D5" s="370" t="s">
        <v>490</v>
      </c>
      <c r="E5" s="370" t="s">
        <v>92</v>
      </c>
      <c r="F5" s="370" t="s">
        <v>93</v>
      </c>
      <c r="G5" s="371" t="s">
        <v>94</v>
      </c>
    </row>
    <row r="6" spans="1:7" s="163" customFormat="1" ht="12.75">
      <c r="A6" s="294"/>
      <c r="B6" s="372"/>
      <c r="C6" s="295"/>
      <c r="D6" s="331" t="s">
        <v>96</v>
      </c>
      <c r="E6" s="331" t="s">
        <v>97</v>
      </c>
      <c r="F6" s="331" t="s">
        <v>98</v>
      </c>
      <c r="G6" s="373" t="s">
        <v>99</v>
      </c>
    </row>
    <row r="7" spans="1:8" ht="15">
      <c r="A7" s="298"/>
      <c r="B7" s="374"/>
      <c r="C7" s="226"/>
      <c r="D7" s="226"/>
      <c r="E7" s="226"/>
      <c r="F7" s="226"/>
      <c r="G7" s="354"/>
      <c r="H7" s="218"/>
    </row>
    <row r="8" spans="1:8" ht="15.75">
      <c r="A8" s="297"/>
      <c r="B8" s="375">
        <v>1</v>
      </c>
      <c r="C8" s="226">
        <v>32521.242416</v>
      </c>
      <c r="D8" s="226">
        <v>25</v>
      </c>
      <c r="E8" s="226"/>
      <c r="F8" s="226"/>
      <c r="G8" s="354"/>
      <c r="H8" s="218"/>
    </row>
    <row r="9" spans="1:8" ht="15.75">
      <c r="A9" s="297"/>
      <c r="B9" s="375">
        <v>2</v>
      </c>
      <c r="C9" s="226">
        <v>105068.629344</v>
      </c>
      <c r="D9" s="226">
        <v>60</v>
      </c>
      <c r="E9" s="226">
        <v>250163.4032</v>
      </c>
      <c r="F9" s="226">
        <v>250163.4032</v>
      </c>
      <c r="G9" s="354"/>
      <c r="H9" s="218"/>
    </row>
    <row r="10" spans="1:8" ht="15.75">
      <c r="A10" s="297"/>
      <c r="B10" s="375">
        <v>3</v>
      </c>
      <c r="C10" s="226">
        <v>112573.53144</v>
      </c>
      <c r="D10" s="226">
        <v>21</v>
      </c>
      <c r="E10" s="226"/>
      <c r="F10" s="226"/>
      <c r="G10" s="354"/>
      <c r="H10" s="218"/>
    </row>
    <row r="11" spans="1:8" ht="15.75">
      <c r="A11" s="297"/>
      <c r="B11" s="375"/>
      <c r="C11" s="226"/>
      <c r="D11" s="226"/>
      <c r="E11" s="226"/>
      <c r="F11" s="226"/>
      <c r="G11" s="354"/>
      <c r="H11" s="218"/>
    </row>
    <row r="12" spans="1:8" ht="15.75">
      <c r="A12" s="297"/>
      <c r="B12" s="375">
        <v>4</v>
      </c>
      <c r="C12" s="226">
        <v>75049.02096</v>
      </c>
      <c r="D12" s="226">
        <v>24</v>
      </c>
      <c r="E12" s="226"/>
      <c r="F12" s="226"/>
      <c r="G12" s="354">
        <v>0.1</v>
      </c>
      <c r="H12" s="218"/>
    </row>
    <row r="13" spans="1:8" ht="15.75">
      <c r="A13" s="297"/>
      <c r="B13" s="375">
        <v>5</v>
      </c>
      <c r="C13" s="226">
        <v>187622.5524</v>
      </c>
      <c r="D13" s="226">
        <v>47</v>
      </c>
      <c r="E13" s="226"/>
      <c r="F13" s="226"/>
      <c r="G13" s="354">
        <v>0.25</v>
      </c>
      <c r="H13" s="218"/>
    </row>
    <row r="14" spans="1:8" ht="15.75">
      <c r="A14" s="297"/>
      <c r="B14" s="375">
        <v>6</v>
      </c>
      <c r="C14" s="226">
        <v>37524.51048</v>
      </c>
      <c r="D14" s="226">
        <v>81</v>
      </c>
      <c r="E14" s="226"/>
      <c r="F14" s="226"/>
      <c r="G14" s="354">
        <v>0.05</v>
      </c>
      <c r="H14" s="218"/>
    </row>
    <row r="15" spans="1:7" ht="15.75">
      <c r="A15" s="297" t="s">
        <v>107</v>
      </c>
      <c r="B15" s="375">
        <v>7</v>
      </c>
      <c r="C15" s="226">
        <v>75049.02096</v>
      </c>
      <c r="D15" s="226">
        <v>89</v>
      </c>
      <c r="E15" s="226">
        <v>750490.2096</v>
      </c>
      <c r="F15" s="226">
        <v>750490.2096</v>
      </c>
      <c r="G15" s="354">
        <v>0.1</v>
      </c>
    </row>
    <row r="16" spans="1:7" ht="15.75">
      <c r="A16" s="297"/>
      <c r="B16" s="375">
        <v>8</v>
      </c>
      <c r="C16" s="226">
        <v>225147.06287999998</v>
      </c>
      <c r="D16" s="226">
        <v>27</v>
      </c>
      <c r="E16" s="226"/>
      <c r="F16" s="226"/>
      <c r="G16" s="354">
        <v>0.3</v>
      </c>
    </row>
    <row r="17" spans="1:7" ht="15.75">
      <c r="A17" s="297"/>
      <c r="B17" s="375">
        <v>9</v>
      </c>
      <c r="C17" s="226">
        <v>150098.04192</v>
      </c>
      <c r="D17" s="226">
        <v>20</v>
      </c>
      <c r="E17" s="226"/>
      <c r="F17" s="226"/>
      <c r="G17" s="354">
        <v>0.2</v>
      </c>
    </row>
    <row r="18" spans="1:7" ht="15.75">
      <c r="A18" s="297"/>
      <c r="B18" s="375"/>
      <c r="C18" s="226"/>
      <c r="D18" s="226"/>
      <c r="E18" s="226"/>
      <c r="F18" s="226"/>
      <c r="G18" s="354"/>
    </row>
    <row r="19" spans="1:7" ht="15.75">
      <c r="A19" s="297"/>
      <c r="B19" s="375">
        <v>10</v>
      </c>
      <c r="C19" s="226">
        <v>75049.02</v>
      </c>
      <c r="D19" s="226">
        <v>33</v>
      </c>
      <c r="E19" s="226"/>
      <c r="F19" s="226"/>
      <c r="G19" s="354">
        <v>0.3</v>
      </c>
    </row>
    <row r="20" spans="1:7" ht="15.75">
      <c r="A20" s="297"/>
      <c r="B20" s="375">
        <v>11</v>
      </c>
      <c r="C20" s="226">
        <v>100065.36</v>
      </c>
      <c r="D20" s="226">
        <v>11</v>
      </c>
      <c r="E20" s="226">
        <v>250163.4</v>
      </c>
      <c r="F20" s="226">
        <v>250163.4</v>
      </c>
      <c r="G20" s="354">
        <v>0.4</v>
      </c>
    </row>
    <row r="21" spans="1:7" ht="15.75">
      <c r="A21" s="297"/>
      <c r="B21" s="375">
        <v>12</v>
      </c>
      <c r="C21" s="226">
        <v>75049.02</v>
      </c>
      <c r="D21" s="226">
        <v>40</v>
      </c>
      <c r="E21" s="226"/>
      <c r="F21" s="226"/>
      <c r="G21" s="354">
        <v>0.3</v>
      </c>
    </row>
    <row r="22" spans="1:7" ht="15">
      <c r="A22" s="298"/>
      <c r="B22" s="374"/>
      <c r="C22" s="226"/>
      <c r="D22" s="226"/>
      <c r="E22" s="226"/>
      <c r="F22" s="226"/>
      <c r="G22" s="354"/>
    </row>
    <row r="23" spans="1:7" ht="15.75">
      <c r="A23" s="298"/>
      <c r="B23" s="375">
        <v>13</v>
      </c>
      <c r="C23" s="226">
        <v>108393.30086</v>
      </c>
      <c r="D23" s="226">
        <v>16</v>
      </c>
      <c r="E23" s="226"/>
      <c r="F23" s="226"/>
      <c r="G23" s="354">
        <v>0.26</v>
      </c>
    </row>
    <row r="24" spans="1:7" ht="15.75">
      <c r="A24" s="298"/>
      <c r="B24" s="375">
        <v>14</v>
      </c>
      <c r="C24" s="226">
        <v>75041.51598</v>
      </c>
      <c r="D24" s="226">
        <v>90</v>
      </c>
      <c r="E24" s="226">
        <v>416897.311</v>
      </c>
      <c r="F24" s="226">
        <v>416897.311</v>
      </c>
      <c r="G24" s="354">
        <v>0.18</v>
      </c>
    </row>
    <row r="25" spans="1:7" ht="15.75">
      <c r="A25" s="298"/>
      <c r="B25" s="375">
        <v>15</v>
      </c>
      <c r="C25" s="226">
        <v>233462.49416</v>
      </c>
      <c r="D25" s="226">
        <v>38</v>
      </c>
      <c r="E25" s="226"/>
      <c r="F25" s="226"/>
      <c r="G25" s="354">
        <v>0.56</v>
      </c>
    </row>
    <row r="26" spans="1:7" ht="15.75">
      <c r="A26" s="298"/>
      <c r="B26" s="375"/>
      <c r="C26" s="226"/>
      <c r="D26" s="226"/>
      <c r="E26" s="226"/>
      <c r="F26" s="226"/>
      <c r="G26" s="354"/>
    </row>
    <row r="27" spans="1:7" ht="15.75">
      <c r="A27" s="298"/>
      <c r="B27" s="375">
        <v>16</v>
      </c>
      <c r="C27" s="226">
        <v>400221.4176</v>
      </c>
      <c r="D27" s="226">
        <v>75</v>
      </c>
      <c r="E27" s="226"/>
      <c r="F27" s="226"/>
      <c r="G27" s="354">
        <v>0.32</v>
      </c>
    </row>
    <row r="28" spans="1:7" ht="15.75">
      <c r="A28" s="298"/>
      <c r="B28" s="375">
        <v>17</v>
      </c>
      <c r="C28" s="226">
        <v>175096.8702</v>
      </c>
      <c r="D28" s="226">
        <v>14</v>
      </c>
      <c r="E28" s="226"/>
      <c r="F28" s="226"/>
      <c r="G28" s="354">
        <v>0.14</v>
      </c>
    </row>
    <row r="29" spans="1:7" ht="15.75">
      <c r="A29" s="297" t="s">
        <v>110</v>
      </c>
      <c r="B29" s="375">
        <v>18</v>
      </c>
      <c r="C29" s="226">
        <v>137576.1123</v>
      </c>
      <c r="D29" s="226">
        <v>34</v>
      </c>
      <c r="E29" s="226">
        <v>1250691.93</v>
      </c>
      <c r="F29" s="226">
        <v>1250691.93</v>
      </c>
      <c r="G29" s="354">
        <v>0.11</v>
      </c>
    </row>
    <row r="30" spans="1:7" ht="15.75">
      <c r="A30" s="298"/>
      <c r="B30" s="375">
        <v>19</v>
      </c>
      <c r="C30" s="226">
        <v>350193.7404</v>
      </c>
      <c r="D30" s="226">
        <v>62</v>
      </c>
      <c r="E30" s="226"/>
      <c r="F30" s="226"/>
      <c r="G30" s="354">
        <v>0.28</v>
      </c>
    </row>
    <row r="31" spans="1:7" ht="15.75">
      <c r="A31" s="298"/>
      <c r="B31" s="375">
        <v>20</v>
      </c>
      <c r="C31" s="226">
        <v>137576.1123</v>
      </c>
      <c r="D31" s="226">
        <v>92</v>
      </c>
      <c r="E31" s="226"/>
      <c r="F31" s="226"/>
      <c r="G31" s="354">
        <v>0.11</v>
      </c>
    </row>
    <row r="32" spans="1:7" ht="15.75">
      <c r="A32" s="298"/>
      <c r="B32" s="375">
        <v>21</v>
      </c>
      <c r="C32" s="226">
        <v>50027.6772</v>
      </c>
      <c r="D32" s="226">
        <v>15</v>
      </c>
      <c r="E32" s="226"/>
      <c r="F32" s="226"/>
      <c r="G32" s="354">
        <v>0.04</v>
      </c>
    </row>
    <row r="33" spans="1:7" ht="15.75">
      <c r="A33" s="298"/>
      <c r="B33" s="375"/>
      <c r="C33" s="226"/>
      <c r="D33" s="226"/>
      <c r="E33" s="226"/>
      <c r="F33" s="226"/>
      <c r="G33" s="354"/>
    </row>
    <row r="34" spans="1:7" ht="15.75">
      <c r="A34" s="298"/>
      <c r="B34" s="375">
        <v>22</v>
      </c>
      <c r="C34" s="226">
        <v>137576.11263</v>
      </c>
      <c r="D34" s="226">
        <v>65</v>
      </c>
      <c r="E34" s="226"/>
      <c r="F34" s="226"/>
      <c r="G34" s="354">
        <v>0.33</v>
      </c>
    </row>
    <row r="35" spans="1:7" ht="15.75">
      <c r="A35" s="298"/>
      <c r="B35" s="375">
        <v>23</v>
      </c>
      <c r="C35" s="226">
        <v>233462.49416</v>
      </c>
      <c r="D35" s="226">
        <v>80</v>
      </c>
      <c r="E35" s="226">
        <v>416897.311</v>
      </c>
      <c r="F35" s="226">
        <v>416897.311</v>
      </c>
      <c r="G35" s="354">
        <v>0.56</v>
      </c>
    </row>
    <row r="36" spans="1:7" ht="15.75">
      <c r="A36" s="298"/>
      <c r="B36" s="375">
        <v>24</v>
      </c>
      <c r="C36" s="226">
        <v>45858.704209999996</v>
      </c>
      <c r="D36" s="226">
        <v>25</v>
      </c>
      <c r="E36" s="226"/>
      <c r="F36" s="226"/>
      <c r="G36" s="354">
        <v>0.11</v>
      </c>
    </row>
    <row r="37" spans="1:7" ht="15">
      <c r="A37" s="298"/>
      <c r="B37" s="374"/>
      <c r="C37" s="226"/>
      <c r="D37" s="226"/>
      <c r="E37" s="226"/>
      <c r="F37" s="226"/>
      <c r="G37" s="354"/>
    </row>
    <row r="38" spans="1:7" ht="15.75">
      <c r="A38" s="298"/>
      <c r="B38" s="375">
        <v>25</v>
      </c>
      <c r="C38" s="226">
        <v>244809.9066</v>
      </c>
      <c r="D38" s="226">
        <v>61</v>
      </c>
      <c r="E38" s="226"/>
      <c r="F38" s="226"/>
      <c r="G38" s="354">
        <v>0.42</v>
      </c>
    </row>
    <row r="39" spans="1:7" ht="15.75">
      <c r="A39" s="298"/>
      <c r="B39" s="375">
        <v>26</v>
      </c>
      <c r="C39" s="226">
        <v>198179.4482</v>
      </c>
      <c r="D39" s="226">
        <v>48</v>
      </c>
      <c r="E39" s="226">
        <v>582880.73</v>
      </c>
      <c r="F39" s="226">
        <v>582880.73</v>
      </c>
      <c r="G39" s="354">
        <v>0.34</v>
      </c>
    </row>
    <row r="40" spans="1:7" ht="15.75">
      <c r="A40" s="298"/>
      <c r="B40" s="375">
        <v>27</v>
      </c>
      <c r="C40" s="226">
        <v>139891.37519999998</v>
      </c>
      <c r="D40" s="226">
        <v>61</v>
      </c>
      <c r="E40" s="226"/>
      <c r="F40" s="226"/>
      <c r="G40" s="354">
        <v>0.24</v>
      </c>
    </row>
    <row r="41" spans="1:7" ht="15.75">
      <c r="A41" s="298"/>
      <c r="B41" s="375"/>
      <c r="C41" s="226"/>
      <c r="D41" s="226"/>
      <c r="E41" s="226"/>
      <c r="F41" s="226"/>
      <c r="G41" s="354"/>
    </row>
    <row r="42" spans="1:7" ht="15.75">
      <c r="A42" s="298"/>
      <c r="B42" s="375">
        <v>28</v>
      </c>
      <c r="C42" s="226">
        <v>297269.17128</v>
      </c>
      <c r="D42" s="226">
        <v>82</v>
      </c>
      <c r="E42" s="226"/>
      <c r="F42" s="226"/>
      <c r="G42" s="354">
        <v>0.17</v>
      </c>
    </row>
    <row r="43" spans="1:7" ht="15.75">
      <c r="A43" s="376" t="s">
        <v>113</v>
      </c>
      <c r="B43" s="375">
        <v>29</v>
      </c>
      <c r="C43" s="226">
        <v>384701.28047999996</v>
      </c>
      <c r="D43" s="226">
        <v>13</v>
      </c>
      <c r="E43" s="226"/>
      <c r="F43" s="226"/>
      <c r="G43" s="354">
        <v>0.22</v>
      </c>
    </row>
    <row r="44" spans="1:7" ht="15.75">
      <c r="A44" s="298"/>
      <c r="B44" s="375">
        <v>30</v>
      </c>
      <c r="C44" s="226">
        <v>524592.6551999999</v>
      </c>
      <c r="D44" s="226">
        <v>96</v>
      </c>
      <c r="E44" s="226">
        <v>1748642.184</v>
      </c>
      <c r="F44" s="226">
        <v>1748642.184</v>
      </c>
      <c r="G44" s="354">
        <v>0.3</v>
      </c>
    </row>
    <row r="45" spans="1:7" ht="15.75">
      <c r="A45" s="298"/>
      <c r="B45" s="375">
        <v>31</v>
      </c>
      <c r="C45" s="226">
        <v>244809.90576</v>
      </c>
      <c r="D45" s="226">
        <v>80</v>
      </c>
      <c r="E45" s="226"/>
      <c r="F45" s="226"/>
      <c r="G45" s="354">
        <v>0.14</v>
      </c>
    </row>
    <row r="46" spans="1:7" ht="15.75">
      <c r="A46" s="298"/>
      <c r="B46" s="375">
        <v>32</v>
      </c>
      <c r="C46" s="226">
        <v>104918.53103999999</v>
      </c>
      <c r="D46" s="226">
        <v>28</v>
      </c>
      <c r="E46" s="226"/>
      <c r="F46" s="226"/>
      <c r="G46" s="354">
        <v>0.06</v>
      </c>
    </row>
    <row r="47" spans="1:7" ht="15.75">
      <c r="A47" s="298"/>
      <c r="B47" s="375">
        <v>33</v>
      </c>
      <c r="C47" s="226">
        <v>192350.64023999998</v>
      </c>
      <c r="D47" s="226">
        <v>89</v>
      </c>
      <c r="E47" s="226"/>
      <c r="F47" s="226"/>
      <c r="G47" s="354">
        <v>0.11</v>
      </c>
    </row>
    <row r="48" spans="1:7" ht="15.75">
      <c r="A48" s="298"/>
      <c r="B48" s="375"/>
      <c r="C48" s="226"/>
      <c r="D48" s="226"/>
      <c r="E48" s="226"/>
      <c r="F48" s="226"/>
      <c r="G48" s="354"/>
    </row>
    <row r="49" spans="1:7" ht="15.75">
      <c r="A49" s="298"/>
      <c r="B49" s="375">
        <v>34</v>
      </c>
      <c r="C49" s="226">
        <v>262296.3285</v>
      </c>
      <c r="D49" s="226">
        <v>15</v>
      </c>
      <c r="E49" s="226"/>
      <c r="F49" s="226"/>
      <c r="G49" s="354">
        <v>0.45</v>
      </c>
    </row>
    <row r="50" spans="1:7" ht="15.75">
      <c r="A50" s="298"/>
      <c r="B50" s="375">
        <v>35</v>
      </c>
      <c r="C50" s="226">
        <v>116576.14600000001</v>
      </c>
      <c r="D50" s="226">
        <v>19</v>
      </c>
      <c r="E50" s="226">
        <v>582880.73</v>
      </c>
      <c r="F50" s="226">
        <v>582880.73</v>
      </c>
      <c r="G50" s="354">
        <v>0.2</v>
      </c>
    </row>
    <row r="51" spans="1:7" ht="15.75">
      <c r="A51" s="298"/>
      <c r="B51" s="375">
        <v>36</v>
      </c>
      <c r="C51" s="226">
        <v>204008.25549999997</v>
      </c>
      <c r="D51" s="226">
        <v>89</v>
      </c>
      <c r="E51" s="226"/>
      <c r="F51" s="226"/>
      <c r="G51" s="354">
        <v>0.35</v>
      </c>
    </row>
    <row r="52" spans="1:7" ht="15">
      <c r="A52" s="298"/>
      <c r="B52" s="377"/>
      <c r="C52" s="226"/>
      <c r="D52" s="226"/>
      <c r="E52" s="226"/>
      <c r="F52" s="226"/>
      <c r="G52" s="354"/>
    </row>
    <row r="53" spans="1:7" ht="15">
      <c r="A53" s="298"/>
      <c r="B53" s="377"/>
      <c r="C53" s="226"/>
      <c r="D53" s="226"/>
      <c r="E53" s="226"/>
      <c r="F53" s="226"/>
      <c r="G53" s="354"/>
    </row>
    <row r="54" spans="1:7" ht="15.75" thickBot="1">
      <c r="A54" s="298"/>
      <c r="B54" s="377"/>
      <c r="C54" s="226"/>
      <c r="D54" s="226"/>
      <c r="E54" s="226"/>
      <c r="F54" s="226"/>
      <c r="G54" s="354"/>
    </row>
    <row r="55" spans="1:7" ht="15.75">
      <c r="A55" s="298"/>
      <c r="B55" s="377"/>
      <c r="C55" s="285" t="s">
        <v>365</v>
      </c>
      <c r="D55" s="286">
        <v>1765</v>
      </c>
      <c r="E55" s="285" t="s">
        <v>95</v>
      </c>
      <c r="F55" s="286">
        <v>1250817.0128000001</v>
      </c>
      <c r="G55" s="354"/>
    </row>
    <row r="56" spans="1:7" ht="16.5" thickBot="1">
      <c r="A56" s="378"/>
      <c r="B56" s="379"/>
      <c r="C56" s="287" t="s">
        <v>366</v>
      </c>
      <c r="D56" s="288"/>
      <c r="E56" s="287" t="s">
        <v>100</v>
      </c>
      <c r="F56" s="288"/>
      <c r="G56" s="288"/>
    </row>
    <row r="58" ht="15">
      <c r="C58" s="218"/>
    </row>
    <row r="59" ht="15">
      <c r="C59" s="218"/>
    </row>
    <row r="67" ht="15">
      <c r="C67" s="218"/>
    </row>
  </sheetData>
  <mergeCells count="2">
    <mergeCell ref="A1:G1"/>
    <mergeCell ref="A3:G3"/>
  </mergeCells>
  <printOptions/>
  <pageMargins left="1.5748031496062993" right="0.9448818897637796" top="1.5748031496062993" bottom="1.5748031496062993" header="0" footer="0"/>
  <pageSetup horizontalDpi="360" verticalDpi="36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299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293" bestFit="1" customWidth="1"/>
    <col min="2" max="2" width="13.57421875" style="293" bestFit="1" customWidth="1"/>
    <col min="3" max="3" width="14.00390625" style="293" bestFit="1" customWidth="1"/>
    <col min="4" max="4" width="9.421875" style="293" bestFit="1" customWidth="1"/>
    <col min="5" max="5" width="14.00390625" style="293" bestFit="1" customWidth="1"/>
    <col min="6" max="6" width="12.57421875" style="293" bestFit="1" customWidth="1"/>
    <col min="7" max="7" width="13.421875" style="293" bestFit="1" customWidth="1"/>
    <col min="8" max="16384" width="14.140625" style="293" customWidth="1"/>
  </cols>
  <sheetData>
    <row r="4" spans="1:8" ht="21.75">
      <c r="A4" s="407" t="s">
        <v>467</v>
      </c>
      <c r="B4" s="407"/>
      <c r="C4" s="407"/>
      <c r="D4" s="407"/>
      <c r="E4" s="407"/>
      <c r="F4" s="407"/>
      <c r="G4" s="407"/>
      <c r="H4" s="407"/>
    </row>
    <row r="5" spans="1:7" ht="15">
      <c r="A5" s="154"/>
      <c r="B5" s="218"/>
      <c r="C5" s="154"/>
      <c r="D5" s="154"/>
      <c r="E5" s="154"/>
      <c r="F5" s="154"/>
      <c r="G5" s="154"/>
    </row>
    <row r="6" spans="1:8" ht="19.5">
      <c r="A6" s="408" t="s">
        <v>463</v>
      </c>
      <c r="B6" s="408"/>
      <c r="C6" s="408"/>
      <c r="D6" s="408"/>
      <c r="E6" s="408"/>
      <c r="F6" s="408"/>
      <c r="G6" s="408"/>
      <c r="H6" s="408"/>
    </row>
    <row r="9" spans="1:7" ht="51">
      <c r="A9" s="291" t="s">
        <v>80</v>
      </c>
      <c r="B9" s="291" t="s">
        <v>464</v>
      </c>
      <c r="C9" s="291" t="s">
        <v>465</v>
      </c>
      <c r="D9" s="291" t="s">
        <v>83</v>
      </c>
      <c r="E9" s="291" t="s">
        <v>465</v>
      </c>
      <c r="F9" s="291" t="s">
        <v>466</v>
      </c>
      <c r="G9" s="291" t="s">
        <v>88</v>
      </c>
    </row>
    <row r="10" ht="15.75">
      <c r="A10" s="292"/>
    </row>
    <row r="11" ht="15">
      <c r="A11" s="293" t="s">
        <v>85</v>
      </c>
    </row>
    <row r="13" spans="1:6" ht="15">
      <c r="A13" s="293" t="s">
        <v>101</v>
      </c>
      <c r="B13" s="293">
        <v>0.35</v>
      </c>
      <c r="C13" s="293">
        <v>8.75</v>
      </c>
      <c r="D13" s="293">
        <v>4</v>
      </c>
      <c r="E13" s="293">
        <v>9</v>
      </c>
      <c r="F13" s="293">
        <v>36</v>
      </c>
    </row>
    <row r="14" spans="1:6" ht="30">
      <c r="A14" s="293" t="s">
        <v>102</v>
      </c>
      <c r="B14" s="293">
        <v>0.2</v>
      </c>
      <c r="C14" s="293">
        <v>5</v>
      </c>
      <c r="D14" s="293">
        <v>20</v>
      </c>
      <c r="E14" s="293">
        <v>5</v>
      </c>
      <c r="F14" s="293">
        <v>100</v>
      </c>
    </row>
    <row r="15" spans="1:7" ht="30">
      <c r="A15" s="293" t="s">
        <v>103</v>
      </c>
      <c r="B15" s="293">
        <v>0.15</v>
      </c>
      <c r="C15" s="293">
        <v>3.75</v>
      </c>
      <c r="D15" s="293">
        <v>50</v>
      </c>
      <c r="E15" s="293">
        <v>4</v>
      </c>
      <c r="F15" s="293">
        <v>200</v>
      </c>
      <c r="G15" s="293">
        <v>1626</v>
      </c>
    </row>
    <row r="16" spans="1:6" ht="30">
      <c r="A16" s="293" t="s">
        <v>104</v>
      </c>
      <c r="B16" s="293">
        <v>0.12</v>
      </c>
      <c r="C16" s="293">
        <v>3</v>
      </c>
      <c r="D16" s="293">
        <v>80</v>
      </c>
      <c r="E16" s="293">
        <v>3</v>
      </c>
      <c r="F16" s="293">
        <v>240</v>
      </c>
    </row>
    <row r="17" spans="1:6" ht="30">
      <c r="A17" s="293" t="s">
        <v>333</v>
      </c>
      <c r="B17" s="293">
        <v>0.1</v>
      </c>
      <c r="C17" s="293">
        <v>2.5</v>
      </c>
      <c r="D17" s="293">
        <v>150</v>
      </c>
      <c r="E17" s="293">
        <v>3</v>
      </c>
      <c r="F17" s="293">
        <v>450</v>
      </c>
    </row>
    <row r="18" spans="1:6" ht="30">
      <c r="A18" s="293" t="s">
        <v>106</v>
      </c>
      <c r="B18" s="293">
        <v>0.08</v>
      </c>
      <c r="C18" s="293">
        <v>2</v>
      </c>
      <c r="D18" s="293">
        <v>300</v>
      </c>
      <c r="E18" s="293">
        <v>2</v>
      </c>
      <c r="F18" s="293">
        <v>600</v>
      </c>
    </row>
    <row r="20" ht="15">
      <c r="A20" s="293" t="s">
        <v>108</v>
      </c>
    </row>
    <row r="22" spans="1:6" ht="15">
      <c r="A22" s="293" t="s">
        <v>101</v>
      </c>
      <c r="B22" s="293">
        <v>0.35</v>
      </c>
      <c r="C22" s="293">
        <v>21</v>
      </c>
      <c r="D22" s="293">
        <v>4</v>
      </c>
      <c r="E22" s="293">
        <v>21</v>
      </c>
      <c r="F22" s="293">
        <v>84</v>
      </c>
    </row>
    <row r="23" spans="1:6" ht="30">
      <c r="A23" s="293" t="s">
        <v>102</v>
      </c>
      <c r="B23" s="293">
        <v>0.2</v>
      </c>
      <c r="C23" s="293">
        <v>12</v>
      </c>
      <c r="D23" s="293">
        <v>20</v>
      </c>
      <c r="E23" s="293">
        <v>12</v>
      </c>
      <c r="F23" s="293">
        <v>240</v>
      </c>
    </row>
    <row r="24" spans="1:7" ht="30">
      <c r="A24" s="293" t="s">
        <v>103</v>
      </c>
      <c r="B24" s="293">
        <v>0.15</v>
      </c>
      <c r="C24" s="293">
        <v>9</v>
      </c>
      <c r="D24" s="293">
        <v>50</v>
      </c>
      <c r="E24" s="293">
        <v>9</v>
      </c>
      <c r="F24" s="293">
        <v>450</v>
      </c>
      <c r="G24" s="293">
        <v>3734</v>
      </c>
    </row>
    <row r="25" spans="1:6" ht="30">
      <c r="A25" s="293" t="s">
        <v>104</v>
      </c>
      <c r="B25" s="293">
        <v>0.12</v>
      </c>
      <c r="C25" s="293">
        <v>7.2</v>
      </c>
      <c r="D25" s="293">
        <v>80</v>
      </c>
      <c r="E25" s="293">
        <v>7</v>
      </c>
      <c r="F25" s="293">
        <v>560</v>
      </c>
    </row>
    <row r="26" spans="1:6" ht="30">
      <c r="A26" s="293" t="s">
        <v>333</v>
      </c>
      <c r="B26" s="293">
        <v>0.1</v>
      </c>
      <c r="C26" s="293">
        <v>6</v>
      </c>
      <c r="D26" s="293">
        <v>150</v>
      </c>
      <c r="E26" s="293">
        <v>6</v>
      </c>
      <c r="F26" s="293">
        <v>900</v>
      </c>
    </row>
    <row r="27" spans="1:6" ht="30">
      <c r="A27" s="293" t="s">
        <v>106</v>
      </c>
      <c r="B27" s="293">
        <v>0.08</v>
      </c>
      <c r="C27" s="293">
        <v>4.8</v>
      </c>
      <c r="D27" s="293">
        <v>300</v>
      </c>
      <c r="E27" s="293">
        <v>5</v>
      </c>
      <c r="F27" s="293">
        <v>1500</v>
      </c>
    </row>
    <row r="29" ht="15">
      <c r="A29" s="293" t="s">
        <v>109</v>
      </c>
    </row>
    <row r="30" spans="1:6" ht="15">
      <c r="A30" s="293" t="s">
        <v>101</v>
      </c>
      <c r="B30" s="293">
        <v>0.35</v>
      </c>
      <c r="C30" s="293">
        <v>7.35</v>
      </c>
      <c r="D30" s="293">
        <v>4</v>
      </c>
      <c r="E30" s="293">
        <v>7</v>
      </c>
      <c r="F30" s="293">
        <v>28</v>
      </c>
    </row>
    <row r="31" spans="1:6" ht="30">
      <c r="A31" s="293" t="s">
        <v>102</v>
      </c>
      <c r="B31" s="293">
        <v>0.2</v>
      </c>
      <c r="C31" s="293">
        <v>4.2</v>
      </c>
      <c r="D31" s="293">
        <v>20</v>
      </c>
      <c r="E31" s="293">
        <v>4</v>
      </c>
      <c r="F31" s="293">
        <v>80</v>
      </c>
    </row>
    <row r="32" spans="1:7" ht="30">
      <c r="A32" s="293" t="s">
        <v>103</v>
      </c>
      <c r="B32" s="293">
        <v>0.15</v>
      </c>
      <c r="C32" s="293">
        <v>3.15</v>
      </c>
      <c r="D32" s="293">
        <v>50</v>
      </c>
      <c r="E32" s="293">
        <v>3</v>
      </c>
      <c r="F32" s="293">
        <v>150</v>
      </c>
      <c r="G32" s="293">
        <v>1398</v>
      </c>
    </row>
    <row r="33" spans="1:6" ht="30">
      <c r="A33" s="293" t="s">
        <v>104</v>
      </c>
      <c r="B33" s="293">
        <v>0.12</v>
      </c>
      <c r="C33" s="293">
        <v>2.52</v>
      </c>
      <c r="D33" s="293">
        <v>80</v>
      </c>
      <c r="E33" s="293">
        <v>3</v>
      </c>
      <c r="F33" s="293">
        <v>240</v>
      </c>
    </row>
    <row r="34" spans="1:6" ht="30">
      <c r="A34" s="293" t="s">
        <v>333</v>
      </c>
      <c r="B34" s="293">
        <v>0.1</v>
      </c>
      <c r="C34" s="293">
        <v>2.1</v>
      </c>
      <c r="D34" s="293">
        <v>150</v>
      </c>
      <c r="E34" s="293">
        <v>2</v>
      </c>
      <c r="F34" s="293">
        <v>300</v>
      </c>
    </row>
    <row r="35" spans="1:6" ht="30">
      <c r="A35" s="293" t="s">
        <v>106</v>
      </c>
      <c r="B35" s="293">
        <v>0.08</v>
      </c>
      <c r="C35" s="293">
        <v>1.68</v>
      </c>
      <c r="D35" s="293">
        <v>300</v>
      </c>
      <c r="E35" s="293">
        <v>2</v>
      </c>
      <c r="F35" s="293">
        <v>600</v>
      </c>
    </row>
    <row r="36" spans="1:7" ht="51">
      <c r="A36" s="291" t="s">
        <v>80</v>
      </c>
      <c r="B36" s="291" t="s">
        <v>464</v>
      </c>
      <c r="C36" s="291" t="s">
        <v>465</v>
      </c>
      <c r="D36" s="291" t="s">
        <v>83</v>
      </c>
      <c r="E36" s="291" t="s">
        <v>465</v>
      </c>
      <c r="F36" s="291" t="s">
        <v>466</v>
      </c>
      <c r="G36" s="291" t="s">
        <v>88</v>
      </c>
    </row>
    <row r="37" ht="15">
      <c r="A37" s="293" t="s">
        <v>111</v>
      </c>
    </row>
    <row r="38" spans="1:6" ht="15">
      <c r="A38" s="293" t="s">
        <v>101</v>
      </c>
      <c r="B38" s="293">
        <v>0.35</v>
      </c>
      <c r="C38" s="293">
        <v>8.4</v>
      </c>
      <c r="D38" s="293">
        <v>4</v>
      </c>
      <c r="E38" s="293">
        <v>8</v>
      </c>
      <c r="F38" s="293">
        <v>32</v>
      </c>
    </row>
    <row r="39" spans="1:6" ht="30">
      <c r="A39" s="293" t="s">
        <v>102</v>
      </c>
      <c r="B39" s="293">
        <v>0.2</v>
      </c>
      <c r="C39" s="293">
        <v>4.8</v>
      </c>
      <c r="D39" s="293">
        <v>20</v>
      </c>
      <c r="E39" s="293">
        <v>5</v>
      </c>
      <c r="F39" s="293">
        <v>100</v>
      </c>
    </row>
    <row r="40" spans="1:6" ht="30">
      <c r="A40" s="293" t="s">
        <v>103</v>
      </c>
      <c r="B40" s="293">
        <v>0.15</v>
      </c>
      <c r="C40" s="293">
        <v>3.6</v>
      </c>
      <c r="D40" s="293">
        <v>50</v>
      </c>
      <c r="E40" s="293">
        <v>4</v>
      </c>
      <c r="F40" s="293">
        <v>200</v>
      </c>
    </row>
    <row r="41" spans="1:7" ht="30">
      <c r="A41" s="293" t="s">
        <v>104</v>
      </c>
      <c r="B41" s="293">
        <v>0.12</v>
      </c>
      <c r="C41" s="293">
        <v>2.88</v>
      </c>
      <c r="D41" s="293">
        <v>80</v>
      </c>
      <c r="E41" s="293">
        <v>3</v>
      </c>
      <c r="F41" s="293">
        <v>240</v>
      </c>
      <c r="G41" s="293">
        <v>1472</v>
      </c>
    </row>
    <row r="42" spans="1:6" ht="30">
      <c r="A42" s="293" t="s">
        <v>105</v>
      </c>
      <c r="B42" s="293">
        <v>0.1</v>
      </c>
      <c r="C42" s="293">
        <v>2.4</v>
      </c>
      <c r="D42" s="293">
        <v>150</v>
      </c>
      <c r="E42" s="293">
        <v>2</v>
      </c>
      <c r="F42" s="293">
        <v>300</v>
      </c>
    </row>
    <row r="43" spans="1:6" ht="30">
      <c r="A43" s="293" t="s">
        <v>106</v>
      </c>
      <c r="B43" s="293">
        <v>0.08</v>
      </c>
      <c r="C43" s="293">
        <v>1.92</v>
      </c>
      <c r="D43" s="293">
        <v>300</v>
      </c>
      <c r="E43" s="293">
        <v>2</v>
      </c>
      <c r="F43" s="293">
        <v>600</v>
      </c>
    </row>
    <row r="44" ht="11.25" customHeight="1"/>
    <row r="45" ht="15">
      <c r="A45" s="293" t="s">
        <v>112</v>
      </c>
    </row>
    <row r="46" spans="1:6" ht="15">
      <c r="A46" s="293" t="s">
        <v>101</v>
      </c>
      <c r="B46" s="293">
        <v>0.35</v>
      </c>
      <c r="C46" s="293">
        <v>16.45</v>
      </c>
      <c r="D46" s="293">
        <v>4</v>
      </c>
      <c r="E46" s="293">
        <v>16</v>
      </c>
      <c r="F46" s="293">
        <v>64</v>
      </c>
    </row>
    <row r="47" spans="1:6" ht="30">
      <c r="A47" s="293" t="s">
        <v>102</v>
      </c>
      <c r="B47" s="293">
        <v>0.2</v>
      </c>
      <c r="C47" s="293">
        <v>9.4</v>
      </c>
      <c r="D47" s="293">
        <v>20</v>
      </c>
      <c r="E47" s="293">
        <v>9</v>
      </c>
      <c r="F47" s="293">
        <v>180</v>
      </c>
    </row>
    <row r="48" spans="1:6" ht="30">
      <c r="A48" s="293" t="s">
        <v>103</v>
      </c>
      <c r="B48" s="293">
        <v>0.15</v>
      </c>
      <c r="C48" s="293">
        <v>7.05</v>
      </c>
      <c r="D48" s="293">
        <v>50</v>
      </c>
      <c r="E48" s="293">
        <v>7</v>
      </c>
      <c r="F48" s="293">
        <v>350</v>
      </c>
    </row>
    <row r="49" spans="1:7" ht="30">
      <c r="A49" s="293" t="s">
        <v>104</v>
      </c>
      <c r="B49" s="293">
        <v>0.12</v>
      </c>
      <c r="C49" s="293">
        <v>5.64</v>
      </c>
      <c r="D49" s="293">
        <v>80</v>
      </c>
      <c r="E49" s="293">
        <v>6</v>
      </c>
      <c r="F49" s="293">
        <v>480</v>
      </c>
      <c r="G49" s="293">
        <v>3024</v>
      </c>
    </row>
    <row r="50" spans="1:6" ht="30">
      <c r="A50" s="293" t="s">
        <v>105</v>
      </c>
      <c r="B50" s="293">
        <v>0.1</v>
      </c>
      <c r="C50" s="293">
        <v>4.7</v>
      </c>
      <c r="D50" s="293">
        <v>150</v>
      </c>
      <c r="E50" s="293">
        <v>5</v>
      </c>
      <c r="F50" s="293">
        <v>750</v>
      </c>
    </row>
    <row r="51" spans="1:6" ht="30">
      <c r="A51" s="293" t="s">
        <v>106</v>
      </c>
      <c r="B51" s="293">
        <v>0.08</v>
      </c>
      <c r="C51" s="293">
        <v>3.76</v>
      </c>
      <c r="D51" s="293">
        <v>300</v>
      </c>
      <c r="E51" s="293">
        <v>4</v>
      </c>
      <c r="F51" s="293">
        <v>1200</v>
      </c>
    </row>
    <row r="52" ht="12" customHeight="1"/>
    <row r="53" ht="15">
      <c r="A53" s="293" t="s">
        <v>114</v>
      </c>
    </row>
    <row r="54" spans="1:6" ht="15">
      <c r="A54" s="293" t="s">
        <v>101</v>
      </c>
      <c r="B54" s="293">
        <v>0.35</v>
      </c>
      <c r="C54" s="293">
        <v>28.35</v>
      </c>
      <c r="D54" s="293">
        <v>4</v>
      </c>
      <c r="E54" s="293">
        <v>28</v>
      </c>
      <c r="F54" s="293">
        <v>112</v>
      </c>
    </row>
    <row r="55" spans="1:6" ht="30">
      <c r="A55" s="293" t="s">
        <v>102</v>
      </c>
      <c r="B55" s="293">
        <v>0.2</v>
      </c>
      <c r="C55" s="293">
        <v>16.2</v>
      </c>
      <c r="D55" s="293">
        <v>20</v>
      </c>
      <c r="E55" s="293">
        <v>16</v>
      </c>
      <c r="F55" s="293">
        <v>320</v>
      </c>
    </row>
    <row r="56" spans="1:7" ht="30">
      <c r="A56" s="293" t="s">
        <v>103</v>
      </c>
      <c r="B56" s="293">
        <v>0.15</v>
      </c>
      <c r="C56" s="293">
        <v>12.15</v>
      </c>
      <c r="D56" s="293">
        <v>50</v>
      </c>
      <c r="E56" s="293">
        <v>12</v>
      </c>
      <c r="F56" s="293">
        <v>600</v>
      </c>
      <c r="G56" s="293">
        <v>4832</v>
      </c>
    </row>
    <row r="57" spans="1:6" ht="30">
      <c r="A57" s="293" t="s">
        <v>104</v>
      </c>
      <c r="B57" s="293">
        <v>0.12</v>
      </c>
      <c r="C57" s="293">
        <v>9.72</v>
      </c>
      <c r="D57" s="293">
        <v>80</v>
      </c>
      <c r="E57" s="293">
        <v>10</v>
      </c>
      <c r="F57" s="293">
        <v>800</v>
      </c>
    </row>
    <row r="58" spans="1:6" ht="30">
      <c r="A58" s="293" t="s">
        <v>105</v>
      </c>
      <c r="B58" s="293">
        <v>0.1</v>
      </c>
      <c r="C58" s="293">
        <v>8.1</v>
      </c>
      <c r="D58" s="293">
        <v>150</v>
      </c>
      <c r="E58" s="293">
        <v>8</v>
      </c>
      <c r="F58" s="293">
        <v>1200</v>
      </c>
    </row>
    <row r="59" spans="1:6" ht="30">
      <c r="A59" s="293" t="s">
        <v>106</v>
      </c>
      <c r="B59" s="293">
        <v>0.08</v>
      </c>
      <c r="C59" s="293">
        <v>6.48</v>
      </c>
      <c r="D59" s="293">
        <v>300</v>
      </c>
      <c r="E59" s="293">
        <v>6</v>
      </c>
      <c r="F59" s="293">
        <v>1800</v>
      </c>
    </row>
    <row r="60" ht="11.25" customHeight="1"/>
    <row r="61" ht="15">
      <c r="A61" s="293" t="s">
        <v>115</v>
      </c>
    </row>
    <row r="62" spans="1:6" ht="15">
      <c r="A62" s="293" t="s">
        <v>101</v>
      </c>
      <c r="B62" s="293">
        <v>0.35</v>
      </c>
      <c r="C62" s="293">
        <v>31.15</v>
      </c>
      <c r="D62" s="293">
        <v>4</v>
      </c>
      <c r="E62" s="293">
        <v>31</v>
      </c>
      <c r="F62" s="293">
        <v>124</v>
      </c>
    </row>
    <row r="63" spans="1:6" ht="30">
      <c r="A63" s="293" t="s">
        <v>102</v>
      </c>
      <c r="B63" s="293">
        <v>0.2</v>
      </c>
      <c r="C63" s="293">
        <v>17.8</v>
      </c>
      <c r="D63" s="293">
        <v>20</v>
      </c>
      <c r="E63" s="293">
        <v>18</v>
      </c>
      <c r="F63" s="293">
        <v>360</v>
      </c>
    </row>
    <row r="64" spans="1:7" ht="30">
      <c r="A64" s="293" t="s">
        <v>103</v>
      </c>
      <c r="B64" s="293">
        <v>0.15</v>
      </c>
      <c r="C64" s="293">
        <v>13.35</v>
      </c>
      <c r="D64" s="293">
        <v>50</v>
      </c>
      <c r="E64" s="293">
        <v>13</v>
      </c>
      <c r="F64" s="293">
        <v>650</v>
      </c>
      <c r="G64" s="293">
        <v>5464</v>
      </c>
    </row>
    <row r="65" spans="1:6" ht="30">
      <c r="A65" s="293" t="s">
        <v>104</v>
      </c>
      <c r="B65" s="293">
        <v>0.12</v>
      </c>
      <c r="C65" s="293">
        <v>10.68</v>
      </c>
      <c r="D65" s="293">
        <v>80</v>
      </c>
      <c r="E65" s="293">
        <v>11</v>
      </c>
      <c r="F65" s="293">
        <v>880</v>
      </c>
    </row>
    <row r="66" spans="1:6" ht="30">
      <c r="A66" s="293" t="s">
        <v>105</v>
      </c>
      <c r="B66" s="293">
        <v>0.1</v>
      </c>
      <c r="C66" s="293">
        <v>8.9</v>
      </c>
      <c r="D66" s="293">
        <v>150</v>
      </c>
      <c r="E66" s="293">
        <v>9</v>
      </c>
      <c r="F66" s="293">
        <v>1350</v>
      </c>
    </row>
    <row r="67" spans="1:6" ht="30">
      <c r="A67" s="293" t="s">
        <v>106</v>
      </c>
      <c r="B67" s="293">
        <v>0.08</v>
      </c>
      <c r="C67" s="293">
        <v>7.12</v>
      </c>
      <c r="D67" s="293">
        <v>300</v>
      </c>
      <c r="E67" s="293">
        <v>7</v>
      </c>
      <c r="F67" s="293">
        <v>2100</v>
      </c>
    </row>
    <row r="68" spans="1:7" ht="51">
      <c r="A68" s="291" t="s">
        <v>80</v>
      </c>
      <c r="B68" s="291" t="s">
        <v>464</v>
      </c>
      <c r="C68" s="291" t="s">
        <v>465</v>
      </c>
      <c r="D68" s="291" t="s">
        <v>83</v>
      </c>
      <c r="E68" s="291" t="s">
        <v>465</v>
      </c>
      <c r="F68" s="291" t="s">
        <v>466</v>
      </c>
      <c r="G68" s="291" t="s">
        <v>88</v>
      </c>
    </row>
    <row r="69" ht="15">
      <c r="A69" s="293" t="s">
        <v>116</v>
      </c>
    </row>
    <row r="70" spans="1:6" ht="15">
      <c r="A70" s="293" t="s">
        <v>101</v>
      </c>
      <c r="B70" s="293">
        <v>0.35</v>
      </c>
      <c r="C70" s="293">
        <v>9.45</v>
      </c>
      <c r="D70" s="293">
        <v>4</v>
      </c>
      <c r="E70" s="293">
        <v>9</v>
      </c>
      <c r="F70" s="293">
        <v>36</v>
      </c>
    </row>
    <row r="71" spans="1:6" ht="30">
      <c r="A71" s="293" t="s">
        <v>102</v>
      </c>
      <c r="B71" s="293">
        <v>0.2</v>
      </c>
      <c r="C71" s="293">
        <v>5.4</v>
      </c>
      <c r="D71" s="293">
        <v>20</v>
      </c>
      <c r="E71" s="293">
        <v>5</v>
      </c>
      <c r="F71" s="293">
        <v>100</v>
      </c>
    </row>
    <row r="72" spans="1:7" ht="30">
      <c r="A72" s="293" t="s">
        <v>103</v>
      </c>
      <c r="B72" s="293">
        <v>0.15</v>
      </c>
      <c r="C72" s="293">
        <v>4.05</v>
      </c>
      <c r="D72" s="293">
        <v>50</v>
      </c>
      <c r="E72" s="293">
        <v>4</v>
      </c>
      <c r="F72" s="293">
        <v>200</v>
      </c>
      <c r="G72" s="293">
        <v>1626</v>
      </c>
    </row>
    <row r="73" spans="1:6" ht="30">
      <c r="A73" s="293" t="s">
        <v>104</v>
      </c>
      <c r="B73" s="293">
        <v>0.12</v>
      </c>
      <c r="C73" s="293">
        <v>3.24</v>
      </c>
      <c r="D73" s="293">
        <v>80</v>
      </c>
      <c r="E73" s="293">
        <v>3</v>
      </c>
      <c r="F73" s="293">
        <v>240</v>
      </c>
    </row>
    <row r="74" spans="1:6" ht="30">
      <c r="A74" s="293" t="s">
        <v>105</v>
      </c>
      <c r="B74" s="293">
        <v>0.1</v>
      </c>
      <c r="C74" s="293">
        <v>2.7</v>
      </c>
      <c r="D74" s="293">
        <v>150</v>
      </c>
      <c r="E74" s="293">
        <v>3</v>
      </c>
      <c r="F74" s="293">
        <v>450</v>
      </c>
    </row>
    <row r="75" spans="1:6" ht="30">
      <c r="A75" s="293" t="s">
        <v>106</v>
      </c>
      <c r="B75" s="293">
        <v>0.08</v>
      </c>
      <c r="C75" s="293">
        <v>2.16</v>
      </c>
      <c r="D75" s="293">
        <v>300</v>
      </c>
      <c r="E75" s="293">
        <v>2</v>
      </c>
      <c r="F75" s="293">
        <v>600</v>
      </c>
    </row>
    <row r="76" ht="12" customHeight="1"/>
    <row r="77" ht="15">
      <c r="A77" s="293" t="s">
        <v>117</v>
      </c>
    </row>
    <row r="78" spans="1:6" ht="15">
      <c r="A78" s="293" t="s">
        <v>101</v>
      </c>
      <c r="B78" s="293">
        <v>0.35</v>
      </c>
      <c r="C78" s="293">
        <v>7</v>
      </c>
      <c r="D78" s="293">
        <v>4</v>
      </c>
      <c r="E78" s="293">
        <v>7</v>
      </c>
      <c r="F78" s="293">
        <v>28</v>
      </c>
    </row>
    <row r="79" spans="1:6" ht="30">
      <c r="A79" s="293" t="s">
        <v>102</v>
      </c>
      <c r="B79" s="293">
        <v>0.2</v>
      </c>
      <c r="C79" s="293">
        <v>4</v>
      </c>
      <c r="D79" s="293">
        <v>20</v>
      </c>
      <c r="E79" s="293">
        <v>4</v>
      </c>
      <c r="F79" s="293">
        <v>80</v>
      </c>
    </row>
    <row r="80" spans="1:7" ht="30">
      <c r="A80" s="293" t="s">
        <v>103</v>
      </c>
      <c r="B80" s="293">
        <v>0.15</v>
      </c>
      <c r="C80" s="293">
        <v>3</v>
      </c>
      <c r="D80" s="293">
        <v>50</v>
      </c>
      <c r="E80" s="293">
        <v>3</v>
      </c>
      <c r="F80" s="293">
        <v>150</v>
      </c>
      <c r="G80" s="293">
        <v>1318</v>
      </c>
    </row>
    <row r="81" spans="1:6" ht="30">
      <c r="A81" s="293" t="s">
        <v>104</v>
      </c>
      <c r="B81" s="293">
        <v>0.12</v>
      </c>
      <c r="C81" s="293">
        <v>2.4</v>
      </c>
      <c r="D81" s="293">
        <v>80</v>
      </c>
      <c r="E81" s="293">
        <v>2</v>
      </c>
      <c r="F81" s="293">
        <v>160</v>
      </c>
    </row>
    <row r="82" spans="1:6" ht="30">
      <c r="A82" s="293" t="s">
        <v>105</v>
      </c>
      <c r="B82" s="293">
        <v>0.1</v>
      </c>
      <c r="C82" s="293">
        <v>2</v>
      </c>
      <c r="D82" s="293">
        <v>150</v>
      </c>
      <c r="E82" s="293">
        <v>2</v>
      </c>
      <c r="F82" s="293">
        <v>300</v>
      </c>
    </row>
    <row r="83" spans="1:6" ht="30">
      <c r="A83" s="293" t="s">
        <v>106</v>
      </c>
      <c r="B83" s="293">
        <v>0.08</v>
      </c>
      <c r="C83" s="293">
        <v>1.6</v>
      </c>
      <c r="D83" s="293">
        <v>300</v>
      </c>
      <c r="E83" s="293">
        <v>2</v>
      </c>
      <c r="F83" s="293">
        <v>600</v>
      </c>
    </row>
    <row r="84" ht="9" customHeight="1"/>
    <row r="85" ht="15">
      <c r="A85" s="293" t="s">
        <v>118</v>
      </c>
    </row>
    <row r="86" spans="1:6" ht="15">
      <c r="A86" s="293" t="s">
        <v>101</v>
      </c>
      <c r="B86" s="293">
        <v>0.35</v>
      </c>
      <c r="C86" s="293">
        <v>11.55</v>
      </c>
      <c r="D86" s="293">
        <v>4</v>
      </c>
      <c r="E86" s="293">
        <v>12</v>
      </c>
      <c r="F86" s="293">
        <v>48</v>
      </c>
    </row>
    <row r="87" spans="1:6" ht="30">
      <c r="A87" s="293" t="s">
        <v>102</v>
      </c>
      <c r="B87" s="293">
        <v>0.2</v>
      </c>
      <c r="C87" s="293">
        <v>6.6</v>
      </c>
      <c r="D87" s="293">
        <v>20</v>
      </c>
      <c r="E87" s="293">
        <v>7</v>
      </c>
      <c r="F87" s="293">
        <v>140</v>
      </c>
    </row>
    <row r="88" spans="1:6" ht="30">
      <c r="A88" s="293" t="s">
        <v>103</v>
      </c>
      <c r="B88" s="293">
        <v>0.15</v>
      </c>
      <c r="C88" s="293">
        <v>4.95</v>
      </c>
      <c r="D88" s="293">
        <v>50</v>
      </c>
      <c r="E88" s="293">
        <v>5</v>
      </c>
      <c r="F88" s="293">
        <v>250</v>
      </c>
    </row>
    <row r="89" spans="1:7" ht="30">
      <c r="A89" s="293" t="s">
        <v>104</v>
      </c>
      <c r="B89" s="293">
        <v>0.12</v>
      </c>
      <c r="C89" s="293">
        <v>3.96</v>
      </c>
      <c r="D89" s="293">
        <v>80</v>
      </c>
      <c r="E89" s="293">
        <v>4</v>
      </c>
      <c r="F89" s="293">
        <v>320</v>
      </c>
      <c r="G89" s="293">
        <v>2108</v>
      </c>
    </row>
    <row r="90" spans="1:6" ht="30">
      <c r="A90" s="293" t="s">
        <v>105</v>
      </c>
      <c r="B90" s="293">
        <v>0.1</v>
      </c>
      <c r="C90" s="293">
        <v>3.3</v>
      </c>
      <c r="D90" s="293">
        <v>150</v>
      </c>
      <c r="E90" s="293">
        <v>3</v>
      </c>
      <c r="F90" s="293">
        <v>450</v>
      </c>
    </row>
    <row r="91" spans="1:6" ht="30">
      <c r="A91" s="293" t="s">
        <v>106</v>
      </c>
      <c r="B91" s="293">
        <v>0.08</v>
      </c>
      <c r="C91" s="293">
        <v>2.64</v>
      </c>
      <c r="D91" s="293">
        <v>300</v>
      </c>
      <c r="E91" s="293">
        <v>3</v>
      </c>
      <c r="F91" s="293">
        <v>900</v>
      </c>
    </row>
    <row r="92" ht="9" customHeight="1"/>
    <row r="93" ht="15">
      <c r="A93" s="293" t="s">
        <v>119</v>
      </c>
    </row>
    <row r="94" spans="1:6" ht="15">
      <c r="A94" s="293" t="s">
        <v>101</v>
      </c>
      <c r="B94" s="293">
        <v>0.35</v>
      </c>
      <c r="C94" s="293">
        <v>3.85</v>
      </c>
      <c r="D94" s="293">
        <v>4</v>
      </c>
      <c r="E94" s="293">
        <v>4</v>
      </c>
      <c r="F94" s="293">
        <v>16</v>
      </c>
    </row>
    <row r="95" spans="1:6" ht="30">
      <c r="A95" s="293" t="s">
        <v>102</v>
      </c>
      <c r="B95" s="293">
        <v>0.2</v>
      </c>
      <c r="C95" s="293">
        <v>2.2</v>
      </c>
      <c r="D95" s="293">
        <v>20</v>
      </c>
      <c r="E95" s="293">
        <v>2</v>
      </c>
      <c r="F95" s="293">
        <v>40</v>
      </c>
    </row>
    <row r="96" spans="1:6" ht="30">
      <c r="A96" s="293" t="s">
        <v>103</v>
      </c>
      <c r="B96" s="293">
        <v>0.15</v>
      </c>
      <c r="C96" s="293">
        <v>1.65</v>
      </c>
      <c r="D96" s="293">
        <v>50</v>
      </c>
      <c r="E96" s="293">
        <v>2</v>
      </c>
      <c r="F96" s="293">
        <v>100</v>
      </c>
    </row>
    <row r="97" spans="1:7" ht="30">
      <c r="A97" s="293" t="s">
        <v>104</v>
      </c>
      <c r="B97" s="293">
        <v>0.12</v>
      </c>
      <c r="C97" s="293">
        <v>1.32</v>
      </c>
      <c r="D97" s="293">
        <v>80</v>
      </c>
      <c r="E97" s="293">
        <v>1</v>
      </c>
      <c r="F97" s="293">
        <v>80</v>
      </c>
      <c r="G97" s="293">
        <v>686</v>
      </c>
    </row>
    <row r="98" spans="1:6" ht="30">
      <c r="A98" s="293" t="s">
        <v>105</v>
      </c>
      <c r="B98" s="293">
        <v>0.1</v>
      </c>
      <c r="C98" s="293">
        <v>1.1</v>
      </c>
      <c r="D98" s="293">
        <v>150</v>
      </c>
      <c r="E98" s="293">
        <v>1</v>
      </c>
      <c r="F98" s="293">
        <v>150</v>
      </c>
    </row>
    <row r="99" spans="1:6" ht="30">
      <c r="A99" s="293" t="s">
        <v>106</v>
      </c>
      <c r="B99" s="293">
        <v>0.08</v>
      </c>
      <c r="C99" s="293">
        <v>0.88</v>
      </c>
      <c r="D99" s="293">
        <v>300</v>
      </c>
      <c r="E99" s="293">
        <v>1</v>
      </c>
      <c r="F99" s="293">
        <v>300</v>
      </c>
    </row>
    <row r="100" spans="1:7" ht="51">
      <c r="A100" s="291" t="s">
        <v>80</v>
      </c>
      <c r="B100" s="291" t="s">
        <v>464</v>
      </c>
      <c r="C100" s="291" t="s">
        <v>465</v>
      </c>
      <c r="D100" s="291" t="s">
        <v>83</v>
      </c>
      <c r="E100" s="291" t="s">
        <v>465</v>
      </c>
      <c r="F100" s="291" t="s">
        <v>466</v>
      </c>
      <c r="G100" s="291" t="s">
        <v>88</v>
      </c>
    </row>
    <row r="101" ht="15">
      <c r="A101" s="293" t="s">
        <v>120</v>
      </c>
    </row>
    <row r="102" spans="1:6" ht="15">
      <c r="A102" s="293" t="s">
        <v>101</v>
      </c>
      <c r="B102" s="293">
        <v>0.35</v>
      </c>
      <c r="C102" s="293">
        <v>14</v>
      </c>
      <c r="D102" s="293">
        <v>4</v>
      </c>
      <c r="E102" s="293">
        <v>14</v>
      </c>
      <c r="F102" s="293">
        <v>56</v>
      </c>
    </row>
    <row r="103" spans="1:6" ht="30">
      <c r="A103" s="293" t="s">
        <v>102</v>
      </c>
      <c r="B103" s="293">
        <v>0.2</v>
      </c>
      <c r="C103" s="293">
        <v>12</v>
      </c>
      <c r="D103" s="293">
        <v>20</v>
      </c>
      <c r="E103" s="293">
        <v>12</v>
      </c>
      <c r="F103" s="293">
        <v>240</v>
      </c>
    </row>
    <row r="104" spans="1:6" ht="30">
      <c r="A104" s="293" t="s">
        <v>103</v>
      </c>
      <c r="B104" s="293">
        <v>0.15</v>
      </c>
      <c r="C104" s="293">
        <v>9</v>
      </c>
      <c r="D104" s="293">
        <v>50</v>
      </c>
      <c r="E104" s="293">
        <v>9</v>
      </c>
      <c r="F104" s="293">
        <v>450</v>
      </c>
    </row>
    <row r="105" spans="1:7" ht="30">
      <c r="A105" s="293" t="s">
        <v>104</v>
      </c>
      <c r="B105" s="293">
        <v>0.12</v>
      </c>
      <c r="C105" s="293">
        <v>7.2</v>
      </c>
      <c r="D105" s="293">
        <v>80</v>
      </c>
      <c r="E105" s="293">
        <v>7</v>
      </c>
      <c r="F105" s="293">
        <v>560</v>
      </c>
      <c r="G105" s="293">
        <v>3706</v>
      </c>
    </row>
    <row r="106" spans="1:6" ht="30">
      <c r="A106" s="293" t="s">
        <v>105</v>
      </c>
      <c r="B106" s="293">
        <v>0.1</v>
      </c>
      <c r="C106" s="293">
        <v>6</v>
      </c>
      <c r="D106" s="293">
        <v>150</v>
      </c>
      <c r="E106" s="293">
        <v>6</v>
      </c>
      <c r="F106" s="293">
        <v>900</v>
      </c>
    </row>
    <row r="107" spans="1:6" ht="30">
      <c r="A107" s="293" t="s">
        <v>106</v>
      </c>
      <c r="B107" s="293">
        <v>0.08</v>
      </c>
      <c r="C107" s="293">
        <v>4.8</v>
      </c>
      <c r="D107" s="293">
        <v>300</v>
      </c>
      <c r="E107" s="293">
        <v>5</v>
      </c>
      <c r="F107" s="293">
        <v>1500</v>
      </c>
    </row>
    <row r="108" ht="9" customHeight="1"/>
    <row r="109" ht="15">
      <c r="A109" s="293" t="s">
        <v>122</v>
      </c>
    </row>
    <row r="110" spans="1:6" ht="15">
      <c r="A110" s="293" t="s">
        <v>101</v>
      </c>
      <c r="B110" s="293">
        <v>0.35</v>
      </c>
      <c r="C110" s="293">
        <v>5.6</v>
      </c>
      <c r="D110" s="293">
        <v>4.6</v>
      </c>
      <c r="E110" s="293">
        <v>6</v>
      </c>
      <c r="F110" s="293">
        <v>27.6</v>
      </c>
    </row>
    <row r="111" spans="1:6" ht="30">
      <c r="A111" s="293" t="s">
        <v>102</v>
      </c>
      <c r="B111" s="293">
        <v>0.2</v>
      </c>
      <c r="C111" s="293">
        <v>3.2</v>
      </c>
      <c r="D111" s="293">
        <v>23</v>
      </c>
      <c r="E111" s="293">
        <v>3</v>
      </c>
      <c r="F111" s="293">
        <v>69</v>
      </c>
    </row>
    <row r="112" spans="1:7" ht="30">
      <c r="A112" s="293" t="s">
        <v>103</v>
      </c>
      <c r="B112" s="293">
        <v>0.15</v>
      </c>
      <c r="C112" s="293">
        <v>2.4</v>
      </c>
      <c r="D112" s="293">
        <v>57.5</v>
      </c>
      <c r="E112" s="293">
        <v>2</v>
      </c>
      <c r="F112" s="293">
        <v>115</v>
      </c>
      <c r="G112" s="293">
        <v>1085.6</v>
      </c>
    </row>
    <row r="113" spans="1:6" ht="30">
      <c r="A113" s="293" t="s">
        <v>104</v>
      </c>
      <c r="B113" s="293">
        <v>0.12</v>
      </c>
      <c r="C113" s="293">
        <v>1.92</v>
      </c>
      <c r="D113" s="293">
        <v>92</v>
      </c>
      <c r="E113" s="293">
        <v>2</v>
      </c>
      <c r="F113" s="293">
        <v>184</v>
      </c>
    </row>
    <row r="114" spans="1:6" ht="30">
      <c r="A114" s="293" t="s">
        <v>105</v>
      </c>
      <c r="B114" s="293">
        <v>0.1</v>
      </c>
      <c r="C114" s="293">
        <v>1.6</v>
      </c>
      <c r="D114" s="293">
        <v>172.5</v>
      </c>
      <c r="E114" s="293">
        <v>2</v>
      </c>
      <c r="F114" s="293">
        <v>345</v>
      </c>
    </row>
    <row r="115" spans="1:6" ht="30">
      <c r="A115" s="293" t="s">
        <v>106</v>
      </c>
      <c r="B115" s="293">
        <v>0.08</v>
      </c>
      <c r="C115" s="293">
        <v>1.28</v>
      </c>
      <c r="D115" s="293">
        <v>345</v>
      </c>
      <c r="E115" s="293">
        <v>1</v>
      </c>
      <c r="F115" s="293">
        <v>345</v>
      </c>
    </row>
    <row r="116" ht="12" customHeight="1"/>
    <row r="117" ht="15">
      <c r="A117" s="293" t="s">
        <v>123</v>
      </c>
    </row>
    <row r="118" spans="1:6" ht="15">
      <c r="A118" s="293" t="s">
        <v>101</v>
      </c>
      <c r="B118" s="293">
        <v>0.35</v>
      </c>
      <c r="C118" s="293">
        <v>31.5</v>
      </c>
      <c r="D118" s="293">
        <v>4.6</v>
      </c>
      <c r="E118" s="293">
        <v>32</v>
      </c>
      <c r="F118" s="293">
        <v>147.2</v>
      </c>
    </row>
    <row r="119" spans="1:6" ht="30">
      <c r="A119" s="293" t="s">
        <v>102</v>
      </c>
      <c r="B119" s="293">
        <v>0.2</v>
      </c>
      <c r="C119" s="293">
        <v>18</v>
      </c>
      <c r="D119" s="293">
        <v>23</v>
      </c>
      <c r="E119" s="293">
        <v>18</v>
      </c>
      <c r="F119" s="293">
        <v>414</v>
      </c>
    </row>
    <row r="120" spans="1:7" ht="30">
      <c r="A120" s="293" t="s">
        <v>103</v>
      </c>
      <c r="B120" s="293">
        <v>0.15</v>
      </c>
      <c r="C120" s="293">
        <v>13.5</v>
      </c>
      <c r="D120" s="293">
        <v>57.5</v>
      </c>
      <c r="E120" s="293">
        <v>14</v>
      </c>
      <c r="F120" s="293">
        <v>805</v>
      </c>
      <c r="G120" s="293">
        <v>6345.7</v>
      </c>
    </row>
    <row r="121" spans="1:6" ht="30">
      <c r="A121" s="293" t="s">
        <v>104</v>
      </c>
      <c r="B121" s="293">
        <v>0.12</v>
      </c>
      <c r="C121" s="293">
        <v>10.8</v>
      </c>
      <c r="D121" s="293">
        <v>92</v>
      </c>
      <c r="E121" s="293">
        <v>11</v>
      </c>
      <c r="F121" s="293">
        <v>1012</v>
      </c>
    </row>
    <row r="122" spans="1:6" ht="30">
      <c r="A122" s="293" t="s">
        <v>105</v>
      </c>
      <c r="B122" s="293">
        <v>0.1</v>
      </c>
      <c r="C122" s="293">
        <v>9</v>
      </c>
      <c r="D122" s="293">
        <v>172.5</v>
      </c>
      <c r="E122" s="293">
        <v>9</v>
      </c>
      <c r="F122" s="293">
        <v>1552.5</v>
      </c>
    </row>
    <row r="123" spans="1:6" ht="30">
      <c r="A123" s="293" t="s">
        <v>106</v>
      </c>
      <c r="B123" s="293">
        <v>0.08</v>
      </c>
      <c r="C123" s="293">
        <v>7.2</v>
      </c>
      <c r="D123" s="293">
        <v>345</v>
      </c>
      <c r="E123" s="293">
        <v>7</v>
      </c>
      <c r="F123" s="293">
        <v>2415</v>
      </c>
    </row>
    <row r="124" ht="12" customHeight="1"/>
    <row r="125" ht="15">
      <c r="A125" s="293" t="s">
        <v>124</v>
      </c>
    </row>
    <row r="126" spans="1:6" ht="15">
      <c r="A126" s="293" t="s">
        <v>101</v>
      </c>
      <c r="B126" s="293">
        <v>0.35</v>
      </c>
      <c r="C126" s="293">
        <v>13.3</v>
      </c>
      <c r="D126" s="293">
        <v>4.6</v>
      </c>
      <c r="E126" s="293">
        <v>13</v>
      </c>
      <c r="F126" s="293">
        <v>59.8</v>
      </c>
    </row>
    <row r="127" spans="1:6" ht="30">
      <c r="A127" s="293" t="s">
        <v>102</v>
      </c>
      <c r="B127" s="293">
        <v>0.2</v>
      </c>
      <c r="C127" s="293">
        <v>7.6</v>
      </c>
      <c r="D127" s="293">
        <v>23</v>
      </c>
      <c r="E127" s="293">
        <v>8</v>
      </c>
      <c r="F127" s="293">
        <v>184</v>
      </c>
    </row>
    <row r="128" spans="1:6" ht="30">
      <c r="A128" s="293" t="s">
        <v>103</v>
      </c>
      <c r="B128" s="293">
        <v>0.15</v>
      </c>
      <c r="C128" s="293">
        <v>5.7</v>
      </c>
      <c r="D128" s="293">
        <v>57.5</v>
      </c>
      <c r="E128" s="293">
        <v>6</v>
      </c>
      <c r="F128" s="293">
        <v>345</v>
      </c>
    </row>
    <row r="129" spans="1:7" ht="30">
      <c r="A129" s="293" t="s">
        <v>104</v>
      </c>
      <c r="B129" s="293">
        <v>0.12</v>
      </c>
      <c r="C129" s="293">
        <v>4.56</v>
      </c>
      <c r="D129" s="293">
        <v>92</v>
      </c>
      <c r="E129" s="293">
        <v>5</v>
      </c>
      <c r="F129" s="293">
        <v>460</v>
      </c>
      <c r="G129" s="293">
        <v>2773.8</v>
      </c>
    </row>
    <row r="130" spans="1:6" ht="30">
      <c r="A130" s="293" t="s">
        <v>105</v>
      </c>
      <c r="B130" s="293">
        <v>0.1</v>
      </c>
      <c r="C130" s="293">
        <v>3.8</v>
      </c>
      <c r="D130" s="293">
        <v>172.5</v>
      </c>
      <c r="E130" s="293">
        <v>4</v>
      </c>
      <c r="F130" s="293">
        <v>690</v>
      </c>
    </row>
    <row r="131" spans="1:6" ht="30">
      <c r="A131" s="293" t="s">
        <v>106</v>
      </c>
      <c r="B131" s="293">
        <v>0.08</v>
      </c>
      <c r="C131" s="293">
        <v>3.04</v>
      </c>
      <c r="D131" s="293">
        <v>345</v>
      </c>
      <c r="E131" s="293">
        <v>3</v>
      </c>
      <c r="F131" s="293">
        <v>1035</v>
      </c>
    </row>
    <row r="132" spans="1:7" ht="51">
      <c r="A132" s="291" t="s">
        <v>80</v>
      </c>
      <c r="B132" s="291" t="s">
        <v>464</v>
      </c>
      <c r="C132" s="291" t="s">
        <v>465</v>
      </c>
      <c r="D132" s="291" t="s">
        <v>83</v>
      </c>
      <c r="E132" s="291" t="s">
        <v>465</v>
      </c>
      <c r="F132" s="291" t="s">
        <v>466</v>
      </c>
      <c r="G132" s="291" t="s">
        <v>88</v>
      </c>
    </row>
    <row r="133" ht="15">
      <c r="A133" s="293" t="s">
        <v>125</v>
      </c>
    </row>
    <row r="134" spans="1:6" ht="15">
      <c r="A134" s="293" t="s">
        <v>101</v>
      </c>
      <c r="B134" s="293">
        <v>0.35</v>
      </c>
      <c r="C134" s="293">
        <v>26.25</v>
      </c>
      <c r="D134" s="293">
        <v>4.6</v>
      </c>
      <c r="E134" s="293">
        <v>26</v>
      </c>
      <c r="F134" s="293">
        <v>119.6</v>
      </c>
    </row>
    <row r="135" spans="1:6" ht="30">
      <c r="A135" s="293" t="s">
        <v>102</v>
      </c>
      <c r="B135" s="293">
        <v>0.2</v>
      </c>
      <c r="C135" s="293">
        <v>15</v>
      </c>
      <c r="D135" s="293">
        <v>23</v>
      </c>
      <c r="E135" s="293">
        <v>15</v>
      </c>
      <c r="F135" s="293">
        <v>345</v>
      </c>
    </row>
    <row r="136" spans="1:6" ht="30">
      <c r="A136" s="293" t="s">
        <v>103</v>
      </c>
      <c r="B136" s="293">
        <v>0.15</v>
      </c>
      <c r="C136" s="293">
        <v>11.25</v>
      </c>
      <c r="D136" s="293">
        <v>57.5</v>
      </c>
      <c r="E136" s="293">
        <v>11</v>
      </c>
      <c r="F136" s="293">
        <v>632.5</v>
      </c>
    </row>
    <row r="137" spans="1:7" ht="30">
      <c r="A137" s="293" t="s">
        <v>104</v>
      </c>
      <c r="B137" s="293">
        <v>0.12</v>
      </c>
      <c r="C137" s="293">
        <v>9</v>
      </c>
      <c r="D137" s="293">
        <v>92</v>
      </c>
      <c r="E137" s="293">
        <v>9</v>
      </c>
      <c r="F137" s="293">
        <v>828</v>
      </c>
      <c r="G137" s="293">
        <v>5375.1</v>
      </c>
    </row>
    <row r="138" spans="1:6" ht="30">
      <c r="A138" s="293" t="s">
        <v>105</v>
      </c>
      <c r="B138" s="293">
        <v>0.1</v>
      </c>
      <c r="C138" s="293">
        <v>7.5</v>
      </c>
      <c r="D138" s="293">
        <v>172.5</v>
      </c>
      <c r="E138" s="293">
        <v>8</v>
      </c>
      <c r="F138" s="293">
        <v>1380</v>
      </c>
    </row>
    <row r="139" spans="1:6" ht="30">
      <c r="A139" s="293" t="s">
        <v>106</v>
      </c>
      <c r="B139" s="293">
        <v>0.08</v>
      </c>
      <c r="C139" s="293">
        <v>6</v>
      </c>
      <c r="D139" s="293">
        <v>345</v>
      </c>
      <c r="E139" s="293">
        <v>6</v>
      </c>
      <c r="F139" s="293">
        <v>2070</v>
      </c>
    </row>
    <row r="140" ht="9" customHeight="1"/>
    <row r="141" ht="15">
      <c r="A141" s="293" t="s">
        <v>126</v>
      </c>
    </row>
    <row r="142" spans="1:6" ht="15">
      <c r="A142" s="293" t="s">
        <v>101</v>
      </c>
      <c r="B142" s="293">
        <v>0.35</v>
      </c>
      <c r="C142" s="293">
        <v>4.9</v>
      </c>
      <c r="D142" s="293">
        <v>4.6</v>
      </c>
      <c r="E142" s="293">
        <v>5</v>
      </c>
      <c r="F142" s="293">
        <v>23</v>
      </c>
    </row>
    <row r="143" spans="1:6" ht="30">
      <c r="A143" s="293" t="s">
        <v>102</v>
      </c>
      <c r="B143" s="293">
        <v>0.2</v>
      </c>
      <c r="C143" s="293">
        <v>2.8</v>
      </c>
      <c r="D143" s="293">
        <v>23</v>
      </c>
      <c r="E143" s="293">
        <v>3</v>
      </c>
      <c r="F143" s="293">
        <v>69</v>
      </c>
    </row>
    <row r="144" spans="1:6" ht="30">
      <c r="A144" s="293" t="s">
        <v>103</v>
      </c>
      <c r="B144" s="293">
        <v>0.15</v>
      </c>
      <c r="C144" s="293">
        <v>2.1</v>
      </c>
      <c r="D144" s="293">
        <v>57.5</v>
      </c>
      <c r="E144" s="293">
        <v>2</v>
      </c>
      <c r="F144" s="293">
        <v>115</v>
      </c>
    </row>
    <row r="145" spans="1:7" ht="30">
      <c r="A145" s="293" t="s">
        <v>104</v>
      </c>
      <c r="B145" s="293">
        <v>0.12</v>
      </c>
      <c r="C145" s="293">
        <v>1.68</v>
      </c>
      <c r="D145" s="293">
        <v>92</v>
      </c>
      <c r="E145" s="293">
        <v>2</v>
      </c>
      <c r="F145" s="293">
        <v>184</v>
      </c>
      <c r="G145" s="293">
        <v>563.5</v>
      </c>
    </row>
    <row r="146" spans="1:6" ht="30">
      <c r="A146" s="293" t="s">
        <v>105</v>
      </c>
      <c r="B146" s="293">
        <v>0.1</v>
      </c>
      <c r="C146" s="293">
        <v>1.4</v>
      </c>
      <c r="D146" s="293">
        <v>172.5</v>
      </c>
      <c r="E146" s="293">
        <v>1</v>
      </c>
      <c r="F146" s="293">
        <v>172.5</v>
      </c>
    </row>
    <row r="147" spans="1:6" ht="30">
      <c r="A147" s="293" t="s">
        <v>106</v>
      </c>
      <c r="B147" s="293">
        <v>0.08</v>
      </c>
      <c r="C147" s="293">
        <v>1.12</v>
      </c>
      <c r="D147" s="293">
        <v>345</v>
      </c>
      <c r="E147" s="293">
        <v>1</v>
      </c>
      <c r="F147" s="293">
        <v>0</v>
      </c>
    </row>
    <row r="148" ht="12" customHeight="1"/>
    <row r="149" ht="15">
      <c r="A149" s="293" t="s">
        <v>127</v>
      </c>
    </row>
    <row r="150" spans="1:6" ht="15">
      <c r="A150" s="293" t="s">
        <v>101</v>
      </c>
      <c r="B150" s="293">
        <v>0.35</v>
      </c>
      <c r="C150" s="293">
        <v>11.9</v>
      </c>
      <c r="D150" s="293">
        <v>4.6</v>
      </c>
      <c r="E150" s="293">
        <v>12</v>
      </c>
      <c r="F150" s="293">
        <v>55.2</v>
      </c>
    </row>
    <row r="151" spans="1:6" ht="30">
      <c r="A151" s="293" t="s">
        <v>102</v>
      </c>
      <c r="B151" s="293">
        <v>0.2</v>
      </c>
      <c r="C151" s="293">
        <v>6.8</v>
      </c>
      <c r="D151" s="293">
        <v>23</v>
      </c>
      <c r="E151" s="293">
        <v>7</v>
      </c>
      <c r="F151" s="293">
        <v>161</v>
      </c>
    </row>
    <row r="152" spans="1:6" ht="30">
      <c r="A152" s="293" t="s">
        <v>103</v>
      </c>
      <c r="B152" s="293">
        <v>0.15</v>
      </c>
      <c r="C152" s="293">
        <v>5.1</v>
      </c>
      <c r="D152" s="293">
        <v>57.5</v>
      </c>
      <c r="E152" s="293">
        <v>5</v>
      </c>
      <c r="F152" s="293">
        <v>287.5</v>
      </c>
    </row>
    <row r="153" spans="1:7" ht="30">
      <c r="A153" s="293" t="s">
        <v>104</v>
      </c>
      <c r="B153" s="293">
        <v>0.12</v>
      </c>
      <c r="C153" s="293">
        <v>4.08</v>
      </c>
      <c r="D153" s="293">
        <v>92</v>
      </c>
      <c r="E153" s="293">
        <v>4</v>
      </c>
      <c r="F153" s="293">
        <v>368</v>
      </c>
      <c r="G153" s="293">
        <v>2424.2</v>
      </c>
    </row>
    <row r="154" spans="1:6" ht="30">
      <c r="A154" s="293" t="s">
        <v>105</v>
      </c>
      <c r="B154" s="293">
        <v>0.1</v>
      </c>
      <c r="C154" s="293">
        <v>3.4</v>
      </c>
      <c r="D154" s="293">
        <v>172.5</v>
      </c>
      <c r="E154" s="293">
        <v>3</v>
      </c>
      <c r="F154" s="293">
        <v>517.5</v>
      </c>
    </row>
    <row r="155" spans="1:6" ht="30">
      <c r="A155" s="293" t="s">
        <v>106</v>
      </c>
      <c r="B155" s="293">
        <v>0.08</v>
      </c>
      <c r="C155" s="293">
        <v>2.72</v>
      </c>
      <c r="D155" s="293">
        <v>345</v>
      </c>
      <c r="E155" s="293">
        <v>3</v>
      </c>
      <c r="F155" s="293">
        <v>1035</v>
      </c>
    </row>
    <row r="156" ht="12" customHeight="1"/>
    <row r="157" ht="15">
      <c r="A157" s="293" t="s">
        <v>128</v>
      </c>
    </row>
    <row r="158" spans="1:6" ht="15">
      <c r="A158" s="293" t="s">
        <v>101</v>
      </c>
      <c r="B158" s="293">
        <v>0.35</v>
      </c>
      <c r="C158" s="293">
        <v>21.7</v>
      </c>
      <c r="D158" s="293">
        <v>4.6</v>
      </c>
      <c r="E158" s="293">
        <v>22</v>
      </c>
      <c r="F158" s="293">
        <v>101.2</v>
      </c>
    </row>
    <row r="159" spans="1:6" ht="30">
      <c r="A159" s="293" t="s">
        <v>102</v>
      </c>
      <c r="B159" s="293">
        <v>0.2</v>
      </c>
      <c r="C159" s="293">
        <v>12.4</v>
      </c>
      <c r="D159" s="293">
        <v>23</v>
      </c>
      <c r="E159" s="293">
        <v>12</v>
      </c>
      <c r="F159" s="293">
        <v>276</v>
      </c>
    </row>
    <row r="160" spans="1:6" ht="30">
      <c r="A160" s="293" t="s">
        <v>103</v>
      </c>
      <c r="B160" s="293">
        <v>0.15</v>
      </c>
      <c r="C160" s="293">
        <v>9.3</v>
      </c>
      <c r="D160" s="293">
        <v>57.5</v>
      </c>
      <c r="E160" s="293">
        <v>9</v>
      </c>
      <c r="F160" s="293">
        <v>517.5</v>
      </c>
    </row>
    <row r="161" spans="1:7" ht="30">
      <c r="A161" s="293" t="s">
        <v>104</v>
      </c>
      <c r="B161" s="293">
        <v>0.12</v>
      </c>
      <c r="C161" s="293">
        <v>7.44</v>
      </c>
      <c r="D161" s="293">
        <v>92</v>
      </c>
      <c r="E161" s="293">
        <v>7</v>
      </c>
      <c r="F161" s="293">
        <v>644</v>
      </c>
      <c r="G161" s="293">
        <v>4298.7</v>
      </c>
    </row>
    <row r="162" spans="1:6" ht="30">
      <c r="A162" s="293" t="s">
        <v>105</v>
      </c>
      <c r="B162" s="293">
        <v>0.1</v>
      </c>
      <c r="C162" s="293">
        <v>6.2</v>
      </c>
      <c r="D162" s="293">
        <v>172.5</v>
      </c>
      <c r="E162" s="293">
        <v>6</v>
      </c>
      <c r="F162" s="293">
        <v>1035</v>
      </c>
    </row>
    <row r="163" spans="1:6" ht="30">
      <c r="A163" s="293" t="s">
        <v>106</v>
      </c>
      <c r="B163" s="293">
        <v>0.08</v>
      </c>
      <c r="C163" s="293">
        <v>4.96</v>
      </c>
      <c r="D163" s="293">
        <v>345</v>
      </c>
      <c r="E163" s="293">
        <v>5</v>
      </c>
      <c r="F163" s="293">
        <v>1725</v>
      </c>
    </row>
    <row r="164" spans="1:7" ht="51">
      <c r="A164" s="291" t="s">
        <v>80</v>
      </c>
      <c r="B164" s="291" t="s">
        <v>464</v>
      </c>
      <c r="C164" s="291" t="s">
        <v>465</v>
      </c>
      <c r="D164" s="291" t="s">
        <v>83</v>
      </c>
      <c r="E164" s="291" t="s">
        <v>465</v>
      </c>
      <c r="F164" s="291" t="s">
        <v>466</v>
      </c>
      <c r="G164" s="291" t="s">
        <v>88</v>
      </c>
    </row>
    <row r="165" ht="15">
      <c r="A165" s="293" t="s">
        <v>129</v>
      </c>
    </row>
    <row r="166" spans="1:6" ht="15">
      <c r="A166" s="293" t="s">
        <v>101</v>
      </c>
      <c r="B166" s="293">
        <v>0.35</v>
      </c>
      <c r="C166" s="293">
        <v>32.2</v>
      </c>
      <c r="D166" s="293">
        <v>4.6</v>
      </c>
      <c r="E166" s="293">
        <v>32</v>
      </c>
      <c r="F166" s="293">
        <v>147.2</v>
      </c>
    </row>
    <row r="167" spans="1:6" ht="30">
      <c r="A167" s="293" t="s">
        <v>102</v>
      </c>
      <c r="B167" s="293">
        <v>0.2</v>
      </c>
      <c r="C167" s="293">
        <v>18.4</v>
      </c>
      <c r="D167" s="293">
        <v>23</v>
      </c>
      <c r="E167" s="293">
        <v>18</v>
      </c>
      <c r="F167" s="293">
        <v>414</v>
      </c>
    </row>
    <row r="168" spans="1:6" ht="30">
      <c r="A168" s="293" t="s">
        <v>103</v>
      </c>
      <c r="B168" s="293">
        <v>0.15</v>
      </c>
      <c r="C168" s="293">
        <v>13.8</v>
      </c>
      <c r="D168" s="293">
        <v>57.5</v>
      </c>
      <c r="E168" s="293">
        <v>14</v>
      </c>
      <c r="F168" s="293">
        <v>805</v>
      </c>
    </row>
    <row r="169" spans="1:7" ht="30">
      <c r="A169" s="293" t="s">
        <v>104</v>
      </c>
      <c r="B169" s="293">
        <v>0.12</v>
      </c>
      <c r="C169" s="293">
        <v>11.04</v>
      </c>
      <c r="D169" s="293">
        <v>92</v>
      </c>
      <c r="E169" s="293">
        <v>11</v>
      </c>
      <c r="F169" s="293">
        <v>1012</v>
      </c>
      <c r="G169" s="293">
        <v>6345.7</v>
      </c>
    </row>
    <row r="170" spans="1:6" ht="30">
      <c r="A170" s="293" t="s">
        <v>105</v>
      </c>
      <c r="B170" s="293">
        <v>0.1</v>
      </c>
      <c r="C170" s="293">
        <v>9.2</v>
      </c>
      <c r="D170" s="293">
        <v>172.5</v>
      </c>
      <c r="E170" s="293">
        <v>9</v>
      </c>
      <c r="F170" s="293">
        <v>1552.5</v>
      </c>
    </row>
    <row r="171" spans="1:6" ht="30">
      <c r="A171" s="293" t="s">
        <v>106</v>
      </c>
      <c r="B171" s="293">
        <v>0.08</v>
      </c>
      <c r="C171" s="293">
        <v>7.36</v>
      </c>
      <c r="D171" s="293">
        <v>345</v>
      </c>
      <c r="E171" s="293">
        <v>7</v>
      </c>
      <c r="F171" s="293">
        <v>2415</v>
      </c>
    </row>
    <row r="172" ht="9" customHeight="1"/>
    <row r="173" ht="15">
      <c r="A173" s="293" t="s">
        <v>130</v>
      </c>
    </row>
    <row r="174" spans="1:6" ht="15">
      <c r="A174" s="293" t="s">
        <v>101</v>
      </c>
      <c r="B174" s="293">
        <v>0.35</v>
      </c>
      <c r="C174" s="293">
        <v>5.25</v>
      </c>
      <c r="D174" s="293">
        <v>4.6</v>
      </c>
      <c r="E174" s="293">
        <v>5</v>
      </c>
      <c r="F174" s="293">
        <v>23</v>
      </c>
    </row>
    <row r="175" spans="1:6" ht="30">
      <c r="A175" s="293" t="s">
        <v>102</v>
      </c>
      <c r="B175" s="293">
        <v>0.2</v>
      </c>
      <c r="C175" s="293">
        <v>3</v>
      </c>
      <c r="D175" s="293">
        <v>23</v>
      </c>
      <c r="E175" s="293">
        <v>3</v>
      </c>
      <c r="F175" s="293">
        <v>69</v>
      </c>
    </row>
    <row r="176" spans="1:7" ht="30">
      <c r="A176" s="293" t="s">
        <v>103</v>
      </c>
      <c r="B176" s="293">
        <v>0.15</v>
      </c>
      <c r="C176" s="293">
        <v>2.25</v>
      </c>
      <c r="D176" s="293">
        <v>57.5</v>
      </c>
      <c r="E176" s="293">
        <v>2</v>
      </c>
      <c r="F176" s="293">
        <v>115</v>
      </c>
      <c r="G176" s="293">
        <v>1081</v>
      </c>
    </row>
    <row r="177" spans="1:6" ht="30">
      <c r="A177" s="293" t="s">
        <v>104</v>
      </c>
      <c r="B177" s="293">
        <v>0.12</v>
      </c>
      <c r="C177" s="293">
        <v>1.8</v>
      </c>
      <c r="D177" s="293">
        <v>92</v>
      </c>
      <c r="E177" s="293">
        <v>2</v>
      </c>
      <c r="F177" s="293">
        <v>184</v>
      </c>
    </row>
    <row r="178" spans="1:6" ht="30">
      <c r="A178" s="293" t="s">
        <v>105</v>
      </c>
      <c r="B178" s="293">
        <v>0.1</v>
      </c>
      <c r="C178" s="293">
        <v>1.5</v>
      </c>
      <c r="D178" s="293">
        <v>172.5</v>
      </c>
      <c r="E178" s="293">
        <v>2</v>
      </c>
      <c r="F178" s="293">
        <v>345</v>
      </c>
    </row>
    <row r="179" spans="1:6" ht="30">
      <c r="A179" s="293" t="s">
        <v>106</v>
      </c>
      <c r="B179" s="293">
        <v>0.08</v>
      </c>
      <c r="C179" s="293">
        <v>1.2</v>
      </c>
      <c r="D179" s="293">
        <v>345</v>
      </c>
      <c r="E179" s="293">
        <v>1</v>
      </c>
      <c r="F179" s="293">
        <v>345</v>
      </c>
    </row>
    <row r="180" ht="12" customHeight="1"/>
    <row r="181" ht="15">
      <c r="A181" s="293" t="s">
        <v>131</v>
      </c>
    </row>
    <row r="182" spans="1:6" ht="15">
      <c r="A182" s="293" t="s">
        <v>101</v>
      </c>
      <c r="B182" s="293">
        <v>0.35</v>
      </c>
      <c r="C182" s="293">
        <v>22.75</v>
      </c>
      <c r="D182" s="293">
        <v>4.6</v>
      </c>
      <c r="E182" s="293">
        <v>23</v>
      </c>
      <c r="F182" s="293">
        <v>105.8</v>
      </c>
    </row>
    <row r="183" spans="1:6" ht="30">
      <c r="A183" s="293" t="s">
        <v>102</v>
      </c>
      <c r="B183" s="293">
        <v>0.2</v>
      </c>
      <c r="C183" s="293">
        <v>13</v>
      </c>
      <c r="D183" s="293">
        <v>23</v>
      </c>
      <c r="E183" s="293">
        <v>13</v>
      </c>
      <c r="F183" s="293">
        <v>299</v>
      </c>
    </row>
    <row r="184" spans="1:6" ht="30">
      <c r="A184" s="293" t="s">
        <v>103</v>
      </c>
      <c r="B184" s="293">
        <v>0.15</v>
      </c>
      <c r="C184" s="293">
        <v>9.75</v>
      </c>
      <c r="D184" s="293">
        <v>57.5</v>
      </c>
      <c r="E184" s="293">
        <v>10</v>
      </c>
      <c r="F184" s="293">
        <v>575</v>
      </c>
    </row>
    <row r="185" spans="1:7" ht="30">
      <c r="A185" s="293" t="s">
        <v>104</v>
      </c>
      <c r="B185" s="293">
        <v>0.12</v>
      </c>
      <c r="C185" s="293">
        <v>7.8</v>
      </c>
      <c r="D185" s="293">
        <v>92</v>
      </c>
      <c r="E185" s="293">
        <v>8</v>
      </c>
      <c r="F185" s="293">
        <v>736</v>
      </c>
      <c r="G185" s="293">
        <v>4648.3</v>
      </c>
    </row>
    <row r="186" spans="1:6" ht="30">
      <c r="A186" s="293" t="s">
        <v>105</v>
      </c>
      <c r="B186" s="293">
        <v>0.1</v>
      </c>
      <c r="C186" s="293">
        <v>6.5</v>
      </c>
      <c r="D186" s="293">
        <v>172.5</v>
      </c>
      <c r="E186" s="293">
        <v>7</v>
      </c>
      <c r="F186" s="293">
        <v>1207.5</v>
      </c>
    </row>
    <row r="187" spans="1:6" ht="30">
      <c r="A187" s="293" t="s">
        <v>106</v>
      </c>
      <c r="B187" s="293">
        <v>0.08</v>
      </c>
      <c r="C187" s="293">
        <v>5.2</v>
      </c>
      <c r="D187" s="293">
        <v>345</v>
      </c>
      <c r="E187" s="293">
        <v>5</v>
      </c>
      <c r="F187" s="293">
        <v>1725</v>
      </c>
    </row>
    <row r="188" ht="12" customHeight="1"/>
    <row r="189" ht="15">
      <c r="A189" s="293" t="s">
        <v>132</v>
      </c>
    </row>
    <row r="190" spans="1:6" ht="15">
      <c r="A190" s="293" t="s">
        <v>101</v>
      </c>
      <c r="B190" s="293">
        <v>0.35</v>
      </c>
      <c r="C190" s="293">
        <v>28</v>
      </c>
      <c r="D190" s="293">
        <v>4.6</v>
      </c>
      <c r="E190" s="293">
        <v>28</v>
      </c>
      <c r="F190" s="293">
        <v>128.8</v>
      </c>
    </row>
    <row r="191" spans="1:6" ht="30">
      <c r="A191" s="293" t="s">
        <v>102</v>
      </c>
      <c r="B191" s="293">
        <v>0.2</v>
      </c>
      <c r="C191" s="293">
        <v>16</v>
      </c>
      <c r="D191" s="293">
        <v>23</v>
      </c>
      <c r="E191" s="293">
        <v>16</v>
      </c>
      <c r="F191" s="293">
        <v>368</v>
      </c>
    </row>
    <row r="192" spans="1:6" ht="30">
      <c r="A192" s="293" t="s">
        <v>103</v>
      </c>
      <c r="B192" s="293">
        <v>0.15</v>
      </c>
      <c r="C192" s="293">
        <v>12</v>
      </c>
      <c r="D192" s="293">
        <v>57.5</v>
      </c>
      <c r="E192" s="293">
        <v>12</v>
      </c>
      <c r="F192" s="293">
        <v>690</v>
      </c>
    </row>
    <row r="193" spans="1:7" ht="30">
      <c r="A193" s="293" t="s">
        <v>104</v>
      </c>
      <c r="B193" s="293">
        <v>0.12</v>
      </c>
      <c r="C193" s="293">
        <v>9.6</v>
      </c>
      <c r="D193" s="293">
        <v>92</v>
      </c>
      <c r="E193" s="293">
        <v>10</v>
      </c>
      <c r="F193" s="293">
        <v>920</v>
      </c>
      <c r="G193" s="293">
        <v>5556.8</v>
      </c>
    </row>
    <row r="194" spans="1:6" ht="30">
      <c r="A194" s="293" t="s">
        <v>105</v>
      </c>
      <c r="B194" s="293">
        <v>0.1</v>
      </c>
      <c r="C194" s="293">
        <v>8</v>
      </c>
      <c r="D194" s="293">
        <v>172.5</v>
      </c>
      <c r="E194" s="293">
        <v>8</v>
      </c>
      <c r="F194" s="293">
        <v>1380</v>
      </c>
    </row>
    <row r="195" spans="1:6" ht="30">
      <c r="A195" s="293" t="s">
        <v>106</v>
      </c>
      <c r="B195" s="293">
        <v>0.08</v>
      </c>
      <c r="C195" s="293">
        <v>6.4</v>
      </c>
      <c r="D195" s="293">
        <v>345</v>
      </c>
      <c r="E195" s="293">
        <v>6</v>
      </c>
      <c r="F195" s="293">
        <v>2070</v>
      </c>
    </row>
    <row r="196" spans="1:7" ht="51">
      <c r="A196" s="291" t="s">
        <v>80</v>
      </c>
      <c r="B196" s="291" t="s">
        <v>464</v>
      </c>
      <c r="C196" s="291" t="s">
        <v>465</v>
      </c>
      <c r="D196" s="291" t="s">
        <v>83</v>
      </c>
      <c r="E196" s="291" t="s">
        <v>465</v>
      </c>
      <c r="F196" s="291" t="s">
        <v>466</v>
      </c>
      <c r="G196" s="291" t="s">
        <v>88</v>
      </c>
    </row>
    <row r="197" ht="15">
      <c r="A197" s="293" t="s">
        <v>133</v>
      </c>
    </row>
    <row r="198" spans="1:6" ht="15">
      <c r="A198" s="293" t="s">
        <v>101</v>
      </c>
      <c r="B198" s="293">
        <v>0.35</v>
      </c>
      <c r="C198" s="293">
        <v>8.75</v>
      </c>
      <c r="D198" s="293">
        <v>4.6</v>
      </c>
      <c r="E198" s="293">
        <v>9</v>
      </c>
      <c r="F198" s="293">
        <v>41.4</v>
      </c>
    </row>
    <row r="199" spans="1:6" ht="30">
      <c r="A199" s="293" t="s">
        <v>102</v>
      </c>
      <c r="B199" s="293">
        <v>0.2</v>
      </c>
      <c r="C199" s="293">
        <v>5</v>
      </c>
      <c r="D199" s="293">
        <v>23</v>
      </c>
      <c r="E199" s="293">
        <v>5</v>
      </c>
      <c r="F199" s="293">
        <v>115</v>
      </c>
    </row>
    <row r="200" spans="1:7" ht="30">
      <c r="A200" s="293" t="s">
        <v>103</v>
      </c>
      <c r="B200" s="293">
        <v>0.15</v>
      </c>
      <c r="C200" s="293">
        <v>3.75</v>
      </c>
      <c r="D200" s="293">
        <v>57.5</v>
      </c>
      <c r="E200" s="293">
        <v>4</v>
      </c>
      <c r="F200" s="293">
        <v>230</v>
      </c>
      <c r="G200" s="293">
        <v>1869.9</v>
      </c>
    </row>
    <row r="201" spans="1:6" ht="30">
      <c r="A201" s="293" t="s">
        <v>104</v>
      </c>
      <c r="B201" s="293">
        <v>0.12</v>
      </c>
      <c r="C201" s="293">
        <v>3</v>
      </c>
      <c r="D201" s="293">
        <v>92</v>
      </c>
      <c r="E201" s="293">
        <v>3</v>
      </c>
      <c r="F201" s="293">
        <v>276</v>
      </c>
    </row>
    <row r="202" spans="1:6" ht="30">
      <c r="A202" s="293" t="s">
        <v>105</v>
      </c>
      <c r="B202" s="293">
        <v>0.1</v>
      </c>
      <c r="C202" s="293">
        <v>2.5</v>
      </c>
      <c r="D202" s="293">
        <v>172.5</v>
      </c>
      <c r="E202" s="293">
        <v>3</v>
      </c>
      <c r="F202" s="293">
        <v>517.5</v>
      </c>
    </row>
    <row r="203" spans="1:6" ht="30">
      <c r="A203" s="293" t="s">
        <v>106</v>
      </c>
      <c r="B203" s="293">
        <v>0.08</v>
      </c>
      <c r="C203" s="293">
        <v>2</v>
      </c>
      <c r="D203" s="293">
        <v>345</v>
      </c>
      <c r="E203" s="293">
        <v>2</v>
      </c>
      <c r="F203" s="293">
        <v>690</v>
      </c>
    </row>
    <row r="204" ht="12" customHeight="1"/>
    <row r="205" ht="15">
      <c r="A205" s="293" t="s">
        <v>135</v>
      </c>
    </row>
    <row r="206" spans="1:6" ht="15">
      <c r="A206" s="293" t="s">
        <v>101</v>
      </c>
      <c r="B206" s="293">
        <v>0.35</v>
      </c>
      <c r="C206" s="293">
        <v>21.35</v>
      </c>
      <c r="D206" s="293">
        <v>5.52</v>
      </c>
      <c r="E206" s="293">
        <v>21</v>
      </c>
      <c r="F206" s="293">
        <v>115.92</v>
      </c>
    </row>
    <row r="207" spans="1:6" ht="30">
      <c r="A207" s="293" t="s">
        <v>102</v>
      </c>
      <c r="B207" s="293">
        <v>0.2</v>
      </c>
      <c r="C207" s="293">
        <v>12.2</v>
      </c>
      <c r="D207" s="293">
        <v>27.6</v>
      </c>
      <c r="E207" s="293">
        <v>12</v>
      </c>
      <c r="F207" s="293">
        <v>331.2</v>
      </c>
    </row>
    <row r="208" spans="1:6" ht="30">
      <c r="A208" s="293" t="s">
        <v>103</v>
      </c>
      <c r="B208" s="293">
        <v>0.15</v>
      </c>
      <c r="C208" s="293">
        <v>9.15</v>
      </c>
      <c r="D208" s="293">
        <v>69</v>
      </c>
      <c r="E208" s="293">
        <v>9</v>
      </c>
      <c r="F208" s="293">
        <v>621</v>
      </c>
    </row>
    <row r="209" spans="1:7" ht="30">
      <c r="A209" s="293" t="s">
        <v>104</v>
      </c>
      <c r="B209" s="293">
        <v>0.12</v>
      </c>
      <c r="C209" s="293">
        <v>7.32</v>
      </c>
      <c r="D209" s="293">
        <v>110.4</v>
      </c>
      <c r="E209" s="293">
        <v>7</v>
      </c>
      <c r="F209" s="293">
        <v>772.8</v>
      </c>
      <c r="G209" s="293">
        <v>5152.92</v>
      </c>
    </row>
    <row r="210" spans="1:6" ht="30">
      <c r="A210" s="293" t="s">
        <v>105</v>
      </c>
      <c r="B210" s="293">
        <v>0.1</v>
      </c>
      <c r="C210" s="293">
        <v>6.1</v>
      </c>
      <c r="D210" s="293">
        <v>207</v>
      </c>
      <c r="E210" s="293">
        <v>6</v>
      </c>
      <c r="F210" s="293">
        <v>1242</v>
      </c>
    </row>
    <row r="211" spans="1:6" ht="30">
      <c r="A211" s="293" t="s">
        <v>106</v>
      </c>
      <c r="B211" s="293">
        <v>0.08</v>
      </c>
      <c r="C211" s="293">
        <v>4.88</v>
      </c>
      <c r="D211" s="293">
        <v>414</v>
      </c>
      <c r="E211" s="293">
        <v>5</v>
      </c>
      <c r="F211" s="293">
        <v>2070</v>
      </c>
    </row>
    <row r="212" ht="9" customHeight="1"/>
    <row r="213" ht="15">
      <c r="A213" s="293" t="s">
        <v>136</v>
      </c>
    </row>
    <row r="214" spans="1:6" ht="15">
      <c r="A214" s="293" t="s">
        <v>101</v>
      </c>
      <c r="B214" s="293">
        <v>0.35</v>
      </c>
      <c r="C214" s="293">
        <v>16.8</v>
      </c>
      <c r="D214" s="293">
        <v>5.52</v>
      </c>
      <c r="E214" s="293">
        <v>17</v>
      </c>
      <c r="F214" s="293">
        <v>93.84</v>
      </c>
    </row>
    <row r="215" spans="1:6" ht="30">
      <c r="A215" s="293" t="s">
        <v>102</v>
      </c>
      <c r="B215" s="293">
        <v>0.2</v>
      </c>
      <c r="C215" s="293">
        <v>9.6</v>
      </c>
      <c r="D215" s="293">
        <v>27.6</v>
      </c>
      <c r="E215" s="293">
        <v>10</v>
      </c>
      <c r="F215" s="293">
        <v>276</v>
      </c>
    </row>
    <row r="216" spans="1:6" ht="30">
      <c r="A216" s="293" t="s">
        <v>103</v>
      </c>
      <c r="B216" s="293">
        <v>0.15</v>
      </c>
      <c r="C216" s="293">
        <v>7.2</v>
      </c>
      <c r="D216" s="293">
        <v>69</v>
      </c>
      <c r="E216" s="293">
        <v>7</v>
      </c>
      <c r="F216" s="293">
        <v>483</v>
      </c>
    </row>
    <row r="217" spans="1:7" ht="30">
      <c r="A217" s="293" t="s">
        <v>104</v>
      </c>
      <c r="B217" s="293">
        <v>0.12</v>
      </c>
      <c r="C217" s="293">
        <v>5.76</v>
      </c>
      <c r="D217" s="293">
        <v>110.4</v>
      </c>
      <c r="E217" s="293">
        <v>6</v>
      </c>
      <c r="F217" s="293">
        <v>662.4</v>
      </c>
      <c r="G217" s="293">
        <v>4206.24</v>
      </c>
    </row>
    <row r="218" spans="1:6" ht="30">
      <c r="A218" s="293" t="s">
        <v>105</v>
      </c>
      <c r="B218" s="293">
        <v>0.1</v>
      </c>
      <c r="C218" s="293">
        <v>4.8</v>
      </c>
      <c r="D218" s="293">
        <v>207</v>
      </c>
      <c r="E218" s="293">
        <v>5</v>
      </c>
      <c r="F218" s="293">
        <v>1035</v>
      </c>
    </row>
    <row r="219" spans="1:6" ht="30">
      <c r="A219" s="293" t="s">
        <v>106</v>
      </c>
      <c r="B219" s="293">
        <v>0.08</v>
      </c>
      <c r="C219" s="293">
        <v>3.84</v>
      </c>
      <c r="D219" s="293">
        <v>414</v>
      </c>
      <c r="E219" s="293">
        <v>4</v>
      </c>
      <c r="F219" s="293">
        <v>1656</v>
      </c>
    </row>
    <row r="220" ht="12" customHeight="1"/>
    <row r="221" ht="15">
      <c r="A221" s="293" t="s">
        <v>137</v>
      </c>
    </row>
    <row r="222" spans="1:6" ht="15">
      <c r="A222" s="293" t="s">
        <v>101</v>
      </c>
      <c r="B222" s="293">
        <v>0.35</v>
      </c>
      <c r="C222" s="293">
        <v>21.35</v>
      </c>
      <c r="D222" s="293">
        <v>5.52</v>
      </c>
      <c r="E222" s="293">
        <v>21</v>
      </c>
      <c r="F222" s="293">
        <v>115.92</v>
      </c>
    </row>
    <row r="223" spans="1:6" ht="30">
      <c r="A223" s="293" t="s">
        <v>102</v>
      </c>
      <c r="B223" s="293">
        <v>0.2</v>
      </c>
      <c r="C223" s="293">
        <v>12.2</v>
      </c>
      <c r="D223" s="293">
        <v>27.6</v>
      </c>
      <c r="E223" s="293">
        <v>12</v>
      </c>
      <c r="F223" s="293">
        <v>331.2</v>
      </c>
    </row>
    <row r="224" spans="1:7" ht="30">
      <c r="A224" s="293" t="s">
        <v>103</v>
      </c>
      <c r="B224" s="293">
        <v>0.15</v>
      </c>
      <c r="C224" s="293">
        <v>9.15</v>
      </c>
      <c r="D224" s="293">
        <v>69</v>
      </c>
      <c r="E224" s="293">
        <v>9</v>
      </c>
      <c r="F224" s="293">
        <v>621</v>
      </c>
      <c r="G224" s="293">
        <v>5152.92</v>
      </c>
    </row>
    <row r="225" spans="1:6" ht="30">
      <c r="A225" s="293" t="s">
        <v>104</v>
      </c>
      <c r="B225" s="293">
        <v>0.12</v>
      </c>
      <c r="C225" s="293">
        <v>7.32</v>
      </c>
      <c r="D225" s="293">
        <v>110.4</v>
      </c>
      <c r="E225" s="293">
        <v>7</v>
      </c>
      <c r="F225" s="293">
        <v>772.8</v>
      </c>
    </row>
    <row r="226" spans="1:6" ht="30">
      <c r="A226" s="293" t="s">
        <v>105</v>
      </c>
      <c r="B226" s="293">
        <v>0.1</v>
      </c>
      <c r="C226" s="293">
        <v>6.1</v>
      </c>
      <c r="D226" s="293">
        <v>207</v>
      </c>
      <c r="E226" s="293">
        <v>6</v>
      </c>
      <c r="F226" s="293">
        <v>1242</v>
      </c>
    </row>
    <row r="227" spans="1:6" ht="30">
      <c r="A227" s="293" t="s">
        <v>106</v>
      </c>
      <c r="B227" s="293">
        <v>0.08</v>
      </c>
      <c r="C227" s="293">
        <v>4.88</v>
      </c>
      <c r="D227" s="293">
        <v>414</v>
      </c>
      <c r="E227" s="293">
        <v>5</v>
      </c>
      <c r="F227" s="293">
        <v>2070</v>
      </c>
    </row>
    <row r="228" spans="1:7" ht="51">
      <c r="A228" s="291" t="s">
        <v>80</v>
      </c>
      <c r="B228" s="291" t="s">
        <v>464</v>
      </c>
      <c r="C228" s="291" t="s">
        <v>465</v>
      </c>
      <c r="D228" s="291" t="s">
        <v>83</v>
      </c>
      <c r="E228" s="291" t="s">
        <v>465</v>
      </c>
      <c r="F228" s="291" t="s">
        <v>466</v>
      </c>
      <c r="G228" s="291" t="s">
        <v>88</v>
      </c>
    </row>
    <row r="229" ht="15">
      <c r="A229" s="293" t="s">
        <v>138</v>
      </c>
    </row>
    <row r="230" spans="1:6" ht="15">
      <c r="A230" s="293" t="s">
        <v>101</v>
      </c>
      <c r="B230" s="293">
        <v>0.35</v>
      </c>
      <c r="C230" s="293">
        <v>28.7</v>
      </c>
      <c r="D230" s="293">
        <v>5.52</v>
      </c>
      <c r="E230" s="293">
        <v>29</v>
      </c>
      <c r="F230" s="293">
        <v>160.08</v>
      </c>
    </row>
    <row r="231" spans="1:6" ht="30">
      <c r="A231" s="293" t="s">
        <v>102</v>
      </c>
      <c r="B231" s="293">
        <v>0.2</v>
      </c>
      <c r="C231" s="293">
        <v>16.4</v>
      </c>
      <c r="D231" s="293">
        <v>27.6</v>
      </c>
      <c r="E231" s="293">
        <v>16</v>
      </c>
      <c r="F231" s="293">
        <v>441.6</v>
      </c>
    </row>
    <row r="232" spans="1:6" ht="30">
      <c r="A232" s="293" t="s">
        <v>103</v>
      </c>
      <c r="B232" s="293">
        <v>0.15</v>
      </c>
      <c r="C232" s="293">
        <v>12.3</v>
      </c>
      <c r="D232" s="293">
        <v>69</v>
      </c>
      <c r="E232" s="293">
        <v>12</v>
      </c>
      <c r="F232" s="293">
        <v>828</v>
      </c>
    </row>
    <row r="233" spans="1:7" ht="30">
      <c r="A233" s="293" t="s">
        <v>104</v>
      </c>
      <c r="B233" s="293">
        <v>0.12</v>
      </c>
      <c r="C233" s="293">
        <v>9.84</v>
      </c>
      <c r="D233" s="293">
        <v>110.4</v>
      </c>
      <c r="E233" s="293">
        <v>10</v>
      </c>
      <c r="F233" s="293">
        <v>1104</v>
      </c>
      <c r="G233" s="293">
        <v>7087.68</v>
      </c>
    </row>
    <row r="234" spans="1:6" ht="30">
      <c r="A234" s="293" t="s">
        <v>105</v>
      </c>
      <c r="B234" s="293">
        <v>0.1</v>
      </c>
      <c r="C234" s="293">
        <v>8.2</v>
      </c>
      <c r="D234" s="293">
        <v>207</v>
      </c>
      <c r="E234" s="293">
        <v>8</v>
      </c>
      <c r="F234" s="293">
        <v>1656</v>
      </c>
    </row>
    <row r="235" spans="1:6" ht="30">
      <c r="A235" s="293" t="s">
        <v>106</v>
      </c>
      <c r="B235" s="293">
        <v>0.08</v>
      </c>
      <c r="C235" s="293">
        <v>6.56</v>
      </c>
      <c r="D235" s="293">
        <v>414</v>
      </c>
      <c r="E235" s="293">
        <v>7</v>
      </c>
      <c r="F235" s="293">
        <v>2898</v>
      </c>
    </row>
    <row r="236" ht="12" customHeight="1"/>
    <row r="237" ht="15">
      <c r="A237" s="293" t="s">
        <v>139</v>
      </c>
    </row>
    <row r="238" spans="1:6" ht="15">
      <c r="A238" s="293" t="s">
        <v>101</v>
      </c>
      <c r="B238" s="293">
        <v>0.35</v>
      </c>
      <c r="C238" s="293">
        <v>4.55</v>
      </c>
      <c r="D238" s="293">
        <v>5.52</v>
      </c>
      <c r="E238" s="293">
        <v>5</v>
      </c>
      <c r="F238" s="293">
        <v>27.6</v>
      </c>
    </row>
    <row r="239" spans="1:6" ht="30">
      <c r="A239" s="293" t="s">
        <v>102</v>
      </c>
      <c r="B239" s="293">
        <v>0.2</v>
      </c>
      <c r="C239" s="293">
        <v>2.6</v>
      </c>
      <c r="D239" s="293">
        <v>27.6</v>
      </c>
      <c r="E239" s="293">
        <v>3</v>
      </c>
      <c r="F239" s="293">
        <v>82.8</v>
      </c>
    </row>
    <row r="240" spans="1:7" ht="30">
      <c r="A240" s="293" t="s">
        <v>103</v>
      </c>
      <c r="B240" s="293">
        <v>0.15</v>
      </c>
      <c r="C240" s="293">
        <v>1.95</v>
      </c>
      <c r="D240" s="293">
        <v>69</v>
      </c>
      <c r="E240" s="293">
        <v>2</v>
      </c>
      <c r="F240" s="293">
        <v>138</v>
      </c>
      <c r="G240" s="293">
        <v>1090.2</v>
      </c>
    </row>
    <row r="241" spans="1:6" ht="30">
      <c r="A241" s="293" t="s">
        <v>104</v>
      </c>
      <c r="B241" s="293">
        <v>0.12</v>
      </c>
      <c r="C241" s="293">
        <v>1.56</v>
      </c>
      <c r="D241" s="293">
        <v>110.4</v>
      </c>
      <c r="E241" s="293">
        <v>2</v>
      </c>
      <c r="F241" s="293">
        <v>220.8</v>
      </c>
    </row>
    <row r="242" spans="1:6" ht="30">
      <c r="A242" s="293" t="s">
        <v>105</v>
      </c>
      <c r="B242" s="293">
        <v>0.1</v>
      </c>
      <c r="C242" s="293">
        <v>1.3</v>
      </c>
      <c r="D242" s="293">
        <v>207</v>
      </c>
      <c r="E242" s="293">
        <v>1</v>
      </c>
      <c r="F242" s="293">
        <v>207</v>
      </c>
    </row>
    <row r="243" spans="1:6" ht="30">
      <c r="A243" s="293" t="s">
        <v>106</v>
      </c>
      <c r="B243" s="293">
        <v>0.08</v>
      </c>
      <c r="C243" s="293">
        <v>1.04</v>
      </c>
      <c r="D243" s="293">
        <v>414</v>
      </c>
      <c r="E243" s="293">
        <v>1</v>
      </c>
      <c r="F243" s="293">
        <v>414</v>
      </c>
    </row>
    <row r="244" ht="12" customHeight="1"/>
    <row r="245" ht="15">
      <c r="A245" s="293" t="s">
        <v>140</v>
      </c>
    </row>
    <row r="246" spans="1:6" ht="15">
      <c r="A246" s="293" t="s">
        <v>101</v>
      </c>
      <c r="B246" s="293">
        <v>0.35</v>
      </c>
      <c r="C246" s="293">
        <v>33.6</v>
      </c>
      <c r="D246" s="293">
        <v>5.52</v>
      </c>
      <c r="E246" s="293">
        <v>34</v>
      </c>
      <c r="F246" s="293">
        <v>187.68</v>
      </c>
    </row>
    <row r="247" spans="1:6" ht="30">
      <c r="A247" s="293" t="s">
        <v>102</v>
      </c>
      <c r="B247" s="293">
        <v>0.2</v>
      </c>
      <c r="C247" s="293">
        <v>19.2</v>
      </c>
      <c r="D247" s="293">
        <v>27.6</v>
      </c>
      <c r="E247" s="293">
        <v>19</v>
      </c>
      <c r="F247" s="293">
        <v>524.4</v>
      </c>
    </row>
    <row r="248" spans="1:7" ht="30">
      <c r="A248" s="293" t="s">
        <v>103</v>
      </c>
      <c r="B248" s="293">
        <v>0.15</v>
      </c>
      <c r="C248" s="293">
        <v>14.4</v>
      </c>
      <c r="D248" s="293">
        <v>69</v>
      </c>
      <c r="E248" s="293">
        <v>14</v>
      </c>
      <c r="F248" s="293">
        <v>966</v>
      </c>
      <c r="G248" s="293">
        <v>8384.88</v>
      </c>
    </row>
    <row r="249" spans="1:6" ht="30">
      <c r="A249" s="293" t="s">
        <v>104</v>
      </c>
      <c r="B249" s="293">
        <v>0.12</v>
      </c>
      <c r="C249" s="293">
        <v>11.52</v>
      </c>
      <c r="D249" s="293">
        <v>110.4</v>
      </c>
      <c r="E249" s="293">
        <v>12</v>
      </c>
      <c r="F249" s="293">
        <v>1324.8</v>
      </c>
    </row>
    <row r="250" spans="1:6" ht="30">
      <c r="A250" s="293" t="s">
        <v>105</v>
      </c>
      <c r="B250" s="293">
        <v>0.1</v>
      </c>
      <c r="C250" s="293">
        <v>9.6</v>
      </c>
      <c r="D250" s="293">
        <v>207</v>
      </c>
      <c r="E250" s="293">
        <v>10</v>
      </c>
      <c r="F250" s="293">
        <v>2070</v>
      </c>
    </row>
    <row r="251" spans="1:6" ht="30">
      <c r="A251" s="293" t="s">
        <v>106</v>
      </c>
      <c r="B251" s="293">
        <v>0.08</v>
      </c>
      <c r="C251" s="293">
        <v>7.68</v>
      </c>
      <c r="D251" s="293">
        <v>414</v>
      </c>
      <c r="E251" s="293">
        <v>8</v>
      </c>
      <c r="F251" s="293">
        <v>3312</v>
      </c>
    </row>
    <row r="252" ht="9" customHeight="1"/>
    <row r="253" ht="15">
      <c r="A253" s="293" t="s">
        <v>141</v>
      </c>
    </row>
    <row r="254" spans="1:6" ht="15">
      <c r="A254" s="293" t="s">
        <v>101</v>
      </c>
      <c r="B254" s="293">
        <v>0.35</v>
      </c>
      <c r="C254" s="293">
        <v>28</v>
      </c>
      <c r="D254" s="293">
        <v>5.52</v>
      </c>
      <c r="E254" s="293">
        <v>28</v>
      </c>
      <c r="F254" s="293">
        <v>154.56</v>
      </c>
    </row>
    <row r="255" spans="1:6" ht="30">
      <c r="A255" s="293" t="s">
        <v>102</v>
      </c>
      <c r="B255" s="293">
        <v>0.2</v>
      </c>
      <c r="C255" s="293">
        <v>16</v>
      </c>
      <c r="D255" s="293">
        <v>27.6</v>
      </c>
      <c r="E255" s="293">
        <v>16</v>
      </c>
      <c r="F255" s="293">
        <v>441.6</v>
      </c>
    </row>
    <row r="256" spans="1:6" ht="30">
      <c r="A256" s="293" t="s">
        <v>103</v>
      </c>
      <c r="B256" s="293">
        <v>0.15</v>
      </c>
      <c r="C256" s="293">
        <v>12</v>
      </c>
      <c r="D256" s="293">
        <v>69</v>
      </c>
      <c r="E256" s="293">
        <v>12</v>
      </c>
      <c r="F256" s="293">
        <v>828</v>
      </c>
    </row>
    <row r="257" spans="1:7" ht="30">
      <c r="A257" s="293" t="s">
        <v>104</v>
      </c>
      <c r="B257" s="293">
        <v>0.12</v>
      </c>
      <c r="C257" s="293">
        <v>9.6</v>
      </c>
      <c r="D257" s="293">
        <v>110.4</v>
      </c>
      <c r="E257" s="293">
        <v>10</v>
      </c>
      <c r="F257" s="293">
        <v>1104</v>
      </c>
      <c r="G257" s="293">
        <v>6668.16</v>
      </c>
    </row>
    <row r="258" spans="1:6" ht="30">
      <c r="A258" s="293" t="s">
        <v>105</v>
      </c>
      <c r="B258" s="293">
        <v>0.1</v>
      </c>
      <c r="C258" s="293">
        <v>8</v>
      </c>
      <c r="D258" s="293">
        <v>207</v>
      </c>
      <c r="E258" s="293">
        <v>8</v>
      </c>
      <c r="F258" s="293">
        <v>1656</v>
      </c>
    </row>
    <row r="259" spans="1:6" ht="30">
      <c r="A259" s="293" t="s">
        <v>106</v>
      </c>
      <c r="B259" s="293">
        <v>0.08</v>
      </c>
      <c r="C259" s="293">
        <v>6.4</v>
      </c>
      <c r="D259" s="293">
        <v>414</v>
      </c>
      <c r="E259" s="293">
        <v>6</v>
      </c>
      <c r="F259" s="293">
        <v>2484</v>
      </c>
    </row>
    <row r="260" spans="1:7" ht="51">
      <c r="A260" s="291" t="s">
        <v>80</v>
      </c>
      <c r="B260" s="291" t="s">
        <v>464</v>
      </c>
      <c r="C260" s="291" t="s">
        <v>465</v>
      </c>
      <c r="D260" s="291" t="s">
        <v>83</v>
      </c>
      <c r="E260" s="291" t="s">
        <v>465</v>
      </c>
      <c r="F260" s="291" t="s">
        <v>466</v>
      </c>
      <c r="G260" s="291" t="s">
        <v>88</v>
      </c>
    </row>
    <row r="261" ht="15">
      <c r="A261" s="293" t="s">
        <v>142</v>
      </c>
    </row>
    <row r="262" spans="1:6" ht="15">
      <c r="A262" s="293" t="s">
        <v>101</v>
      </c>
      <c r="B262" s="293">
        <v>0.35</v>
      </c>
      <c r="C262" s="293">
        <v>9.8</v>
      </c>
      <c r="D262" s="293">
        <v>5.52</v>
      </c>
      <c r="E262" s="293">
        <v>10</v>
      </c>
      <c r="F262" s="293">
        <v>55.2</v>
      </c>
    </row>
    <row r="263" spans="1:6" ht="30">
      <c r="A263" s="293" t="s">
        <v>102</v>
      </c>
      <c r="B263" s="293">
        <v>0.2</v>
      </c>
      <c r="C263" s="293">
        <v>5.6</v>
      </c>
      <c r="D263" s="293">
        <v>27.6</v>
      </c>
      <c r="E263" s="293">
        <v>6</v>
      </c>
      <c r="F263" s="293">
        <v>165.6</v>
      </c>
    </row>
    <row r="264" spans="1:7" ht="30">
      <c r="A264" s="293" t="s">
        <v>103</v>
      </c>
      <c r="B264" s="293">
        <v>0.15</v>
      </c>
      <c r="C264" s="293">
        <v>4.2</v>
      </c>
      <c r="D264" s="293">
        <v>69</v>
      </c>
      <c r="E264" s="293">
        <v>4</v>
      </c>
      <c r="F264" s="293">
        <v>276</v>
      </c>
      <c r="G264" s="293">
        <v>2277</v>
      </c>
    </row>
    <row r="265" spans="1:6" ht="30">
      <c r="A265" s="293" t="s">
        <v>104</v>
      </c>
      <c r="B265" s="293">
        <v>0.12</v>
      </c>
      <c r="C265" s="293">
        <v>3.36</v>
      </c>
      <c r="D265" s="293">
        <v>110.4</v>
      </c>
      <c r="E265" s="293">
        <v>3</v>
      </c>
      <c r="F265" s="293">
        <v>331.2</v>
      </c>
    </row>
    <row r="266" spans="1:6" ht="30">
      <c r="A266" s="293" t="s">
        <v>105</v>
      </c>
      <c r="B266" s="293">
        <v>0.1</v>
      </c>
      <c r="C266" s="293">
        <v>2.8</v>
      </c>
      <c r="D266" s="293">
        <v>207</v>
      </c>
      <c r="E266" s="293">
        <v>3</v>
      </c>
      <c r="F266" s="293">
        <v>621</v>
      </c>
    </row>
    <row r="267" spans="1:6" ht="30">
      <c r="A267" s="293" t="s">
        <v>106</v>
      </c>
      <c r="B267" s="293">
        <v>0.08</v>
      </c>
      <c r="C267" s="293">
        <v>2.24</v>
      </c>
      <c r="D267" s="293">
        <v>414</v>
      </c>
      <c r="E267" s="293">
        <v>2</v>
      </c>
      <c r="F267" s="293">
        <v>828</v>
      </c>
    </row>
    <row r="268" ht="12" customHeight="1"/>
    <row r="269" ht="15">
      <c r="A269" s="293" t="s">
        <v>143</v>
      </c>
    </row>
    <row r="270" spans="1:6" ht="15">
      <c r="A270" s="293" t="s">
        <v>101</v>
      </c>
      <c r="B270" s="293">
        <v>0.35</v>
      </c>
      <c r="C270" s="293">
        <v>31.15</v>
      </c>
      <c r="D270" s="293">
        <v>5.52</v>
      </c>
      <c r="E270" s="293">
        <v>31</v>
      </c>
      <c r="F270" s="293">
        <v>171.12</v>
      </c>
    </row>
    <row r="271" spans="1:6" ht="30">
      <c r="A271" s="293" t="s">
        <v>102</v>
      </c>
      <c r="B271" s="293">
        <v>0.2</v>
      </c>
      <c r="C271" s="293">
        <v>17.8</v>
      </c>
      <c r="D271" s="293">
        <v>27.6</v>
      </c>
      <c r="E271" s="293">
        <v>18</v>
      </c>
      <c r="F271" s="293">
        <v>496.8</v>
      </c>
    </row>
    <row r="272" spans="1:6" ht="30">
      <c r="A272" s="293" t="s">
        <v>103</v>
      </c>
      <c r="B272" s="293">
        <v>0.15</v>
      </c>
      <c r="C272" s="293">
        <v>13.35</v>
      </c>
      <c r="D272" s="293">
        <v>69</v>
      </c>
      <c r="E272" s="293">
        <v>13</v>
      </c>
      <c r="F272" s="293">
        <v>897</v>
      </c>
    </row>
    <row r="273" spans="1:7" ht="30">
      <c r="A273" s="293" t="s">
        <v>104</v>
      </c>
      <c r="B273" s="293">
        <v>0.12</v>
      </c>
      <c r="C273" s="293">
        <v>10.68</v>
      </c>
      <c r="D273" s="293">
        <v>110.4</v>
      </c>
      <c r="E273" s="293">
        <v>11</v>
      </c>
      <c r="F273" s="293">
        <v>1214.4</v>
      </c>
      <c r="G273" s="293">
        <v>7540.32</v>
      </c>
    </row>
    <row r="274" spans="1:6" ht="30">
      <c r="A274" s="293" t="s">
        <v>105</v>
      </c>
      <c r="B274" s="293">
        <v>0.1</v>
      </c>
      <c r="C274" s="293">
        <v>8.9</v>
      </c>
      <c r="D274" s="293">
        <v>207</v>
      </c>
      <c r="E274" s="293">
        <v>9</v>
      </c>
      <c r="F274" s="293">
        <v>1863</v>
      </c>
    </row>
    <row r="275" spans="1:6" ht="30">
      <c r="A275" s="293" t="s">
        <v>106</v>
      </c>
      <c r="B275" s="293">
        <v>0.08</v>
      </c>
      <c r="C275" s="293">
        <v>7.12</v>
      </c>
      <c r="D275" s="293">
        <v>414</v>
      </c>
      <c r="E275" s="293">
        <v>7</v>
      </c>
      <c r="F275" s="293">
        <v>2898</v>
      </c>
    </row>
    <row r="276" ht="12" customHeight="1"/>
    <row r="277" ht="15">
      <c r="A277" s="293" t="s">
        <v>144</v>
      </c>
    </row>
    <row r="278" spans="1:6" ht="15">
      <c r="A278" s="293" t="s">
        <v>101</v>
      </c>
      <c r="B278" s="293">
        <v>0.35</v>
      </c>
      <c r="C278" s="293">
        <v>5.25</v>
      </c>
      <c r="D278" s="293">
        <v>5.52</v>
      </c>
      <c r="E278" s="293">
        <v>5</v>
      </c>
      <c r="F278" s="293">
        <v>27.6</v>
      </c>
    </row>
    <row r="279" spans="1:6" ht="30">
      <c r="A279" s="293" t="s">
        <v>102</v>
      </c>
      <c r="B279" s="293">
        <v>0.2</v>
      </c>
      <c r="C279" s="293">
        <v>3</v>
      </c>
      <c r="D279" s="293">
        <v>27.6</v>
      </c>
      <c r="E279" s="293">
        <v>3</v>
      </c>
      <c r="F279" s="293">
        <v>82.8</v>
      </c>
    </row>
    <row r="280" spans="1:7" ht="30">
      <c r="A280" s="293" t="s">
        <v>103</v>
      </c>
      <c r="B280" s="293">
        <v>0.15</v>
      </c>
      <c r="C280" s="293">
        <v>2.25</v>
      </c>
      <c r="D280" s="293">
        <v>69</v>
      </c>
      <c r="E280" s="293">
        <v>2</v>
      </c>
      <c r="F280" s="293">
        <v>138</v>
      </c>
      <c r="G280" s="293">
        <v>1297.2</v>
      </c>
    </row>
    <row r="281" spans="1:6" ht="30">
      <c r="A281" s="293" t="s">
        <v>104</v>
      </c>
      <c r="B281" s="293">
        <v>0.12</v>
      </c>
      <c r="C281" s="293">
        <v>1.8</v>
      </c>
      <c r="D281" s="293">
        <v>110.4</v>
      </c>
      <c r="E281" s="293">
        <v>2</v>
      </c>
      <c r="F281" s="293">
        <v>220.8</v>
      </c>
    </row>
    <row r="282" spans="1:6" ht="30">
      <c r="A282" s="293" t="s">
        <v>105</v>
      </c>
      <c r="B282" s="293">
        <v>0.1</v>
      </c>
      <c r="C282" s="293">
        <v>1.5</v>
      </c>
      <c r="D282" s="293">
        <v>207</v>
      </c>
      <c r="E282" s="293">
        <v>2</v>
      </c>
      <c r="F282" s="293">
        <v>414</v>
      </c>
    </row>
    <row r="283" spans="1:6" ht="30">
      <c r="A283" s="293" t="s">
        <v>106</v>
      </c>
      <c r="B283" s="293">
        <v>0.08</v>
      </c>
      <c r="C283" s="293">
        <v>1.2</v>
      </c>
      <c r="D283" s="293">
        <v>414</v>
      </c>
      <c r="E283" s="293">
        <v>1</v>
      </c>
      <c r="F283" s="293">
        <v>414</v>
      </c>
    </row>
    <row r="284" ht="9" customHeight="1"/>
    <row r="285" ht="15">
      <c r="A285" s="293" t="s">
        <v>145</v>
      </c>
    </row>
    <row r="286" spans="1:6" ht="15">
      <c r="A286" s="293" t="s">
        <v>101</v>
      </c>
      <c r="B286" s="293">
        <v>0.35</v>
      </c>
      <c r="C286" s="293">
        <v>6.65</v>
      </c>
      <c r="D286" s="293">
        <v>5.52</v>
      </c>
      <c r="E286" s="293">
        <v>7</v>
      </c>
      <c r="F286" s="293">
        <v>38.64</v>
      </c>
    </row>
    <row r="287" spans="1:6" ht="30">
      <c r="A287" s="293" t="s">
        <v>102</v>
      </c>
      <c r="B287" s="293">
        <v>0.2</v>
      </c>
      <c r="C287" s="293">
        <v>3.8</v>
      </c>
      <c r="D287" s="293">
        <v>27.6</v>
      </c>
      <c r="E287" s="293">
        <v>4</v>
      </c>
      <c r="F287" s="293">
        <v>110.4</v>
      </c>
    </row>
    <row r="288" spans="1:7" ht="30">
      <c r="A288" s="293" t="s">
        <v>103</v>
      </c>
      <c r="B288" s="293">
        <v>0.15</v>
      </c>
      <c r="C288" s="293">
        <v>2.85</v>
      </c>
      <c r="D288" s="293">
        <v>69</v>
      </c>
      <c r="E288" s="293">
        <v>3</v>
      </c>
      <c r="F288" s="293">
        <v>207</v>
      </c>
      <c r="G288" s="293">
        <v>990.84</v>
      </c>
    </row>
    <row r="289" spans="1:6" ht="30">
      <c r="A289" s="293" t="s">
        <v>104</v>
      </c>
      <c r="B289" s="293">
        <v>0.12</v>
      </c>
      <c r="C289" s="293">
        <v>2.28</v>
      </c>
      <c r="D289" s="293">
        <v>110.4</v>
      </c>
      <c r="E289" s="293">
        <v>2</v>
      </c>
      <c r="F289" s="293">
        <v>220.8</v>
      </c>
    </row>
    <row r="290" spans="1:6" ht="30">
      <c r="A290" s="293" t="s">
        <v>105</v>
      </c>
      <c r="B290" s="293">
        <v>0.1</v>
      </c>
      <c r="C290" s="293">
        <v>1.9</v>
      </c>
      <c r="D290" s="293">
        <v>207</v>
      </c>
      <c r="E290" s="293">
        <v>2</v>
      </c>
      <c r="F290" s="293">
        <v>414</v>
      </c>
    </row>
    <row r="291" spans="1:6" ht="30">
      <c r="A291" s="293" t="s">
        <v>106</v>
      </c>
      <c r="B291" s="293">
        <v>0.08</v>
      </c>
      <c r="C291" s="293">
        <v>1.52</v>
      </c>
      <c r="D291" s="293">
        <v>414</v>
      </c>
      <c r="E291" s="293">
        <v>2</v>
      </c>
      <c r="F291" s="293">
        <v>0</v>
      </c>
    </row>
    <row r="292" spans="1:7" ht="51">
      <c r="A292" s="291" t="s">
        <v>80</v>
      </c>
      <c r="B292" s="291" t="s">
        <v>464</v>
      </c>
      <c r="C292" s="291" t="s">
        <v>465</v>
      </c>
      <c r="D292" s="291" t="s">
        <v>83</v>
      </c>
      <c r="E292" s="291" t="s">
        <v>465</v>
      </c>
      <c r="F292" s="291" t="s">
        <v>466</v>
      </c>
      <c r="G292" s="291" t="s">
        <v>88</v>
      </c>
    </row>
    <row r="293" ht="15">
      <c r="A293" s="293" t="s">
        <v>146</v>
      </c>
    </row>
    <row r="294" spans="1:6" ht="15">
      <c r="A294" s="293" t="s">
        <v>101</v>
      </c>
      <c r="B294" s="293">
        <v>0.35</v>
      </c>
      <c r="C294" s="293">
        <v>31.15</v>
      </c>
      <c r="D294" s="293">
        <v>5.52</v>
      </c>
      <c r="E294" s="293">
        <v>31</v>
      </c>
      <c r="F294" s="293">
        <v>171.12</v>
      </c>
    </row>
    <row r="295" spans="1:6" ht="30">
      <c r="A295" s="293" t="s">
        <v>102</v>
      </c>
      <c r="B295" s="293">
        <v>0.2</v>
      </c>
      <c r="C295" s="293">
        <v>17.8</v>
      </c>
      <c r="D295" s="293">
        <v>27.6</v>
      </c>
      <c r="E295" s="293">
        <v>18</v>
      </c>
      <c r="F295" s="293">
        <v>496.8</v>
      </c>
    </row>
    <row r="296" spans="1:6" ht="30">
      <c r="A296" s="293" t="s">
        <v>103</v>
      </c>
      <c r="B296" s="293">
        <v>0.15</v>
      </c>
      <c r="C296" s="293">
        <v>13.35</v>
      </c>
      <c r="D296" s="293">
        <v>69</v>
      </c>
      <c r="E296" s="293">
        <v>13</v>
      </c>
      <c r="F296" s="293">
        <v>897</v>
      </c>
    </row>
    <row r="297" spans="1:7" ht="30">
      <c r="A297" s="293" t="s">
        <v>104</v>
      </c>
      <c r="B297" s="293">
        <v>0.12</v>
      </c>
      <c r="C297" s="293">
        <v>10.68</v>
      </c>
      <c r="D297" s="293">
        <v>110.4</v>
      </c>
      <c r="E297" s="293">
        <v>11</v>
      </c>
      <c r="F297" s="293">
        <v>1214.4</v>
      </c>
      <c r="G297" s="293">
        <v>7540.32</v>
      </c>
    </row>
    <row r="298" spans="1:6" ht="30">
      <c r="A298" s="293" t="s">
        <v>105</v>
      </c>
      <c r="B298" s="293">
        <v>0.1</v>
      </c>
      <c r="C298" s="293">
        <v>8.9</v>
      </c>
      <c r="D298" s="293">
        <v>207</v>
      </c>
      <c r="E298" s="293">
        <v>9</v>
      </c>
      <c r="F298" s="293">
        <v>1863</v>
      </c>
    </row>
    <row r="299" spans="1:6" ht="30">
      <c r="A299" s="293" t="s">
        <v>106</v>
      </c>
      <c r="B299" s="293">
        <v>0.08</v>
      </c>
      <c r="C299" s="293">
        <v>7.12</v>
      </c>
      <c r="D299" s="293">
        <v>414</v>
      </c>
      <c r="E299" s="293">
        <v>7</v>
      </c>
      <c r="F299" s="293">
        <v>2898</v>
      </c>
    </row>
  </sheetData>
  <mergeCells count="2">
    <mergeCell ref="A4:H4"/>
    <mergeCell ref="A6:H6"/>
  </mergeCells>
  <printOptions/>
  <pageMargins left="1.5748031496062993" right="0.9448818897637796" top="1.5748031496062993" bottom="1.5748031496062993" header="0" footer="0"/>
  <pageSetup horizontalDpi="360" verticalDpi="360" orientation="portrait" paperSize="9" scale="70" r:id="rId1"/>
  <headerFooter alignWithMargins="0">
    <oddHeader>&amp;R&amp;14A6-1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8.7109375" style="163" bestFit="1" customWidth="1"/>
    <col min="2" max="2" width="8.8515625" style="163" bestFit="1" customWidth="1"/>
    <col min="3" max="3" width="12.57421875" style="163" customWidth="1"/>
    <col min="4" max="4" width="16.57421875" style="163" bestFit="1" customWidth="1"/>
    <col min="5" max="5" width="10.57421875" style="163" bestFit="1" customWidth="1"/>
    <col min="6" max="6" width="13.57421875" style="163" customWidth="1"/>
    <col min="7" max="7" width="13.8515625" style="163" customWidth="1"/>
    <col min="8" max="16384" width="11.421875" style="163" customWidth="1"/>
  </cols>
  <sheetData>
    <row r="1" spans="1:7" ht="21.75">
      <c r="A1" s="407" t="s">
        <v>470</v>
      </c>
      <c r="B1" s="407"/>
      <c r="C1" s="407"/>
      <c r="D1" s="407"/>
      <c r="E1" s="407"/>
      <c r="F1" s="407"/>
      <c r="G1" s="407"/>
    </row>
    <row r="2" spans="1:7" ht="15">
      <c r="A2" s="154"/>
      <c r="B2" s="218"/>
      <c r="C2" s="154"/>
      <c r="D2" s="154"/>
      <c r="E2" s="154"/>
      <c r="F2" s="154"/>
      <c r="G2" s="154"/>
    </row>
    <row r="3" spans="1:7" ht="19.5">
      <c r="A3" s="408" t="s">
        <v>469</v>
      </c>
      <c r="B3" s="408"/>
      <c r="C3" s="408"/>
      <c r="D3" s="408"/>
      <c r="E3" s="408"/>
      <c r="F3" s="408"/>
      <c r="G3" s="408"/>
    </row>
    <row r="4" spans="1:7" ht="19.5">
      <c r="A4" s="289"/>
      <c r="B4" s="289"/>
      <c r="C4" s="289"/>
      <c r="D4" s="289"/>
      <c r="E4" s="289"/>
      <c r="F4" s="289"/>
      <c r="G4" s="289"/>
    </row>
    <row r="5" ht="13.5" thickBot="1"/>
    <row r="6" spans="1:7" ht="38.25">
      <c r="A6" s="314" t="s">
        <v>0</v>
      </c>
      <c r="B6" s="315" t="s">
        <v>2</v>
      </c>
      <c r="C6" s="315" t="s">
        <v>3</v>
      </c>
      <c r="D6" s="316" t="s">
        <v>4</v>
      </c>
      <c r="E6" s="315" t="s">
        <v>6</v>
      </c>
      <c r="F6" s="315" t="s">
        <v>7</v>
      </c>
      <c r="G6" s="317" t="s">
        <v>468</v>
      </c>
    </row>
    <row r="7" spans="1:7" ht="15">
      <c r="A7" s="318">
        <v>35827</v>
      </c>
      <c r="B7" s="284">
        <v>1</v>
      </c>
      <c r="C7" s="284">
        <v>15</v>
      </c>
      <c r="D7" s="319"/>
      <c r="E7" s="320"/>
      <c r="F7" s="226">
        <v>0.9099264705882353</v>
      </c>
      <c r="G7" s="321">
        <v>16.484848484848484</v>
      </c>
    </row>
    <row r="8" spans="1:7" ht="15">
      <c r="A8" s="318">
        <v>35855</v>
      </c>
      <c r="B8" s="284">
        <v>2</v>
      </c>
      <c r="C8" s="284">
        <v>20</v>
      </c>
      <c r="D8" s="319">
        <v>18</v>
      </c>
      <c r="E8" s="322">
        <v>1.1111111111111112</v>
      </c>
      <c r="F8" s="226">
        <v>0.8837209302325582</v>
      </c>
      <c r="G8" s="321">
        <v>22.63157894736842</v>
      </c>
    </row>
    <row r="9" spans="1:7" ht="15">
      <c r="A9" s="318">
        <v>35886</v>
      </c>
      <c r="B9" s="284">
        <v>3</v>
      </c>
      <c r="C9" s="284">
        <v>19</v>
      </c>
      <c r="D9" s="319">
        <v>19.333333333333332</v>
      </c>
      <c r="E9" s="322">
        <v>0.9827586206896552</v>
      </c>
      <c r="F9" s="226">
        <v>1.1436314363143631</v>
      </c>
      <c r="G9" s="321">
        <v>16.613744075829384</v>
      </c>
    </row>
    <row r="10" spans="1:7" ht="15">
      <c r="A10" s="318">
        <v>35916</v>
      </c>
      <c r="B10" s="284">
        <v>4</v>
      </c>
      <c r="C10" s="284">
        <v>19</v>
      </c>
      <c r="D10" s="319">
        <v>19</v>
      </c>
      <c r="E10" s="322">
        <v>1</v>
      </c>
      <c r="F10" s="226">
        <v>0.9451848911070782</v>
      </c>
      <c r="G10" s="321">
        <v>20.101887132099243</v>
      </c>
    </row>
    <row r="11" spans="1:7" ht="15">
      <c r="A11" s="318">
        <v>35947</v>
      </c>
      <c r="B11" s="284">
        <v>5</v>
      </c>
      <c r="C11" s="284">
        <v>19</v>
      </c>
      <c r="D11" s="319">
        <v>19.333333333333332</v>
      </c>
      <c r="E11" s="322">
        <v>0.9827586206896552</v>
      </c>
      <c r="F11" s="226">
        <v>0.9864864864864864</v>
      </c>
      <c r="G11" s="321">
        <v>19.260273972602743</v>
      </c>
    </row>
    <row r="12" spans="1:7" ht="15">
      <c r="A12" s="318">
        <v>35977</v>
      </c>
      <c r="B12" s="284">
        <v>6</v>
      </c>
      <c r="C12" s="284">
        <v>20</v>
      </c>
      <c r="D12" s="319">
        <v>20</v>
      </c>
      <c r="E12" s="322">
        <v>1</v>
      </c>
      <c r="F12" s="226">
        <v>0.9580459770114943</v>
      </c>
      <c r="G12" s="321">
        <v>20.875824835032994</v>
      </c>
    </row>
    <row r="13" spans="1:7" ht="15">
      <c r="A13" s="318">
        <v>36008</v>
      </c>
      <c r="B13" s="284">
        <v>7</v>
      </c>
      <c r="C13" s="284">
        <v>21</v>
      </c>
      <c r="D13" s="319">
        <v>21.666666666666668</v>
      </c>
      <c r="E13" s="322">
        <v>0.9692307692307692</v>
      </c>
      <c r="F13" s="226">
        <v>1.1063829787234043</v>
      </c>
      <c r="G13" s="321">
        <v>18.98076923076923</v>
      </c>
    </row>
    <row r="14" spans="1:7" ht="15">
      <c r="A14" s="318">
        <v>36039</v>
      </c>
      <c r="B14" s="284">
        <v>8</v>
      </c>
      <c r="C14" s="284">
        <v>24</v>
      </c>
      <c r="D14" s="319">
        <v>21.333333333333332</v>
      </c>
      <c r="E14" s="322">
        <v>1.125</v>
      </c>
      <c r="F14" s="226">
        <v>0.8963800904977375</v>
      </c>
      <c r="G14" s="321">
        <v>26.774356385663808</v>
      </c>
    </row>
    <row r="15" spans="1:7" ht="15">
      <c r="A15" s="318">
        <v>36069</v>
      </c>
      <c r="B15" s="284">
        <v>9</v>
      </c>
      <c r="C15" s="284">
        <v>19</v>
      </c>
      <c r="D15" s="319">
        <v>22</v>
      </c>
      <c r="E15" s="322">
        <v>0.8636363636363636</v>
      </c>
      <c r="F15" s="226">
        <v>1.1025</v>
      </c>
      <c r="G15" s="321">
        <v>17.233560090702948</v>
      </c>
    </row>
    <row r="16" spans="1:7" ht="15">
      <c r="A16" s="318">
        <v>36100</v>
      </c>
      <c r="B16" s="284">
        <v>10</v>
      </c>
      <c r="C16" s="284">
        <v>23</v>
      </c>
      <c r="D16" s="319">
        <v>20</v>
      </c>
      <c r="E16" s="322">
        <v>1.15</v>
      </c>
      <c r="F16" s="226">
        <v>0.951048951048951</v>
      </c>
      <c r="G16" s="321">
        <v>24.183823529411764</v>
      </c>
    </row>
    <row r="17" spans="1:7" ht="15">
      <c r="A17" s="318">
        <v>36130</v>
      </c>
      <c r="B17" s="284">
        <v>11</v>
      </c>
      <c r="C17" s="284">
        <v>18</v>
      </c>
      <c r="D17" s="319">
        <v>18.666666666666668</v>
      </c>
      <c r="E17" s="322">
        <v>0.9642857142857142</v>
      </c>
      <c r="F17" s="226">
        <v>1.0856382978723405</v>
      </c>
      <c r="G17" s="321">
        <v>16.58010779029887</v>
      </c>
    </row>
    <row r="18" spans="1:7" ht="15">
      <c r="A18" s="318">
        <v>36161</v>
      </c>
      <c r="B18" s="284">
        <v>12</v>
      </c>
      <c r="C18" s="284">
        <v>15</v>
      </c>
      <c r="D18" s="319">
        <v>16</v>
      </c>
      <c r="E18" s="322">
        <v>0.9375</v>
      </c>
      <c r="F18" s="226">
        <v>0.9821428571428571</v>
      </c>
      <c r="G18" s="321">
        <v>15.272727272727273</v>
      </c>
    </row>
    <row r="19" spans="1:7" ht="15">
      <c r="A19" s="318">
        <v>36192</v>
      </c>
      <c r="B19" s="284">
        <v>13</v>
      </c>
      <c r="C19" s="284">
        <v>15</v>
      </c>
      <c r="D19" s="319">
        <v>15</v>
      </c>
      <c r="E19" s="322">
        <v>1</v>
      </c>
      <c r="F19" s="226">
        <v>0.9099264705882353</v>
      </c>
      <c r="G19" s="321">
        <v>16.484848484848484</v>
      </c>
    </row>
    <row r="20" spans="1:7" ht="15">
      <c r="A20" s="318">
        <v>36220</v>
      </c>
      <c r="B20" s="284">
        <v>14</v>
      </c>
      <c r="C20" s="284">
        <v>15</v>
      </c>
      <c r="D20" s="319">
        <v>13.666666666666666</v>
      </c>
      <c r="E20" s="322">
        <v>1.0975609756097562</v>
      </c>
      <c r="F20" s="226">
        <v>0.8837209302325582</v>
      </c>
      <c r="G20" s="321">
        <v>16.973684210526315</v>
      </c>
    </row>
    <row r="21" spans="1:7" ht="15">
      <c r="A21" s="318">
        <v>36251</v>
      </c>
      <c r="B21" s="284">
        <v>15</v>
      </c>
      <c r="C21" s="284">
        <v>11</v>
      </c>
      <c r="D21" s="319">
        <v>12.666666666666666</v>
      </c>
      <c r="E21" s="322">
        <v>0.868421052631579</v>
      </c>
      <c r="F21" s="226">
        <v>1.1436314363143631</v>
      </c>
      <c r="G21" s="321">
        <v>9.618483412322275</v>
      </c>
    </row>
    <row r="22" spans="1:7" ht="15">
      <c r="A22" s="318">
        <v>36281</v>
      </c>
      <c r="B22" s="284">
        <v>16</v>
      </c>
      <c r="C22" s="284">
        <v>12</v>
      </c>
      <c r="D22" s="319">
        <v>12.333333333333334</v>
      </c>
      <c r="E22" s="322">
        <v>0.9729729729729729</v>
      </c>
      <c r="F22" s="226">
        <v>0.9451848911070782</v>
      </c>
      <c r="G22" s="321">
        <v>12.69592871501005</v>
      </c>
    </row>
    <row r="23" spans="1:7" ht="15">
      <c r="A23" s="318">
        <v>36312</v>
      </c>
      <c r="B23" s="284">
        <v>17</v>
      </c>
      <c r="C23" s="284">
        <v>14</v>
      </c>
      <c r="D23" s="319">
        <v>15</v>
      </c>
      <c r="E23" s="322">
        <v>0.9333333333333333</v>
      </c>
      <c r="F23" s="226">
        <v>0.9864864864864864</v>
      </c>
      <c r="G23" s="321">
        <v>14.19178082191781</v>
      </c>
    </row>
    <row r="24" spans="1:7" ht="15">
      <c r="A24" s="318">
        <v>36342</v>
      </c>
      <c r="B24" s="284">
        <v>18</v>
      </c>
      <c r="C24" s="284">
        <v>19</v>
      </c>
      <c r="D24" s="319">
        <v>15.666666666666666</v>
      </c>
      <c r="E24" s="322">
        <v>1.2127659574468086</v>
      </c>
      <c r="F24" s="226">
        <v>0.9580459770114943</v>
      </c>
      <c r="G24" s="321">
        <v>19.83203359328134</v>
      </c>
    </row>
    <row r="25" spans="1:7" ht="15">
      <c r="A25" s="318">
        <v>36373</v>
      </c>
      <c r="B25" s="284">
        <v>19</v>
      </c>
      <c r="C25" s="284">
        <v>14</v>
      </c>
      <c r="D25" s="319">
        <v>17</v>
      </c>
      <c r="E25" s="322">
        <v>0.8235294117647058</v>
      </c>
      <c r="F25" s="226">
        <v>1.1063829787234043</v>
      </c>
      <c r="G25" s="321">
        <v>12.653846153846153</v>
      </c>
    </row>
    <row r="26" spans="1:7" ht="15">
      <c r="A26" s="318">
        <v>36404</v>
      </c>
      <c r="B26" s="284">
        <v>20</v>
      </c>
      <c r="C26" s="284">
        <v>18</v>
      </c>
      <c r="D26" s="319">
        <v>16.666666666666668</v>
      </c>
      <c r="E26" s="322">
        <v>1.08</v>
      </c>
      <c r="F26" s="226">
        <v>0.8963800904977375</v>
      </c>
      <c r="G26" s="321">
        <v>20.080767289247856</v>
      </c>
    </row>
    <row r="27" spans="1:7" ht="15">
      <c r="A27" s="318">
        <v>36434</v>
      </c>
      <c r="B27" s="284">
        <v>21</v>
      </c>
      <c r="C27" s="284">
        <v>18</v>
      </c>
      <c r="D27" s="319">
        <v>17.333333333333332</v>
      </c>
      <c r="E27" s="322">
        <v>1.0384615384615385</v>
      </c>
      <c r="F27" s="226">
        <v>1.1025</v>
      </c>
      <c r="G27" s="321">
        <v>16.3265306122449</v>
      </c>
    </row>
    <row r="28" spans="1:7" ht="15">
      <c r="A28" s="318">
        <v>36465</v>
      </c>
      <c r="B28" s="284">
        <v>22</v>
      </c>
      <c r="C28" s="284">
        <v>16</v>
      </c>
      <c r="D28" s="319">
        <v>15.666666666666666</v>
      </c>
      <c r="E28" s="322">
        <v>1.021276595744681</v>
      </c>
      <c r="F28" s="226">
        <v>0.951048951048951</v>
      </c>
      <c r="G28" s="321">
        <v>16.823529411764707</v>
      </c>
    </row>
    <row r="29" spans="1:7" ht="15">
      <c r="A29" s="318">
        <v>36495</v>
      </c>
      <c r="B29" s="284">
        <v>23</v>
      </c>
      <c r="C29" s="284">
        <v>13</v>
      </c>
      <c r="D29" s="319">
        <v>13</v>
      </c>
      <c r="E29" s="322">
        <v>1</v>
      </c>
      <c r="F29" s="226">
        <v>1.0856382978723405</v>
      </c>
      <c r="G29" s="321">
        <v>11.97452229299363</v>
      </c>
    </row>
    <row r="30" spans="1:7" ht="15">
      <c r="A30" s="318">
        <v>36526</v>
      </c>
      <c r="B30" s="284">
        <v>24</v>
      </c>
      <c r="C30" s="284">
        <v>10</v>
      </c>
      <c r="D30" s="319">
        <v>11.333333333333334</v>
      </c>
      <c r="E30" s="322">
        <v>0.8823529411764706</v>
      </c>
      <c r="F30" s="226">
        <v>0.9821428571428571</v>
      </c>
      <c r="G30" s="321">
        <v>10.181818181818182</v>
      </c>
    </row>
    <row r="31" spans="1:7" ht="15">
      <c r="A31" s="318">
        <v>36557</v>
      </c>
      <c r="B31" s="284">
        <v>25</v>
      </c>
      <c r="C31" s="284">
        <v>11</v>
      </c>
      <c r="D31" s="319">
        <v>14.333333333333334</v>
      </c>
      <c r="E31" s="322">
        <v>0.7674418604651162</v>
      </c>
      <c r="F31" s="226">
        <v>0.9099264705882353</v>
      </c>
      <c r="G31" s="321">
        <v>12.088888888888889</v>
      </c>
    </row>
    <row r="32" spans="1:7" ht="15">
      <c r="A32" s="318">
        <v>36586</v>
      </c>
      <c r="B32" s="284">
        <v>26</v>
      </c>
      <c r="C32" s="284">
        <v>22</v>
      </c>
      <c r="D32" s="319">
        <v>18</v>
      </c>
      <c r="E32" s="322">
        <v>1.2222222222222223</v>
      </c>
      <c r="F32" s="226">
        <v>0.8837209302325582</v>
      </c>
      <c r="G32" s="321">
        <v>24.894736842105264</v>
      </c>
    </row>
    <row r="33" spans="1:7" ht="15">
      <c r="A33" s="318">
        <v>36617</v>
      </c>
      <c r="B33" s="284">
        <v>27</v>
      </c>
      <c r="C33" s="284">
        <v>21</v>
      </c>
      <c r="D33" s="319">
        <v>21.333333333333332</v>
      </c>
      <c r="E33" s="322">
        <v>0.984375</v>
      </c>
      <c r="F33" s="226">
        <v>1.1436314363143631</v>
      </c>
      <c r="G33" s="321">
        <v>18.362559241706162</v>
      </c>
    </row>
    <row r="34" spans="1:7" ht="15.75" thickBot="1">
      <c r="A34" s="318">
        <v>36647</v>
      </c>
      <c r="B34" s="284">
        <v>28</v>
      </c>
      <c r="C34" s="284">
        <v>21</v>
      </c>
      <c r="D34" s="319"/>
      <c r="E34" s="320"/>
      <c r="F34" s="226">
        <v>0.9451848911070782</v>
      </c>
      <c r="G34" s="321">
        <v>22.217875251267586</v>
      </c>
    </row>
    <row r="35" spans="1:7" ht="39" thickBot="1">
      <c r="A35" s="318"/>
      <c r="B35" s="284"/>
      <c r="C35" s="284"/>
      <c r="D35" s="319"/>
      <c r="E35" s="307" t="s">
        <v>14</v>
      </c>
      <c r="F35" s="47" t="s">
        <v>477</v>
      </c>
      <c r="G35" s="308" t="s">
        <v>476</v>
      </c>
    </row>
    <row r="36" spans="1:7" ht="15">
      <c r="A36" s="411" t="s">
        <v>472</v>
      </c>
      <c r="B36" s="412"/>
      <c r="C36" s="413"/>
      <c r="D36" s="352"/>
      <c r="E36" s="312" t="s">
        <v>473</v>
      </c>
      <c r="F36" s="53">
        <v>19.52644747359909</v>
      </c>
      <c r="G36" s="309">
        <v>31.532084990107016</v>
      </c>
    </row>
    <row r="37" spans="1:7" ht="15.75">
      <c r="A37" s="409" t="s">
        <v>10</v>
      </c>
      <c r="B37" s="410"/>
      <c r="C37" s="299">
        <v>17.214285714285715</v>
      </c>
      <c r="D37" s="352"/>
      <c r="E37" s="312" t="s">
        <v>474</v>
      </c>
      <c r="F37" s="53">
        <v>18.538163015579915</v>
      </c>
      <c r="G37" s="309">
        <v>31.524644401860684</v>
      </c>
    </row>
    <row r="38" spans="1:7" ht="15.75">
      <c r="A38" s="300" t="s">
        <v>11</v>
      </c>
      <c r="B38" s="301"/>
      <c r="C38" s="224">
        <v>22.941342081970358</v>
      </c>
      <c r="D38" s="352"/>
      <c r="E38" s="312" t="s">
        <v>475</v>
      </c>
      <c r="F38" s="53">
        <v>23.439208266141158</v>
      </c>
      <c r="G38" s="309">
        <v>31.51720381361435</v>
      </c>
    </row>
    <row r="39" spans="1:7" ht="16.5" thickBot="1">
      <c r="A39" s="302" t="s">
        <v>12</v>
      </c>
      <c r="B39" s="303"/>
      <c r="C39" s="304">
        <v>-0.48197354532812275</v>
      </c>
      <c r="D39" s="352"/>
      <c r="E39" s="312" t="s">
        <v>478</v>
      </c>
      <c r="F39" s="53">
        <v>18.916408574660487</v>
      </c>
      <c r="G39" s="309">
        <v>31.509763225368022</v>
      </c>
    </row>
    <row r="40" spans="1:7" ht="13.5" thickBot="1">
      <c r="A40" s="350"/>
      <c r="B40" s="352"/>
      <c r="C40" s="352"/>
      <c r="D40" s="352"/>
      <c r="E40" s="312" t="s">
        <v>479</v>
      </c>
      <c r="F40" s="53">
        <v>19.267535512690152</v>
      </c>
      <c r="G40" s="309">
        <v>31.502322637121694</v>
      </c>
    </row>
    <row r="41" spans="1:7" ht="15">
      <c r="A41" s="411" t="s">
        <v>471</v>
      </c>
      <c r="B41" s="412"/>
      <c r="C41" s="413"/>
      <c r="D41" s="352"/>
      <c r="E41" s="312" t="s">
        <v>480</v>
      </c>
      <c r="F41" s="53">
        <v>18.250297615099257</v>
      </c>
      <c r="G41" s="309">
        <v>31.49488204887536</v>
      </c>
    </row>
    <row r="42" spans="1:7" ht="15.75">
      <c r="A42" s="409" t="s">
        <v>10</v>
      </c>
      <c r="B42" s="410"/>
      <c r="C42" s="299">
        <v>32</v>
      </c>
      <c r="D42" s="352"/>
      <c r="E42" s="312" t="s">
        <v>481</v>
      </c>
      <c r="F42" s="53">
        <v>20.54279612261749</v>
      </c>
      <c r="G42" s="309">
        <v>31.48744146062903</v>
      </c>
    </row>
    <row r="43" spans="1:7" ht="15.75">
      <c r="A43" s="300" t="s">
        <v>11</v>
      </c>
      <c r="B43" s="301"/>
      <c r="C43" s="306">
        <v>31.54</v>
      </c>
      <c r="D43" s="352"/>
      <c r="E43" s="312" t="s">
        <v>482</v>
      </c>
      <c r="F43" s="53">
        <v>16.211530279648503</v>
      </c>
      <c r="G43" s="309">
        <v>31.480000872382696</v>
      </c>
    </row>
    <row r="44" spans="1:7" ht="16.5" thickBot="1">
      <c r="A44" s="302" t="s">
        <v>12</v>
      </c>
      <c r="B44" s="303"/>
      <c r="C44" s="305">
        <v>-0.0018601470615827688</v>
      </c>
      <c r="D44" s="352"/>
      <c r="E44" s="312" t="s">
        <v>483</v>
      </c>
      <c r="F44" s="53">
        <v>19.407947141854024</v>
      </c>
      <c r="G44" s="309">
        <v>31.472560284136364</v>
      </c>
    </row>
    <row r="45" spans="1:7" ht="12.75">
      <c r="A45" s="350"/>
      <c r="B45" s="352"/>
      <c r="C45" s="352"/>
      <c r="D45" s="352"/>
      <c r="E45" s="312" t="s">
        <v>484</v>
      </c>
      <c r="F45" s="53">
        <v>16.283486024487562</v>
      </c>
      <c r="G45" s="309">
        <v>31.46511969589004</v>
      </c>
    </row>
    <row r="46" spans="1:7" ht="12.75">
      <c r="A46" s="350"/>
      <c r="B46" s="352"/>
      <c r="C46" s="352"/>
      <c r="D46" s="352"/>
      <c r="E46" s="312" t="s">
        <v>485</v>
      </c>
      <c r="F46" s="53">
        <v>18.06462293784033</v>
      </c>
      <c r="G46" s="309">
        <v>31.457679107643706</v>
      </c>
    </row>
    <row r="47" spans="1:7" ht="13.5" thickBot="1">
      <c r="A47" s="380"/>
      <c r="B47" s="381"/>
      <c r="C47" s="381"/>
      <c r="D47" s="381"/>
      <c r="E47" s="313" t="s">
        <v>486</v>
      </c>
      <c r="F47" s="310">
        <v>15.869129903425154</v>
      </c>
      <c r="G47" s="311">
        <v>31.450238519397374</v>
      </c>
    </row>
  </sheetData>
  <mergeCells count="6">
    <mergeCell ref="A42:B42"/>
    <mergeCell ref="A36:C36"/>
    <mergeCell ref="A41:C41"/>
    <mergeCell ref="A1:G1"/>
    <mergeCell ref="A3:G3"/>
    <mergeCell ref="A37:B37"/>
  </mergeCells>
  <printOptions/>
  <pageMargins left="1.5748031496062993" right="0.9448818897637796" top="1.5748031496062993" bottom="1.5748031496062993" header="0" footer="0"/>
  <pageSetup horizontalDpi="360" verticalDpi="36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:F1"/>
    </sheetView>
  </sheetViews>
  <sheetFormatPr defaultColWidth="11.421875" defaultRowHeight="12.75"/>
  <cols>
    <col min="1" max="1" width="11.57421875" style="0" customWidth="1"/>
    <col min="3" max="3" width="11.28125" style="0" customWidth="1"/>
    <col min="4" max="4" width="19.57421875" style="0" bestFit="1" customWidth="1"/>
    <col min="5" max="5" width="17.57421875" style="0" bestFit="1" customWidth="1"/>
  </cols>
  <sheetData>
    <row r="1" spans="1:7" ht="21.75">
      <c r="A1" s="407" t="s">
        <v>487</v>
      </c>
      <c r="B1" s="407"/>
      <c r="C1" s="407"/>
      <c r="D1" s="407"/>
      <c r="E1" s="407"/>
      <c r="F1" s="407"/>
      <c r="G1" s="290"/>
    </row>
    <row r="2" spans="1:7" ht="15">
      <c r="A2" s="154"/>
      <c r="B2" s="218"/>
      <c r="C2" s="154"/>
      <c r="D2" s="154"/>
      <c r="E2" s="154"/>
      <c r="F2" s="154"/>
      <c r="G2" s="154"/>
    </row>
    <row r="3" spans="1:7" ht="19.5">
      <c r="A3" s="408" t="s">
        <v>469</v>
      </c>
      <c r="B3" s="408"/>
      <c r="C3" s="408"/>
      <c r="D3" s="408"/>
      <c r="E3" s="408"/>
      <c r="F3" s="408"/>
      <c r="G3" s="289"/>
    </row>
    <row r="5" ht="13.5" thickBot="1"/>
    <row r="6" spans="2:6" ht="15.75">
      <c r="B6" s="323"/>
      <c r="C6" s="387" t="s">
        <v>488</v>
      </c>
      <c r="D6" s="387"/>
      <c r="E6" s="324">
        <v>3</v>
      </c>
      <c r="F6" s="325"/>
    </row>
    <row r="7" spans="2:6" ht="15.75">
      <c r="B7" s="221"/>
      <c r="C7" s="386" t="s">
        <v>489</v>
      </c>
      <c r="D7" s="386"/>
      <c r="E7" s="326">
        <v>5</v>
      </c>
      <c r="F7" s="227"/>
    </row>
    <row r="8" spans="2:6" ht="15.75">
      <c r="B8" s="221"/>
      <c r="C8" s="386" t="s">
        <v>152</v>
      </c>
      <c r="D8" s="386"/>
      <c r="E8" s="326">
        <v>6</v>
      </c>
      <c r="F8" s="227"/>
    </row>
    <row r="9" spans="2:6" ht="15">
      <c r="B9" s="221"/>
      <c r="C9" s="225"/>
      <c r="D9" s="225"/>
      <c r="E9" s="225"/>
      <c r="F9" s="227"/>
    </row>
    <row r="10" spans="2:6" ht="15.75">
      <c r="B10" s="221"/>
      <c r="C10" s="330" t="s">
        <v>0</v>
      </c>
      <c r="D10" s="330" t="s">
        <v>172</v>
      </c>
      <c r="E10" s="330" t="s">
        <v>173</v>
      </c>
      <c r="F10" s="227"/>
    </row>
    <row r="11" spans="2:6" ht="15">
      <c r="B11" s="221"/>
      <c r="C11" s="326">
        <v>1</v>
      </c>
      <c r="D11" s="327">
        <v>1000</v>
      </c>
      <c r="E11" s="327">
        <v>15000</v>
      </c>
      <c r="F11" s="227"/>
    </row>
    <row r="12" spans="2:6" ht="15">
      <c r="B12" s="221"/>
      <c r="C12" s="326">
        <v>2</v>
      </c>
      <c r="D12" s="327">
        <v>2000</v>
      </c>
      <c r="E12" s="327">
        <v>30000</v>
      </c>
      <c r="F12" s="227"/>
    </row>
    <row r="13" spans="2:6" ht="15">
      <c r="B13" s="221"/>
      <c r="C13" s="326">
        <v>3</v>
      </c>
      <c r="D13" s="327">
        <v>3000</v>
      </c>
      <c r="E13" s="327">
        <v>45000</v>
      </c>
      <c r="F13" s="227"/>
    </row>
    <row r="14" spans="2:6" ht="15">
      <c r="B14" s="221"/>
      <c r="C14" s="326">
        <v>4</v>
      </c>
      <c r="D14" s="327">
        <v>3150</v>
      </c>
      <c r="E14" s="327">
        <v>47250</v>
      </c>
      <c r="F14" s="227"/>
    </row>
    <row r="15" spans="2:6" ht="15">
      <c r="B15" s="221"/>
      <c r="C15" s="326">
        <v>5</v>
      </c>
      <c r="D15" s="327">
        <v>3308</v>
      </c>
      <c r="E15" s="327">
        <v>49613</v>
      </c>
      <c r="F15" s="227"/>
    </row>
    <row r="16" spans="2:6" ht="15">
      <c r="B16" s="221"/>
      <c r="C16" s="326">
        <v>6</v>
      </c>
      <c r="D16" s="327">
        <v>3473</v>
      </c>
      <c r="E16" s="327">
        <v>52093</v>
      </c>
      <c r="F16" s="227"/>
    </row>
    <row r="17" spans="2:6" ht="15">
      <c r="B17" s="221"/>
      <c r="C17" s="326">
        <v>7</v>
      </c>
      <c r="D17" s="327">
        <v>3647</v>
      </c>
      <c r="E17" s="327">
        <v>54698</v>
      </c>
      <c r="F17" s="227"/>
    </row>
    <row r="18" spans="2:6" ht="15">
      <c r="B18" s="221"/>
      <c r="C18" s="326">
        <v>8</v>
      </c>
      <c r="D18" s="327">
        <v>3829</v>
      </c>
      <c r="E18" s="327">
        <v>57433</v>
      </c>
      <c r="F18" s="227"/>
    </row>
    <row r="19" spans="2:6" ht="15">
      <c r="B19" s="221"/>
      <c r="C19" s="326">
        <v>9</v>
      </c>
      <c r="D19" s="327">
        <v>4020</v>
      </c>
      <c r="E19" s="327">
        <v>60304</v>
      </c>
      <c r="F19" s="227"/>
    </row>
    <row r="20" spans="2:6" ht="15">
      <c r="B20" s="221"/>
      <c r="C20" s="326">
        <v>10</v>
      </c>
      <c r="D20" s="327">
        <v>4221</v>
      </c>
      <c r="E20" s="327">
        <v>63320</v>
      </c>
      <c r="F20" s="227"/>
    </row>
    <row r="21" spans="2:6" ht="15">
      <c r="B21" s="221"/>
      <c r="C21" s="326">
        <v>11</v>
      </c>
      <c r="D21" s="327">
        <v>4432</v>
      </c>
      <c r="E21" s="327">
        <v>66485</v>
      </c>
      <c r="F21" s="227"/>
    </row>
    <row r="22" spans="2:6" ht="15">
      <c r="B22" s="221"/>
      <c r="C22" s="326">
        <v>12</v>
      </c>
      <c r="D22" s="327">
        <v>4654</v>
      </c>
      <c r="E22" s="327">
        <v>69810</v>
      </c>
      <c r="F22" s="227"/>
    </row>
    <row r="23" spans="2:6" ht="15">
      <c r="B23" s="221"/>
      <c r="C23" s="326">
        <v>13</v>
      </c>
      <c r="D23" s="327">
        <v>4887</v>
      </c>
      <c r="E23" s="327">
        <v>73300</v>
      </c>
      <c r="F23" s="227"/>
    </row>
    <row r="24" spans="2:6" ht="15">
      <c r="B24" s="221"/>
      <c r="C24" s="326">
        <v>14</v>
      </c>
      <c r="D24" s="327">
        <v>5131</v>
      </c>
      <c r="E24" s="327">
        <v>76965</v>
      </c>
      <c r="F24" s="227"/>
    </row>
    <row r="25" spans="2:6" ht="15">
      <c r="B25" s="221"/>
      <c r="C25" s="326">
        <v>15</v>
      </c>
      <c r="D25" s="327">
        <v>5388</v>
      </c>
      <c r="E25" s="327">
        <v>80814</v>
      </c>
      <c r="F25" s="227"/>
    </row>
    <row r="26" spans="2:6" ht="15">
      <c r="B26" s="221"/>
      <c r="C26" s="326">
        <v>16</v>
      </c>
      <c r="D26" s="327">
        <v>5657</v>
      </c>
      <c r="E26" s="327">
        <v>84854</v>
      </c>
      <c r="F26" s="227"/>
    </row>
    <row r="27" spans="2:6" ht="15">
      <c r="B27" s="221"/>
      <c r="C27" s="326">
        <v>17</v>
      </c>
      <c r="D27" s="327">
        <v>5940</v>
      </c>
      <c r="E27" s="327">
        <v>89097</v>
      </c>
      <c r="F27" s="227"/>
    </row>
    <row r="28" spans="2:6" ht="15">
      <c r="B28" s="221"/>
      <c r="C28" s="326">
        <v>18</v>
      </c>
      <c r="D28" s="327">
        <v>6237</v>
      </c>
      <c r="E28" s="327">
        <v>93552</v>
      </c>
      <c r="F28" s="227"/>
    </row>
    <row r="29" spans="2:6" ht="15">
      <c r="B29" s="221"/>
      <c r="C29" s="326">
        <v>19</v>
      </c>
      <c r="D29" s="327">
        <v>6549</v>
      </c>
      <c r="E29" s="327">
        <v>98229</v>
      </c>
      <c r="F29" s="227"/>
    </row>
    <row r="30" spans="2:6" ht="15">
      <c r="B30" s="221"/>
      <c r="C30" s="326">
        <v>20</v>
      </c>
      <c r="D30" s="327">
        <v>6876</v>
      </c>
      <c r="E30" s="327">
        <v>103141</v>
      </c>
      <c r="F30" s="227"/>
    </row>
    <row r="31" spans="2:6" ht="15">
      <c r="B31" s="221"/>
      <c r="C31" s="326">
        <v>21</v>
      </c>
      <c r="D31" s="327">
        <v>7220</v>
      </c>
      <c r="E31" s="327">
        <v>108298</v>
      </c>
      <c r="F31" s="227"/>
    </row>
    <row r="32" spans="2:6" ht="15">
      <c r="B32" s="221"/>
      <c r="C32" s="326">
        <v>22</v>
      </c>
      <c r="D32" s="327">
        <v>7581</v>
      </c>
      <c r="E32" s="327">
        <v>113713</v>
      </c>
      <c r="F32" s="227"/>
    </row>
    <row r="33" spans="2:6" ht="15">
      <c r="B33" s="221"/>
      <c r="C33" s="326">
        <v>23</v>
      </c>
      <c r="D33" s="327">
        <v>7960</v>
      </c>
      <c r="E33" s="327">
        <v>119398</v>
      </c>
      <c r="F33" s="227"/>
    </row>
    <row r="34" spans="2:6" ht="15">
      <c r="B34" s="221"/>
      <c r="C34" s="326">
        <v>24</v>
      </c>
      <c r="D34" s="327">
        <v>8358</v>
      </c>
      <c r="E34" s="327">
        <v>125368</v>
      </c>
      <c r="F34" s="227"/>
    </row>
    <row r="35" spans="2:6" ht="15">
      <c r="B35" s="221"/>
      <c r="C35" s="326">
        <v>25</v>
      </c>
      <c r="D35" s="327">
        <v>8525</v>
      </c>
      <c r="E35" s="327">
        <v>127876</v>
      </c>
      <c r="F35" s="227"/>
    </row>
    <row r="36" spans="2:6" ht="15">
      <c r="B36" s="221"/>
      <c r="C36" s="326">
        <v>26</v>
      </c>
      <c r="D36" s="327">
        <v>8696</v>
      </c>
      <c r="E36" s="327">
        <v>130433</v>
      </c>
      <c r="F36" s="227"/>
    </row>
    <row r="37" spans="2:6" ht="15">
      <c r="B37" s="221"/>
      <c r="C37" s="326">
        <v>27</v>
      </c>
      <c r="D37" s="327">
        <v>8869</v>
      </c>
      <c r="E37" s="327">
        <v>133042</v>
      </c>
      <c r="F37" s="227"/>
    </row>
    <row r="38" spans="2:6" ht="15">
      <c r="B38" s="221"/>
      <c r="C38" s="326">
        <v>28</v>
      </c>
      <c r="D38" s="327">
        <v>9047</v>
      </c>
      <c r="E38" s="327">
        <v>135703</v>
      </c>
      <c r="F38" s="227"/>
    </row>
    <row r="39" spans="2:6" ht="15">
      <c r="B39" s="221"/>
      <c r="C39" s="326">
        <v>29</v>
      </c>
      <c r="D39" s="327">
        <v>9228</v>
      </c>
      <c r="E39" s="327">
        <v>138417</v>
      </c>
      <c r="F39" s="227"/>
    </row>
    <row r="40" spans="2:6" ht="15">
      <c r="B40" s="221"/>
      <c r="C40" s="326">
        <v>30</v>
      </c>
      <c r="D40" s="327">
        <v>9412</v>
      </c>
      <c r="E40" s="327">
        <v>141185</v>
      </c>
      <c r="F40" s="227"/>
    </row>
    <row r="41" spans="2:6" ht="15">
      <c r="B41" s="221"/>
      <c r="C41" s="326">
        <v>31</v>
      </c>
      <c r="D41" s="327">
        <v>9601</v>
      </c>
      <c r="E41" s="327">
        <v>144009</v>
      </c>
      <c r="F41" s="227"/>
    </row>
    <row r="42" spans="2:6" ht="15">
      <c r="B42" s="221"/>
      <c r="C42" s="326">
        <v>32</v>
      </c>
      <c r="D42" s="327">
        <v>9793</v>
      </c>
      <c r="E42" s="327">
        <v>146889</v>
      </c>
      <c r="F42" s="227"/>
    </row>
    <row r="43" spans="2:6" ht="15">
      <c r="B43" s="221"/>
      <c r="C43" s="326">
        <v>33</v>
      </c>
      <c r="D43" s="327">
        <v>9988</v>
      </c>
      <c r="E43" s="327">
        <v>149827</v>
      </c>
      <c r="F43" s="227"/>
    </row>
    <row r="44" spans="2:6" ht="15">
      <c r="B44" s="221"/>
      <c r="C44" s="326">
        <v>34</v>
      </c>
      <c r="D44" s="327">
        <v>10188</v>
      </c>
      <c r="E44" s="327">
        <v>152823</v>
      </c>
      <c r="F44" s="227"/>
    </row>
    <row r="45" spans="2:6" ht="15">
      <c r="B45" s="221"/>
      <c r="C45" s="326">
        <v>35</v>
      </c>
      <c r="D45" s="327">
        <v>10392</v>
      </c>
      <c r="E45" s="327">
        <v>155880</v>
      </c>
      <c r="F45" s="227"/>
    </row>
    <row r="46" spans="2:6" ht="15.75" thickBot="1">
      <c r="B46" s="222"/>
      <c r="C46" s="328">
        <v>36</v>
      </c>
      <c r="D46" s="329">
        <v>10600</v>
      </c>
      <c r="E46" s="329">
        <v>158997</v>
      </c>
      <c r="F46" s="228"/>
    </row>
  </sheetData>
  <mergeCells count="5">
    <mergeCell ref="C8:D8"/>
    <mergeCell ref="A1:F1"/>
    <mergeCell ref="A3:F3"/>
    <mergeCell ref="C6:D6"/>
    <mergeCell ref="C7:D7"/>
  </mergeCells>
  <printOptions/>
  <pageMargins left="1.5748031496062993" right="0.9448818897637796" top="1.5748031496062993" bottom="1.5748031496062993" header="0" footer="0"/>
  <pageSetup horizontalDpi="360" verticalDpi="36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51"/>
  <sheetViews>
    <sheetView workbookViewId="0" topLeftCell="A1">
      <selection activeCell="B547" sqref="B547"/>
    </sheetView>
  </sheetViews>
  <sheetFormatPr defaultColWidth="11.421875" defaultRowHeight="12.75"/>
  <cols>
    <col min="1" max="1" width="14.7109375" style="151" bestFit="1" customWidth="1"/>
    <col min="2" max="2" width="18.7109375" style="0" bestFit="1" customWidth="1"/>
    <col min="3" max="3" width="14.7109375" style="0" bestFit="1" customWidth="1"/>
  </cols>
  <sheetData>
    <row r="1" spans="1:2" ht="23.25">
      <c r="A1" s="190" t="s">
        <v>399</v>
      </c>
      <c r="B1" s="191" t="s">
        <v>400</v>
      </c>
    </row>
    <row r="2" spans="1:2" ht="12.75">
      <c r="A2" s="192" t="s">
        <v>401</v>
      </c>
      <c r="B2" s="3" t="s">
        <v>402</v>
      </c>
    </row>
    <row r="3" spans="1:2" ht="12.75">
      <c r="A3" s="151">
        <v>-0.05276222801996007</v>
      </c>
      <c r="B3" s="151">
        <v>0.013514770336096354</v>
      </c>
    </row>
    <row r="4" spans="1:2" ht="12.75">
      <c r="A4" s="151">
        <v>0.07520857845758917</v>
      </c>
      <c r="B4" s="151">
        <v>-0.002506323160834767</v>
      </c>
    </row>
    <row r="5" spans="1:2" ht="12.75">
      <c r="A5" s="151">
        <v>0.012945024062076298</v>
      </c>
      <c r="B5" s="151">
        <v>-0.002972596911259112</v>
      </c>
    </row>
    <row r="6" spans="1:2" ht="12.75">
      <c r="A6" s="151">
        <v>-0.07800338824915905</v>
      </c>
      <c r="B6" s="151">
        <v>-0.02318848937458553</v>
      </c>
    </row>
    <row r="7" spans="1:2" ht="12.75">
      <c r="A7" s="151">
        <v>-0.11233755858542822</v>
      </c>
      <c r="B7" s="151">
        <v>-0.04812142823407169</v>
      </c>
    </row>
    <row r="8" spans="1:2" ht="12.75">
      <c r="A8" s="151">
        <v>0</v>
      </c>
      <c r="B8" s="151">
        <v>0.0016435841297997873</v>
      </c>
    </row>
    <row r="9" spans="1:2" ht="12.75">
      <c r="A9" s="151">
        <v>-0.10312448437757812</v>
      </c>
      <c r="B9" s="151">
        <v>-0.048477380524836196</v>
      </c>
    </row>
    <row r="10" spans="1:2" ht="12.75">
      <c r="A10" s="151">
        <v>0.017410355900455036</v>
      </c>
      <c r="B10" s="151">
        <v>-0.016789332916853725</v>
      </c>
    </row>
    <row r="11" spans="1:2" ht="12.75">
      <c r="A11" s="151">
        <v>-0.1541104334818273</v>
      </c>
      <c r="B11" s="151">
        <v>-0.03195467572093282</v>
      </c>
    </row>
    <row r="12" spans="1:2" ht="12.75">
      <c r="A12" s="151">
        <v>-0.06072913832640211</v>
      </c>
      <c r="B12" s="151">
        <v>-0.02973451569454606</v>
      </c>
    </row>
    <row r="13" spans="1:2" ht="12.75">
      <c r="A13" s="151">
        <v>0.06035214035958861</v>
      </c>
      <c r="B13" s="151">
        <v>0.05170105417441804</v>
      </c>
    </row>
    <row r="14" spans="1:2" ht="12.75">
      <c r="A14" s="151">
        <v>0.024390243902439025</v>
      </c>
      <c r="B14" s="151">
        <v>0.03590643823409197</v>
      </c>
    </row>
    <row r="15" spans="1:2" ht="12.75">
      <c r="A15" s="151">
        <v>-0.06746666666666659</v>
      </c>
      <c r="B15" s="151">
        <v>-0.023692176342750622</v>
      </c>
    </row>
    <row r="16" spans="1:2" ht="12.75">
      <c r="A16" s="151">
        <v>0.02553208872911475</v>
      </c>
      <c r="B16" s="151">
        <v>0.020881778131107344</v>
      </c>
    </row>
    <row r="17" spans="1:2" ht="12.75">
      <c r="A17" s="151">
        <v>0.08299474187380489</v>
      </c>
      <c r="B17" s="151">
        <v>0.0454518906922263</v>
      </c>
    </row>
    <row r="18" spans="1:2" ht="12.75">
      <c r="A18" s="151">
        <v>0.10344827586206896</v>
      </c>
      <c r="B18" s="151">
        <v>0.0061700423957641816</v>
      </c>
    </row>
    <row r="19" spans="1:2" ht="12.75">
      <c r="A19" s="151">
        <v>0.2604166666666667</v>
      </c>
      <c r="B19" s="151">
        <v>0.017138098028933634</v>
      </c>
    </row>
    <row r="20" spans="1:2" ht="12.75">
      <c r="A20" s="151">
        <v>0.024793388429752067</v>
      </c>
      <c r="B20" s="151">
        <v>-0.005786271857732899</v>
      </c>
    </row>
    <row r="21" spans="1:2" ht="12.75">
      <c r="A21" s="151">
        <v>0.08736774193548379</v>
      </c>
      <c r="B21" s="151">
        <v>0.021693641371653038</v>
      </c>
    </row>
    <row r="22" spans="1:2" ht="12.75">
      <c r="A22" s="151">
        <v>0.0197814194681445</v>
      </c>
      <c r="B22" s="151">
        <v>0.016653231825645678</v>
      </c>
    </row>
    <row r="23" spans="1:2" ht="12.75">
      <c r="A23" s="151">
        <v>-0.027880565058530496</v>
      </c>
      <c r="B23" s="151">
        <v>-0.0051566978339520975</v>
      </c>
    </row>
    <row r="24" spans="1:2" ht="12.75">
      <c r="A24" s="151">
        <v>0.46383854827511906</v>
      </c>
      <c r="B24" s="151">
        <v>0.018372238555724865</v>
      </c>
    </row>
    <row r="25" spans="1:2" ht="12.75">
      <c r="A25" s="151">
        <v>0.12435809374284494</v>
      </c>
      <c r="B25" s="151">
        <v>-0.004260918967176378</v>
      </c>
    </row>
    <row r="26" spans="1:2" ht="12.75">
      <c r="A26" s="151">
        <v>-0.030305454545454583</v>
      </c>
      <c r="B26" s="151">
        <v>0.011480935940802035</v>
      </c>
    </row>
    <row r="27" spans="1:2" ht="12.75">
      <c r="A27" s="151">
        <v>-0.0015600039000097114</v>
      </c>
      <c r="B27" s="151">
        <v>0.011419690908567731</v>
      </c>
    </row>
    <row r="28" spans="1:2" ht="12.75">
      <c r="A28" s="151">
        <v>0.04069107981220661</v>
      </c>
      <c r="B28" s="151">
        <v>0.008081084003437333</v>
      </c>
    </row>
    <row r="29" spans="1:2" ht="12.75">
      <c r="A29" s="151">
        <v>0.010523884453811803</v>
      </c>
      <c r="B29" s="151">
        <v>0.016664878993332907</v>
      </c>
    </row>
    <row r="30" spans="1:2" ht="12.75">
      <c r="A30" s="151">
        <v>0</v>
      </c>
      <c r="B30" s="151">
        <v>-0.006929829919318576</v>
      </c>
    </row>
    <row r="31" spans="1:2" ht="12.75">
      <c r="A31" s="151">
        <v>-0.01562857142857142</v>
      </c>
      <c r="B31" s="151">
        <v>0.01964851853301492</v>
      </c>
    </row>
    <row r="32" spans="1:2" ht="12.75">
      <c r="A32" s="151">
        <v>-0.01814065538559777</v>
      </c>
      <c r="B32" s="151">
        <v>0.00741951227537192</v>
      </c>
    </row>
    <row r="33" spans="1:2" ht="12.75">
      <c r="A33" s="151">
        <v>0.03464585550431594</v>
      </c>
      <c r="B33" s="151">
        <v>0.010592782102226356</v>
      </c>
    </row>
    <row r="34" spans="1:2" ht="12.75">
      <c r="A34" s="151">
        <v>0.22619285714285706</v>
      </c>
      <c r="B34" s="151">
        <v>0.00241845132934029</v>
      </c>
    </row>
    <row r="35" spans="1:2" ht="12.75">
      <c r="A35" s="151">
        <v>0.27062860072116374</v>
      </c>
      <c r="B35" s="151">
        <v>0.0024556030198006162</v>
      </c>
    </row>
    <row r="36" spans="1:2" ht="12.75">
      <c r="A36" s="151">
        <v>-0.11413638968481372</v>
      </c>
      <c r="B36" s="151">
        <v>-0.0018814120774863</v>
      </c>
    </row>
    <row r="37" spans="1:2" ht="12.75">
      <c r="A37" s="151">
        <v>0.08679339022610474</v>
      </c>
      <c r="B37" s="151">
        <v>-0.005934128488649948</v>
      </c>
    </row>
    <row r="38" spans="1:2" ht="12.75">
      <c r="A38" s="151">
        <v>-0.01637142857142865</v>
      </c>
      <c r="B38" s="151">
        <v>-0.001658509178524703</v>
      </c>
    </row>
    <row r="39" spans="1:2" ht="12.75">
      <c r="A39" s="151">
        <v>0.029753778526544233</v>
      </c>
      <c r="B39" s="151">
        <v>0.007408048744852545</v>
      </c>
    </row>
    <row r="40" spans="1:2" ht="12.75">
      <c r="A40" s="151">
        <v>0.007837034808281716</v>
      </c>
      <c r="B40" s="151">
        <v>0.009045593227622318</v>
      </c>
    </row>
    <row r="41" spans="1:2" ht="12.75">
      <c r="A41" s="151">
        <v>0.1467428571428572</v>
      </c>
      <c r="B41" s="151">
        <v>0.010071758618486932</v>
      </c>
    </row>
    <row r="42" spans="1:2" ht="12.75">
      <c r="A42" s="151">
        <v>-0.025423763286458692</v>
      </c>
      <c r="B42" s="151">
        <v>0.011721055738257867</v>
      </c>
    </row>
    <row r="43" spans="1:2" ht="12.75">
      <c r="A43" s="151">
        <v>0.02261011841407774</v>
      </c>
      <c r="B43" s="151">
        <v>0.004443448908151344</v>
      </c>
    </row>
    <row r="44" spans="1:2" ht="12.75">
      <c r="A44" s="151">
        <v>0.31292653061224485</v>
      </c>
      <c r="B44" s="151">
        <v>0.02552107913557135</v>
      </c>
    </row>
    <row r="45" spans="1:2" ht="12.75">
      <c r="A45" s="151">
        <v>0.01975334740585774</v>
      </c>
      <c r="B45" s="151">
        <v>-0.005835887166105311</v>
      </c>
    </row>
    <row r="46" spans="1:2" ht="12.75">
      <c r="A46" s="151">
        <v>0.03905847491471577</v>
      </c>
      <c r="B46" s="151">
        <v>0.00983274665798519</v>
      </c>
    </row>
    <row r="47" spans="1:2" ht="12.75">
      <c r="A47" s="151">
        <v>0.06601473448873789</v>
      </c>
      <c r="B47" s="151">
        <v>0.015731333209081166</v>
      </c>
    </row>
    <row r="48" spans="1:2" ht="12.75">
      <c r="A48" s="151">
        <v>-0.09346247106648725</v>
      </c>
      <c r="B48" s="151">
        <v>-0.033177282735910855</v>
      </c>
    </row>
    <row r="49" spans="1:2" ht="12.75">
      <c r="A49" s="151">
        <v>0.048704364326375676</v>
      </c>
      <c r="B49" s="151">
        <v>0.027806559496086274</v>
      </c>
    </row>
    <row r="50" spans="1:2" ht="12.75">
      <c r="A50" s="151">
        <v>-0.02050854474446821</v>
      </c>
      <c r="B50" s="151">
        <v>-0.004262008733624436</v>
      </c>
    </row>
    <row r="51" spans="1:2" ht="12.75">
      <c r="A51" s="151">
        <v>-0.07881584119787317</v>
      </c>
      <c r="B51" s="151">
        <v>-0.020489071325825406</v>
      </c>
    </row>
    <row r="52" spans="1:2" ht="12.75">
      <c r="A52" s="151">
        <v>-0.024064145385940764</v>
      </c>
      <c r="B52" s="151">
        <v>0.024985544918207342</v>
      </c>
    </row>
    <row r="53" spans="1:2" ht="12.75">
      <c r="A53" s="151">
        <v>-0.04520542991185763</v>
      </c>
      <c r="B53" s="151">
        <v>0.018710437508736206</v>
      </c>
    </row>
    <row r="54" spans="1:2" ht="12.75">
      <c r="A54" s="151">
        <v>0.015064545119603881</v>
      </c>
      <c r="B54" s="151">
        <v>-0.0028863493805865318</v>
      </c>
    </row>
    <row r="55" spans="1:2" ht="12.75">
      <c r="A55" s="151">
        <v>0.015017368178241002</v>
      </c>
      <c r="B55" s="151">
        <v>0.00770119179260355</v>
      </c>
    </row>
    <row r="56" spans="1:2" ht="12.75">
      <c r="A56" s="151">
        <v>0.03672560900210215</v>
      </c>
      <c r="B56" s="151">
        <v>-0.01680631285297648</v>
      </c>
    </row>
    <row r="57" spans="1:2" ht="12.75">
      <c r="A57" s="151">
        <v>0.03156591706210023</v>
      </c>
      <c r="B57" s="151">
        <v>0.006622155201492048</v>
      </c>
    </row>
    <row r="58" spans="1:2" ht="12.75">
      <c r="A58" s="151">
        <v>-0.01822812500000004</v>
      </c>
      <c r="B58" s="151">
        <v>-0.030744440228451974</v>
      </c>
    </row>
    <row r="59" spans="1:2" ht="12.75">
      <c r="A59" s="151">
        <v>0.029175565861468664</v>
      </c>
      <c r="B59" s="151">
        <v>0.02322412706159876</v>
      </c>
    </row>
    <row r="60" spans="1:2" ht="12.75">
      <c r="A60" s="151">
        <v>0.15206304336396217</v>
      </c>
      <c r="B60" s="151">
        <v>-0.0016098578952598675</v>
      </c>
    </row>
    <row r="61" spans="1:2" ht="12.75">
      <c r="A61" s="151">
        <v>0.06627651006711414</v>
      </c>
      <c r="B61" s="151">
        <v>0.017179599474459635</v>
      </c>
    </row>
    <row r="62" spans="1:2" ht="12.75">
      <c r="A62" s="151">
        <v>0.05848363998912346</v>
      </c>
      <c r="B62" s="151">
        <v>0.020676360647396013</v>
      </c>
    </row>
    <row r="63" spans="1:2" ht="12.75">
      <c r="A63" s="151">
        <v>0.17492394455980617</v>
      </c>
      <c r="B63" s="151">
        <v>0.024873690164610395</v>
      </c>
    </row>
    <row r="64" spans="1:2" ht="12.75">
      <c r="A64" s="151">
        <v>0.015606590033970448</v>
      </c>
      <c r="B64" s="151">
        <v>-0.007974630851765495</v>
      </c>
    </row>
    <row r="65" spans="1:2" ht="12.75">
      <c r="A65" s="151">
        <v>-0.009966770786198814</v>
      </c>
      <c r="B65" s="151">
        <v>0.02430951729860722</v>
      </c>
    </row>
    <row r="66" spans="1:2" ht="12.75">
      <c r="A66" s="151">
        <v>-0.040268429350047416</v>
      </c>
      <c r="B66" s="151">
        <v>-0.004372761836375855</v>
      </c>
    </row>
    <row r="67" spans="1:2" ht="12.75">
      <c r="A67" s="151">
        <v>-0.0013111878942742</v>
      </c>
      <c r="B67" s="151">
        <v>0.007979510318810664</v>
      </c>
    </row>
    <row r="68" spans="1:2" ht="12.75">
      <c r="A68" s="151">
        <v>-0.04092075909268511</v>
      </c>
      <c r="B68" s="151">
        <v>0.0006742191441543823</v>
      </c>
    </row>
    <row r="69" spans="1:2" ht="12.75">
      <c r="A69" s="151">
        <v>-0.07688769542800314</v>
      </c>
      <c r="B69" s="151">
        <v>-0.006792650004354338</v>
      </c>
    </row>
    <row r="70" spans="1:2" ht="12.75">
      <c r="A70" s="151">
        <v>-0.045971366067318685</v>
      </c>
      <c r="B70" s="151">
        <v>0.011878446664667038</v>
      </c>
    </row>
    <row r="71" spans="1:2" ht="12.75">
      <c r="A71" s="151">
        <v>-0.005180522429448677</v>
      </c>
      <c r="B71" s="151">
        <v>0.007005094199362485</v>
      </c>
    </row>
    <row r="72" spans="1:2" ht="12.75">
      <c r="A72" s="151">
        <v>-0.06666749999999996</v>
      </c>
      <c r="B72" s="151">
        <v>0.019573832114308912</v>
      </c>
    </row>
    <row r="73" spans="1:2" ht="12.75">
      <c r="A73" s="151">
        <v>0.26339487803114103</v>
      </c>
      <c r="B73" s="151">
        <v>0.03091144109769159</v>
      </c>
    </row>
    <row r="74" spans="1:2" ht="12.75">
      <c r="A74" s="151">
        <v>0.053003496110603454</v>
      </c>
      <c r="B74" s="151">
        <v>0.0022534750049550676</v>
      </c>
    </row>
    <row r="75" spans="1:2" ht="12.75">
      <c r="A75" s="151">
        <v>-0.018875826257834728</v>
      </c>
      <c r="B75" s="151">
        <v>0.007875877545580655</v>
      </c>
    </row>
    <row r="76" spans="1:2" ht="12.75">
      <c r="A76" s="151">
        <v>-0.0029940979946315037</v>
      </c>
      <c r="B76" s="151">
        <v>0.017138640425522964</v>
      </c>
    </row>
    <row r="77" spans="1:2" ht="12.75">
      <c r="A77" s="151">
        <v>-0.1749572383926164</v>
      </c>
      <c r="B77" s="151">
        <v>-0.026771897894397</v>
      </c>
    </row>
    <row r="78" spans="1:2" ht="12.75">
      <c r="A78" s="151">
        <v>-0.10394852719212247</v>
      </c>
      <c r="B78" s="151">
        <v>-0.0016977270279004868</v>
      </c>
    </row>
    <row r="79" spans="1:2" ht="12.75">
      <c r="A79" s="151">
        <v>0.04553313639616124</v>
      </c>
      <c r="B79" s="151">
        <v>-0.01726080256904959</v>
      </c>
    </row>
    <row r="80" spans="1:2" ht="12.75">
      <c r="A80" s="151">
        <v>-0.008598720178099338</v>
      </c>
      <c r="B80" s="151">
        <v>0.03135074358095925</v>
      </c>
    </row>
    <row r="81" spans="1:2" ht="12.75">
      <c r="A81" s="151">
        <v>0.02909812727643896</v>
      </c>
      <c r="B81" s="151">
        <v>0.02553871050166096</v>
      </c>
    </row>
    <row r="82" spans="1:2" ht="12.75">
      <c r="A82" s="151">
        <v>-0.0701468189233279</v>
      </c>
      <c r="B82" s="151">
        <v>0.003039652516225893</v>
      </c>
    </row>
    <row r="83" spans="1:2" ht="12.75">
      <c r="A83" s="151">
        <v>-0.1497066666666667</v>
      </c>
      <c r="B83" s="151">
        <v>-0.029298403222534554</v>
      </c>
    </row>
    <row r="84" spans="1:2" ht="12.75">
      <c r="A84" s="151">
        <v>0.08253085828791386</v>
      </c>
      <c r="B84" s="151">
        <v>-0.002490702514585832</v>
      </c>
    </row>
    <row r="85" spans="1:2" ht="12.75">
      <c r="A85" s="151">
        <v>0.10546266280796669</v>
      </c>
      <c r="B85" s="151">
        <v>0.01301050075249685</v>
      </c>
    </row>
    <row r="86" spans="1:2" ht="12.75">
      <c r="A86" s="151">
        <v>0.015517241379310345</v>
      </c>
      <c r="B86" s="151">
        <v>0.027054290067572376</v>
      </c>
    </row>
    <row r="87" spans="1:2" ht="12.75">
      <c r="A87" s="151">
        <v>0.37407945670628184</v>
      </c>
      <c r="B87" s="151">
        <v>-0.010795550277183041</v>
      </c>
    </row>
    <row r="88" spans="1:2" ht="12.75">
      <c r="A88" s="151">
        <v>-0.035831984073795106</v>
      </c>
      <c r="B88" s="151">
        <v>0.029163239362895502</v>
      </c>
    </row>
    <row r="89" spans="1:2" ht="12.75">
      <c r="A89" s="151">
        <v>-0.05126018027180198</v>
      </c>
      <c r="B89" s="151">
        <v>0.011524457684451761</v>
      </c>
    </row>
    <row r="90" spans="1:2" ht="12.75">
      <c r="A90" s="151">
        <v>-0.056279554276131</v>
      </c>
      <c r="B90" s="151">
        <v>0.001676051223317972</v>
      </c>
    </row>
    <row r="91" spans="1:2" ht="12.75">
      <c r="A91" s="151">
        <v>-0.02958089344969963</v>
      </c>
      <c r="B91" s="151">
        <v>-0.018592958818209732</v>
      </c>
    </row>
    <row r="92" spans="1:2" ht="12.75">
      <c r="A92" s="151">
        <v>0.0943952802359882</v>
      </c>
      <c r="B92" s="151">
        <v>0.012174131897930431</v>
      </c>
    </row>
    <row r="93" spans="1:2" ht="12.75">
      <c r="A93" s="151">
        <v>-0.1410609164420485</v>
      </c>
      <c r="B93" s="151">
        <v>-0.03342410594326633</v>
      </c>
    </row>
    <row r="94" spans="1:2" ht="12.75">
      <c r="A94" s="151">
        <v>-0.07426700775481823</v>
      </c>
      <c r="B94" s="151">
        <v>-0.015124042040272801</v>
      </c>
    </row>
    <row r="95" spans="1:2" ht="12.75">
      <c r="A95" s="151">
        <v>0.04406779661016949</v>
      </c>
      <c r="B95" s="151">
        <v>0.013186609482562577</v>
      </c>
    </row>
    <row r="96" spans="1:2" ht="12.75">
      <c r="A96" s="151">
        <v>-0.07846233766233769</v>
      </c>
      <c r="B96" s="151">
        <v>-0.03914059511335101</v>
      </c>
    </row>
    <row r="97" spans="1:2" ht="12.75">
      <c r="A97" s="151">
        <v>-0.0041122685968115824</v>
      </c>
      <c r="B97" s="151">
        <v>-0.0005582506415554696</v>
      </c>
    </row>
    <row r="98" spans="1:2" ht="12.75">
      <c r="A98" s="151">
        <v>0.12971899030093417</v>
      </c>
      <c r="B98" s="151">
        <v>0.04158908854730469</v>
      </c>
    </row>
    <row r="99" spans="1:2" ht="12.75">
      <c r="A99" s="151">
        <v>-0.014615436646816934</v>
      </c>
      <c r="B99" s="151">
        <v>-0.034777909417804787</v>
      </c>
    </row>
    <row r="100" spans="1:2" ht="12.75">
      <c r="A100" s="151">
        <v>-0.02065679716677726</v>
      </c>
      <c r="B100" s="151">
        <v>-0.003454082665414805</v>
      </c>
    </row>
    <row r="101" spans="1:2" ht="12.75">
      <c r="A101" s="151">
        <v>0.008112500259600008</v>
      </c>
      <c r="B101" s="151">
        <v>-0.028074178756801394</v>
      </c>
    </row>
    <row r="102" spans="1:2" ht="12.75">
      <c r="A102" s="151">
        <v>0.00912103787213548</v>
      </c>
      <c r="B102" s="151">
        <v>0.005175840740625604</v>
      </c>
    </row>
    <row r="103" spans="1:2" ht="12.75">
      <c r="A103" s="151">
        <v>0.01860797448165866</v>
      </c>
      <c r="B103" s="151">
        <v>0.010196633562628442</v>
      </c>
    </row>
    <row r="104" spans="1:2" ht="12.75">
      <c r="A104" s="151">
        <v>0.16388128277137146</v>
      </c>
      <c r="B104" s="151">
        <v>0.02557803468208106</v>
      </c>
    </row>
    <row r="105" spans="1:2" ht="12.75">
      <c r="A105" s="151">
        <v>0.01390279024415438</v>
      </c>
      <c r="B105" s="151">
        <v>0.014662618861576033</v>
      </c>
    </row>
    <row r="106" spans="1:2" ht="12.75">
      <c r="A106" s="151">
        <v>0.01194161030226604</v>
      </c>
      <c r="B106" s="151">
        <v>-0.015557472594525133</v>
      </c>
    </row>
    <row r="107" spans="1:2" ht="12.75">
      <c r="A107" s="151">
        <v>0.04720276419387119</v>
      </c>
      <c r="B107" s="151">
        <v>-0.005368943908214974</v>
      </c>
    </row>
    <row r="108" spans="1:2" ht="12.75">
      <c r="A108" s="151">
        <v>0.11519190972159618</v>
      </c>
      <c r="B108" s="151">
        <v>-0.016670821120671114</v>
      </c>
    </row>
    <row r="109" spans="1:2" ht="12.75">
      <c r="A109" s="151">
        <v>-0.03293530961957503</v>
      </c>
      <c r="B109" s="151">
        <v>0.003124959025886739</v>
      </c>
    </row>
    <row r="110" spans="1:2" ht="12.75">
      <c r="A110" s="151">
        <v>0.08726754629569425</v>
      </c>
      <c r="B110" s="151">
        <v>-0.01575039866154273</v>
      </c>
    </row>
    <row r="111" spans="1:2" ht="12.75">
      <c r="A111" s="151">
        <v>0.05499289267945987</v>
      </c>
      <c r="B111" s="151">
        <v>0.0027312607623624376</v>
      </c>
    </row>
    <row r="112" spans="1:2" ht="12.75">
      <c r="A112" s="151">
        <v>0.059209716599190255</v>
      </c>
      <c r="B112" s="151">
        <v>0.012224086173406347</v>
      </c>
    </row>
    <row r="113" spans="1:2" ht="12.75">
      <c r="A113" s="151">
        <v>0.14094688271142494</v>
      </c>
      <c r="B113" s="151">
        <v>0.01928570494005393</v>
      </c>
    </row>
    <row r="114" spans="1:2" ht="12.75">
      <c r="A114" s="151">
        <v>0.1457286432160804</v>
      </c>
      <c r="B114" s="151">
        <v>0.025890950789650362</v>
      </c>
    </row>
    <row r="115" spans="1:2" ht="12.75">
      <c r="A115" s="151">
        <v>-0.027777777777777776</v>
      </c>
      <c r="B115" s="151">
        <v>-0.0019519356695388913</v>
      </c>
    </row>
    <row r="116" spans="1:2" ht="12.75">
      <c r="A116" s="151">
        <v>-0.06729383458646619</v>
      </c>
      <c r="B116" s="151">
        <v>0.005457721463973165</v>
      </c>
    </row>
    <row r="117" spans="1:2" ht="12.75">
      <c r="A117" s="151">
        <v>-0.03264750190890891</v>
      </c>
      <c r="B117" s="151">
        <v>0.002597672485453034</v>
      </c>
    </row>
    <row r="118" spans="1:2" ht="12.75">
      <c r="A118" s="151">
        <v>-0.05333333333333334</v>
      </c>
      <c r="B118" s="151">
        <v>-0.012734998445434678</v>
      </c>
    </row>
    <row r="119" spans="1:2" ht="12.75">
      <c r="A119" s="151">
        <v>0.10431267605633801</v>
      </c>
      <c r="B119" s="151">
        <v>0.020957115803705958</v>
      </c>
    </row>
    <row r="120" spans="1:2" ht="12.75">
      <c r="A120" s="151">
        <v>0.006377046713142583</v>
      </c>
      <c r="B120" s="151">
        <v>0.003220313888066301</v>
      </c>
    </row>
    <row r="121" spans="1:2" ht="12.75">
      <c r="A121" s="151">
        <v>-0.013068681548471456</v>
      </c>
      <c r="B121" s="151">
        <v>-0.004222574786719052</v>
      </c>
    </row>
    <row r="122" spans="1:2" ht="12.75">
      <c r="A122" s="151">
        <v>0.03210272873194221</v>
      </c>
      <c r="B122" s="151">
        <v>0.013993585758572662</v>
      </c>
    </row>
    <row r="123" spans="1:2" ht="12.75">
      <c r="A123" s="151">
        <v>-0.006220839813374806</v>
      </c>
      <c r="B123" s="151">
        <v>-0.016926787280345624</v>
      </c>
    </row>
    <row r="124" spans="1:2" ht="12.75">
      <c r="A124" s="151">
        <v>-0.028951486697965573</v>
      </c>
      <c r="B124" s="151">
        <v>-0.010461452047892192</v>
      </c>
    </row>
    <row r="125" spans="1:2" ht="12.75">
      <c r="A125" s="151">
        <v>-0.05640612409347301</v>
      </c>
      <c r="B125" s="151">
        <v>-0.03050994599196971</v>
      </c>
    </row>
    <row r="126" spans="1:2" ht="12.75">
      <c r="A126" s="151">
        <v>-0.006831767719897523</v>
      </c>
      <c r="B126" s="151">
        <v>0.018270737545418563</v>
      </c>
    </row>
    <row r="127" spans="1:2" ht="12.75">
      <c r="A127" s="151">
        <v>0.09630266552020636</v>
      </c>
      <c r="B127" s="151">
        <v>0.02939186903876073</v>
      </c>
    </row>
    <row r="128" spans="1:2" ht="12.75">
      <c r="A128" s="151">
        <v>-0.03058823529411765</v>
      </c>
      <c r="B128" s="151">
        <v>-0.006419418432725525</v>
      </c>
    </row>
    <row r="129" spans="1:2" ht="12.75">
      <c r="A129" s="151">
        <v>-0.04348737864077662</v>
      </c>
      <c r="B129" s="151">
        <v>0.030452593244790598</v>
      </c>
    </row>
    <row r="130" spans="1:2" ht="12.75">
      <c r="A130" s="151">
        <v>-0.0721079541917376</v>
      </c>
      <c r="B130" s="151">
        <v>-0.005034418574798295</v>
      </c>
    </row>
    <row r="131" spans="1:2" ht="12.75">
      <c r="A131" s="151">
        <v>0.0013666362807657005</v>
      </c>
      <c r="B131" s="151">
        <v>-0.007616044897975589</v>
      </c>
    </row>
    <row r="132" spans="1:2" ht="12.75">
      <c r="A132" s="151">
        <v>0.009559224075902857</v>
      </c>
      <c r="B132" s="151">
        <v>0.012988543105549605</v>
      </c>
    </row>
    <row r="133" spans="1:2" ht="12.75">
      <c r="A133" s="151">
        <v>0.07303877366997295</v>
      </c>
      <c r="B133" s="151">
        <v>0.02674693286596055</v>
      </c>
    </row>
    <row r="134" spans="1:2" ht="12.75">
      <c r="A134" s="151">
        <v>0.021848739495798318</v>
      </c>
      <c r="B134" s="151">
        <v>0.0012148152777669771</v>
      </c>
    </row>
    <row r="135" spans="1:2" ht="12.75">
      <c r="A135" s="151">
        <v>-0.013157894736842105</v>
      </c>
      <c r="B135" s="151">
        <v>-0.007311259104936557</v>
      </c>
    </row>
    <row r="136" spans="1:2" ht="12.75">
      <c r="A136" s="151">
        <v>0.145</v>
      </c>
      <c r="B136" s="151">
        <v>0.011381724001053296</v>
      </c>
    </row>
    <row r="137" spans="1:2" ht="12.75">
      <c r="A137" s="151">
        <v>0.06768558951965066</v>
      </c>
      <c r="B137" s="151">
        <v>0.007639728140701686</v>
      </c>
    </row>
    <row r="138" spans="1:2" ht="12.75">
      <c r="A138" s="151">
        <v>-0.03680981595092025</v>
      </c>
      <c r="B138" s="151">
        <v>0.0022213223809798358</v>
      </c>
    </row>
    <row r="139" spans="1:2" ht="12.75">
      <c r="A139" s="151">
        <v>-0.021231422505307854</v>
      </c>
      <c r="B139" s="151">
        <v>-0.005891157876104812</v>
      </c>
    </row>
    <row r="140" spans="1:2" ht="12.75">
      <c r="A140" s="151">
        <v>-0.05784526391901663</v>
      </c>
      <c r="B140" s="151">
        <v>-0.029502612734662204</v>
      </c>
    </row>
    <row r="141" spans="1:2" ht="12.75">
      <c r="A141" s="151">
        <v>0.09823484267075978</v>
      </c>
      <c r="B141" s="151">
        <v>0.005779171053890982</v>
      </c>
    </row>
    <row r="142" spans="1:2" ht="12.75">
      <c r="A142" s="151">
        <v>-0.01607267645003494</v>
      </c>
      <c r="B142" s="151">
        <v>-0.014961713399715287</v>
      </c>
    </row>
    <row r="143" spans="1:2" ht="12.75">
      <c r="A143" s="151">
        <v>-0.12428977272727272</v>
      </c>
      <c r="B143" s="151">
        <v>-0.05572776605851751</v>
      </c>
    </row>
    <row r="144" spans="1:2" ht="12.75">
      <c r="A144" s="151">
        <v>0.054339010543390104</v>
      </c>
      <c r="B144" s="151">
        <v>0.027297803130102508</v>
      </c>
    </row>
    <row r="145" spans="1:2" ht="12.75">
      <c r="A145" s="151">
        <v>0.026153846153846153</v>
      </c>
      <c r="B145" s="151">
        <v>0.03296758021945189</v>
      </c>
    </row>
    <row r="146" spans="1:2" ht="12.75">
      <c r="A146" s="151">
        <v>0.031484257871064465</v>
      </c>
      <c r="B146" s="151">
        <v>0.029139280376685443</v>
      </c>
    </row>
    <row r="147" spans="1:2" ht="12.75">
      <c r="A147" s="151">
        <v>0.1635116279069767</v>
      </c>
      <c r="B147" s="151">
        <v>0.011352235508137432</v>
      </c>
    </row>
    <row r="148" spans="1:2" ht="12.75">
      <c r="A148" s="151">
        <v>0.044352501449101585</v>
      </c>
      <c r="B148" s="151">
        <v>0.023684809838305673</v>
      </c>
    </row>
    <row r="149" spans="1:2" ht="12.75">
      <c r="A149" s="151">
        <v>0.0011961722488038277</v>
      </c>
      <c r="B149" s="151">
        <v>-0.018717595822100006</v>
      </c>
    </row>
    <row r="150" spans="1:2" ht="12.75">
      <c r="A150" s="151">
        <v>-0.07974958183990444</v>
      </c>
      <c r="B150" s="151">
        <v>-0.01999684907451169</v>
      </c>
    </row>
    <row r="151" spans="1:2" ht="12.75">
      <c r="A151" s="151">
        <v>0.11652119001424995</v>
      </c>
      <c r="B151" s="151">
        <v>-0.008598752337896006</v>
      </c>
    </row>
    <row r="152" spans="1:2" ht="12.75">
      <c r="A152" s="151">
        <v>-0.03198139534883723</v>
      </c>
      <c r="B152" s="151">
        <v>0.005703121292180187</v>
      </c>
    </row>
    <row r="153" spans="1:2" ht="12.75">
      <c r="A153" s="151">
        <v>-0.0840796832657454</v>
      </c>
      <c r="B153" s="151">
        <v>-0.0028629181315527395</v>
      </c>
    </row>
    <row r="154" spans="1:2" ht="12.75">
      <c r="A154" s="151">
        <v>-0.04918032786885246</v>
      </c>
      <c r="B154" s="151">
        <v>-0.019900772209908595</v>
      </c>
    </row>
    <row r="155" spans="1:2" ht="12.75">
      <c r="A155" s="151">
        <v>0.030689103448275842</v>
      </c>
      <c r="B155" s="151">
        <v>0.01985014808138035</v>
      </c>
    </row>
    <row r="156" spans="1:2" ht="12.75">
      <c r="A156" s="151">
        <v>-0.06055486680755665</v>
      </c>
      <c r="B156" s="151">
        <v>-0.02452997691806886</v>
      </c>
    </row>
    <row r="157" spans="1:2" ht="12.75">
      <c r="A157" s="151">
        <v>0.006766951566951586</v>
      </c>
      <c r="B157" s="151">
        <v>0.012676557671461036</v>
      </c>
    </row>
    <row r="158" spans="1:2" ht="12.75">
      <c r="A158" s="151">
        <v>0.09444579019693514</v>
      </c>
      <c r="B158" s="151">
        <v>0.00909483068516787</v>
      </c>
    </row>
    <row r="159" spans="1:2" ht="12.75">
      <c r="A159" s="151">
        <v>0.010018875242404636</v>
      </c>
      <c r="B159" s="151">
        <v>0.015947656537589196</v>
      </c>
    </row>
    <row r="160" spans="1:2" ht="12.75">
      <c r="A160" s="151">
        <v>0.017600521011466776</v>
      </c>
      <c r="B160" s="151">
        <v>0.015529789455639242</v>
      </c>
    </row>
    <row r="161" spans="1:2" ht="12.75">
      <c r="A161" s="151">
        <v>-0.031446540880503145</v>
      </c>
      <c r="B161" s="151">
        <v>-0.00941477974633037</v>
      </c>
    </row>
    <row r="162" spans="1:2" ht="12.75">
      <c r="A162" s="151">
        <v>-0.03441558441558441</v>
      </c>
      <c r="B162" s="151">
        <v>-0.02096824167312156</v>
      </c>
    </row>
    <row r="163" spans="1:2" ht="12.75">
      <c r="A163" s="151">
        <v>0.06758628110289175</v>
      </c>
      <c r="B163" s="151">
        <v>0.013442200121842197</v>
      </c>
    </row>
    <row r="164" spans="1:2" ht="12.75">
      <c r="A164" s="151">
        <v>-0.04472539478405305</v>
      </c>
      <c r="B164" s="151">
        <v>-0.0013583986509696226</v>
      </c>
    </row>
    <row r="165" spans="1:2" ht="12.75">
      <c r="A165" s="151">
        <v>0.038245981270547326</v>
      </c>
      <c r="B165" s="151">
        <v>0.007442267702747057</v>
      </c>
    </row>
    <row r="166" spans="1:2" ht="12.75">
      <c r="A166" s="151">
        <v>-0.05176198247671385</v>
      </c>
      <c r="B166" s="151">
        <v>-0.013645534259331137</v>
      </c>
    </row>
    <row r="167" spans="1:2" ht="12.75">
      <c r="A167" s="151">
        <v>0.02059638312123235</v>
      </c>
      <c r="B167" s="151">
        <v>-0.00868922166759111</v>
      </c>
    </row>
    <row r="168" spans="1:2" ht="12.75">
      <c r="A168" s="151">
        <v>-0.03790017052661637</v>
      </c>
      <c r="B168" s="151">
        <v>-0.02637948685390495</v>
      </c>
    </row>
    <row r="169" spans="1:2" ht="12.75">
      <c r="A169" s="151">
        <v>-0.10538826739427011</v>
      </c>
      <c r="B169" s="151">
        <v>-0.029653660246325802</v>
      </c>
    </row>
    <row r="170" spans="1:2" ht="12.75">
      <c r="A170" s="151">
        <v>0.063285054801339</v>
      </c>
      <c r="B170" s="151">
        <v>0.0194380276366079</v>
      </c>
    </row>
    <row r="171" spans="1:2" ht="12.75">
      <c r="A171" s="151">
        <v>-0.030476317232738446</v>
      </c>
      <c r="B171" s="151">
        <v>-0.003308366087393496</v>
      </c>
    </row>
    <row r="172" spans="1:2" ht="12.75">
      <c r="A172" s="151">
        <v>0.04844733727810653</v>
      </c>
      <c r="B172" s="151">
        <v>0.021234731207242168</v>
      </c>
    </row>
    <row r="173" spans="1:2" ht="12.75">
      <c r="A173" s="151">
        <v>-0.06031799064945856</v>
      </c>
      <c r="B173" s="151">
        <v>-0.02367517769538388</v>
      </c>
    </row>
    <row r="174" spans="1:2" ht="12.75">
      <c r="A174" s="151">
        <v>0.013888288288288269</v>
      </c>
      <c r="B174" s="151">
        <v>0.008449314477846318</v>
      </c>
    </row>
    <row r="175" spans="1:2" ht="12.75">
      <c r="A175" s="151">
        <v>-0.04442801595143485</v>
      </c>
      <c r="B175" s="151">
        <v>-0.011959332513844168</v>
      </c>
    </row>
    <row r="176" spans="1:2" ht="12.75">
      <c r="A176" s="151">
        <v>0.04455702103496076</v>
      </c>
      <c r="B176" s="151">
        <v>0.031215152372551295</v>
      </c>
    </row>
    <row r="177" spans="1:2" ht="12.75">
      <c r="A177" s="151">
        <v>0.08753709198813056</v>
      </c>
      <c r="B177" s="151">
        <v>0.01850835639984824</v>
      </c>
    </row>
    <row r="178" spans="1:2" ht="12.75">
      <c r="A178" s="151">
        <v>0.002728512960436562</v>
      </c>
      <c r="B178" s="151">
        <v>-0.019669520364787436</v>
      </c>
    </row>
    <row r="179" spans="1:2" ht="12.75">
      <c r="A179" s="151">
        <v>-0.004081632653061225</v>
      </c>
      <c r="B179" s="151">
        <v>0.01810018750808223</v>
      </c>
    </row>
    <row r="180" spans="1:2" ht="12.75">
      <c r="A180" s="151">
        <v>-0.0017071038251365938</v>
      </c>
      <c r="B180" s="151">
        <v>-0.013785301764343985</v>
      </c>
    </row>
    <row r="181" spans="1:2" ht="12.75">
      <c r="A181" s="151">
        <v>-0.09202923460596123</v>
      </c>
      <c r="B181" s="151">
        <v>-0.01478696943597</v>
      </c>
    </row>
    <row r="182" spans="1:2" ht="12.75">
      <c r="A182" s="151">
        <v>-0.18010550113036924</v>
      </c>
      <c r="B182" s="151">
        <v>-0.02025017566220573</v>
      </c>
    </row>
    <row r="183" spans="1:2" ht="12.75">
      <c r="A183" s="151">
        <v>-0.003676470588235294</v>
      </c>
      <c r="B183" s="151">
        <v>0.00682147011854186</v>
      </c>
    </row>
    <row r="184" spans="1:2" ht="12.75">
      <c r="A184" s="151">
        <v>0.09778597785977859</v>
      </c>
      <c r="B184" s="151">
        <v>0.04272219392297906</v>
      </c>
    </row>
    <row r="185" spans="1:2" ht="12.75">
      <c r="A185" s="151">
        <v>-0.013445378151260505</v>
      </c>
      <c r="B185" s="151">
        <v>0.010453446022964285</v>
      </c>
    </row>
    <row r="186" spans="1:2" ht="12.75">
      <c r="A186" s="151">
        <v>-0.003832367972742737</v>
      </c>
      <c r="B186" s="151">
        <v>0.007582100112021682</v>
      </c>
    </row>
    <row r="187" spans="1:2" ht="12.75">
      <c r="A187" s="151">
        <v>0.040186718983005354</v>
      </c>
      <c r="B187" s="151">
        <v>0.02607433760883818</v>
      </c>
    </row>
    <row r="188" spans="1:2" ht="12.75">
      <c r="A188" s="151">
        <v>-0.02548164437757127</v>
      </c>
      <c r="B188" s="151">
        <v>-0.01901698678467691</v>
      </c>
    </row>
    <row r="189" spans="1:2" ht="12.75">
      <c r="A189" s="151">
        <v>-0.01180935516871857</v>
      </c>
      <c r="B189" s="151">
        <v>0.006921783076123984</v>
      </c>
    </row>
    <row r="190" spans="1:2" ht="12.75">
      <c r="A190" s="151">
        <v>-0.029450086589782973</v>
      </c>
      <c r="B190" s="151">
        <v>-0.016985358643942586</v>
      </c>
    </row>
    <row r="191" spans="1:2" ht="12.75">
      <c r="A191" s="151">
        <v>-0.04309586631486367</v>
      </c>
      <c r="B191" s="151">
        <v>-0.0005246692430274554</v>
      </c>
    </row>
    <row r="192" spans="1:2" ht="12.75">
      <c r="A192" s="151">
        <v>0.029870588235294093</v>
      </c>
      <c r="B192" s="151">
        <v>0.019505220065422192</v>
      </c>
    </row>
    <row r="193" spans="1:2" ht="12.75">
      <c r="A193" s="151">
        <v>0.0049092404528267635</v>
      </c>
      <c r="B193" s="151">
        <v>0.01524338697530013</v>
      </c>
    </row>
    <row r="194" spans="1:2" ht="12.75">
      <c r="A194" s="151">
        <v>0.07548845470692718</v>
      </c>
      <c r="B194" s="151">
        <v>0.016657141451339938</v>
      </c>
    </row>
    <row r="195" spans="1:2" ht="12.75">
      <c r="A195" s="151">
        <v>-0.011354582989264988</v>
      </c>
      <c r="B195" s="151">
        <v>0.007468020788348974</v>
      </c>
    </row>
    <row r="196" spans="1:2" ht="12.75">
      <c r="A196" s="151">
        <v>-0.040300368444474814</v>
      </c>
      <c r="B196" s="151">
        <v>0.012874236007952223</v>
      </c>
    </row>
    <row r="197" spans="1:2" ht="12.75">
      <c r="A197" s="151">
        <v>-0.020017406440382943</v>
      </c>
      <c r="B197" s="151">
        <v>-0.0015468694135758884</v>
      </c>
    </row>
    <row r="198" spans="1:2" ht="12.75">
      <c r="A198" s="151">
        <v>-0.017761989342806393</v>
      </c>
      <c r="B198" s="151">
        <v>0.0022873595977754013</v>
      </c>
    </row>
    <row r="199" spans="1:2" ht="12.75">
      <c r="A199" s="151">
        <v>-0.029384448462929452</v>
      </c>
      <c r="B199" s="151">
        <v>0.010506591227251576</v>
      </c>
    </row>
    <row r="200" spans="1:2" ht="12.75">
      <c r="A200" s="151">
        <v>0.01164340073151317</v>
      </c>
      <c r="B200" s="151">
        <v>0.007651901611192498</v>
      </c>
    </row>
    <row r="201" spans="1:2" ht="12.75">
      <c r="A201" s="151">
        <v>-0.058011049723756904</v>
      </c>
      <c r="B201" s="151">
        <v>-0.0009416162144164339</v>
      </c>
    </row>
    <row r="202" spans="1:2" ht="12.75">
      <c r="A202" s="151">
        <v>-0.022482893450635387</v>
      </c>
      <c r="B202" s="151">
        <v>-0.004375654018721075</v>
      </c>
    </row>
    <row r="203" spans="1:2" ht="12.75">
      <c r="A203" s="151">
        <v>-0.016</v>
      </c>
      <c r="B203" s="151">
        <v>0.014361661921439223</v>
      </c>
    </row>
    <row r="204" spans="1:2" ht="12.75">
      <c r="A204" s="151">
        <v>0.032520325203252036</v>
      </c>
      <c r="B204" s="151">
        <v>0.007536912775492891</v>
      </c>
    </row>
    <row r="205" spans="1:2" ht="12.75">
      <c r="A205" s="151">
        <v>-0.03174173228346455</v>
      </c>
      <c r="B205" s="151">
        <v>0.00884351106055221</v>
      </c>
    </row>
    <row r="206" spans="1:2" ht="12.75">
      <c r="A206" s="151">
        <v>-0.04294747936061829</v>
      </c>
      <c r="B206" s="151">
        <v>-0.011935848740434582</v>
      </c>
    </row>
    <row r="207" spans="1:2" ht="12.75">
      <c r="A207" s="151">
        <v>-0.04036109156784572</v>
      </c>
      <c r="B207" s="151">
        <v>-0.03466429235166719</v>
      </c>
    </row>
    <row r="208" spans="1:2" ht="12.75">
      <c r="A208" s="151">
        <v>0.02102754087212756</v>
      </c>
      <c r="B208" s="151">
        <v>0.010830179563572</v>
      </c>
    </row>
    <row r="209" spans="1:2" ht="12.75">
      <c r="A209" s="151">
        <v>-0.05745088993031099</v>
      </c>
      <c r="B209" s="151">
        <v>-0.028000159318118428</v>
      </c>
    </row>
    <row r="210" spans="1:2" ht="12.75">
      <c r="A210" s="151">
        <v>-0.008052436524497796</v>
      </c>
      <c r="B210" s="151">
        <v>0.002965236697411764</v>
      </c>
    </row>
    <row r="211" spans="1:2" ht="12.75">
      <c r="A211" s="151">
        <v>-0.031883160007568676</v>
      </c>
      <c r="B211" s="151">
        <v>-0.027191353439310666</v>
      </c>
    </row>
    <row r="212" spans="1:2" ht="12.75">
      <c r="A212" s="151">
        <v>-0.04610874251497009</v>
      </c>
      <c r="B212" s="151">
        <v>0.022961297194934262</v>
      </c>
    </row>
    <row r="213" spans="1:2" ht="12.75">
      <c r="A213" s="151">
        <v>0.05398825259334856</v>
      </c>
      <c r="B213" s="151">
        <v>0.009894264610928934</v>
      </c>
    </row>
    <row r="214" spans="1:2" ht="12.75">
      <c r="A214" s="151">
        <v>-0.02561141097185378</v>
      </c>
      <c r="B214" s="151">
        <v>-0.024328859060402656</v>
      </c>
    </row>
    <row r="215" spans="1:2" ht="12.75">
      <c r="A215" s="151">
        <v>-0.04462004889975547</v>
      </c>
      <c r="B215" s="151">
        <v>-0.0005757553948660939</v>
      </c>
    </row>
    <row r="216" spans="1:2" ht="12.75">
      <c r="A216" s="151">
        <v>-0.06589986856059524</v>
      </c>
      <c r="B216" s="151">
        <v>-0.0056320092173931585</v>
      </c>
    </row>
    <row r="217" spans="1:2" ht="12.75">
      <c r="A217" s="151">
        <v>-0.07534246575342465</v>
      </c>
      <c r="B217" s="151">
        <v>-0.013584232532788666</v>
      </c>
    </row>
    <row r="218" spans="1:2" ht="12.75">
      <c r="A218" s="151">
        <v>-0.10222222222222223</v>
      </c>
      <c r="B218" s="151">
        <v>-0.018543348312783196</v>
      </c>
    </row>
    <row r="219" spans="1:2" ht="12.75">
      <c r="A219" s="151">
        <v>0.22607260726072606</v>
      </c>
      <c r="B219" s="151">
        <v>0.010169291338582648</v>
      </c>
    </row>
    <row r="220" spans="1:2" ht="12.75">
      <c r="A220" s="151">
        <v>-0.10363391655450875</v>
      </c>
      <c r="B220" s="151">
        <v>-0.006960710569289519</v>
      </c>
    </row>
    <row r="221" spans="1:2" ht="12.75">
      <c r="A221" s="151">
        <v>-0.04354354354354354</v>
      </c>
      <c r="B221" s="151">
        <v>-0.011377684980592308</v>
      </c>
    </row>
    <row r="222" spans="1:2" ht="12.75">
      <c r="A222" s="151">
        <v>0.12087912087912088</v>
      </c>
      <c r="B222" s="151">
        <v>-0.011460988177754445</v>
      </c>
    </row>
    <row r="223" spans="1:2" ht="12.75">
      <c r="A223" s="151">
        <v>-0.01750588235294114</v>
      </c>
      <c r="B223" s="151">
        <v>0.030066944833762318</v>
      </c>
    </row>
    <row r="224" spans="1:2" ht="12.75">
      <c r="A224" s="151">
        <v>0.04205155575018585</v>
      </c>
      <c r="B224" s="151">
        <v>-0.006039033442755981</v>
      </c>
    </row>
    <row r="225" spans="1:2" ht="12.75">
      <c r="A225" s="151">
        <v>0.07250341997264022</v>
      </c>
      <c r="B225" s="151">
        <v>0.034642222562159555</v>
      </c>
    </row>
    <row r="226" spans="1:2" ht="12.75">
      <c r="A226" s="151">
        <v>0.11224489795918367</v>
      </c>
      <c r="B226" s="151">
        <v>0.0028318946398718085</v>
      </c>
    </row>
    <row r="227" spans="1:2" ht="12.75">
      <c r="A227" s="151">
        <v>0.08027522935779817</v>
      </c>
      <c r="B227" s="151">
        <v>0.009809925603338708</v>
      </c>
    </row>
    <row r="228" spans="1:2" ht="12.75">
      <c r="A228" s="151">
        <v>0.06953375796178347</v>
      </c>
      <c r="B228" s="151">
        <v>-0.005053851596455565</v>
      </c>
    </row>
    <row r="229" spans="1:2" ht="12.75">
      <c r="A229" s="151">
        <v>-0.09677491074945055</v>
      </c>
      <c r="B229" s="151">
        <v>-0.013658272284995158</v>
      </c>
    </row>
    <row r="230" spans="1:2" ht="12.75">
      <c r="A230" s="151">
        <v>0.08131868131868132</v>
      </c>
      <c r="B230" s="151">
        <v>0.010261574789332576</v>
      </c>
    </row>
    <row r="231" spans="1:2" ht="12.75">
      <c r="A231" s="151">
        <v>0.011687804878048807</v>
      </c>
      <c r="B231" s="151">
        <v>0.026899970925073628</v>
      </c>
    </row>
    <row r="232" spans="1:2" ht="12.75">
      <c r="A232" s="151">
        <v>-0.044701922891473345</v>
      </c>
      <c r="B232" s="151">
        <v>0.012060730188963595</v>
      </c>
    </row>
    <row r="233" spans="1:2" ht="12.75">
      <c r="A233" s="151">
        <v>0.08517350157728706</v>
      </c>
      <c r="B233" s="151">
        <v>0.019339696334431788</v>
      </c>
    </row>
    <row r="234" spans="1:2" ht="12.75">
      <c r="A234" s="151">
        <v>-0.0043596899224805944</v>
      </c>
      <c r="B234" s="151">
        <v>-0.011042201311662397</v>
      </c>
    </row>
    <row r="235" spans="1:2" ht="12.75">
      <c r="A235" s="151">
        <v>-0.009246513482033324</v>
      </c>
      <c r="B235" s="151">
        <v>-0.005665640700348084</v>
      </c>
    </row>
    <row r="236" spans="1:2" ht="12.75">
      <c r="A236" s="151">
        <v>-0.061394106090373254</v>
      </c>
      <c r="B236" s="151">
        <v>-0.01674942912030158</v>
      </c>
    </row>
    <row r="237" spans="1:2" ht="12.75">
      <c r="A237" s="151">
        <v>0.05128033383122227</v>
      </c>
      <c r="B237" s="151">
        <v>0.00982788302386187</v>
      </c>
    </row>
    <row r="238" spans="1:2" ht="12.75">
      <c r="A238" s="151">
        <v>-0.028868514778309377</v>
      </c>
      <c r="B238" s="151">
        <v>0.0041798236808002895</v>
      </c>
    </row>
    <row r="239" spans="1:2" ht="12.75">
      <c r="A239" s="151">
        <v>-0.004100457939142643</v>
      </c>
      <c r="B239" s="151">
        <v>-0.006020066889632252</v>
      </c>
    </row>
    <row r="240" spans="1:2" ht="12.75">
      <c r="A240" s="151">
        <v>0.09933002628510441</v>
      </c>
      <c r="B240" s="151">
        <v>0.039817280121715856</v>
      </c>
    </row>
    <row r="241" spans="1:2" ht="12.75">
      <c r="A241" s="151">
        <v>0.0023400749063670163</v>
      </c>
      <c r="B241" s="151">
        <v>-0.002057605931532691</v>
      </c>
    </row>
    <row r="242" spans="1:2" ht="12.75">
      <c r="A242" s="151">
        <v>0.007006824479644662</v>
      </c>
      <c r="B242" s="151">
        <v>-0.01005195153070231</v>
      </c>
    </row>
    <row r="243" spans="1:2" ht="12.75">
      <c r="A243" s="151">
        <v>0.0718931354359926</v>
      </c>
      <c r="B243" s="151">
        <v>0.015409044624992062</v>
      </c>
    </row>
    <row r="244" spans="1:2" ht="12.75">
      <c r="A244" s="151">
        <v>0.09389798778157485</v>
      </c>
      <c r="B244" s="151">
        <v>0.01228602884972755</v>
      </c>
    </row>
    <row r="245" spans="1:2" ht="12.75">
      <c r="A245" s="151">
        <v>-0.06368607594936707</v>
      </c>
      <c r="B245" s="151">
        <v>-0.014648119540293573</v>
      </c>
    </row>
    <row r="246" spans="1:2" ht="12.75">
      <c r="A246" s="151">
        <v>0.04773904673321722</v>
      </c>
      <c r="B246" s="151">
        <v>0.008267803724026893</v>
      </c>
    </row>
    <row r="247" spans="1:2" ht="12.75">
      <c r="A247" s="151">
        <v>-0.01935483870967742</v>
      </c>
      <c r="B247" s="151">
        <v>-0.01886838499593831</v>
      </c>
    </row>
    <row r="248" spans="1:2" ht="12.75">
      <c r="A248" s="151">
        <v>-0.001644736842105263</v>
      </c>
      <c r="B248" s="151">
        <v>-0.002647316970900931</v>
      </c>
    </row>
    <row r="249" spans="1:2" ht="12.75">
      <c r="A249" s="151">
        <v>-0.07084019769357495</v>
      </c>
      <c r="B249" s="151">
        <v>0.022410500513054418</v>
      </c>
    </row>
    <row r="250" spans="1:2" ht="12.75">
      <c r="A250" s="151">
        <v>-0.03546099290780142</v>
      </c>
      <c r="B250" s="151">
        <v>0.005760344575239997</v>
      </c>
    </row>
    <row r="251" spans="1:2" ht="12.75">
      <c r="A251" s="151">
        <v>0.03400735294117647</v>
      </c>
      <c r="B251" s="151">
        <v>-0.022538676090986323</v>
      </c>
    </row>
    <row r="252" spans="1:2" ht="12.75">
      <c r="A252" s="151">
        <v>0.060444444444444446</v>
      </c>
      <c r="B252" s="151">
        <v>0.013136719719258427</v>
      </c>
    </row>
    <row r="253" spans="1:2" ht="12.75">
      <c r="A253" s="151">
        <v>-0.07292539815590947</v>
      </c>
      <c r="B253" s="151">
        <v>-0.03790200688554872</v>
      </c>
    </row>
    <row r="254" spans="1:2" ht="12.75">
      <c r="A254" s="151">
        <v>0.05650922242314645</v>
      </c>
      <c r="B254" s="151">
        <v>-0.003425666313917614</v>
      </c>
    </row>
    <row r="255" spans="1:2" ht="12.75">
      <c r="A255" s="151">
        <v>-0.050063534489368906</v>
      </c>
      <c r="B255" s="151">
        <v>0.007787155936520501</v>
      </c>
    </row>
    <row r="256" spans="1:2" ht="12.75">
      <c r="A256" s="151">
        <v>-0.005405405405405406</v>
      </c>
      <c r="B256" s="151">
        <v>-0.001991490902507468</v>
      </c>
    </row>
    <row r="257" spans="1:2" ht="12.75">
      <c r="A257" s="151">
        <v>0.007246376811594203</v>
      </c>
      <c r="B257" s="151">
        <v>-0.009425850340136061</v>
      </c>
    </row>
    <row r="258" spans="1:2" ht="12.75">
      <c r="A258" s="151">
        <v>0.014837410071942421</v>
      </c>
      <c r="B258" s="151">
        <v>0.00581993722232595</v>
      </c>
    </row>
    <row r="259" spans="1:2" ht="12.75">
      <c r="A259" s="151">
        <v>-0.020158454698062767</v>
      </c>
      <c r="B259" s="151">
        <v>-0.00339018848137033</v>
      </c>
    </row>
    <row r="260" spans="1:2" ht="12.75">
      <c r="A260" s="151">
        <v>0.007460634877455257</v>
      </c>
      <c r="B260" s="151">
        <v>0.02160147614958799</v>
      </c>
    </row>
    <row r="261" spans="1:2" ht="12.75">
      <c r="A261" s="151">
        <v>0.01391454219030523</v>
      </c>
      <c r="B261" s="151">
        <v>0.0013233332260361424</v>
      </c>
    </row>
    <row r="262" spans="1:2" ht="12.75">
      <c r="A262" s="151">
        <v>0.07436913723301479</v>
      </c>
      <c r="B262" s="151">
        <v>0.020552422249765136</v>
      </c>
    </row>
    <row r="263" spans="1:2" ht="12.75">
      <c r="A263" s="151">
        <v>-0.010301435318378056</v>
      </c>
      <c r="B263" s="151">
        <v>0.0012214712954244811</v>
      </c>
    </row>
    <row r="264" spans="1:2" ht="12.75">
      <c r="A264" s="151">
        <v>0.006661115736885929</v>
      </c>
      <c r="B264" s="151">
        <v>0.009043241164750008</v>
      </c>
    </row>
    <row r="265" spans="1:2" ht="12.75">
      <c r="A265" s="151">
        <v>-0.009098428453267164</v>
      </c>
      <c r="B265" s="151">
        <v>0.010178169938716073</v>
      </c>
    </row>
    <row r="266" spans="1:2" ht="12.75">
      <c r="A266" s="151">
        <v>-0.0333889816360601</v>
      </c>
      <c r="B266" s="151">
        <v>-0.014924810096195059</v>
      </c>
    </row>
    <row r="267" spans="1:2" ht="12.75">
      <c r="A267" s="151">
        <v>-0.0535405872193437</v>
      </c>
      <c r="B267" s="151">
        <v>-0.024773449657606923</v>
      </c>
    </row>
    <row r="268" spans="1:2" ht="12.75">
      <c r="A268" s="151">
        <v>0.03375912408759124</v>
      </c>
      <c r="B268" s="151">
        <v>0.001988383840186831</v>
      </c>
    </row>
    <row r="269" spans="1:2" ht="12.75">
      <c r="A269" s="151">
        <v>-0.0529567519858782</v>
      </c>
      <c r="B269" s="151">
        <v>-0.026724002793176743</v>
      </c>
    </row>
    <row r="270" spans="1:2" ht="12.75">
      <c r="A270" s="151">
        <v>-0.034482758620689655</v>
      </c>
      <c r="B270" s="151">
        <v>-0.015623226921148035</v>
      </c>
    </row>
    <row r="271" spans="1:2" ht="12.75">
      <c r="A271" s="151">
        <v>0.03185328185328185</v>
      </c>
      <c r="B271" s="151">
        <v>-0.0003607087741480597</v>
      </c>
    </row>
    <row r="272" spans="1:2" ht="12.75">
      <c r="A272" s="151">
        <v>0.09167446211412535</v>
      </c>
      <c r="B272" s="151">
        <v>0.03718128994338187</v>
      </c>
    </row>
    <row r="273" spans="1:2" ht="12.75">
      <c r="A273" s="151">
        <v>0.017994858611825194</v>
      </c>
      <c r="B273" s="151">
        <v>0.004956727268814477</v>
      </c>
    </row>
    <row r="274" spans="1:2" ht="12.75">
      <c r="A274" s="151">
        <v>-0.03956228956228956</v>
      </c>
      <c r="B274" s="151">
        <v>0.005199950034797254</v>
      </c>
    </row>
    <row r="275" spans="1:2" ht="12.75">
      <c r="A275" s="151">
        <v>0.057843996494303246</v>
      </c>
      <c r="B275" s="151">
        <v>-0.0002023774019002754</v>
      </c>
    </row>
    <row r="276" spans="1:2" ht="12.75">
      <c r="A276" s="151">
        <v>0.007456503728251864</v>
      </c>
      <c r="B276" s="151">
        <v>-0.0015909373390862829</v>
      </c>
    </row>
    <row r="277" spans="1:2" ht="12.75">
      <c r="A277" s="151">
        <v>-0.0875815789473684</v>
      </c>
      <c r="B277" s="151">
        <v>-0.0031833880496679027</v>
      </c>
    </row>
    <row r="278" spans="1:2" ht="12.75">
      <c r="A278" s="151">
        <v>-0.018026124902298404</v>
      </c>
      <c r="B278" s="151">
        <v>0.025940938869303275</v>
      </c>
    </row>
    <row r="279" spans="1:2" ht="12.75">
      <c r="A279" s="151">
        <v>-0.007802472471796282</v>
      </c>
      <c r="B279" s="151">
        <v>0.03172278990825051</v>
      </c>
    </row>
    <row r="280" spans="1:2" ht="12.75">
      <c r="A280" s="151">
        <v>0.013876040703052728</v>
      </c>
      <c r="B280" s="151">
        <v>0.0004112687641374496</v>
      </c>
    </row>
    <row r="281" spans="1:2" ht="12.75">
      <c r="A281" s="151">
        <v>-0.041970802919708027</v>
      </c>
      <c r="B281" s="151">
        <v>0.004710798106245689</v>
      </c>
    </row>
    <row r="282" spans="1:2" ht="12.75">
      <c r="A282" s="151">
        <v>-0.031905523809523835</v>
      </c>
      <c r="B282" s="151">
        <v>0.015722943490641062</v>
      </c>
    </row>
    <row r="283" spans="1:2" ht="12.75">
      <c r="A283" s="151">
        <v>0.023119349233132722</v>
      </c>
      <c r="B283" s="151">
        <v>0.00906056113402287</v>
      </c>
    </row>
    <row r="284" spans="1:2" ht="12.75">
      <c r="A284" s="151">
        <v>0.025</v>
      </c>
      <c r="B284" s="151">
        <v>0.015163860665259625</v>
      </c>
    </row>
    <row r="285" spans="1:2" ht="12.75">
      <c r="A285" s="151">
        <v>0.028142589118198873</v>
      </c>
      <c r="B285" s="151">
        <v>0.013435236551063838</v>
      </c>
    </row>
    <row r="286" spans="1:2" ht="12.75">
      <c r="A286" s="151">
        <v>-0.01551094890510949</v>
      </c>
      <c r="B286" s="151">
        <v>-0.006021049819177613</v>
      </c>
    </row>
    <row r="287" spans="1:2" ht="12.75">
      <c r="A287" s="151">
        <v>-0.011585542168674724</v>
      </c>
      <c r="B287" s="151">
        <v>0.0098942733533011</v>
      </c>
    </row>
    <row r="288" spans="1:2" ht="12.75">
      <c r="A288" s="151">
        <v>-0.0014057206981495846</v>
      </c>
      <c r="B288" s="151">
        <v>0.013095856728222135</v>
      </c>
    </row>
    <row r="289" spans="1:2" ht="12.75">
      <c r="A289" s="151">
        <v>0.028169014084507043</v>
      </c>
      <c r="B289" s="151">
        <v>0.007462569863853491</v>
      </c>
    </row>
    <row r="290" spans="1:2" ht="12.75">
      <c r="A290" s="151">
        <v>0.02785461187214614</v>
      </c>
      <c r="B290" s="151">
        <v>-0.0004998214923242094</v>
      </c>
    </row>
    <row r="291" spans="1:2" ht="12.75">
      <c r="A291" s="151">
        <v>0.039537244220528296</v>
      </c>
      <c r="B291" s="151">
        <v>0.023599644669735433</v>
      </c>
    </row>
    <row r="292" spans="1:2" ht="12.75">
      <c r="A292" s="151">
        <v>-0.03504273504273504</v>
      </c>
      <c r="B292" s="151">
        <v>-0.007928945963004355</v>
      </c>
    </row>
    <row r="293" spans="1:2" ht="12.75">
      <c r="A293" s="151">
        <v>0.07883082373782108</v>
      </c>
      <c r="B293" s="151">
        <v>0.02377201863344546</v>
      </c>
    </row>
    <row r="294" spans="1:2" ht="12.75">
      <c r="A294" s="151">
        <v>-0.04146075533661738</v>
      </c>
      <c r="B294" s="151">
        <v>0.006614661603592314</v>
      </c>
    </row>
    <row r="295" spans="1:2" ht="12.75">
      <c r="A295" s="151">
        <v>0.057386170527677534</v>
      </c>
      <c r="B295" s="151">
        <v>0.006918453661794151</v>
      </c>
    </row>
    <row r="296" spans="1:2" ht="12.75">
      <c r="A296" s="151">
        <v>0.08586477820317745</v>
      </c>
      <c r="B296" s="151">
        <v>-0.014646756431721194</v>
      </c>
    </row>
    <row r="297" spans="1:2" ht="12.75">
      <c r="A297" s="151">
        <v>0.07124271316238012</v>
      </c>
      <c r="B297" s="151">
        <v>0.023222560255110162</v>
      </c>
    </row>
    <row r="298" spans="1:2" ht="12.75">
      <c r="A298" s="151">
        <v>-0.012882451253481876</v>
      </c>
      <c r="B298" s="151">
        <v>0.007984212834380923</v>
      </c>
    </row>
    <row r="299" spans="1:2" ht="12.75">
      <c r="A299" s="151">
        <v>-0.042681316299786234</v>
      </c>
      <c r="B299" s="151">
        <v>-0.007668636032728038</v>
      </c>
    </row>
    <row r="300" spans="1:2" ht="12.75">
      <c r="A300" s="151">
        <v>-0.02689815770081063</v>
      </c>
      <c r="B300" s="151">
        <v>-0.024905228022692676</v>
      </c>
    </row>
    <row r="301" spans="1:2" ht="12.75">
      <c r="A301" s="151">
        <v>-0.030669613431041815</v>
      </c>
      <c r="B301" s="151">
        <v>0.005260539062874737</v>
      </c>
    </row>
    <row r="302" spans="1:2" ht="12.75">
      <c r="A302" s="151">
        <v>0.04413999999999998</v>
      </c>
      <c r="B302" s="151">
        <v>0.02954041941610937</v>
      </c>
    </row>
    <row r="303" spans="1:2" ht="12.75">
      <c r="A303" s="151">
        <v>0.06995948819123875</v>
      </c>
      <c r="B303" s="151">
        <v>0.019650832083132983</v>
      </c>
    </row>
    <row r="304" spans="1:2" ht="12.75">
      <c r="A304" s="151">
        <v>-0.012587412587412588</v>
      </c>
      <c r="B304" s="151">
        <v>0.007208937036837188</v>
      </c>
    </row>
    <row r="305" spans="1:2" ht="12.75">
      <c r="A305" s="151">
        <v>-0.07223796033994334</v>
      </c>
      <c r="B305" s="151">
        <v>0.011536910499406333</v>
      </c>
    </row>
    <row r="306" spans="1:2" ht="12.75">
      <c r="A306" s="151">
        <v>-0.008014656488549599</v>
      </c>
      <c r="B306" s="151">
        <v>-0.0002341842026028307</v>
      </c>
    </row>
    <row r="307" spans="1:2" ht="12.75">
      <c r="A307" s="151">
        <v>-0.011158746497116451</v>
      </c>
      <c r="B307" s="151">
        <v>0.002255945210369023</v>
      </c>
    </row>
    <row r="308" spans="1:2" ht="12.75">
      <c r="A308" s="151">
        <v>0.02373603112840469</v>
      </c>
      <c r="B308" s="151">
        <v>0.007253413166322046</v>
      </c>
    </row>
    <row r="309" spans="1:2" ht="12.75">
      <c r="A309" s="151">
        <v>-0.017864527334380965</v>
      </c>
      <c r="B309" s="151">
        <v>0.010477205931098571</v>
      </c>
    </row>
    <row r="310" spans="1:2" ht="12.75">
      <c r="A310" s="151">
        <v>-0.06772507739938083</v>
      </c>
      <c r="B310" s="151">
        <v>-0.023648436239977973</v>
      </c>
    </row>
    <row r="311" spans="1:2" ht="12.75">
      <c r="A311" s="151">
        <v>-0.03154838126916149</v>
      </c>
      <c r="B311" s="151">
        <v>0.014080287597363681</v>
      </c>
    </row>
    <row r="312" spans="1:2" ht="12.75">
      <c r="A312" s="151">
        <v>0.021860966557028096</v>
      </c>
      <c r="B312" s="151">
        <v>0.025707146702743034</v>
      </c>
    </row>
    <row r="313" spans="1:2" ht="12.75">
      <c r="A313" s="151">
        <v>0.009228187919463088</v>
      </c>
      <c r="B313" s="151">
        <v>0.010228636953373567</v>
      </c>
    </row>
    <row r="314" spans="1:2" ht="12.75">
      <c r="A314" s="151">
        <v>-0.008728844555278493</v>
      </c>
      <c r="B314" s="151">
        <v>0.008209301210212452</v>
      </c>
    </row>
    <row r="315" spans="1:2" ht="12.75">
      <c r="A315" s="151">
        <v>-0.03144589111674035</v>
      </c>
      <c r="B315" s="151">
        <v>0.033637519259382645</v>
      </c>
    </row>
    <row r="316" spans="1:2" ht="12.75">
      <c r="A316" s="151">
        <v>0.0354978354978355</v>
      </c>
      <c r="B316" s="151">
        <v>0.0066860130652110225</v>
      </c>
    </row>
    <row r="317" spans="1:2" ht="12.75">
      <c r="A317" s="151">
        <v>-0.04807759197324417</v>
      </c>
      <c r="B317" s="151">
        <v>0.008162954308790256</v>
      </c>
    </row>
    <row r="318" spans="1:2" ht="12.75">
      <c r="A318" s="151">
        <v>-0.058409527209153926</v>
      </c>
      <c r="B318" s="151">
        <v>0.0014964327461808352</v>
      </c>
    </row>
    <row r="319" spans="1:2" ht="12.75">
      <c r="A319" s="151">
        <v>0.043843283582089554</v>
      </c>
      <c r="B319" s="151">
        <v>-0.0008225628744924967</v>
      </c>
    </row>
    <row r="320" spans="1:2" ht="12.75">
      <c r="A320" s="151">
        <v>0.026362109025915972</v>
      </c>
      <c r="B320" s="151">
        <v>0.017459234512639355</v>
      </c>
    </row>
    <row r="321" spans="1:2" ht="12.75">
      <c r="A321" s="151">
        <v>-0.0600770118081057</v>
      </c>
      <c r="B321" s="151">
        <v>-0.0011357281774408618</v>
      </c>
    </row>
    <row r="322" spans="1:2" ht="12.75">
      <c r="A322" s="151">
        <v>-0.07225562037564029</v>
      </c>
      <c r="B322" s="151">
        <v>0.008035928826045936</v>
      </c>
    </row>
    <row r="323" spans="1:2" ht="12.75">
      <c r="A323" s="151">
        <v>0.12830663739859216</v>
      </c>
      <c r="B323" s="151">
        <v>0.015196679535351126</v>
      </c>
    </row>
    <row r="324" spans="1:2" ht="12.75">
      <c r="A324" s="151">
        <v>-0.09380530973451327</v>
      </c>
      <c r="B324" s="151">
        <v>-0.055543855827069846</v>
      </c>
    </row>
    <row r="325" spans="1:2" ht="12.75">
      <c r="A325" s="151">
        <v>0.06689374999999997</v>
      </c>
      <c r="B325" s="151">
        <v>-0.006189625521248508</v>
      </c>
    </row>
    <row r="326" spans="1:2" ht="12.75">
      <c r="A326" s="151">
        <v>-0.012356256187647527</v>
      </c>
      <c r="B326" s="151">
        <v>-0.03879005761384792</v>
      </c>
    </row>
    <row r="327" spans="1:2" ht="12.75">
      <c r="A327" s="151">
        <v>-0.0009267840593141798</v>
      </c>
      <c r="B327" s="151">
        <v>0.041718426778781466</v>
      </c>
    </row>
    <row r="328" spans="1:2" ht="12.75">
      <c r="A328" s="151">
        <v>0.055658627087198514</v>
      </c>
      <c r="B328" s="151">
        <v>0.04302507069968222</v>
      </c>
    </row>
    <row r="329" spans="1:2" ht="12.75">
      <c r="A329" s="151">
        <v>-0.02152829525483302</v>
      </c>
      <c r="B329" s="151">
        <v>-0.03172604187501698</v>
      </c>
    </row>
    <row r="330" spans="1:2" ht="12.75">
      <c r="A330" s="151">
        <v>-0.06331454813503504</v>
      </c>
      <c r="B330" s="151">
        <v>-0.018150102392386003</v>
      </c>
    </row>
    <row r="331" spans="1:2" ht="12.75">
      <c r="A331" s="151">
        <v>0.0570462128475551</v>
      </c>
      <c r="B331" s="151">
        <v>0.02784141381083736</v>
      </c>
    </row>
    <row r="332" spans="1:2" ht="12.75">
      <c r="A332" s="151">
        <v>-0.029024964371856234</v>
      </c>
      <c r="B332" s="151">
        <v>0.02705441460018547</v>
      </c>
    </row>
    <row r="333" spans="1:2" ht="12.75">
      <c r="A333" s="151">
        <v>0.04250428211436312</v>
      </c>
      <c r="B333" s="151">
        <v>0.016371943793104398</v>
      </c>
    </row>
    <row r="334" spans="1:2" ht="12.75">
      <c r="A334" s="151">
        <v>0.03046594982078853</v>
      </c>
      <c r="B334" s="151">
        <v>0.0049578654065424365</v>
      </c>
    </row>
    <row r="335" spans="1:2" ht="12.75">
      <c r="A335" s="151">
        <v>0.07739130434782608</v>
      </c>
      <c r="B335" s="151">
        <v>0.00920677668869201</v>
      </c>
    </row>
    <row r="336" spans="1:2" ht="12.75">
      <c r="A336" s="151">
        <v>-0.02824858757062147</v>
      </c>
      <c r="B336" s="151">
        <v>0.010953548266980964</v>
      </c>
    </row>
    <row r="337" spans="1:2" ht="12.75">
      <c r="A337" s="151">
        <v>-0.09385382059800665</v>
      </c>
      <c r="B337" s="151">
        <v>-0.0328941776455588</v>
      </c>
    </row>
    <row r="338" spans="1:2" ht="12.75">
      <c r="A338" s="151">
        <v>0.008249312557286892</v>
      </c>
      <c r="B338" s="151">
        <v>0.01741421065994803</v>
      </c>
    </row>
    <row r="339" spans="1:2" ht="12.75">
      <c r="A339" s="151">
        <v>0.11681745454545452</v>
      </c>
      <c r="B339" s="151">
        <v>-0.023395826184608667</v>
      </c>
    </row>
    <row r="340" spans="1:2" ht="12.75">
      <c r="A340" s="151">
        <v>0.0024433064343876276</v>
      </c>
      <c r="B340" s="151">
        <v>-0.007457167357509112</v>
      </c>
    </row>
    <row r="341" spans="1:2" ht="12.75">
      <c r="A341" s="151">
        <v>-0.04141418340938151</v>
      </c>
      <c r="B341" s="151">
        <v>-0.037749160799691005</v>
      </c>
    </row>
    <row r="342" spans="1:2" ht="12.75">
      <c r="A342" s="151">
        <v>0.016941985221167452</v>
      </c>
      <c r="B342" s="151">
        <v>0.013706982380044544</v>
      </c>
    </row>
    <row r="343" spans="1:2" ht="12.75">
      <c r="A343" s="151">
        <v>0.005832240454637582</v>
      </c>
      <c r="B343" s="151">
        <v>0.028329970687883083</v>
      </c>
    </row>
    <row r="344" spans="1:2" ht="12.75">
      <c r="A344" s="151">
        <v>0.0004134158751695845</v>
      </c>
      <c r="B344" s="151">
        <v>0.00542450851188802</v>
      </c>
    </row>
    <row r="345" spans="1:2" ht="12.75">
      <c r="A345" s="151">
        <v>0.09271523178807947</v>
      </c>
      <c r="B345" s="151">
        <v>0.03363312354564098</v>
      </c>
    </row>
    <row r="346" spans="1:2" ht="12.75">
      <c r="A346" s="151">
        <v>0.01855999999999998</v>
      </c>
      <c r="B346" s="151">
        <v>0.007874651506300378</v>
      </c>
    </row>
    <row r="347" spans="1:2" ht="12.75">
      <c r="A347" s="151">
        <v>0.008925256333361895</v>
      </c>
      <c r="B347" s="151">
        <v>0.01829110255552364</v>
      </c>
    </row>
    <row r="348" spans="1:2" ht="12.75">
      <c r="A348" s="151">
        <v>0.0011063773572443144</v>
      </c>
      <c r="B348" s="151">
        <v>0.024464513382248372</v>
      </c>
    </row>
    <row r="349" spans="1:2" ht="12.75">
      <c r="A349" s="151">
        <v>-0.033873343151693665</v>
      </c>
      <c r="B349" s="151">
        <v>-0.014513833992094912</v>
      </c>
    </row>
    <row r="350" spans="1:2" ht="12.75">
      <c r="A350" s="151">
        <v>-0.009908536585365854</v>
      </c>
      <c r="B350" s="151">
        <v>0.02805025623160778</v>
      </c>
    </row>
    <row r="351" spans="1:2" ht="12.75">
      <c r="A351" s="151">
        <v>-0.05542725173210162</v>
      </c>
      <c r="B351" s="151">
        <v>-0.020104199410116368</v>
      </c>
    </row>
    <row r="352" spans="1:2" ht="12.75">
      <c r="A352" s="151">
        <v>0.004889975550122249</v>
      </c>
      <c r="B352" s="151">
        <v>0.0052554345971403075</v>
      </c>
    </row>
    <row r="353" spans="1:2" ht="12.75">
      <c r="A353" s="151">
        <v>-0.0364963503649635</v>
      </c>
      <c r="B353" s="151">
        <v>0.0005024272668636214</v>
      </c>
    </row>
    <row r="354" spans="1:2" ht="12.75">
      <c r="A354" s="151">
        <v>-0.05260875420875419</v>
      </c>
      <c r="B354" s="151">
        <v>0.0015562899675846513</v>
      </c>
    </row>
    <row r="355" spans="1:2" ht="12.75">
      <c r="A355" s="151">
        <v>0.03242929725149904</v>
      </c>
      <c r="B355" s="151">
        <v>0.027389247117545524</v>
      </c>
    </row>
    <row r="356" spans="1:2" ht="12.75">
      <c r="A356" s="151">
        <v>-0.055077452667814115</v>
      </c>
      <c r="B356" s="151">
        <v>-0.030156608601602203</v>
      </c>
    </row>
    <row r="357" spans="1:2" ht="12.75">
      <c r="A357" s="151">
        <v>-0.020036429872495445</v>
      </c>
      <c r="B357" s="151">
        <v>-0.006713904264530524</v>
      </c>
    </row>
    <row r="358" spans="1:2" ht="12.75">
      <c r="A358" s="151">
        <v>0.15195241635687734</v>
      </c>
      <c r="B358" s="151">
        <v>0.038385530291274554</v>
      </c>
    </row>
    <row r="359" spans="1:2" ht="12.75">
      <c r="A359" s="151">
        <v>0.058490643975381035</v>
      </c>
      <c r="B359" s="151">
        <v>0.014794531385635704</v>
      </c>
    </row>
    <row r="360" spans="1:2" ht="12.75">
      <c r="A360" s="151">
        <v>-0.08041219512195125</v>
      </c>
      <c r="B360" s="151">
        <v>-0.005879614089417699</v>
      </c>
    </row>
    <row r="361" spans="1:2" ht="12.75">
      <c r="A361" s="151">
        <v>-0.03812683837668521</v>
      </c>
      <c r="B361" s="151">
        <v>-0.0027556911011871552</v>
      </c>
    </row>
    <row r="362" spans="1:2" ht="12.75">
      <c r="A362" s="151">
        <v>-0.011632235506926651</v>
      </c>
      <c r="B362" s="151">
        <v>0.02595978461504838</v>
      </c>
    </row>
    <row r="363" spans="1:2" ht="12.75">
      <c r="A363" s="151">
        <v>0.04097646033129904</v>
      </c>
      <c r="B363" s="151">
        <v>0.018606720903444837</v>
      </c>
    </row>
    <row r="364" spans="1:2" ht="12.75">
      <c r="A364" s="151">
        <v>0.005862646566164154</v>
      </c>
      <c r="B364" s="151">
        <v>-0.0061809167070784165</v>
      </c>
    </row>
    <row r="365" spans="1:2" ht="12.75">
      <c r="A365" s="151">
        <v>-0.004163197335553705</v>
      </c>
      <c r="B365" s="151">
        <v>0.03371115004490468</v>
      </c>
    </row>
    <row r="366" spans="1:2" ht="12.75">
      <c r="A366" s="151">
        <v>0.0806849498327759</v>
      </c>
      <c r="B366" s="151">
        <v>-0.002022466880578743</v>
      </c>
    </row>
    <row r="367" spans="1:2" ht="12.75">
      <c r="A367" s="151">
        <v>0.007736948695983719</v>
      </c>
      <c r="B367" s="151">
        <v>-0.011623189292231202</v>
      </c>
    </row>
    <row r="368" spans="1:2" ht="12.75">
      <c r="A368" s="151">
        <v>0.1301350511386111</v>
      </c>
      <c r="B368" s="151">
        <v>0.010194230832700765</v>
      </c>
    </row>
    <row r="369" spans="1:2" ht="12.75">
      <c r="A369" s="151">
        <v>-0.008152173913043478</v>
      </c>
      <c r="B369" s="151">
        <v>0.0305476940166541</v>
      </c>
    </row>
    <row r="370" spans="1:2" ht="12.75">
      <c r="A370" s="151">
        <v>0.0589041095890411</v>
      </c>
      <c r="B370" s="151">
        <v>0.00034873168663292</v>
      </c>
    </row>
    <row r="371" spans="1:2" ht="12.75">
      <c r="A371" s="151">
        <v>0.08538163001293661</v>
      </c>
      <c r="B371" s="151">
        <v>-0.028003692098038695</v>
      </c>
    </row>
    <row r="372" spans="1:2" ht="12.75">
      <c r="A372" s="151">
        <v>0.0059594755661501785</v>
      </c>
      <c r="B372" s="151">
        <v>-0.04088041342995241</v>
      </c>
    </row>
    <row r="373" spans="1:2" ht="12.75">
      <c r="A373" s="151">
        <v>-0.10182180094786727</v>
      </c>
      <c r="B373" s="151">
        <v>-0.026347938971195996</v>
      </c>
    </row>
    <row r="374" spans="1:2" ht="12.75">
      <c r="A374" s="151">
        <v>0.15821599910508682</v>
      </c>
      <c r="B374" s="151">
        <v>0.02940894073695843</v>
      </c>
    </row>
    <row r="375" spans="1:2" ht="12.75">
      <c r="A375" s="151">
        <v>-0.002560364464692537</v>
      </c>
      <c r="B375" s="151">
        <v>0.017115396437436755</v>
      </c>
    </row>
    <row r="376" spans="1:2" ht="12.75">
      <c r="A376" s="151">
        <v>-0.10419844887593743</v>
      </c>
      <c r="B376" s="151">
        <v>-0.03920902518272746</v>
      </c>
    </row>
    <row r="377" spans="1:2" ht="12.75">
      <c r="A377" s="151">
        <v>0.09369024856596558</v>
      </c>
      <c r="B377" s="151">
        <v>0.022056399132321103</v>
      </c>
    </row>
    <row r="378" spans="1:2" ht="12.75">
      <c r="A378" s="151">
        <v>0.08449417249417247</v>
      </c>
      <c r="B378" s="151">
        <v>0.03248735058408035</v>
      </c>
    </row>
    <row r="379" spans="1:2" ht="12.75">
      <c r="A379" s="151">
        <v>-0.03895556778320373</v>
      </c>
      <c r="B379" s="151">
        <v>0.01559381263168707</v>
      </c>
    </row>
    <row r="380" spans="1:2" ht="12.75">
      <c r="A380" s="151">
        <v>0.0903015718234762</v>
      </c>
      <c r="B380" s="151">
        <v>0.00453790119033886</v>
      </c>
    </row>
    <row r="381" spans="1:2" ht="12.75">
      <c r="A381" s="151">
        <v>-0.016155897435897387</v>
      </c>
      <c r="B381" s="151">
        <v>-0.0009006594761666452</v>
      </c>
    </row>
    <row r="382" spans="1:2" ht="12.75">
      <c r="A382" s="151">
        <v>-0.06671892982836555</v>
      </c>
      <c r="B382" s="151">
        <v>-0.025142380045819767</v>
      </c>
    </row>
    <row r="383" spans="1:2" ht="12.75">
      <c r="A383" s="151">
        <v>-0.11086090111343454</v>
      </c>
      <c r="B383" s="151">
        <v>-0.039144457155624195</v>
      </c>
    </row>
    <row r="384" spans="1:2" ht="12.75">
      <c r="A384" s="151">
        <v>0.04082412060301505</v>
      </c>
      <c r="B384" s="151">
        <v>-0.0402138365050692</v>
      </c>
    </row>
    <row r="385" spans="1:2" ht="12.75">
      <c r="A385" s="151">
        <v>-0.15026747262509413</v>
      </c>
      <c r="B385" s="151">
        <v>0.02578349847124976</v>
      </c>
    </row>
    <row r="386" spans="1:2" ht="12.75">
      <c r="A386" s="151">
        <v>-0.18607954545454544</v>
      </c>
      <c r="B386" s="151">
        <v>-0.07635315548577132</v>
      </c>
    </row>
    <row r="387" spans="1:2" ht="12.75">
      <c r="A387" s="151">
        <v>0.16579406631762653</v>
      </c>
      <c r="B387" s="151">
        <v>-0.017707307371770578</v>
      </c>
    </row>
    <row r="388" spans="1:2" ht="12.75">
      <c r="A388" s="151">
        <v>-0.006361676646706567</v>
      </c>
      <c r="B388" s="151">
        <v>0.004900105811433884</v>
      </c>
    </row>
    <row r="389" spans="1:2" ht="12.75">
      <c r="A389" s="151">
        <v>0.09679783243821771</v>
      </c>
      <c r="B389" s="151">
        <v>0.0235871457970556</v>
      </c>
    </row>
    <row r="390" spans="1:2" ht="12.75">
      <c r="A390" s="151">
        <v>-0.006181318681318681</v>
      </c>
      <c r="B390" s="151">
        <v>0.04191856705002376</v>
      </c>
    </row>
    <row r="391" spans="1:2" ht="12.75">
      <c r="A391" s="151">
        <v>-0.13925307532826536</v>
      </c>
      <c r="B391" s="151">
        <v>-0.05808004138132668</v>
      </c>
    </row>
    <row r="392" spans="1:2" ht="12.75">
      <c r="A392" s="151">
        <v>-0.0008041745135772318</v>
      </c>
      <c r="B392" s="151">
        <v>-0.03158874934339328</v>
      </c>
    </row>
    <row r="393" spans="1:2" ht="12.75">
      <c r="A393" s="151">
        <v>-0.07834412428710277</v>
      </c>
      <c r="B393" s="151">
        <v>-0.07058112872605339</v>
      </c>
    </row>
    <row r="394" spans="1:2" ht="12.75">
      <c r="A394" s="151">
        <v>-0.03182284219703577</v>
      </c>
      <c r="B394" s="151">
        <v>-0.024631064587240632</v>
      </c>
    </row>
    <row r="395" spans="1:2" ht="12.75">
      <c r="A395" s="151">
        <v>0.005402975526682055</v>
      </c>
      <c r="B395" s="151">
        <v>-0.096685142978367</v>
      </c>
    </row>
    <row r="396" spans="1:2" ht="12.75">
      <c r="A396" s="151">
        <v>0.026422589465357457</v>
      </c>
      <c r="B396" s="151">
        <v>0.06559800559421186</v>
      </c>
    </row>
    <row r="397" spans="1:2" ht="12.75">
      <c r="A397" s="151">
        <v>0.13743525305410126</v>
      </c>
      <c r="B397" s="151">
        <v>0.07188428892731617</v>
      </c>
    </row>
    <row r="398" spans="1:2" ht="12.75">
      <c r="A398" s="151">
        <v>-0.07748487764641192</v>
      </c>
      <c r="B398" s="151">
        <v>-0.022975719441054285</v>
      </c>
    </row>
    <row r="399" spans="1:2" ht="12.75">
      <c r="A399" s="151">
        <v>-0.00041513541131667567</v>
      </c>
      <c r="B399" s="151">
        <v>-0.016870772526514807</v>
      </c>
    </row>
    <row r="400" spans="1:2" ht="12.75">
      <c r="A400" s="151">
        <v>-0.05574043261231281</v>
      </c>
      <c r="B400" s="151">
        <v>-0.04429344544825847</v>
      </c>
    </row>
    <row r="401" spans="1:2" ht="12.75">
      <c r="A401" s="151">
        <v>0.08237814977973566</v>
      </c>
      <c r="B401" s="151">
        <v>0.06568594794514254</v>
      </c>
    </row>
    <row r="402" spans="1:2" ht="12.75">
      <c r="A402" s="151">
        <v>-0.028082395169650883</v>
      </c>
      <c r="B402" s="151">
        <v>-0.021863371442890866</v>
      </c>
    </row>
    <row r="403" spans="1:2" ht="12.75">
      <c r="A403" s="151">
        <v>0.08500904522613068</v>
      </c>
      <c r="B403" s="151">
        <v>0.03965190945679034</v>
      </c>
    </row>
    <row r="404" spans="1:2" ht="12.75">
      <c r="A404" s="151">
        <v>-0.016981849798934898</v>
      </c>
      <c r="B404" s="151">
        <v>0.02295424254709148</v>
      </c>
    </row>
    <row r="405" spans="1:2" ht="12.75">
      <c r="A405" s="151">
        <v>-0.0223798838603007</v>
      </c>
      <c r="B405" s="151">
        <v>0.02523402734247514</v>
      </c>
    </row>
    <row r="406" spans="1:2" ht="12.75">
      <c r="A406" s="151">
        <v>-0.078714859437751</v>
      </c>
      <c r="B406" s="151">
        <v>-0.04361458080685588</v>
      </c>
    </row>
    <row r="407" spans="1:2" ht="12.75">
      <c r="A407" s="151">
        <v>-0.023539668700959023</v>
      </c>
      <c r="B407" s="151">
        <v>-0.020642195775931495</v>
      </c>
    </row>
    <row r="408" spans="1:2" ht="12.75">
      <c r="A408" s="151">
        <v>-0.02187428571428569</v>
      </c>
      <c r="B408" s="151">
        <v>0.003487704022593157</v>
      </c>
    </row>
    <row r="409" spans="1:2" ht="12.75">
      <c r="A409" s="151">
        <v>-0.021452106652957284</v>
      </c>
      <c r="B409" s="151">
        <v>0.025960690708126462</v>
      </c>
    </row>
    <row r="410" spans="1:2" ht="12.75">
      <c r="A410" s="151">
        <v>-0.041044776119402986</v>
      </c>
      <c r="B410" s="151">
        <v>-0.0386290157775321</v>
      </c>
    </row>
    <row r="411" spans="1:2" ht="12.75">
      <c r="A411" s="151">
        <v>-0.05690583657587546</v>
      </c>
      <c r="B411" s="151">
        <v>-0.02299298519095866</v>
      </c>
    </row>
    <row r="412" spans="1:2" ht="12.75">
      <c r="A412" s="151">
        <v>-0.0840647062900825</v>
      </c>
      <c r="B412" s="151">
        <v>-0.05586595295410618</v>
      </c>
    </row>
    <row r="413" spans="1:2" ht="12.75">
      <c r="A413" s="151">
        <v>0.060810810810810814</v>
      </c>
      <c r="B413" s="151">
        <v>0.03393180549113221</v>
      </c>
    </row>
    <row r="414" spans="1:2" ht="12.75">
      <c r="A414" s="151">
        <v>0.030253927813163453</v>
      </c>
      <c r="B414" s="151">
        <v>0.00842386800701799</v>
      </c>
    </row>
    <row r="415" spans="1:2" ht="12.75">
      <c r="A415" s="151">
        <v>0.05100550314724631</v>
      </c>
      <c r="B415" s="151">
        <v>0.022269386182156195</v>
      </c>
    </row>
    <row r="416" spans="1:2" ht="12.75">
      <c r="A416" s="151">
        <v>0.05784313725490196</v>
      </c>
      <c r="B416" s="151">
        <v>0.030468587584715833</v>
      </c>
    </row>
    <row r="417" spans="1:2" ht="12.75">
      <c r="A417" s="151">
        <v>-0.05004633920296571</v>
      </c>
      <c r="B417" s="151">
        <v>-0.019531575733610966</v>
      </c>
    </row>
    <row r="418" spans="1:2" ht="12.75">
      <c r="A418" s="151">
        <v>-0.03170809756097564</v>
      </c>
      <c r="B418" s="151">
        <v>-0.029149839778763002</v>
      </c>
    </row>
    <row r="419" spans="1:2" ht="12.75">
      <c r="A419" s="151">
        <v>-0.047353589806419946</v>
      </c>
      <c r="B419" s="151">
        <v>-0.04191075278844549</v>
      </c>
    </row>
    <row r="420" spans="1:2" ht="12.75">
      <c r="A420" s="151">
        <v>0.15230024131127123</v>
      </c>
      <c r="B420" s="151">
        <v>-0.007724752241623423</v>
      </c>
    </row>
    <row r="421" spans="1:2" ht="12.75">
      <c r="A421" s="151">
        <v>-0.14823375990178256</v>
      </c>
      <c r="B421" s="151">
        <v>-0.05934825709453329</v>
      </c>
    </row>
    <row r="422" spans="1:2" ht="12.75">
      <c r="A422" s="151">
        <v>0.12015172413793106</v>
      </c>
      <c r="B422" s="151">
        <v>0.03351503373307419</v>
      </c>
    </row>
    <row r="423" spans="1:2" ht="12.75">
      <c r="A423" s="151">
        <v>-0.06878378544778418</v>
      </c>
      <c r="B423" s="151">
        <v>-0.019953464338456805</v>
      </c>
    </row>
    <row r="424" spans="1:2" ht="12.75">
      <c r="A424" s="151">
        <v>0.023760330578512397</v>
      </c>
      <c r="B424" s="151">
        <v>-7.487481866248046E-05</v>
      </c>
    </row>
    <row r="425" spans="1:2" ht="12.75">
      <c r="A425" s="151">
        <v>0.0819874873864784</v>
      </c>
      <c r="B425" s="151">
        <v>0.07936389078689964</v>
      </c>
    </row>
    <row r="426" spans="1:2" ht="12.75">
      <c r="A426" s="151">
        <v>-0.06644870746512761</v>
      </c>
      <c r="B426" s="151">
        <v>-0.01693029010140257</v>
      </c>
    </row>
    <row r="427" spans="1:2" ht="12.75">
      <c r="A427" s="151">
        <v>0.07692307692307693</v>
      </c>
      <c r="B427" s="151">
        <v>0.05339453263979351</v>
      </c>
    </row>
    <row r="428" spans="1:2" ht="12.75">
      <c r="A428" s="151">
        <v>0.1456400742115028</v>
      </c>
      <c r="B428" s="151">
        <v>0.0644466154919749</v>
      </c>
    </row>
    <row r="429" spans="1:2" ht="12.75">
      <c r="A429" s="151">
        <v>-0.022672064777327937</v>
      </c>
      <c r="B429" s="151">
        <v>0.0021975255547572255</v>
      </c>
    </row>
    <row r="430" spans="1:2" ht="12.75">
      <c r="A430" s="151">
        <v>-0.048053024026512015</v>
      </c>
      <c r="B430" s="151">
        <v>-0.017109917943565353</v>
      </c>
    </row>
    <row r="431" spans="1:2" ht="12.75">
      <c r="A431" s="151">
        <v>0.05308964316797215</v>
      </c>
      <c r="B431" s="151">
        <v>0.02206651634423668</v>
      </c>
    </row>
    <row r="432" spans="1:2" ht="12.75">
      <c r="A432" s="151">
        <v>-0.05206611570247934</v>
      </c>
      <c r="B432" s="151">
        <v>-0.003568395992977884</v>
      </c>
    </row>
    <row r="433" spans="1:2" ht="12.75">
      <c r="A433" s="151">
        <v>0.020924149956408022</v>
      </c>
      <c r="B433" s="151">
        <v>0.012881774171624599</v>
      </c>
    </row>
    <row r="434" spans="1:2" ht="12.75">
      <c r="A434" s="151">
        <v>-0.08710503842869342</v>
      </c>
      <c r="B434" s="151">
        <v>-0.027595978156517504</v>
      </c>
    </row>
    <row r="435" spans="1:2" ht="12.75">
      <c r="A435" s="151">
        <v>0.01777362020579981</v>
      </c>
      <c r="B435" s="151">
        <v>0.02206793686685725</v>
      </c>
    </row>
    <row r="436" spans="1:2" ht="12.75">
      <c r="A436" s="151">
        <v>-0.07720588235294118</v>
      </c>
      <c r="B436" s="151">
        <v>-0.01393122932387449</v>
      </c>
    </row>
    <row r="437" spans="1:2" ht="12.75">
      <c r="A437" s="151">
        <v>0.02091633466135458</v>
      </c>
      <c r="B437" s="151">
        <v>0.012727095573035287</v>
      </c>
    </row>
    <row r="438" spans="1:2" ht="12.75">
      <c r="A438" s="151">
        <v>-0.045853658536585365</v>
      </c>
      <c r="B438" s="151">
        <v>0.0038536146489362684</v>
      </c>
    </row>
    <row r="439" spans="1:2" ht="12.75">
      <c r="A439" s="151">
        <v>-0.02044989775051125</v>
      </c>
      <c r="B439" s="151">
        <v>0.033484779410241</v>
      </c>
    </row>
    <row r="440" spans="1:2" ht="12.75">
      <c r="A440" s="151">
        <v>0.0407098121085595</v>
      </c>
      <c r="B440" s="151">
        <v>0.005897494379459827</v>
      </c>
    </row>
    <row r="441" spans="1:2" ht="12.75">
      <c r="A441" s="151">
        <v>-0.009027081243731194</v>
      </c>
      <c r="B441" s="151">
        <v>0.01262034803755459</v>
      </c>
    </row>
    <row r="442" spans="1:2" ht="12.75">
      <c r="A442" s="151">
        <v>-0.057692307692307696</v>
      </c>
      <c r="B442" s="151">
        <v>-0.031291753711235964</v>
      </c>
    </row>
    <row r="443" spans="1:2" ht="12.75">
      <c r="A443" s="151">
        <v>-0.07411385606874328</v>
      </c>
      <c r="B443" s="151">
        <v>-0.023241991038497882</v>
      </c>
    </row>
    <row r="444" spans="1:2" ht="12.75">
      <c r="A444" s="151">
        <v>-0.02668213457076566</v>
      </c>
      <c r="B444" s="151">
        <v>0.0173664747460562</v>
      </c>
    </row>
    <row r="445" spans="1:2" ht="12.75">
      <c r="A445" s="151">
        <v>0</v>
      </c>
      <c r="B445" s="151">
        <v>-0.0135885402288273</v>
      </c>
    </row>
    <row r="446" spans="1:2" ht="12.75">
      <c r="A446" s="151">
        <v>-0.00834326579261025</v>
      </c>
      <c r="B446" s="151">
        <v>0.021088583452536464</v>
      </c>
    </row>
    <row r="447" spans="1:2" ht="12.75">
      <c r="A447" s="151">
        <v>-0.006009615384615385</v>
      </c>
      <c r="B447" s="151">
        <v>-0.016016384372922167</v>
      </c>
    </row>
    <row r="448" spans="1:2" ht="12.75">
      <c r="A448" s="151">
        <v>0.05078597339782346</v>
      </c>
      <c r="B448" s="151">
        <v>0.022923582041818543</v>
      </c>
    </row>
    <row r="449" spans="1:2" ht="12.75">
      <c r="A449" s="151">
        <v>-0.02761795166858458</v>
      </c>
      <c r="B449" s="151">
        <v>0.0065101573077901796</v>
      </c>
    </row>
    <row r="450" spans="1:2" ht="12.75">
      <c r="A450" s="151">
        <v>-0.04260355029585799</v>
      </c>
      <c r="B450" s="151">
        <v>-0.032272609990656134</v>
      </c>
    </row>
    <row r="451" spans="1:2" ht="12.75">
      <c r="A451" s="151">
        <v>0.00865265760197775</v>
      </c>
      <c r="B451" s="151">
        <v>0.025231032072687804</v>
      </c>
    </row>
    <row r="452" spans="1:2" ht="12.75">
      <c r="A452" s="151">
        <v>-0.024509803921568627</v>
      </c>
      <c r="B452" s="151">
        <v>0.01581338039726596</v>
      </c>
    </row>
    <row r="453" spans="1:2" ht="12.75">
      <c r="A453" s="151">
        <v>-0.03391959798994975</v>
      </c>
      <c r="B453" s="151">
        <v>-0.01066563929210575</v>
      </c>
    </row>
    <row r="454" spans="1:2" ht="12.75">
      <c r="A454" s="151">
        <v>-0.0858257477243173</v>
      </c>
      <c r="B454" s="151">
        <v>-0.005997050466172035</v>
      </c>
    </row>
    <row r="455" spans="1:2" ht="12.75">
      <c r="A455" s="151">
        <v>0.19772403982930298</v>
      </c>
      <c r="B455" s="151">
        <v>0.036186754692373424</v>
      </c>
    </row>
    <row r="456" spans="1:2" ht="12.75">
      <c r="A456" s="151">
        <v>0.015439429928741092</v>
      </c>
      <c r="B456" s="151">
        <v>0.018360372622628</v>
      </c>
    </row>
    <row r="457" spans="1:2" ht="12.75">
      <c r="A457" s="151">
        <v>0.14502923976608187</v>
      </c>
      <c r="B457" s="151">
        <v>0.01708320758061363</v>
      </c>
    </row>
    <row r="458" spans="1:2" ht="12.75">
      <c r="A458" s="151">
        <v>-0.01634320735444331</v>
      </c>
      <c r="B458" s="151">
        <v>0.0067095601222745575</v>
      </c>
    </row>
    <row r="459" spans="1:2" ht="12.75">
      <c r="A459" s="151">
        <v>-0.0446521287642783</v>
      </c>
      <c r="B459" s="151">
        <v>-0.022808778221476745</v>
      </c>
    </row>
    <row r="460" spans="1:2" ht="12.75">
      <c r="A460" s="151">
        <v>-0.010869565217391304</v>
      </c>
      <c r="B460" s="151">
        <v>-0.02909625416250714</v>
      </c>
    </row>
    <row r="461" spans="1:2" ht="12.75">
      <c r="A461" s="151">
        <v>0.07252747252747253</v>
      </c>
      <c r="B461" s="151">
        <v>0.03179037535475383</v>
      </c>
    </row>
    <row r="462" spans="1:2" ht="12.75">
      <c r="A462" s="151">
        <v>-0.036885245901639344</v>
      </c>
      <c r="B462" s="151">
        <v>-0.021533924713709584</v>
      </c>
    </row>
    <row r="463" spans="1:2" ht="12.75">
      <c r="A463" s="151">
        <v>-0.06170212765957447</v>
      </c>
      <c r="B463" s="151">
        <v>-0.02756902636495736</v>
      </c>
    </row>
    <row r="464" spans="1:2" ht="12.75">
      <c r="A464" s="151">
        <v>0.02040816326530612</v>
      </c>
      <c r="B464" s="151">
        <v>0.012055545927862626</v>
      </c>
    </row>
    <row r="465" spans="1:2" ht="12.75">
      <c r="A465" s="151">
        <v>-0.06333333333333334</v>
      </c>
      <c r="B465" s="151">
        <v>-0.010385723538739955</v>
      </c>
    </row>
    <row r="466" spans="1:2" ht="12.75">
      <c r="A466" s="151">
        <v>-0.05693950177935943</v>
      </c>
      <c r="B466" s="151">
        <v>-0.036484507437834095</v>
      </c>
    </row>
    <row r="467" spans="1:2" ht="12.75">
      <c r="A467" s="151">
        <v>-0.05660377358490566</v>
      </c>
      <c r="B467" s="151">
        <v>-0.04664738966693822</v>
      </c>
    </row>
    <row r="468" spans="1:2" ht="12.75">
      <c r="A468" s="151">
        <v>0.06666666666666667</v>
      </c>
      <c r="B468" s="151">
        <v>0.02838929838929833</v>
      </c>
    </row>
    <row r="469" spans="1:2" ht="12.75">
      <c r="A469" s="151">
        <v>-0.02875</v>
      </c>
      <c r="B469" s="151">
        <v>-0.021627347033042244</v>
      </c>
    </row>
    <row r="470" spans="1:2" ht="12.75">
      <c r="A470" s="151">
        <v>0.006435006435006435</v>
      </c>
      <c r="B470" s="151">
        <v>-0.007342247498317726</v>
      </c>
    </row>
    <row r="471" spans="1:2" ht="12.75">
      <c r="A471" s="151">
        <v>0.023017902813299233</v>
      </c>
      <c r="B471" s="151">
        <v>0.027722046981516833</v>
      </c>
    </row>
    <row r="472" spans="1:2" ht="12.75">
      <c r="A472" s="151">
        <v>0.015</v>
      </c>
      <c r="B472" s="151">
        <v>0.007308743896081794</v>
      </c>
    </row>
    <row r="473" spans="1:2" ht="12.75">
      <c r="A473" s="151">
        <v>-0.014778325123152709</v>
      </c>
      <c r="B473" s="151">
        <v>0.01996905496176747</v>
      </c>
    </row>
    <row r="474" spans="1:2" ht="12.75">
      <c r="A474" s="151">
        <v>0.005</v>
      </c>
      <c r="B474" s="151">
        <v>-0.003738037116326887</v>
      </c>
    </row>
    <row r="475" spans="1:2" ht="12.75">
      <c r="A475" s="151">
        <v>-0.006218905472636816</v>
      </c>
      <c r="B475" s="151">
        <v>0.0012861986982109672</v>
      </c>
    </row>
    <row r="476" spans="1:2" ht="12.75">
      <c r="A476" s="151">
        <v>-0.02127659574468085</v>
      </c>
      <c r="B476" s="151">
        <v>-0.024266251459712007</v>
      </c>
    </row>
    <row r="477" spans="1:2" ht="12.75">
      <c r="A477" s="151">
        <v>-0.0076726342710997444</v>
      </c>
      <c r="B477" s="151">
        <v>0.00784044638416592</v>
      </c>
    </row>
    <row r="478" spans="1:2" ht="12.75">
      <c r="A478" s="151">
        <v>-0.006443298969072165</v>
      </c>
      <c r="B478" s="151">
        <v>0.0158914043388654</v>
      </c>
    </row>
    <row r="479" spans="1:2" ht="12.75">
      <c r="A479" s="151">
        <v>0.07652399481193256</v>
      </c>
      <c r="B479" s="151">
        <v>0.0005117295158830451</v>
      </c>
    </row>
    <row r="480" spans="1:2" ht="12.75">
      <c r="A480" s="151">
        <v>0.10843373493975904</v>
      </c>
      <c r="B480" s="151">
        <v>0.0024768541356194377</v>
      </c>
    </row>
    <row r="481" spans="1:2" ht="12.75">
      <c r="A481" s="151">
        <v>0.0967391304347826</v>
      </c>
      <c r="B481" s="151">
        <v>0.020633481819123608</v>
      </c>
    </row>
    <row r="482" spans="1:2" ht="12.75">
      <c r="A482" s="151">
        <v>-0.1278493557978196</v>
      </c>
      <c r="B482" s="151">
        <v>-0.0026719988225949462</v>
      </c>
    </row>
    <row r="483" spans="1:2" ht="12.75">
      <c r="A483" s="151">
        <v>0.020454545454545454</v>
      </c>
      <c r="B483" s="151">
        <v>0.005803569156866822</v>
      </c>
    </row>
    <row r="484" spans="1:2" ht="12.75">
      <c r="A484" s="151">
        <v>0.011135857461024499</v>
      </c>
      <c r="B484" s="151">
        <v>0.0012799919051895185</v>
      </c>
    </row>
    <row r="485" spans="1:2" ht="12.75">
      <c r="A485" s="151">
        <v>0.018722466960352423</v>
      </c>
      <c r="B485" s="151">
        <v>0.013339362994889149</v>
      </c>
    </row>
    <row r="486" spans="1:2" ht="12.75">
      <c r="A486" s="151">
        <v>0.061621621621621624</v>
      </c>
      <c r="B486" s="151">
        <v>0.010538492798571926</v>
      </c>
    </row>
    <row r="487" spans="1:2" ht="12.75">
      <c r="A487" s="151">
        <v>0.013238289205702648</v>
      </c>
      <c r="B487" s="151">
        <v>-0.002615165989026261</v>
      </c>
    </row>
    <row r="488" spans="1:2" ht="12.75">
      <c r="A488" s="151">
        <v>0.012060301507537688</v>
      </c>
      <c r="B488" s="151">
        <v>0.006903836069142329</v>
      </c>
    </row>
    <row r="489" spans="1:2" ht="12.75">
      <c r="A489" s="151">
        <v>-0.028798411122144985</v>
      </c>
      <c r="B489" s="151">
        <v>0.002844796454567993</v>
      </c>
    </row>
    <row r="490" spans="1:2" ht="12.75">
      <c r="A490" s="151">
        <v>-0.0010224948875255625</v>
      </c>
      <c r="B490" s="151">
        <v>0.005301102109907311</v>
      </c>
    </row>
    <row r="491" spans="1:2" ht="12.75">
      <c r="A491" s="151">
        <v>0.015353121801432957</v>
      </c>
      <c r="B491" s="151">
        <v>0.024986536901074843</v>
      </c>
    </row>
    <row r="492" spans="1:2" ht="12.75">
      <c r="A492" s="151">
        <v>0.014112903225806451</v>
      </c>
      <c r="B492" s="151">
        <v>0.006651847801538047</v>
      </c>
    </row>
    <row r="493" spans="1:2" ht="12.75">
      <c r="A493" s="151">
        <v>0.073558648111332</v>
      </c>
      <c r="B493" s="151">
        <v>-0.021526428029936172</v>
      </c>
    </row>
    <row r="494" spans="1:2" ht="12.75">
      <c r="A494" s="151">
        <v>-0.027777777777777776</v>
      </c>
      <c r="B494" s="151">
        <v>-0.03133824743313111</v>
      </c>
    </row>
    <row r="495" spans="1:2" ht="12.75">
      <c r="A495" s="151">
        <v>0.015238095238095238</v>
      </c>
      <c r="B495" s="151">
        <v>0.02118185850189623</v>
      </c>
    </row>
    <row r="496" spans="1:2" ht="12.75">
      <c r="A496" s="151">
        <v>-0.01242926829268302</v>
      </c>
      <c r="B496" s="151">
        <v>-0.029265436090133955</v>
      </c>
    </row>
    <row r="497" spans="1:2" ht="12.75">
      <c r="A497" s="151">
        <v>-0.015911083956842858</v>
      </c>
      <c r="B497" s="151">
        <v>-0.02062633061951884</v>
      </c>
    </row>
    <row r="498" spans="1:2" ht="12.75">
      <c r="A498" s="151">
        <v>-0.03957528957528957</v>
      </c>
      <c r="B498" s="151">
        <v>-0.012021507308121624</v>
      </c>
    </row>
    <row r="499" spans="1:2" ht="12.75">
      <c r="A499" s="151">
        <v>0.005025125628140704</v>
      </c>
      <c r="B499" s="151">
        <v>0.011528740021457186</v>
      </c>
    </row>
    <row r="500" spans="1:2" ht="12.75">
      <c r="A500" s="151">
        <v>0.095</v>
      </c>
      <c r="B500" s="151">
        <v>0.005128547545000053</v>
      </c>
    </row>
    <row r="501" spans="1:2" ht="12.75">
      <c r="A501" s="151">
        <v>-0.014611872146118721</v>
      </c>
      <c r="B501" s="151">
        <v>-0.020090141190538268</v>
      </c>
    </row>
    <row r="502" spans="1:2" ht="12.75">
      <c r="A502" s="151">
        <v>-0.020389249304911955</v>
      </c>
      <c r="B502" s="151">
        <v>-0.028345105769406277</v>
      </c>
    </row>
    <row r="503" spans="1:2" ht="12.75">
      <c r="A503" s="151">
        <v>-0.005676442762535478</v>
      </c>
      <c r="B503" s="151">
        <v>0.03733241737599688</v>
      </c>
    </row>
    <row r="504" spans="1:2" ht="12.75">
      <c r="A504" s="151">
        <v>0.16555661274976213</v>
      </c>
      <c r="B504" s="151">
        <v>0.008226322161401524</v>
      </c>
    </row>
    <row r="505" spans="1:2" ht="12.75">
      <c r="A505" s="151">
        <v>-0.07020408163265306</v>
      </c>
      <c r="B505" s="151">
        <v>-0.01759359990147383</v>
      </c>
    </row>
    <row r="506" spans="1:2" ht="12.75">
      <c r="A506" s="151">
        <v>0.009438454784898947</v>
      </c>
      <c r="B506" s="151">
        <v>-0.006558070657922487</v>
      </c>
    </row>
    <row r="507" spans="1:2" ht="12.75">
      <c r="A507" s="151">
        <v>0.007175122530942456</v>
      </c>
      <c r="B507" s="151">
        <v>-0.016441626180411072</v>
      </c>
    </row>
    <row r="508" spans="1:2" ht="12.75">
      <c r="A508" s="151">
        <v>-0.023316062176165803</v>
      </c>
      <c r="B508" s="151">
        <v>-0.013931284447319295</v>
      </c>
    </row>
    <row r="509" spans="1:2" ht="12.75">
      <c r="A509" s="151">
        <v>-0.10167992926613616</v>
      </c>
      <c r="B509" s="151">
        <v>-0.008891057439483811</v>
      </c>
    </row>
    <row r="510" spans="1:2" ht="12.75">
      <c r="A510" s="151">
        <v>0.08858267716535433</v>
      </c>
      <c r="B510" s="151">
        <v>0.033372535076443395</v>
      </c>
    </row>
    <row r="511" spans="1:2" ht="12.75">
      <c r="A511" s="151">
        <v>-0.006329113924050633</v>
      </c>
      <c r="B511" s="151">
        <v>-0.027922462893561158</v>
      </c>
    </row>
    <row r="512" spans="1:2" ht="12.75">
      <c r="A512" s="151">
        <v>-0.026387625113739762</v>
      </c>
      <c r="B512" s="151">
        <v>-0.028294335143023635</v>
      </c>
    </row>
    <row r="513" spans="1:2" ht="12.75">
      <c r="A513" s="151">
        <v>-0.07289719626168224</v>
      </c>
      <c r="B513" s="151">
        <v>-0.03168203087786157</v>
      </c>
    </row>
    <row r="514" spans="1:2" ht="12.75">
      <c r="A514" s="151">
        <v>0.04233870967741935</v>
      </c>
      <c r="B514" s="151">
        <v>0.01946565658611679</v>
      </c>
    </row>
    <row r="515" spans="1:2" ht="12.75">
      <c r="A515" s="151">
        <v>-0.01160541586073501</v>
      </c>
      <c r="B515" s="151">
        <v>-0.014475887712525901</v>
      </c>
    </row>
    <row r="516" spans="1:2" ht="12.75">
      <c r="A516" s="151">
        <v>-0.06947162426614481</v>
      </c>
      <c r="B516" s="151">
        <v>-0.03199504622562705</v>
      </c>
    </row>
    <row r="517" spans="1:2" ht="12.75">
      <c r="A517" s="151">
        <v>0.025236593059936908</v>
      </c>
      <c r="B517" s="151">
        <v>-0.0016215363834086397</v>
      </c>
    </row>
    <row r="518" spans="1:2" ht="12.75">
      <c r="A518" s="151">
        <v>-0.04923076923076923</v>
      </c>
      <c r="B518" s="151">
        <v>-0.03427743804312842</v>
      </c>
    </row>
    <row r="519" spans="1:2" ht="12.75">
      <c r="A519" s="151">
        <v>-0.08522114347357065</v>
      </c>
      <c r="B519" s="151">
        <v>-0.022233948662877232</v>
      </c>
    </row>
    <row r="520" spans="1:2" ht="12.75">
      <c r="A520" s="151">
        <v>-0.03537735849056604</v>
      </c>
      <c r="B520" s="151">
        <v>-0.029607163033495434</v>
      </c>
    </row>
    <row r="521" spans="1:2" ht="12.75">
      <c r="A521" s="151">
        <v>0.09290953545232274</v>
      </c>
      <c r="B521" s="151">
        <v>0.07873664901713354</v>
      </c>
    </row>
    <row r="522" spans="1:2" ht="12.75">
      <c r="A522" s="151">
        <v>0.06711409395973154</v>
      </c>
      <c r="B522" s="151">
        <v>-0.007986685841948577</v>
      </c>
    </row>
    <row r="523" spans="1:2" ht="12.75">
      <c r="A523" s="151">
        <v>-0.11530398322851153</v>
      </c>
      <c r="B523" s="151">
        <v>-0.02319559429592623</v>
      </c>
    </row>
    <row r="524" spans="1:2" ht="12.75">
      <c r="A524" s="151">
        <v>0.011848341232227487</v>
      </c>
      <c r="B524" s="151">
        <v>-0.013192447945836317</v>
      </c>
    </row>
    <row r="525" spans="1:2" ht="12.75">
      <c r="A525" s="151">
        <v>0.07142857142857142</v>
      </c>
      <c r="B525" s="151">
        <v>0.07789226752765199</v>
      </c>
    </row>
    <row r="526" spans="1:2" ht="12.75">
      <c r="A526" s="151">
        <v>0.015300546448087432</v>
      </c>
      <c r="B526" s="151">
        <v>0.01887907330486163</v>
      </c>
    </row>
    <row r="527" spans="1:2" ht="12.75">
      <c r="A527" s="151">
        <v>0.02583423035522067</v>
      </c>
      <c r="B527" s="151">
        <v>-0.004148555613612952</v>
      </c>
    </row>
    <row r="528" spans="1:2" ht="12.75">
      <c r="A528" s="151">
        <v>-0.09233997901364113</v>
      </c>
      <c r="B528" s="151">
        <v>-0.014097541146657698</v>
      </c>
    </row>
    <row r="529" spans="1:2" ht="12.75">
      <c r="A529" s="151">
        <v>0</v>
      </c>
      <c r="B529" s="151">
        <v>-0.05562329850663339</v>
      </c>
    </row>
    <row r="530" spans="1:2" ht="12.75">
      <c r="A530" s="151">
        <v>-0.028901734104046242</v>
      </c>
      <c r="B530" s="151">
        <v>0.01319370690215715</v>
      </c>
    </row>
    <row r="531" spans="1:2" ht="12.75">
      <c r="A531" s="151">
        <v>-0.02142857142857143</v>
      </c>
      <c r="B531" s="151">
        <v>0.001888649157442528</v>
      </c>
    </row>
    <row r="532" spans="1:2" ht="12.75">
      <c r="A532" s="151">
        <v>-0.0413625304136253</v>
      </c>
      <c r="B532" s="151">
        <v>-0.026525457850876667</v>
      </c>
    </row>
    <row r="533" spans="1:2" ht="12.75">
      <c r="A533" s="151">
        <v>0.04568527918781726</v>
      </c>
      <c r="B533" s="151">
        <v>0.05584696371498402</v>
      </c>
    </row>
    <row r="534" spans="1:2" ht="12.75">
      <c r="A534" s="151">
        <v>0.04884660194174756</v>
      </c>
      <c r="B534" s="151">
        <v>-0.010754890002760017</v>
      </c>
    </row>
    <row r="535" spans="1:2" ht="12.75">
      <c r="A535" s="151">
        <v>0.06335021734461897</v>
      </c>
      <c r="B535" s="151">
        <v>0.028688512295291013</v>
      </c>
    </row>
    <row r="536" spans="1:2" ht="12.75">
      <c r="A536" s="151">
        <v>-0.04570184983677911</v>
      </c>
      <c r="B536" s="151">
        <v>0.006579139229284153</v>
      </c>
    </row>
    <row r="537" spans="1:2" ht="12.75">
      <c r="A537" s="151">
        <v>-0.00798175598631699</v>
      </c>
      <c r="B537" s="151">
        <v>-0.01024748086383624</v>
      </c>
    </row>
    <row r="538" spans="1:2" ht="12.75">
      <c r="A538" s="151">
        <v>0.04252873563218391</v>
      </c>
      <c r="B538" s="151">
        <v>-0.0001229432616847538</v>
      </c>
    </row>
    <row r="539" spans="1:2" ht="12.75">
      <c r="A539" s="151">
        <v>-0.08930540242557883</v>
      </c>
      <c r="B539" s="151">
        <v>-0.05389382836766902</v>
      </c>
    </row>
    <row r="540" spans="1:2" ht="12.75">
      <c r="A540" s="151">
        <v>-0.05690072639225181</v>
      </c>
      <c r="B540" s="151">
        <v>-0.009700776681003779</v>
      </c>
    </row>
    <row r="541" spans="1:2" ht="12.75">
      <c r="A541" s="151">
        <v>-0.05391527599486521</v>
      </c>
      <c r="B541" s="151">
        <v>-0.05354414360929278</v>
      </c>
    </row>
    <row r="542" spans="1:2" ht="12.75">
      <c r="A542" s="151">
        <v>-0.06919945725915876</v>
      </c>
      <c r="B542" s="151">
        <v>-0.02055800778477314</v>
      </c>
    </row>
    <row r="543" spans="1:2" ht="12.75">
      <c r="A543" s="151">
        <v>0.11224489795918367</v>
      </c>
      <c r="B543" s="151">
        <v>0.05782480314960636</v>
      </c>
    </row>
    <row r="544" spans="1:2" ht="12.75">
      <c r="A544" s="151">
        <v>-0.039318479685452164</v>
      </c>
      <c r="B544" s="151">
        <v>0.008673568558473236</v>
      </c>
    </row>
    <row r="545" spans="1:2" ht="13.5" thickBot="1">
      <c r="A545" s="151">
        <v>-0.06412005457025921</v>
      </c>
      <c r="B545" s="151">
        <v>-0.042208315300316754</v>
      </c>
    </row>
    <row r="546" spans="1:3" ht="12.75">
      <c r="A546" s="193" t="s">
        <v>403</v>
      </c>
      <c r="B546" s="194" t="s">
        <v>404</v>
      </c>
      <c r="C546" s="388" t="s">
        <v>405</v>
      </c>
    </row>
    <row r="547" spans="1:3" ht="13.5" thickBot="1">
      <c r="A547" s="195">
        <f>AVERAGE(A3:A545)</f>
        <v>0.005592306145965706</v>
      </c>
      <c r="B547" s="212">
        <f>AVERAGE(B3:B545)</f>
        <v>0.0013131990771481008</v>
      </c>
      <c r="C547" s="389"/>
    </row>
    <row r="548" spans="1:3" ht="12.75">
      <c r="A548" s="193" t="s">
        <v>406</v>
      </c>
      <c r="B548" s="194" t="s">
        <v>407</v>
      </c>
      <c r="C548" s="390">
        <f>COVAR(A3:A545,B3:B545)</f>
        <v>0.0008275203736295621</v>
      </c>
    </row>
    <row r="549" spans="1:3" ht="13.5" thickBot="1">
      <c r="A549" s="195">
        <f>VAR(A3:A545)</f>
        <v>0.005211273397721791</v>
      </c>
      <c r="B549" s="195">
        <f>VAR(B3:B545)</f>
        <v>0.0005380488167949612</v>
      </c>
      <c r="C549" s="414"/>
    </row>
    <row r="550" ht="13.5" thickBot="1"/>
    <row r="551" spans="2:3" ht="21" thickBot="1">
      <c r="B551" s="196" t="s">
        <v>408</v>
      </c>
      <c r="C551" s="197">
        <f>C548/B549</f>
        <v>1.5380024038690756</v>
      </c>
    </row>
  </sheetData>
  <mergeCells count="2">
    <mergeCell ref="C546:C547"/>
    <mergeCell ref="C548:C549"/>
  </mergeCells>
  <printOptions/>
  <pageMargins left="0.75" right="0.75" top="1" bottom="1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2001-01-07T17:21:18Z</cp:lastPrinted>
  <dcterms:created xsi:type="dcterms:W3CDTF">2000-12-03T22:22:29Z</dcterms:created>
  <dcterms:modified xsi:type="dcterms:W3CDTF">2001-02-07T03:49:39Z</dcterms:modified>
  <cp:category/>
  <cp:version/>
  <cp:contentType/>
  <cp:contentStatus/>
</cp:coreProperties>
</file>